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4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30" sheetId="24" r:id="rId53"/>
    <sheet name="307" sheetId="64" r:id="rId54"/>
    <sheet name="314" sheetId="68" r:id="rId55"/>
    <sheet name="308" sheetId="27" r:id="rId56"/>
    <sheet name="311" sheetId="66" r:id="rId57"/>
    <sheet name="324" sheetId="75" r:id="rId58"/>
    <sheet name="331" sheetId="30" r:id="rId59"/>
    <sheet name="315" sheetId="69" r:id="rId60"/>
    <sheet name="332" sheetId="33" r:id="rId61"/>
    <sheet name="316" sheetId="70" r:id="rId62"/>
    <sheet name="320" sheetId="72" r:id="rId63"/>
    <sheet name="Div 6" sheetId="51" r:id="rId64"/>
    <sheet name="317" sheetId="71" r:id="rId65"/>
    <sheet name="310" sheetId="21" r:id="rId66"/>
    <sheet name="309" sheetId="65" r:id="rId67"/>
    <sheet name="313" sheetId="67" r:id="rId68"/>
    <sheet name="321" sheetId="73" r:id="rId69"/>
    <sheet name="322" sheetId="74" r:id="rId70"/>
    <sheet name="325" sheetId="76" r:id="rId71"/>
    <sheet name="326" sheetId="77" r:id="rId72"/>
    <sheet name="327" sheetId="78" r:id="rId73"/>
    <sheet name="Div 4" sheetId="36" r:id="rId74"/>
    <sheet name="310 &amp; 491" sheetId="39" r:id="rId75"/>
    <sheet name="491" sheetId="42" r:id="rId76"/>
    <sheet name="405" sheetId="79" r:id="rId77"/>
    <sheet name="406" sheetId="80" r:id="rId78"/>
    <sheet name="411" sheetId="81" r:id="rId79"/>
    <sheet name="412" sheetId="82" r:id="rId80"/>
    <sheet name="413" sheetId="83" r:id="rId81"/>
    <sheet name="414" sheetId="84" r:id="rId82"/>
    <sheet name="415" sheetId="85" r:id="rId83"/>
    <sheet name="418" sheetId="86" r:id="rId84"/>
    <sheet name="420" sheetId="87" r:id="rId85"/>
    <sheet name="423" sheetId="88" r:id="rId86"/>
    <sheet name="424" sheetId="89" r:id="rId87"/>
    <sheet name="455" sheetId="96" r:id="rId88"/>
    <sheet name="425" sheetId="90" r:id="rId89"/>
    <sheet name="492" sheetId="45" r:id="rId90"/>
    <sheet name="430" sheetId="91" r:id="rId91"/>
    <sheet name="433" sheetId="92" r:id="rId92"/>
    <sheet name="435" sheetId="93" r:id="rId93"/>
    <sheet name="444" sheetId="94" r:id="rId94"/>
    <sheet name="450" sheetId="95" r:id="rId95"/>
    <sheet name="Div 5" sheetId="48" r:id="rId96"/>
    <sheet name="501" sheetId="97" r:id="rId97"/>
    <sheet name="Dept" sheetId="98" state="hidden" r:id="rId98"/>
    <sheet name="OSR_Dept_Y0WUKY" sheetId="99" state="hidden" r:id="rId99"/>
    <sheet name="OSR_Summary (...56e5d78f_5JEYZH" sheetId="100" state="hidden" r:id="rId100"/>
  </sheets>
  <definedNames>
    <definedName name="OSRRefD13x_0" localSheetId="48">'300'!$D$13:$D$108</definedName>
    <definedName name="OSRRefD13x_0" localSheetId="49">'300 &amp; 317'!$D$13:$D$126</definedName>
    <definedName name="OSRRefD13x_0" localSheetId="53">'307'!$D$13:$D$49</definedName>
    <definedName name="OSRRefD13x_0" localSheetId="55">'308'!$D$13:$D$41</definedName>
    <definedName name="OSRRefD13x_0" localSheetId="66">'309'!$D$13:$D$14</definedName>
    <definedName name="OSRRefD13x_0" localSheetId="65">'310'!$D$13:$D$21</definedName>
    <definedName name="OSRRefD13x_0" localSheetId="74">'310 &amp; 491'!$D$13:$D$28</definedName>
    <definedName name="OSRRefD13x_0" localSheetId="56">'311'!$D$13:$D$40</definedName>
    <definedName name="OSRRefD13x_0" localSheetId="67">'313'!$D$13:$D$18</definedName>
    <definedName name="OSRRefD13x_0" localSheetId="54">'314'!$D$13:$D$33</definedName>
    <definedName name="OSRRefD13x_0" localSheetId="59">'315'!$D$13:$D$50</definedName>
    <definedName name="OSRRefD13x_0" localSheetId="61">'316'!$D$13:$D$29</definedName>
    <definedName name="OSRRefD13x_0" localSheetId="64">'317'!$D$13:$D$37</definedName>
    <definedName name="OSRRefD13x_0" localSheetId="62">'320'!$D$13:$D$15</definedName>
    <definedName name="OSRRefD13x_0" localSheetId="68">'321'!$D$13:$D$14</definedName>
    <definedName name="OSRRefD13x_0" localSheetId="69">'322'!$D$13:$D$14</definedName>
    <definedName name="OSRRefD13x_0" localSheetId="57">'324'!$D$13:$D$15</definedName>
    <definedName name="OSRRefD13x_0" localSheetId="70">'325'!$D$13:$D$14</definedName>
    <definedName name="OSRRefD13x_0" localSheetId="71">'326'!$D$13:$D$38</definedName>
    <definedName name="OSRRefD13x_0" localSheetId="72">'327'!$D$13</definedName>
    <definedName name="OSRRefD13x_0" localSheetId="52">'330'!$D$13:$D$53</definedName>
    <definedName name="OSRRefD13x_0" localSheetId="58">'331'!$D$13:$D$54</definedName>
    <definedName name="OSRRefD13x_0" localSheetId="60">'332'!$D$13:$D$31</definedName>
    <definedName name="OSRRefD13x_0" localSheetId="76">'405'!$D$13:$D$14</definedName>
    <definedName name="OSRRefD13x_0" localSheetId="77">'406'!$D$13:$D$14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4">'420'!$D$13:$D$14</definedName>
    <definedName name="OSRRefD13x_0" localSheetId="86">'424'!$D$13:$D$14</definedName>
    <definedName name="OSRRefD13x_0" localSheetId="88">'425'!$D$13:$D$17</definedName>
    <definedName name="OSRRefD13x_0" localSheetId="91">'433'!$D$13:$D$15</definedName>
    <definedName name="OSRRefD13x_0" localSheetId="92">'435'!$D$13:$D$15</definedName>
    <definedName name="OSRRefD13x_0" localSheetId="93">'444'!$D$13:$D$15</definedName>
    <definedName name="OSRRefD13x_0" localSheetId="94">'450'!$D$13:$D$15</definedName>
    <definedName name="OSRRefD13x_0" localSheetId="75">'491'!$D$13:$D$22</definedName>
    <definedName name="OSRRefD13x_0" localSheetId="89">'492'!$D$13:$D$17</definedName>
    <definedName name="OSRRefD13x_0" localSheetId="96">'501'!$D$13</definedName>
    <definedName name="OSRRefD13x_0" localSheetId="47">'Div 3'!$D$13:$D$111</definedName>
    <definedName name="OSRRefD13x_0" localSheetId="73">'Div 4'!$D$13:$D$22</definedName>
    <definedName name="OSRRefD13x_0" localSheetId="95">'Div 5'!$D$13</definedName>
    <definedName name="OSRRefD13x_0" localSheetId="63">'Div 6'!$D$13:$D$37</definedName>
    <definedName name="OSRRefD13x_0" localSheetId="2">Summary!$D$13:$D$136</definedName>
    <definedName name="OSRRefD16x_0" localSheetId="48">'300'!$D$111:$D$161</definedName>
    <definedName name="OSRRefD16x_0" localSheetId="49">'300 &amp; 317'!$D$129:$D$187</definedName>
    <definedName name="OSRRefD16x_0" localSheetId="53">'307'!$D$52:$D$72</definedName>
    <definedName name="OSRRefD16x_0" localSheetId="55">'308'!$D$44:$D$60</definedName>
    <definedName name="OSRRefD16x_0" localSheetId="66">'309'!$D$17:$D$18</definedName>
    <definedName name="OSRRefD16x_0" localSheetId="65">'310'!$D$24:$D$25</definedName>
    <definedName name="OSRRefD16x_0" localSheetId="74">'310 &amp; 491'!$D$31:$D$32</definedName>
    <definedName name="OSRRefD16x_0" localSheetId="56">'311'!$D$43:$D$59</definedName>
    <definedName name="OSRRefD16x_0" localSheetId="67">'313'!$D$21:$D$22</definedName>
    <definedName name="OSRRefD16x_0" localSheetId="54">'314'!$D$36:$D$50</definedName>
    <definedName name="OSRRefD16x_0" localSheetId="59">'315'!$D$53:$D$77</definedName>
    <definedName name="OSRRefD16x_0" localSheetId="64">'317'!$D$40:$D$55</definedName>
    <definedName name="OSRRefD16x_0" localSheetId="62">'320'!$D$18:$D$22</definedName>
    <definedName name="OSRRefD16x_0" localSheetId="68">'321'!$D$17:$D$18</definedName>
    <definedName name="OSRRefD16x_0" localSheetId="69">'322'!$D$17:$D$18</definedName>
    <definedName name="OSRRefD16x_0" localSheetId="57">'324'!$D$18:$D$19</definedName>
    <definedName name="OSRRefD16x_0" localSheetId="70">'325'!$D$17:$D$18</definedName>
    <definedName name="OSRRefD16x_0" localSheetId="71">'326'!$D$41:$D$57</definedName>
    <definedName name="OSRRefD16x_0" localSheetId="72">'327'!$D$16</definedName>
    <definedName name="OSRRefD16x_0" localSheetId="52">'330'!$D$56:$D$79</definedName>
    <definedName name="OSRRefD16x_0" localSheetId="58">'331'!$D$57:$D$86</definedName>
    <definedName name="OSRRefD16x_0" localSheetId="60">'332'!$D$34:$D$38</definedName>
    <definedName name="OSRRefD16x_0" localSheetId="76">'405'!$D$17:$D$18</definedName>
    <definedName name="OSRRefD16x_0" localSheetId="77">'406'!$D$17:$D$18</definedName>
    <definedName name="OSRRefD16x_0" localSheetId="79">'412'!$D$17:$D$18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4">'420'!$D$17:$D$18</definedName>
    <definedName name="OSRRefD16x_0" localSheetId="85">'423'!$D$15</definedName>
    <definedName name="OSRRefD16x_0" localSheetId="86">'424'!$D$17:$D$18</definedName>
    <definedName name="OSRRefD16x_0" localSheetId="88">'425'!$D$20:$D$21</definedName>
    <definedName name="OSRRefD16x_0" localSheetId="91">'433'!$D$18:$D$19</definedName>
    <definedName name="OSRRefD16x_0" localSheetId="92">'435'!$D$18:$D$19</definedName>
    <definedName name="OSRRefD16x_0" localSheetId="93">'444'!$D$18:$D$19</definedName>
    <definedName name="OSRRefD16x_0" localSheetId="94">'450'!$D$18:$D$19</definedName>
    <definedName name="OSRRefD16x_0" localSheetId="75">'491'!$D$25:$D$26</definedName>
    <definedName name="OSRRefD16x_0" localSheetId="89">'492'!$D$20:$D$21</definedName>
    <definedName name="OSRRefD16x_0" localSheetId="47">'Div 3'!$D$114:$D$166</definedName>
    <definedName name="OSRRefD16x_0" localSheetId="73">'Div 4'!$D$25:$D$26</definedName>
    <definedName name="OSRRefD16x_0" localSheetId="63">'Div 6'!$D$40:$D$55</definedName>
    <definedName name="OSRRefD16x_0" localSheetId="2">Summary!$D$139:$D$199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8">'300'!$D$167:$D$176</definedName>
    <definedName name="OSRRefD22_0x_0" localSheetId="49">'300 &amp; 317'!$D$193:$D$202</definedName>
    <definedName name="OSRRefD22_0x_0" localSheetId="50">'301'!$D$20:$D$29</definedName>
    <definedName name="OSRRefD22_0x_0" localSheetId="51">'306'!$D$20:$D$28</definedName>
    <definedName name="OSRRefD22_0x_0" localSheetId="53">'307'!$D$78:$D$85</definedName>
    <definedName name="OSRRefD22_0x_0" localSheetId="55">'308'!$D$66:$D$74</definedName>
    <definedName name="OSRRefD22_0x_0" localSheetId="66">'309'!$D$24:$D$31</definedName>
    <definedName name="OSRRefD22_0x_0" localSheetId="65">'310'!$D$31:$D$38</definedName>
    <definedName name="OSRRefD22_0x_0" localSheetId="74">'310 &amp; 491'!$D$38:$D$46</definedName>
    <definedName name="OSRRefD22_0x_0" localSheetId="56">'311'!$D$65:$D$73</definedName>
    <definedName name="OSRRefD22_0x_0" localSheetId="67">'313'!$D$28:$D$35</definedName>
    <definedName name="OSRRefD22_0x_0" localSheetId="54">'314'!$D$56:$D$64</definedName>
    <definedName name="OSRRefD22_0x_0" localSheetId="59">'315'!$D$83:$D$90</definedName>
    <definedName name="OSRRefD22_0x_0" localSheetId="61">'316'!$D$37:$D$44</definedName>
    <definedName name="OSRRefD22_0x_0" localSheetId="64">'317'!$D$61:$D$69</definedName>
    <definedName name="OSRRefD22_0x_0" localSheetId="62">'320'!$D$28:$D$34</definedName>
    <definedName name="OSRRefD22_0x_0" localSheetId="68">'321'!$D$24:$D$31</definedName>
    <definedName name="OSRRefD22_0x_0" localSheetId="69">'322'!$D$24:$D$31</definedName>
    <definedName name="OSRRefD22_0x_0" localSheetId="70">'325'!$D$24:$D$31</definedName>
    <definedName name="OSRRefD22_0x_0" localSheetId="71">'326'!$D$63:$D$70</definedName>
    <definedName name="OSRRefD22_0x_0" localSheetId="72">'327'!$D$22</definedName>
    <definedName name="OSRRefD22_0x_0" localSheetId="52">'330'!$D$85:$D$93</definedName>
    <definedName name="OSRRefD22_0x_0" localSheetId="58">'331'!$D$92:$D$99</definedName>
    <definedName name="OSRRefD22_0x_0" localSheetId="60">'332'!$D$44:$D$51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'412'!$D$24:$D$31</definedName>
    <definedName name="OSRRefD22_0x_0" localSheetId="80">'413'!$D$24:$D$31</definedName>
    <definedName name="OSRRefD22_0x_0" localSheetId="81">'414'!$D$24:$D$31</definedName>
    <definedName name="OSRRefD22_0x_0" localSheetId="82">'415'!$D$24:$D$31</definedName>
    <definedName name="OSRRefD22_0x_0" localSheetId="83">'418'!$D$24:$D$31</definedName>
    <definedName name="OSRRefD22_0x_0" localSheetId="84">'420'!$D$24:$D$31</definedName>
    <definedName name="OSRRefD22_0x_0" localSheetId="85">'423'!$D$21:$D$28</definedName>
    <definedName name="OSRRefD22_0x_0" localSheetId="86">'424'!$D$24:$D$25</definedName>
    <definedName name="OSRRefD22_0x_0" localSheetId="88">'425'!$D$27:$D$35</definedName>
    <definedName name="OSRRefD22_0x_0" localSheetId="90">'430'!$D$20:$D$27</definedName>
    <definedName name="OSRRefD22_0x_0" localSheetId="91">'433'!$D$25:$D$33</definedName>
    <definedName name="OSRRefD22_0x_0" localSheetId="92">'435'!$D$25:$D$27</definedName>
    <definedName name="OSRRefD22_0x_0" localSheetId="93">'444'!$D$25:$D$33</definedName>
    <definedName name="OSRRefD22_0x_0" localSheetId="94">'450'!$D$25:$D$33</definedName>
    <definedName name="OSRRefD22_0x_0" localSheetId="87">'455'!$D$20:$D$26</definedName>
    <definedName name="OSRRefD22_0x_0" localSheetId="75">'491'!$D$32:$D$40</definedName>
    <definedName name="OSRRefD22_0x_0" localSheetId="89">'492'!$D$27:$D$35</definedName>
    <definedName name="OSRRefD22_0x_0" localSheetId="96">'501'!$D$21:$D$29</definedName>
    <definedName name="OSRRefD22_0x_0" localSheetId="39">'Div 2'!$D$20:$D$30</definedName>
    <definedName name="OSRRefD22_0x_0" localSheetId="47">'Div 3'!$D$172:$D$181</definedName>
    <definedName name="OSRRefD22_0x_0" localSheetId="73">'Div 4'!$D$32:$D$40</definedName>
    <definedName name="OSRRefD22_0x_0" localSheetId="95">'Div 5'!$D$21:$D$29</definedName>
    <definedName name="OSRRefD22_0x_0" localSheetId="63">'Div 6'!$D$61:$D$69</definedName>
    <definedName name="OSRRefD22_0x_0" localSheetId="2">Summary!$D$205:$D$214</definedName>
    <definedName name="OSRRefD22_10x_0" localSheetId="41">'201'!$D$51:$D$53</definedName>
    <definedName name="OSRRefD22_10x_0" localSheetId="42">'202'!$D$53</definedName>
    <definedName name="OSRRefD22_10x_0" localSheetId="43">'203'!$D$55:$D$56</definedName>
    <definedName name="OSRRefD22_10x_0" localSheetId="44">'204'!$D$56:$D$57</definedName>
    <definedName name="OSRRefD22_10x_0" localSheetId="48">'300'!$D$206:$D$207</definedName>
    <definedName name="OSRRefD22_10x_0" localSheetId="49">'300 &amp; 317'!$D$232:$D$233</definedName>
    <definedName name="OSRRefD22_10x_0" localSheetId="50">'301'!$D$59</definedName>
    <definedName name="OSRRefD22_10x_0" localSheetId="53">'307'!$D$114</definedName>
    <definedName name="OSRRefD22_10x_0" localSheetId="55">'308'!$D$104:$D$105</definedName>
    <definedName name="OSRRefD22_10x_0" localSheetId="66">'309'!$D$56:$D$58</definedName>
    <definedName name="OSRRefD22_10x_0" localSheetId="65">'310'!$D$64</definedName>
    <definedName name="OSRRefD22_10x_0" localSheetId="74">'310 &amp; 491'!$D$74:$D$75</definedName>
    <definedName name="OSRRefD22_10x_0" localSheetId="56">'311'!$D$103:$D$104</definedName>
    <definedName name="OSRRefD22_10x_0" localSheetId="67">'313'!$D$61:$D$66</definedName>
    <definedName name="OSRRefD22_10x_0" localSheetId="59">'315'!$D$120:$D$124</definedName>
    <definedName name="OSRRefD22_10x_0" localSheetId="61">'316'!$D$70:$D$75</definedName>
    <definedName name="OSRRefD22_10x_0" localSheetId="64">'317'!$D$95:$D$99</definedName>
    <definedName name="OSRRefD22_10x_0" localSheetId="68">'321'!$D$59:$D$63</definedName>
    <definedName name="OSRRefD22_10x_0" localSheetId="69">'322'!$D$58:$D$64</definedName>
    <definedName name="OSRRefD22_10x_0" localSheetId="70">'325'!$D$56</definedName>
    <definedName name="OSRRefD22_10x_0" localSheetId="71">'326'!$D$96</definedName>
    <definedName name="OSRRefD22_10x_0" localSheetId="52">'330'!$D$120</definedName>
    <definedName name="OSRRefD22_10x_0" localSheetId="58">'331'!$D$126:$D$127</definedName>
    <definedName name="OSRRefD22_10x_0" localSheetId="60">'332'!$D$78</definedName>
    <definedName name="OSRRefD22_10x_0" localSheetId="76">'405'!$D$55:$D$56</definedName>
    <definedName name="OSRRefD22_10x_0" localSheetId="77">'406'!$D$58:$D$59</definedName>
    <definedName name="OSRRefD22_10x_0" localSheetId="78">'411'!$D$55</definedName>
    <definedName name="OSRRefD22_10x_0" localSheetId="79">'412'!$D$58:$D$60</definedName>
    <definedName name="OSRRefD22_10x_0" localSheetId="80">'413'!$D$64</definedName>
    <definedName name="OSRRefD22_10x_0" localSheetId="81">'414'!$D$57</definedName>
    <definedName name="OSRRefD22_10x_0" localSheetId="82">'415'!$D$57</definedName>
    <definedName name="OSRRefD22_10x_0" localSheetId="83">'418'!$D$57:$D$58</definedName>
    <definedName name="OSRRefD22_10x_0" localSheetId="86">'424'!$D$50</definedName>
    <definedName name="OSRRefD22_10x_0" localSheetId="88">'425'!$D$62</definedName>
    <definedName name="OSRRefD22_10x_0" localSheetId="91">'433'!$D$58</definedName>
    <definedName name="OSRRefD22_10x_0" localSheetId="93">'444'!$D$58</definedName>
    <definedName name="OSRRefD22_10x_0" localSheetId="94">'450'!$D$58</definedName>
    <definedName name="OSRRefD22_10x_0" localSheetId="75">'491'!$D$68</definedName>
    <definedName name="OSRRefD22_10x_0" localSheetId="89">'492'!$D$61</definedName>
    <definedName name="OSRRefD22_10x_0" localSheetId="96">'501'!$D$56</definedName>
    <definedName name="OSRRefD22_10x_0" localSheetId="39">'Div 2'!$D$57</definedName>
    <definedName name="OSRRefD22_10x_0" localSheetId="47">'Div 3'!$D$211:$D$212</definedName>
    <definedName name="OSRRefD22_10x_0" localSheetId="73">'Div 4'!$D$68</definedName>
    <definedName name="OSRRefD22_10x_0" localSheetId="95">'Div 5'!$D$56</definedName>
    <definedName name="OSRRefD22_10x_0" localSheetId="63">'Div 6'!$D$95:$D$99</definedName>
    <definedName name="OSRRefD22_10x_0" localSheetId="2">Summary!$D$245:$D$246</definedName>
    <definedName name="OSRRefD22_11x_0" localSheetId="41">'201'!$D$55</definedName>
    <definedName name="OSRRefD22_11x_0" localSheetId="42">'202'!$D$55</definedName>
    <definedName name="OSRRefD22_11x_0" localSheetId="43">'203'!$D$58</definedName>
    <definedName name="OSRRefD22_11x_0" localSheetId="48">'300'!$D$209</definedName>
    <definedName name="OSRRefD22_11x_0" localSheetId="49">'300 &amp; 317'!$D$235</definedName>
    <definedName name="OSRRefD22_11x_0" localSheetId="50">'301'!$D$61</definedName>
    <definedName name="OSRRefD22_11x_0" localSheetId="53">'307'!$D$116</definedName>
    <definedName name="OSRRefD22_11x_0" localSheetId="55">'308'!$D$107:$D$109</definedName>
    <definedName name="OSRRefD22_11x_0" localSheetId="66">'309'!$D$60:$D$62</definedName>
    <definedName name="OSRRefD22_11x_0" localSheetId="65">'310'!$D$66</definedName>
    <definedName name="OSRRefD22_11x_0" localSheetId="74">'310 &amp; 491'!$D$77:$D$78</definedName>
    <definedName name="OSRRefD22_11x_0" localSheetId="56">'311'!$D$106:$D$108</definedName>
    <definedName name="OSRRefD22_11x_0" localSheetId="67">'313'!$D$68</definedName>
    <definedName name="OSRRefD22_11x_0" localSheetId="59">'315'!$D$126</definedName>
    <definedName name="OSRRefD22_11x_0" localSheetId="61">'316'!$D$77</definedName>
    <definedName name="OSRRefD22_11x_0" localSheetId="64">'317'!$D$101</definedName>
    <definedName name="OSRRefD22_11x_0" localSheetId="68">'321'!$D$65</definedName>
    <definedName name="OSRRefD22_11x_0" localSheetId="69">'322'!$D$66</definedName>
    <definedName name="OSRRefD22_11x_0" localSheetId="70">'325'!$D$58:$D$60</definedName>
    <definedName name="OSRRefD22_11x_0" localSheetId="71">'326'!$D$98</definedName>
    <definedName name="OSRRefD22_11x_0" localSheetId="52">'330'!$D$122:$D$125</definedName>
    <definedName name="OSRRefD22_11x_0" localSheetId="58">'331'!$D$129</definedName>
    <definedName name="OSRRefD22_11x_0" localSheetId="60">'332'!$D$80:$D$85</definedName>
    <definedName name="OSRRefD22_11x_0" localSheetId="76">'405'!$D$58</definedName>
    <definedName name="OSRRefD22_11x_0" localSheetId="77">'406'!$D$61:$D$66</definedName>
    <definedName name="OSRRefD22_11x_0" localSheetId="78">'411'!$D$57</definedName>
    <definedName name="OSRRefD22_11x_0" localSheetId="79">'412'!$D$62:$D$67</definedName>
    <definedName name="OSRRefD22_11x_0" localSheetId="80">'413'!$D$66</definedName>
    <definedName name="OSRRefD22_11x_0" localSheetId="81">'414'!$D$59</definedName>
    <definedName name="OSRRefD22_11x_0" localSheetId="82">'415'!$D$59:$D$62</definedName>
    <definedName name="OSRRefD22_11x_0" localSheetId="83">'418'!$D$60:$D$62</definedName>
    <definedName name="OSRRefD22_11x_0" localSheetId="86">'424'!$D$52:$D$56</definedName>
    <definedName name="OSRRefD22_11x_0" localSheetId="88">'425'!$D$64:$D$66</definedName>
    <definedName name="OSRRefD22_11x_0" localSheetId="91">'433'!$D$60:$D$62</definedName>
    <definedName name="OSRRefD22_11x_0" localSheetId="93">'444'!$D$60:$D$62</definedName>
    <definedName name="OSRRefD22_11x_0" localSheetId="94">'450'!$D$60</definedName>
    <definedName name="OSRRefD22_11x_0" localSheetId="75">'491'!$D$70:$D$71</definedName>
    <definedName name="OSRRefD22_11x_0" localSheetId="89">'492'!$D$63</definedName>
    <definedName name="OSRRefD22_11x_0" localSheetId="96">'501'!$D$58:$D$60</definedName>
    <definedName name="OSRRefD22_11x_0" localSheetId="39">'Div 2'!$D$59</definedName>
    <definedName name="OSRRefD22_11x_0" localSheetId="47">'Div 3'!$D$214</definedName>
    <definedName name="OSRRefD22_11x_0" localSheetId="73">'Div 4'!$D$70:$D$71</definedName>
    <definedName name="OSRRefD22_11x_0" localSheetId="95">'Div 5'!$D$58:$D$60</definedName>
    <definedName name="OSRRefD22_11x_0" localSheetId="63">'Div 6'!$D$101</definedName>
    <definedName name="OSRRefD22_11x_0" localSheetId="2">Summary!$D$248:$D$249</definedName>
    <definedName name="OSRRefD22_12x_0" localSheetId="41">'201'!$D$57:$D$60</definedName>
    <definedName name="OSRRefD22_12x_0" localSheetId="42">'202'!$D$57:$D$59</definedName>
    <definedName name="OSRRefD22_12x_0" localSheetId="43">'203'!$D$60:$D$63</definedName>
    <definedName name="OSRRefD22_12x_0" localSheetId="48">'300'!$D$211</definedName>
    <definedName name="OSRRefD22_12x_0" localSheetId="49">'300 &amp; 317'!$D$237</definedName>
    <definedName name="OSRRefD22_12x_0" localSheetId="50">'301'!$D$63</definedName>
    <definedName name="OSRRefD22_12x_0" localSheetId="55">'308'!$D$111:$D$112</definedName>
    <definedName name="OSRRefD22_12x_0" localSheetId="66">'309'!$D$64</definedName>
    <definedName name="OSRRefD22_12x_0" localSheetId="65">'310'!$D$68</definedName>
    <definedName name="OSRRefD22_12x_0" localSheetId="74">'310 &amp; 491'!$D$80</definedName>
    <definedName name="OSRRefD22_12x_0" localSheetId="56">'311'!$D$110:$D$111</definedName>
    <definedName name="OSRRefD22_12x_0" localSheetId="67">'313'!$D$70</definedName>
    <definedName name="OSRRefD22_12x_0" localSheetId="59">'315'!$D$128</definedName>
    <definedName name="OSRRefD22_12x_0" localSheetId="61">'316'!$D$79</definedName>
    <definedName name="OSRRefD22_12x_0" localSheetId="64">'317'!$D$103</definedName>
    <definedName name="OSRRefD22_12x_0" localSheetId="68">'321'!$D$67</definedName>
    <definedName name="OSRRefD22_12x_0" localSheetId="69">'322'!$D$68</definedName>
    <definedName name="OSRRefD22_12x_0" localSheetId="70">'325'!$D$62:$D$64</definedName>
    <definedName name="OSRRefD22_12x_0" localSheetId="71">'326'!$D$100:$D$102</definedName>
    <definedName name="OSRRefD22_12x_0" localSheetId="52">'330'!$D$127</definedName>
    <definedName name="OSRRefD22_12x_0" localSheetId="58">'331'!$D$131</definedName>
    <definedName name="OSRRefD22_12x_0" localSheetId="60">'332'!$D$87</definedName>
    <definedName name="OSRRefD22_12x_0" localSheetId="76">'405'!$D$60:$D$62</definedName>
    <definedName name="OSRRefD22_12x_0" localSheetId="77">'406'!$D$68</definedName>
    <definedName name="OSRRefD22_12x_0" localSheetId="78">'411'!$D$59:$D$62</definedName>
    <definedName name="OSRRefD22_12x_0" localSheetId="79">'412'!$D$69</definedName>
    <definedName name="OSRRefD22_12x_0" localSheetId="81">'414'!$D$61</definedName>
    <definedName name="OSRRefD22_12x_0" localSheetId="82">'415'!$D$64:$D$68</definedName>
    <definedName name="OSRRefD22_12x_0" localSheetId="83">'418'!$D$64:$D$66</definedName>
    <definedName name="OSRRefD22_12x_0" localSheetId="86">'424'!$D$58</definedName>
    <definedName name="OSRRefD22_12x_0" localSheetId="88">'425'!$D$68:$D$74</definedName>
    <definedName name="OSRRefD22_12x_0" localSheetId="91">'433'!$D$64:$D$66</definedName>
    <definedName name="OSRRefD22_12x_0" localSheetId="93">'444'!$D$64:$D$67</definedName>
    <definedName name="OSRRefD22_12x_0" localSheetId="94">'450'!$D$62:$D$63</definedName>
    <definedName name="OSRRefD22_12x_0" localSheetId="75">'491'!$D$73</definedName>
    <definedName name="OSRRefD22_12x_0" localSheetId="89">'492'!$D$65:$D$67</definedName>
    <definedName name="OSRRefD22_12x_0" localSheetId="96">'501'!$D$62</definedName>
    <definedName name="OSRRefD22_12x_0" localSheetId="39">'Div 2'!$D$61:$D$64</definedName>
    <definedName name="OSRRefD22_12x_0" localSheetId="47">'Div 3'!$D$216</definedName>
    <definedName name="OSRRefD22_12x_0" localSheetId="73">'Div 4'!$D$73</definedName>
    <definedName name="OSRRefD22_12x_0" localSheetId="95">'Div 5'!$D$62</definedName>
    <definedName name="OSRRefD22_12x_0" localSheetId="63">'Div 6'!$D$103</definedName>
    <definedName name="OSRRefD22_12x_0" localSheetId="2">Summary!$D$251</definedName>
    <definedName name="OSRRefD22_13x_0" localSheetId="41">'201'!$D$62</definedName>
    <definedName name="OSRRefD22_13x_0" localSheetId="42">'202'!$D$61</definedName>
    <definedName name="OSRRefD22_13x_0" localSheetId="43">'203'!$D$65</definedName>
    <definedName name="OSRRefD22_13x_0" localSheetId="48">'300'!$D$213:$D$215</definedName>
    <definedName name="OSRRefD22_13x_0" localSheetId="49">'300 &amp; 317'!$D$239:$D$241</definedName>
    <definedName name="OSRRefD22_13x_0" localSheetId="50">'301'!$D$65</definedName>
    <definedName name="OSRRefD22_13x_0" localSheetId="55">'308'!$D$114</definedName>
    <definedName name="OSRRefD22_13x_0" localSheetId="65">'310'!$D$70</definedName>
    <definedName name="OSRRefD22_13x_0" localSheetId="74">'310 &amp; 491'!$D$82</definedName>
    <definedName name="OSRRefD22_13x_0" localSheetId="56">'311'!$D$113</definedName>
    <definedName name="OSRRefD22_13x_0" localSheetId="59">'315'!$D$130:$D$131</definedName>
    <definedName name="OSRRefD22_13x_0" localSheetId="61">'316'!$D$81</definedName>
    <definedName name="OSRRefD22_13x_0" localSheetId="64">'317'!$D$105</definedName>
    <definedName name="OSRRefD22_13x_0" localSheetId="70">'325'!$D$66</definedName>
    <definedName name="OSRRefD22_13x_0" localSheetId="71">'326'!$D$104:$D$106</definedName>
    <definedName name="OSRRefD22_13x_0" localSheetId="52">'330'!$D$129</definedName>
    <definedName name="OSRRefD22_13x_0" localSheetId="58">'331'!$D$133:$D$135</definedName>
    <definedName name="OSRRefD22_13x_0" localSheetId="60">'332'!$D$89</definedName>
    <definedName name="OSRRefD22_13x_0" localSheetId="76">'405'!$D$64:$D$65</definedName>
    <definedName name="OSRRefD22_13x_0" localSheetId="77">'406'!$D$70</definedName>
    <definedName name="OSRRefD22_13x_0" localSheetId="78">'411'!$D$64:$D$68</definedName>
    <definedName name="OSRRefD22_13x_0" localSheetId="79">'412'!$D$71</definedName>
    <definedName name="OSRRefD22_13x_0" localSheetId="81">'414'!$D$63:$D$69</definedName>
    <definedName name="OSRRefD22_13x_0" localSheetId="82">'415'!$D$70:$D$71</definedName>
    <definedName name="OSRRefD22_13x_0" localSheetId="83">'418'!$D$68:$D$69</definedName>
    <definedName name="OSRRefD22_13x_0" localSheetId="88">'425'!$D$76</definedName>
    <definedName name="OSRRefD22_13x_0" localSheetId="91">'433'!$D$68:$D$75</definedName>
    <definedName name="OSRRefD22_13x_0" localSheetId="93">'444'!$D$69</definedName>
    <definedName name="OSRRefD22_13x_0" localSheetId="94">'450'!$D$65:$D$67</definedName>
    <definedName name="OSRRefD22_13x_0" localSheetId="75">'491'!$D$75</definedName>
    <definedName name="OSRRefD22_13x_0" localSheetId="89">'492'!$D$69:$D$72</definedName>
    <definedName name="OSRRefD22_13x_0" localSheetId="96">'501'!$D$64</definedName>
    <definedName name="OSRRefD22_13x_0" localSheetId="39">'Div 2'!$D$66:$D$68</definedName>
    <definedName name="OSRRefD22_13x_0" localSheetId="47">'Div 3'!$D$218</definedName>
    <definedName name="OSRRefD22_13x_0" localSheetId="73">'Div 4'!$D$75</definedName>
    <definedName name="OSRRefD22_13x_0" localSheetId="95">'Div 5'!$D$64</definedName>
    <definedName name="OSRRefD22_13x_0" localSheetId="63">'Div 6'!$D$105</definedName>
    <definedName name="OSRRefD22_13x_0" localSheetId="2">Summary!$D$253</definedName>
    <definedName name="OSRRefD22_14x_0" localSheetId="41">'201'!$D$64</definedName>
    <definedName name="OSRRefD22_14x_0" localSheetId="42">'202'!$D$63</definedName>
    <definedName name="OSRRefD22_14x_0" localSheetId="43">'203'!$D$67</definedName>
    <definedName name="OSRRefD22_14x_0" localSheetId="48">'300'!$D$217</definedName>
    <definedName name="OSRRefD22_14x_0" localSheetId="49">'300 &amp; 317'!$D$243</definedName>
    <definedName name="OSRRefD22_14x_0" localSheetId="50">'301'!$D$67</definedName>
    <definedName name="OSRRefD22_14x_0" localSheetId="55">'308'!$D$116</definedName>
    <definedName name="OSRRefD22_14x_0" localSheetId="65">'310'!$D$72:$D$74</definedName>
    <definedName name="OSRRefD22_14x_0" localSheetId="74">'310 &amp; 491'!$D$84</definedName>
    <definedName name="OSRRefD22_14x_0" localSheetId="56">'311'!$D$115</definedName>
    <definedName name="OSRRefD22_14x_0" localSheetId="70">'325'!$D$68:$D$72</definedName>
    <definedName name="OSRRefD22_14x_0" localSheetId="71">'326'!$D$108:$D$109</definedName>
    <definedName name="OSRRefD22_14x_0" localSheetId="52">'330'!$D$131</definedName>
    <definedName name="OSRRefD22_14x_0" localSheetId="58">'331'!$D$137:$D$138</definedName>
    <definedName name="OSRRefD22_14x_0" localSheetId="60">'332'!$D$91</definedName>
    <definedName name="OSRRefD22_14x_0" localSheetId="76">'405'!$D$67:$D$73</definedName>
    <definedName name="OSRRefD22_14x_0" localSheetId="77">'406'!$D$72</definedName>
    <definedName name="OSRRefD22_14x_0" localSheetId="78">'411'!$D$70:$D$71</definedName>
    <definedName name="OSRRefD22_14x_0" localSheetId="81">'414'!$D$71</definedName>
    <definedName name="OSRRefD22_14x_0" localSheetId="82">'415'!$D$73:$D$81</definedName>
    <definedName name="OSRRefD22_14x_0" localSheetId="83">'418'!$D$71:$D$78</definedName>
    <definedName name="OSRRefD22_14x_0" localSheetId="88">'425'!$D$78</definedName>
    <definedName name="OSRRefD22_14x_0" localSheetId="91">'433'!$D$77</definedName>
    <definedName name="OSRRefD22_14x_0" localSheetId="93">'444'!$D$71:$D$79</definedName>
    <definedName name="OSRRefD22_14x_0" localSheetId="94">'450'!$D$69:$D$74</definedName>
    <definedName name="OSRRefD22_14x_0" localSheetId="75">'491'!$D$77</definedName>
    <definedName name="OSRRefD22_14x_0" localSheetId="89">'492'!$D$74</definedName>
    <definedName name="OSRRefD22_14x_0" localSheetId="39">'Div 2'!$D$70:$D$71</definedName>
    <definedName name="OSRRefD22_14x_0" localSheetId="47">'Div 3'!$D$220:$D$222</definedName>
    <definedName name="OSRRefD22_14x_0" localSheetId="73">'Div 4'!$D$77</definedName>
    <definedName name="OSRRefD22_14x_0" localSheetId="2">Summary!$D$255:$D$257</definedName>
    <definedName name="OSRRefD22_15x_0" localSheetId="41">'201'!$D$66</definedName>
    <definedName name="OSRRefD22_15x_0" localSheetId="42">'202'!$D$65</definedName>
    <definedName name="OSRRefD22_15x_0" localSheetId="43">'203'!$D$69</definedName>
    <definedName name="OSRRefD22_15x_0" localSheetId="48">'300'!$D$219</definedName>
    <definedName name="OSRRefD22_15x_0" localSheetId="49">'300 &amp; 317'!$D$245</definedName>
    <definedName name="OSRRefD22_15x_0" localSheetId="50">'301'!$D$69:$D$72</definedName>
    <definedName name="OSRRefD22_15x_0" localSheetId="65">'310'!$D$76</definedName>
    <definedName name="OSRRefD22_15x_0" localSheetId="74">'310 &amp; 491'!$D$86</definedName>
    <definedName name="OSRRefD22_15x_0" localSheetId="70">'325'!$D$74</definedName>
    <definedName name="OSRRefD22_15x_0" localSheetId="71">'326'!$D$111:$D$116</definedName>
    <definedName name="OSRRefD22_15x_0" localSheetId="58">'331'!$D$140:$D$142</definedName>
    <definedName name="OSRRefD22_15x_0" localSheetId="76">'405'!$D$75</definedName>
    <definedName name="OSRRefD22_15x_0" localSheetId="78">'411'!$D$73:$D$81</definedName>
    <definedName name="OSRRefD22_15x_0" localSheetId="81">'414'!$D$73</definedName>
    <definedName name="OSRRefD22_15x_0" localSheetId="82">'415'!$D$83</definedName>
    <definedName name="OSRRefD22_15x_0" localSheetId="83">'418'!$D$80</definedName>
    <definedName name="OSRRefD22_15x_0" localSheetId="91">'433'!$D$79</definedName>
    <definedName name="OSRRefD22_15x_0" localSheetId="93">'444'!$D$81</definedName>
    <definedName name="OSRRefD22_15x_0" localSheetId="94">'450'!$D$76</definedName>
    <definedName name="OSRRefD22_15x_0" localSheetId="75">'491'!$D$79</definedName>
    <definedName name="OSRRefD22_15x_0" localSheetId="89">'492'!$D$76:$D$84</definedName>
    <definedName name="OSRRefD22_15x_0" localSheetId="39">'Div 2'!$D$73</definedName>
    <definedName name="OSRRefD22_15x_0" localSheetId="47">'Div 3'!$D$224</definedName>
    <definedName name="OSRRefD22_15x_0" localSheetId="73">'Div 4'!$D$79</definedName>
    <definedName name="OSRRefD22_15x_0" localSheetId="2">Summary!$D$259</definedName>
    <definedName name="OSRRefD22_16x_0" localSheetId="48">'300'!$D$221:$D$224</definedName>
    <definedName name="OSRRefD22_16x_0" localSheetId="49">'300 &amp; 317'!$D$247:$D$250</definedName>
    <definedName name="OSRRefD22_16x_0" localSheetId="50">'301'!$D$74:$D$76</definedName>
    <definedName name="OSRRefD22_16x_0" localSheetId="65">'310'!$D$78:$D$81</definedName>
    <definedName name="OSRRefD22_16x_0" localSheetId="74">'310 &amp; 491'!$D$88:$D$91</definedName>
    <definedName name="OSRRefD22_16x_0" localSheetId="70">'325'!$D$76</definedName>
    <definedName name="OSRRefD22_16x_0" localSheetId="71">'326'!$D$118</definedName>
    <definedName name="OSRRefD22_16x_0" localSheetId="58">'331'!$D$144:$D$145</definedName>
    <definedName name="OSRRefD22_16x_0" localSheetId="76">'405'!$D$77</definedName>
    <definedName name="OSRRefD22_16x_0" localSheetId="78">'411'!$D$83</definedName>
    <definedName name="OSRRefD22_16x_0" localSheetId="82">'415'!$D$85</definedName>
    <definedName name="OSRRefD22_16x_0" localSheetId="83">'418'!$D$82</definedName>
    <definedName name="OSRRefD22_16x_0" localSheetId="91">'433'!$D$81</definedName>
    <definedName name="OSRRefD22_16x_0" localSheetId="93">'444'!$D$83</definedName>
    <definedName name="OSRRefD22_16x_0" localSheetId="94">'450'!$D$78</definedName>
    <definedName name="OSRRefD22_16x_0" localSheetId="75">'491'!$D$81:$D$84</definedName>
    <definedName name="OSRRefD22_16x_0" localSheetId="89">'492'!$D$86</definedName>
    <definedName name="OSRRefD22_16x_0" localSheetId="39">'Div 2'!$D$75:$D$79</definedName>
    <definedName name="OSRRefD22_16x_0" localSheetId="47">'Div 3'!$D$226</definedName>
    <definedName name="OSRRefD22_16x_0" localSheetId="73">'Div 4'!$D$81</definedName>
    <definedName name="OSRRefD22_16x_0" localSheetId="2">Summary!$D$261</definedName>
    <definedName name="OSRRefD22_17x_0" localSheetId="48">'300'!$D$226:$D$228</definedName>
    <definedName name="OSRRefD22_17x_0" localSheetId="49">'300 &amp; 317'!$D$252:$D$254</definedName>
    <definedName name="OSRRefD22_17x_0" localSheetId="50">'301'!$D$78:$D$79</definedName>
    <definedName name="OSRRefD22_17x_0" localSheetId="65">'310'!$D$83</definedName>
    <definedName name="OSRRefD22_17x_0" localSheetId="74">'310 &amp; 491'!$D$93:$D$94</definedName>
    <definedName name="OSRRefD22_17x_0" localSheetId="70">'325'!$D$78</definedName>
    <definedName name="OSRRefD22_17x_0" localSheetId="71">'326'!$D$120</definedName>
    <definedName name="OSRRefD22_17x_0" localSheetId="58">'331'!$D$147:$D$152</definedName>
    <definedName name="OSRRefD22_17x_0" localSheetId="76">'405'!$D$79</definedName>
    <definedName name="OSRRefD22_17x_0" localSheetId="78">'411'!$D$85</definedName>
    <definedName name="OSRRefD22_17x_0" localSheetId="82">'415'!$D$87</definedName>
    <definedName name="OSRRefD22_17x_0" localSheetId="93">'444'!$D$85</definedName>
    <definedName name="OSRRefD22_17x_0" localSheetId="94">'450'!$D$80</definedName>
    <definedName name="OSRRefD22_17x_0" localSheetId="75">'491'!$D$86:$D$87</definedName>
    <definedName name="OSRRefD22_17x_0" localSheetId="89">'492'!$D$88</definedName>
    <definedName name="OSRRefD22_17x_0" localSheetId="39">'Div 2'!$D$81:$D$82</definedName>
    <definedName name="OSRRefD22_17x_0" localSheetId="47">'Div 3'!$D$228:$D$231</definedName>
    <definedName name="OSRRefD22_17x_0" localSheetId="73">'Div 4'!$D$83:$D$86</definedName>
    <definedName name="OSRRefD22_17x_0" localSheetId="2">Summary!$D$263</definedName>
    <definedName name="OSRRefD22_18x_0" localSheetId="48">'300'!$D$230:$D$233</definedName>
    <definedName name="OSRRefD22_18x_0" localSheetId="49">'300 &amp; 317'!$D$256:$D$259</definedName>
    <definedName name="OSRRefD22_18x_0" localSheetId="50">'301'!$D$81:$D$86</definedName>
    <definedName name="OSRRefD22_18x_0" localSheetId="65">'310'!$D$85:$D$93</definedName>
    <definedName name="OSRRefD22_18x_0" localSheetId="74">'310 &amp; 491'!$D$96:$D$100</definedName>
    <definedName name="OSRRefD22_18x_0" localSheetId="71">'326'!$D$122</definedName>
    <definedName name="OSRRefD22_18x_0" localSheetId="58">'331'!$D$154</definedName>
    <definedName name="OSRRefD22_18x_0" localSheetId="78">'411'!$D$87:$D$89</definedName>
    <definedName name="OSRRefD22_18x_0" localSheetId="75">'491'!$D$89:$D$93</definedName>
    <definedName name="OSRRefD22_18x_0" localSheetId="89">'492'!$D$90</definedName>
    <definedName name="OSRRefD22_18x_0" localSheetId="39">'Div 2'!$D$84</definedName>
    <definedName name="OSRRefD22_18x_0" localSheetId="47">'Div 3'!$D$233:$D$235</definedName>
    <definedName name="OSRRefD22_18x_0" localSheetId="73">'Div 4'!$D$88:$D$89</definedName>
    <definedName name="OSRRefD22_18x_0" localSheetId="2">Summary!$D$265:$D$268</definedName>
    <definedName name="OSRRefD22_19x_0" localSheetId="48">'300'!$D$235:$D$236</definedName>
    <definedName name="OSRRefD22_19x_0" localSheetId="49">'300 &amp; 317'!$D$261:$D$262</definedName>
    <definedName name="OSRRefD22_19x_0" localSheetId="50">'301'!$D$88</definedName>
    <definedName name="OSRRefD22_19x_0" localSheetId="65">'310'!$D$95</definedName>
    <definedName name="OSRRefD22_19x_0" localSheetId="74">'310 &amp; 491'!$D$102:$D$103</definedName>
    <definedName name="OSRRefD22_19x_0" localSheetId="71">'326'!$D$124</definedName>
    <definedName name="OSRRefD22_19x_0" localSheetId="58">'331'!$D$156</definedName>
    <definedName name="OSRRefD22_19x_0" localSheetId="78">'411'!$D$91</definedName>
    <definedName name="OSRRefD22_19x_0" localSheetId="75">'491'!$D$95:$D$96</definedName>
    <definedName name="OSRRefD22_19x_0" localSheetId="39">'Div 2'!$D$86:$D$87</definedName>
    <definedName name="OSRRefD22_19x_0" localSheetId="47">'Div 3'!$D$237:$D$241</definedName>
    <definedName name="OSRRefD22_19x_0" localSheetId="73">'Div 4'!$D$91:$D$95</definedName>
    <definedName name="OSRRefD22_19x_0" localSheetId="2">Summary!$D$270:$D$272</definedName>
    <definedName name="OSRRefD22_1x_0" localSheetId="40">'200'!$D$22</definedName>
    <definedName name="OSRRefD22_1x_0" localSheetId="41">'201'!$D$29:$D$31</definedName>
    <definedName name="OSRRefD22_1x_0" localSheetId="42">'202'!$D$29:$D$32</definedName>
    <definedName name="OSRRefD22_1x_0" localSheetId="43">'203'!$D$31:$D$35</definedName>
    <definedName name="OSRRefD22_1x_0" localSheetId="44">'204'!$D$31:$D$35</definedName>
    <definedName name="OSRRefD22_1x_0" localSheetId="45">'205'!$D$29</definedName>
    <definedName name="OSRRefD22_1x_0" localSheetId="46">'206'!$D$29:$D$32</definedName>
    <definedName name="OSRRefD22_1x_0" localSheetId="48">'300'!$D$178:$D$184</definedName>
    <definedName name="OSRRefD22_1x_0" localSheetId="49">'300 &amp; 317'!$D$204:$D$210</definedName>
    <definedName name="OSRRefD22_1x_0" localSheetId="50">'301'!$D$31:$D$37</definedName>
    <definedName name="OSRRefD22_1x_0" localSheetId="51">'306'!$D$30:$D$35</definedName>
    <definedName name="OSRRefD22_1x_0" localSheetId="53">'307'!$D$87:$D$90</definedName>
    <definedName name="OSRRefD22_1x_0" localSheetId="55">'308'!$D$76:$D$82</definedName>
    <definedName name="OSRRefD22_1x_0" localSheetId="66">'309'!$D$33:$D$37</definedName>
    <definedName name="OSRRefD22_1x_0" localSheetId="65">'310'!$D$40:$D$45</definedName>
    <definedName name="OSRRefD22_1x_0" localSheetId="74">'310 &amp; 491'!$D$48:$D$54</definedName>
    <definedName name="OSRRefD22_1x_0" localSheetId="56">'311'!$D$75:$D$81</definedName>
    <definedName name="OSRRefD22_1x_0" localSheetId="67">'313'!$D$37:$D$41</definedName>
    <definedName name="OSRRefD22_1x_0" localSheetId="54">'314'!$D$66:$D$68</definedName>
    <definedName name="OSRRefD22_1x_0" localSheetId="59">'315'!$D$92:$D$97</definedName>
    <definedName name="OSRRefD22_1x_0" localSheetId="61">'316'!$D$46:$D$49</definedName>
    <definedName name="OSRRefD22_1x_0" localSheetId="64">'317'!$D$71:$D$75</definedName>
    <definedName name="OSRRefD22_1x_0" localSheetId="62">'320'!$D$36:$D$40</definedName>
    <definedName name="OSRRefD22_1x_0" localSheetId="68">'321'!$D$33:$D$37</definedName>
    <definedName name="OSRRefD22_1x_0" localSheetId="69">'322'!$D$33:$D$37</definedName>
    <definedName name="OSRRefD22_1x_0" localSheetId="70">'325'!$D$33:$D$37</definedName>
    <definedName name="OSRRefD22_1x_0" localSheetId="71">'326'!$D$72:$D$77</definedName>
    <definedName name="OSRRefD22_1x_0" localSheetId="72">'327'!$D$24</definedName>
    <definedName name="OSRRefD22_1x_0" localSheetId="52">'330'!$D$95:$D$99</definedName>
    <definedName name="OSRRefD22_1x_0" localSheetId="58">'331'!$D$101:$D$106</definedName>
    <definedName name="OSRRefD22_1x_0" localSheetId="60">'332'!$D$53:$D$57</definedName>
    <definedName name="OSRRefD22_1x_0" localSheetId="76">'405'!$D$33:$D$36</definedName>
    <definedName name="OSRRefD22_1x_0" localSheetId="77">'406'!$D$33:$D$38</definedName>
    <definedName name="OSRRefD22_1x_0" localSheetId="78">'411'!$D$30:$D$35</definedName>
    <definedName name="OSRRefD22_1x_0" localSheetId="79">'412'!$D$33:$D$38</definedName>
    <definedName name="OSRRefD22_1x_0" localSheetId="80">'413'!$D$33:$D$37</definedName>
    <definedName name="OSRRefD22_1x_0" localSheetId="81">'414'!$D$33:$D$38</definedName>
    <definedName name="OSRRefD22_1x_0" localSheetId="82">'415'!$D$33:$D$38</definedName>
    <definedName name="OSRRefD22_1x_0" localSheetId="83">'418'!$D$33:$D$38</definedName>
    <definedName name="OSRRefD22_1x_0" localSheetId="84">'420'!$D$33:$D$36</definedName>
    <definedName name="OSRRefD22_1x_0" localSheetId="85">'423'!$D$30:$D$31</definedName>
    <definedName name="OSRRefD22_1x_0" localSheetId="86">'424'!$D$27:$D$31</definedName>
    <definedName name="OSRRefD22_1x_0" localSheetId="88">'425'!$D$37:$D$42</definedName>
    <definedName name="OSRRefD22_1x_0" localSheetId="90">'430'!$D$29</definedName>
    <definedName name="OSRRefD22_1x_0" localSheetId="91">'433'!$D$35:$D$40</definedName>
    <definedName name="OSRRefD22_1x_0" localSheetId="92">'435'!$D$29:$D$31</definedName>
    <definedName name="OSRRefD22_1x_0" localSheetId="93">'444'!$D$35:$D$40</definedName>
    <definedName name="OSRRefD22_1x_0" localSheetId="94">'450'!$D$35:$D$40</definedName>
    <definedName name="OSRRefD22_1x_0" localSheetId="87">'455'!$D$28:$D$29</definedName>
    <definedName name="OSRRefD22_1x_0" localSheetId="75">'491'!$D$42:$D$48</definedName>
    <definedName name="OSRRefD22_1x_0" localSheetId="89">'492'!$D$37:$D$43</definedName>
    <definedName name="OSRRefD22_1x_0" localSheetId="96">'501'!$D$31:$D$35</definedName>
    <definedName name="OSRRefD22_1x_0" localSheetId="39">'Div 2'!$D$32:$D$38</definedName>
    <definedName name="OSRRefD22_1x_0" localSheetId="47">'Div 3'!$D$183:$D$189</definedName>
    <definedName name="OSRRefD22_1x_0" localSheetId="73">'Div 4'!$D$42:$D$48</definedName>
    <definedName name="OSRRefD22_1x_0" localSheetId="95">'Div 5'!$D$31:$D$35</definedName>
    <definedName name="OSRRefD22_1x_0" localSheetId="63">'Div 6'!$D$71:$D$75</definedName>
    <definedName name="OSRRefD22_1x_0" localSheetId="2">Summary!$D$216:$D$222</definedName>
    <definedName name="OSRRefD22_20x_0" localSheetId="48">'300'!$D$238:$D$244</definedName>
    <definedName name="OSRRefD22_20x_0" localSheetId="49">'300 &amp; 317'!$D$264:$D$270</definedName>
    <definedName name="OSRRefD22_20x_0" localSheetId="50">'301'!$D$90</definedName>
    <definedName name="OSRRefD22_20x_0" localSheetId="65">'310'!$D$97</definedName>
    <definedName name="OSRRefD22_20x_0" localSheetId="74">'310 &amp; 491'!$D$105:$D$114</definedName>
    <definedName name="OSRRefD22_20x_0" localSheetId="58">'331'!$D$158:$D$159</definedName>
    <definedName name="OSRRefD22_20x_0" localSheetId="75">'491'!$D$98:$D$107</definedName>
    <definedName name="OSRRefD22_20x_0" localSheetId="47">'Div 3'!$D$243:$D$244</definedName>
    <definedName name="OSRRefD22_20x_0" localSheetId="73">'Div 4'!$D$97:$D$98</definedName>
    <definedName name="OSRRefD22_20x_0" localSheetId="2">Summary!$D$274:$D$278</definedName>
    <definedName name="OSRRefD22_21x_0" localSheetId="48">'300'!$D$246:$D$247</definedName>
    <definedName name="OSRRefD22_21x_0" localSheetId="49">'300 &amp; 317'!$D$272:$D$273</definedName>
    <definedName name="OSRRefD22_21x_0" localSheetId="50">'301'!$D$92:$D$94</definedName>
    <definedName name="OSRRefD22_21x_0" localSheetId="65">'310'!$D$99</definedName>
    <definedName name="OSRRefD22_21x_0" localSheetId="74">'310 &amp; 491'!$D$116</definedName>
    <definedName name="OSRRefD22_21x_0" localSheetId="58">'331'!$D$161</definedName>
    <definedName name="OSRRefD22_21x_0" localSheetId="75">'491'!$D$109</definedName>
    <definedName name="OSRRefD22_21x_0" localSheetId="47">'Div 3'!$D$246:$D$254</definedName>
    <definedName name="OSRRefD22_21x_0" localSheetId="73">'Div 4'!$D$100:$D$109</definedName>
    <definedName name="OSRRefD22_21x_0" localSheetId="2">Summary!$D$280:$D$281</definedName>
    <definedName name="OSRRefD22_22x_0" localSheetId="48">'300'!$D$249</definedName>
    <definedName name="OSRRefD22_22x_0" localSheetId="49">'300 &amp; 317'!$D$275</definedName>
    <definedName name="OSRRefD22_22x_0" localSheetId="50">'301'!$D$96</definedName>
    <definedName name="OSRRefD22_22x_0" localSheetId="74">'310 &amp; 491'!$D$118</definedName>
    <definedName name="OSRRefD22_22x_0" localSheetId="75">'491'!$D$111</definedName>
    <definedName name="OSRRefD22_22x_0" localSheetId="47">'Div 3'!$D$256:$D$257</definedName>
    <definedName name="OSRRefD22_22x_0" localSheetId="73">'Div 4'!$D$111</definedName>
    <definedName name="OSRRefD22_22x_0" localSheetId="2">Summary!$D$283:$D$292</definedName>
    <definedName name="OSRRefD22_23x_0" localSheetId="48">'300'!$D$251:$D$253</definedName>
    <definedName name="OSRRefD22_23x_0" localSheetId="49">'300 &amp; 317'!$D$277:$D$279</definedName>
    <definedName name="OSRRefD22_23x_0" localSheetId="74">'310 &amp; 491'!$D$120:$D$122</definedName>
    <definedName name="OSRRefD22_23x_0" localSheetId="75">'491'!$D$113:$D$115</definedName>
    <definedName name="OSRRefD22_23x_0" localSheetId="47">'Div 3'!$D$259</definedName>
    <definedName name="OSRRefD22_23x_0" localSheetId="73">'Div 4'!$D$113</definedName>
    <definedName name="OSRRefD22_23x_0" localSheetId="2">Summary!$D$294:$D$295</definedName>
    <definedName name="OSRRefD22_24x_0" localSheetId="48">'300'!$D$255</definedName>
    <definedName name="OSRRefD22_24x_0" localSheetId="49">'300 &amp; 317'!$D$281</definedName>
    <definedName name="OSRRefD22_24x_0" localSheetId="74">'310 &amp; 491'!$D$124</definedName>
    <definedName name="OSRRefD22_24x_0" localSheetId="75">'491'!$D$117</definedName>
    <definedName name="OSRRefD22_24x_0" localSheetId="47">'Div 3'!$D$261:$D$263</definedName>
    <definedName name="OSRRefD22_24x_0" localSheetId="73">'Div 4'!$D$115:$D$117</definedName>
    <definedName name="OSRRefD22_24x_0" localSheetId="2">Summary!$D$297</definedName>
    <definedName name="OSRRefD22_25x_0" localSheetId="47">'Div 3'!$D$265</definedName>
    <definedName name="OSRRefD22_25x_0" localSheetId="73">'Div 4'!$D$119</definedName>
    <definedName name="OSRRefD22_25x_0" localSheetId="2">Summary!$D$299:$D$301</definedName>
    <definedName name="OSRRefD22_26x_0" localSheetId="2">Summary!$D$303</definedName>
    <definedName name="OSRRefD22_2x_0" localSheetId="40">'200'!$D$24</definedName>
    <definedName name="OSRRefD22_2x_0" localSheetId="41">'201'!$D$33</definedName>
    <definedName name="OSRRefD22_2x_0" localSheetId="42">'202'!$D$34</definedName>
    <definedName name="OSRRefD22_2x_0" localSheetId="43">'203'!$D$37</definedName>
    <definedName name="OSRRefD22_2x_0" localSheetId="44">'204'!$D$37</definedName>
    <definedName name="OSRRefD22_2x_0" localSheetId="45">'205'!$D$31</definedName>
    <definedName name="OSRRefD22_2x_0" localSheetId="46">'206'!$D$34</definedName>
    <definedName name="OSRRefD22_2x_0" localSheetId="48">'300'!$D$186</definedName>
    <definedName name="OSRRefD22_2x_0" localSheetId="49">'300 &amp; 317'!$D$212</definedName>
    <definedName name="OSRRefD22_2x_0" localSheetId="50">'301'!$D$39</definedName>
    <definedName name="OSRRefD22_2x_0" localSheetId="51">'306'!$D$37</definedName>
    <definedName name="OSRRefD22_2x_0" localSheetId="53">'307'!$D$92</definedName>
    <definedName name="OSRRefD22_2x_0" localSheetId="55">'308'!$D$84</definedName>
    <definedName name="OSRRefD22_2x_0" localSheetId="66">'309'!$D$39</definedName>
    <definedName name="OSRRefD22_2x_0" localSheetId="65">'310'!$D$47</definedName>
    <definedName name="OSRRefD22_2x_0" localSheetId="74">'310 &amp; 491'!$D$56</definedName>
    <definedName name="OSRRefD22_2x_0" localSheetId="56">'311'!$D$83</definedName>
    <definedName name="OSRRefD22_2x_0" localSheetId="67">'313'!$D$43</definedName>
    <definedName name="OSRRefD22_2x_0" localSheetId="54">'314'!$D$70</definedName>
    <definedName name="OSRRefD22_2x_0" localSheetId="59">'315'!$D$99</definedName>
    <definedName name="OSRRefD22_2x_0" localSheetId="61">'316'!$D$51</definedName>
    <definedName name="OSRRefD22_2x_0" localSheetId="64">'317'!$D$77</definedName>
    <definedName name="OSRRefD22_2x_0" localSheetId="62">'320'!$D$42</definedName>
    <definedName name="OSRRefD22_2x_0" localSheetId="68">'321'!$D$39</definedName>
    <definedName name="OSRRefD22_2x_0" localSheetId="69">'322'!$D$39</definedName>
    <definedName name="OSRRefD22_2x_0" localSheetId="70">'325'!$D$39</definedName>
    <definedName name="OSRRefD22_2x_0" localSheetId="71">'326'!$D$79</definedName>
    <definedName name="OSRRefD22_2x_0" localSheetId="72">'327'!$D$26</definedName>
    <definedName name="OSRRefD22_2x_0" localSheetId="52">'330'!$D$101</definedName>
    <definedName name="OSRRefD22_2x_0" localSheetId="58">'331'!$D$108</definedName>
    <definedName name="OSRRefD22_2x_0" localSheetId="60">'332'!$D$59</definedName>
    <definedName name="OSRRefD22_2x_0" localSheetId="76">'405'!$D$38</definedName>
    <definedName name="OSRRefD22_2x_0" localSheetId="77">'406'!$D$40</definedName>
    <definedName name="OSRRefD22_2x_0" localSheetId="78">'411'!$D$37</definedName>
    <definedName name="OSRRefD22_2x_0" localSheetId="79">'412'!$D$40</definedName>
    <definedName name="OSRRefD22_2x_0" localSheetId="80">'413'!$D$39</definedName>
    <definedName name="OSRRefD22_2x_0" localSheetId="81">'414'!$D$40</definedName>
    <definedName name="OSRRefD22_2x_0" localSheetId="82">'415'!$D$40</definedName>
    <definedName name="OSRRefD22_2x_0" localSheetId="83">'418'!$D$40</definedName>
    <definedName name="OSRRefD22_2x_0" localSheetId="84">'420'!$D$38</definedName>
    <definedName name="OSRRefD22_2x_0" localSheetId="85">'423'!$D$33</definedName>
    <definedName name="OSRRefD22_2x_0" localSheetId="86">'424'!$D$33</definedName>
    <definedName name="OSRRefD22_2x_0" localSheetId="88">'425'!$D$44</definedName>
    <definedName name="OSRRefD22_2x_0" localSheetId="90">'430'!$D$31</definedName>
    <definedName name="OSRRefD22_2x_0" localSheetId="91">'433'!$D$42</definedName>
    <definedName name="OSRRefD22_2x_0" localSheetId="92">'435'!$D$33</definedName>
    <definedName name="OSRRefD22_2x_0" localSheetId="93">'444'!$D$42</definedName>
    <definedName name="OSRRefD22_2x_0" localSheetId="94">'450'!$D$42</definedName>
    <definedName name="OSRRefD22_2x_0" localSheetId="75">'491'!$D$50</definedName>
    <definedName name="OSRRefD22_2x_0" localSheetId="89">'492'!$D$45</definedName>
    <definedName name="OSRRefD22_2x_0" localSheetId="96">'501'!$D$37</definedName>
    <definedName name="OSRRefD22_2x_0" localSheetId="39">'Div 2'!$D$40</definedName>
    <definedName name="OSRRefD22_2x_0" localSheetId="47">'Div 3'!$D$191</definedName>
    <definedName name="OSRRefD22_2x_0" localSheetId="73">'Div 4'!$D$50</definedName>
    <definedName name="OSRRefD22_2x_0" localSheetId="95">'Div 5'!$D$37</definedName>
    <definedName name="OSRRefD22_2x_0" localSheetId="63">'Div 6'!$D$77</definedName>
    <definedName name="OSRRefD22_2x_0" localSheetId="2">Summary!$D$224</definedName>
    <definedName name="OSRRefD22_3x_0" localSheetId="40">'200'!$D$26</definedName>
    <definedName name="OSRRefD22_3x_0" localSheetId="41">'201'!$D$35</definedName>
    <definedName name="OSRRefD22_3x_0" localSheetId="42">'202'!$D$36</definedName>
    <definedName name="OSRRefD22_3x_0" localSheetId="43">'203'!$D$39</definedName>
    <definedName name="OSRRefD22_3x_0" localSheetId="44">'204'!$D$39</definedName>
    <definedName name="OSRRefD22_3x_0" localSheetId="45">'205'!$D$33</definedName>
    <definedName name="OSRRefD22_3x_0" localSheetId="46">'206'!$D$36</definedName>
    <definedName name="OSRRefD22_3x_0" localSheetId="48">'300'!$D$188:$D$189</definedName>
    <definedName name="OSRRefD22_3x_0" localSheetId="49">'300 &amp; 317'!$D$214:$D$215</definedName>
    <definedName name="OSRRefD22_3x_0" localSheetId="50">'301'!$D$41:$D$42</definedName>
    <definedName name="OSRRefD22_3x_0" localSheetId="51">'306'!$D$39</definedName>
    <definedName name="OSRRefD22_3x_0" localSheetId="53">'307'!$D$94</definedName>
    <definedName name="OSRRefD22_3x_0" localSheetId="55">'308'!$D$86:$D$87</definedName>
    <definedName name="OSRRefD22_3x_0" localSheetId="66">'309'!$D$41</definedName>
    <definedName name="OSRRefD22_3x_0" localSheetId="65">'310'!$D$49</definedName>
    <definedName name="OSRRefD22_3x_0" localSheetId="74">'310 &amp; 491'!$D$58</definedName>
    <definedName name="OSRRefD22_3x_0" localSheetId="56">'311'!$D$85:$D$86</definedName>
    <definedName name="OSRRefD22_3x_0" localSheetId="67">'313'!$D$45</definedName>
    <definedName name="OSRRefD22_3x_0" localSheetId="54">'314'!$D$72:$D$73</definedName>
    <definedName name="OSRRefD22_3x_0" localSheetId="59">'315'!$D$101:$D$102</definedName>
    <definedName name="OSRRefD22_3x_0" localSheetId="61">'316'!$D$53</definedName>
    <definedName name="OSRRefD22_3x_0" localSheetId="64">'317'!$D$79</definedName>
    <definedName name="OSRRefD22_3x_0" localSheetId="62">'320'!$D$44</definedName>
    <definedName name="OSRRefD22_3x_0" localSheetId="68">'321'!$D$41</definedName>
    <definedName name="OSRRefD22_3x_0" localSheetId="69">'322'!$D$41</definedName>
    <definedName name="OSRRefD22_3x_0" localSheetId="70">'325'!$D$41</definedName>
    <definedName name="OSRRefD22_3x_0" localSheetId="71">'326'!$D$81</definedName>
    <definedName name="OSRRefD22_3x_0" localSheetId="52">'330'!$D$103</definedName>
    <definedName name="OSRRefD22_3x_0" localSheetId="58">'331'!$D$110</definedName>
    <definedName name="OSRRefD22_3x_0" localSheetId="60">'332'!$D$61</definedName>
    <definedName name="OSRRefD22_3x_0" localSheetId="76">'405'!$D$40</definedName>
    <definedName name="OSRRefD22_3x_0" localSheetId="77">'406'!$D$42</definedName>
    <definedName name="OSRRefD22_3x_0" localSheetId="78">'411'!$D$39</definedName>
    <definedName name="OSRRefD22_3x_0" localSheetId="79">'412'!$D$42</definedName>
    <definedName name="OSRRefD22_3x_0" localSheetId="80">'413'!$D$41</definedName>
    <definedName name="OSRRefD22_3x_0" localSheetId="81">'414'!$D$42</definedName>
    <definedName name="OSRRefD22_3x_0" localSheetId="82">'415'!$D$42</definedName>
    <definedName name="OSRRefD22_3x_0" localSheetId="83">'418'!$D$42</definedName>
    <definedName name="OSRRefD22_3x_0" localSheetId="84">'420'!$D$40</definedName>
    <definedName name="OSRRefD22_3x_0" localSheetId="85">'423'!$D$35</definedName>
    <definedName name="OSRRefD22_3x_0" localSheetId="86">'424'!$D$35</definedName>
    <definedName name="OSRRefD22_3x_0" localSheetId="88">'425'!$D$46</definedName>
    <definedName name="OSRRefD22_3x_0" localSheetId="90">'430'!$D$33</definedName>
    <definedName name="OSRRefD22_3x_0" localSheetId="91">'433'!$D$44</definedName>
    <definedName name="OSRRefD22_3x_0" localSheetId="92">'435'!$D$35</definedName>
    <definedName name="OSRRefD22_3x_0" localSheetId="93">'444'!$D$44</definedName>
    <definedName name="OSRRefD22_3x_0" localSheetId="94">'450'!$D$44</definedName>
    <definedName name="OSRRefD22_3x_0" localSheetId="75">'491'!$D$52</definedName>
    <definedName name="OSRRefD22_3x_0" localSheetId="89">'492'!$D$47</definedName>
    <definedName name="OSRRefD22_3x_0" localSheetId="96">'501'!$D$39</definedName>
    <definedName name="OSRRefD22_3x_0" localSheetId="39">'Div 2'!$D$42</definedName>
    <definedName name="OSRRefD22_3x_0" localSheetId="47">'Div 3'!$D$193:$D$194</definedName>
    <definedName name="OSRRefD22_3x_0" localSheetId="73">'Div 4'!$D$52</definedName>
    <definedName name="OSRRefD22_3x_0" localSheetId="95">'Div 5'!$D$39</definedName>
    <definedName name="OSRRefD22_3x_0" localSheetId="63">'Div 6'!$D$79</definedName>
    <definedName name="OSRRefD22_3x_0" localSheetId="2">Summary!$D$226:$D$227</definedName>
    <definedName name="OSRRefD22_4x_0" localSheetId="40">'200'!$D$28:$D$29</definedName>
    <definedName name="OSRRefD22_4x_0" localSheetId="41">'201'!$D$37</definedName>
    <definedName name="OSRRefD22_4x_0" localSheetId="42">'202'!$D$38</definedName>
    <definedName name="OSRRefD22_4x_0" localSheetId="43">'203'!$D$41</definedName>
    <definedName name="OSRRefD22_4x_0" localSheetId="44">'204'!$D$41</definedName>
    <definedName name="OSRRefD22_4x_0" localSheetId="45">'205'!$D$35:$D$36</definedName>
    <definedName name="OSRRefD22_4x_0" localSheetId="46">'206'!$D$38</definedName>
    <definedName name="OSRRefD22_4x_0" localSheetId="48">'300'!$D$191</definedName>
    <definedName name="OSRRefD22_4x_0" localSheetId="49">'300 &amp; 317'!$D$217</definedName>
    <definedName name="OSRRefD22_4x_0" localSheetId="50">'301'!$D$44</definedName>
    <definedName name="OSRRefD22_4x_0" localSheetId="51">'306'!$D$41</definedName>
    <definedName name="OSRRefD22_4x_0" localSheetId="53">'307'!$D$96:$D$97</definedName>
    <definedName name="OSRRefD22_4x_0" localSheetId="55">'308'!$D$89</definedName>
    <definedName name="OSRRefD22_4x_0" localSheetId="66">'309'!$D$43</definedName>
    <definedName name="OSRRefD22_4x_0" localSheetId="65">'310'!$D$51</definedName>
    <definedName name="OSRRefD22_4x_0" localSheetId="74">'310 &amp; 491'!$D$60</definedName>
    <definedName name="OSRRefD22_4x_0" localSheetId="56">'311'!$D$88</definedName>
    <definedName name="OSRRefD22_4x_0" localSheetId="67">'313'!$D$47</definedName>
    <definedName name="OSRRefD22_4x_0" localSheetId="54">'314'!$D$75</definedName>
    <definedName name="OSRRefD22_4x_0" localSheetId="59">'315'!$D$104</definedName>
    <definedName name="OSRRefD22_4x_0" localSheetId="61">'316'!$D$55</definedName>
    <definedName name="OSRRefD22_4x_0" localSheetId="64">'317'!$D$81</definedName>
    <definedName name="OSRRefD22_4x_0" localSheetId="62">'320'!$D$46:$D$47</definedName>
    <definedName name="OSRRefD22_4x_0" localSheetId="68">'321'!$D$43</definedName>
    <definedName name="OSRRefD22_4x_0" localSheetId="69">'322'!$D$43</definedName>
    <definedName name="OSRRefD22_4x_0" localSheetId="70">'325'!$D$43</definedName>
    <definedName name="OSRRefD22_4x_0" localSheetId="71">'326'!$D$83</definedName>
    <definedName name="OSRRefD22_4x_0" localSheetId="52">'330'!$D$105:$D$106</definedName>
    <definedName name="OSRRefD22_4x_0" localSheetId="58">'331'!$D$112</definedName>
    <definedName name="OSRRefD22_4x_0" localSheetId="60">'332'!$D$63</definedName>
    <definedName name="OSRRefD22_4x_0" localSheetId="76">'405'!$D$42</definedName>
    <definedName name="OSRRefD22_4x_0" localSheetId="77">'406'!$D$44</definedName>
    <definedName name="OSRRefD22_4x_0" localSheetId="78">'411'!$D$41:$D$43</definedName>
    <definedName name="OSRRefD22_4x_0" localSheetId="79">'412'!$D$44</definedName>
    <definedName name="OSRRefD22_4x_0" localSheetId="80">'413'!$D$43</definedName>
    <definedName name="OSRRefD22_4x_0" localSheetId="81">'414'!$D$44</definedName>
    <definedName name="OSRRefD22_4x_0" localSheetId="82">'415'!$D$44</definedName>
    <definedName name="OSRRefD22_4x_0" localSheetId="83">'418'!$D$44</definedName>
    <definedName name="OSRRefD22_4x_0" localSheetId="84">'420'!$D$42</definedName>
    <definedName name="OSRRefD22_4x_0" localSheetId="85">'423'!$D$37</definedName>
    <definedName name="OSRRefD22_4x_0" localSheetId="86">'424'!$D$37</definedName>
    <definedName name="OSRRefD22_4x_0" localSheetId="88">'425'!$D$48</definedName>
    <definedName name="OSRRefD22_4x_0" localSheetId="90">'430'!$D$35:$D$36</definedName>
    <definedName name="OSRRefD22_4x_0" localSheetId="91">'433'!$D$46</definedName>
    <definedName name="OSRRefD22_4x_0" localSheetId="92">'435'!$D$37</definedName>
    <definedName name="OSRRefD22_4x_0" localSheetId="93">'444'!$D$46</definedName>
    <definedName name="OSRRefD22_4x_0" localSheetId="94">'450'!$D$46</definedName>
    <definedName name="OSRRefD22_4x_0" localSheetId="75">'491'!$D$54</definedName>
    <definedName name="OSRRefD22_4x_0" localSheetId="89">'492'!$D$49</definedName>
    <definedName name="OSRRefD22_4x_0" localSheetId="96">'501'!$D$41</definedName>
    <definedName name="OSRRefD22_4x_0" localSheetId="39">'Div 2'!$D$44</definedName>
    <definedName name="OSRRefD22_4x_0" localSheetId="47">'Div 3'!$D$196</definedName>
    <definedName name="OSRRefD22_4x_0" localSheetId="73">'Div 4'!$D$54</definedName>
    <definedName name="OSRRefD22_4x_0" localSheetId="95">'Div 5'!$D$41</definedName>
    <definedName name="OSRRefD22_4x_0" localSheetId="63">'Div 6'!$D$81</definedName>
    <definedName name="OSRRefD22_4x_0" localSheetId="2">Summary!$D$229</definedName>
    <definedName name="OSRRefD22_5x_0" localSheetId="41">'201'!$D$39</definedName>
    <definedName name="OSRRefD22_5x_0" localSheetId="42">'202'!$D$40</definedName>
    <definedName name="OSRRefD22_5x_0" localSheetId="43">'203'!$D$43</definedName>
    <definedName name="OSRRefD22_5x_0" localSheetId="44">'204'!$D$43</definedName>
    <definedName name="OSRRefD22_5x_0" localSheetId="45">'205'!$D$38</definedName>
    <definedName name="OSRRefD22_5x_0" localSheetId="46">'206'!$D$40</definedName>
    <definedName name="OSRRefD22_5x_0" localSheetId="48">'300'!$D$193:$D$195</definedName>
    <definedName name="OSRRefD22_5x_0" localSheetId="49">'300 &amp; 317'!$D$219:$D$221</definedName>
    <definedName name="OSRRefD22_5x_0" localSheetId="50">'301'!$D$46:$D$48</definedName>
    <definedName name="OSRRefD22_5x_0" localSheetId="51">'306'!$D$43</definedName>
    <definedName name="OSRRefD22_5x_0" localSheetId="53">'307'!$D$99</definedName>
    <definedName name="OSRRefD22_5x_0" localSheetId="55">'308'!$D$91</definedName>
    <definedName name="OSRRefD22_5x_0" localSheetId="66">'309'!$D$45</definedName>
    <definedName name="OSRRefD22_5x_0" localSheetId="65">'310'!$D$53:$D$54</definedName>
    <definedName name="OSRRefD22_5x_0" localSheetId="74">'310 &amp; 491'!$D$62:$D$64</definedName>
    <definedName name="OSRRefD22_5x_0" localSheetId="56">'311'!$D$90</definedName>
    <definedName name="OSRRefD22_5x_0" localSheetId="67">'313'!$D$49</definedName>
    <definedName name="OSRRefD22_5x_0" localSheetId="54">'314'!$D$77</definedName>
    <definedName name="OSRRefD22_5x_0" localSheetId="59">'315'!$D$106:$D$107</definedName>
    <definedName name="OSRRefD22_5x_0" localSheetId="61">'316'!$D$57</definedName>
    <definedName name="OSRRefD22_5x_0" localSheetId="64">'317'!$D$83:$D$84</definedName>
    <definedName name="OSRRefD22_5x_0" localSheetId="62">'320'!$D$49</definedName>
    <definedName name="OSRRefD22_5x_0" localSheetId="68">'321'!$D$45</definedName>
    <definedName name="OSRRefD22_5x_0" localSheetId="69">'322'!$D$45</definedName>
    <definedName name="OSRRefD22_5x_0" localSheetId="70">'325'!$D$45:$D$46</definedName>
    <definedName name="OSRRefD22_5x_0" localSheetId="71">'326'!$D$85:$D$86</definedName>
    <definedName name="OSRRefD22_5x_0" localSheetId="52">'330'!$D$108</definedName>
    <definedName name="OSRRefD22_5x_0" localSheetId="58">'331'!$D$114:$D$115</definedName>
    <definedName name="OSRRefD22_5x_0" localSheetId="60">'332'!$D$65</definedName>
    <definedName name="OSRRefD22_5x_0" localSheetId="76">'405'!$D$44:$D$45</definedName>
    <definedName name="OSRRefD22_5x_0" localSheetId="77">'406'!$D$46</definedName>
    <definedName name="OSRRefD22_5x_0" localSheetId="78">'411'!$D$45</definedName>
    <definedName name="OSRRefD22_5x_0" localSheetId="79">'412'!$D$46</definedName>
    <definedName name="OSRRefD22_5x_0" localSheetId="80">'413'!$D$45</definedName>
    <definedName name="OSRRefD22_5x_0" localSheetId="81">'414'!$D$46</definedName>
    <definedName name="OSRRefD22_5x_0" localSheetId="82">'415'!$D$46:$D$47</definedName>
    <definedName name="OSRRefD22_5x_0" localSheetId="83">'418'!$D$46:$D$47</definedName>
    <definedName name="OSRRefD22_5x_0" localSheetId="84">'420'!$D$44</definedName>
    <definedName name="OSRRefD22_5x_0" localSheetId="85">'423'!$D$39</definedName>
    <definedName name="OSRRefD22_5x_0" localSheetId="86">'424'!$D$39</definedName>
    <definedName name="OSRRefD22_5x_0" localSheetId="88">'425'!$D$50</definedName>
    <definedName name="OSRRefD22_5x_0" localSheetId="90">'430'!$D$38</definedName>
    <definedName name="OSRRefD22_5x_0" localSheetId="91">'433'!$D$48</definedName>
    <definedName name="OSRRefD22_5x_0" localSheetId="92">'435'!$D$39</definedName>
    <definedName name="OSRRefD22_5x_0" localSheetId="93">'444'!$D$48</definedName>
    <definedName name="OSRRefD22_5x_0" localSheetId="94">'450'!$D$48</definedName>
    <definedName name="OSRRefD22_5x_0" localSheetId="75">'491'!$D$56:$D$58</definedName>
    <definedName name="OSRRefD22_5x_0" localSheetId="89">'492'!$D$51</definedName>
    <definedName name="OSRRefD22_5x_0" localSheetId="96">'501'!$D$43:$D$44</definedName>
    <definedName name="OSRRefD22_5x_0" localSheetId="39">'Div 2'!$D$46</definedName>
    <definedName name="OSRRefD22_5x_0" localSheetId="47">'Div 3'!$D$198:$D$200</definedName>
    <definedName name="OSRRefD22_5x_0" localSheetId="73">'Div 4'!$D$56:$D$58</definedName>
    <definedName name="OSRRefD22_5x_0" localSheetId="95">'Div 5'!$D$43:$D$44</definedName>
    <definedName name="OSRRefD22_5x_0" localSheetId="63">'Div 6'!$D$83:$D$84</definedName>
    <definedName name="OSRRefD22_5x_0" localSheetId="2">Summary!$D$231:$D$234</definedName>
    <definedName name="OSRRefD22_6x_0" localSheetId="41">'201'!$D$41</definedName>
    <definedName name="OSRRefD22_6x_0" localSheetId="42">'202'!$D$42:$D$43</definedName>
    <definedName name="OSRRefD22_6x_0" localSheetId="43">'203'!$D$45</definedName>
    <definedName name="OSRRefD22_6x_0" localSheetId="44">'204'!$D$45:$D$47</definedName>
    <definedName name="OSRRefD22_6x_0" localSheetId="45">'205'!$D$40:$D$42</definedName>
    <definedName name="OSRRefD22_6x_0" localSheetId="46">'206'!$D$42:$D$43</definedName>
    <definedName name="OSRRefD22_6x_0" localSheetId="48">'300'!$D$197:$D$198</definedName>
    <definedName name="OSRRefD22_6x_0" localSheetId="49">'300 &amp; 317'!$D$223:$D$224</definedName>
    <definedName name="OSRRefD22_6x_0" localSheetId="50">'301'!$D$50:$D$51</definedName>
    <definedName name="OSRRefD22_6x_0" localSheetId="51">'306'!$D$45:$D$46</definedName>
    <definedName name="OSRRefD22_6x_0" localSheetId="53">'307'!$D$101</definedName>
    <definedName name="OSRRefD22_6x_0" localSheetId="55">'308'!$D$93:$D$94</definedName>
    <definedName name="OSRRefD22_6x_0" localSheetId="66">'309'!$D$47</definedName>
    <definedName name="OSRRefD22_6x_0" localSheetId="65">'310'!$D$56</definedName>
    <definedName name="OSRRefD22_6x_0" localSheetId="74">'310 &amp; 491'!$D$66</definedName>
    <definedName name="OSRRefD22_6x_0" localSheetId="56">'311'!$D$92:$D$93</definedName>
    <definedName name="OSRRefD22_6x_0" localSheetId="67">'313'!$D$51</definedName>
    <definedName name="OSRRefD22_6x_0" localSheetId="54">'314'!$D$79</definedName>
    <definedName name="OSRRefD22_6x_0" localSheetId="59">'315'!$D$109:$D$110</definedName>
    <definedName name="OSRRefD22_6x_0" localSheetId="61">'316'!$D$59:$D$60</definedName>
    <definedName name="OSRRefD22_6x_0" localSheetId="64">'317'!$D$86</definedName>
    <definedName name="OSRRefD22_6x_0" localSheetId="62">'320'!$D$51</definedName>
    <definedName name="OSRRefD22_6x_0" localSheetId="68">'321'!$D$47</definedName>
    <definedName name="OSRRefD22_6x_0" localSheetId="69">'322'!$D$47</definedName>
    <definedName name="OSRRefD22_6x_0" localSheetId="70">'325'!$D$48</definedName>
    <definedName name="OSRRefD22_6x_0" localSheetId="71">'326'!$D$88</definedName>
    <definedName name="OSRRefD22_6x_0" localSheetId="52">'330'!$D$110</definedName>
    <definedName name="OSRRefD22_6x_0" localSheetId="58">'331'!$D$117</definedName>
    <definedName name="OSRRefD22_6x_0" localSheetId="60">'332'!$D$67:$D$68</definedName>
    <definedName name="OSRRefD22_6x_0" localSheetId="76">'405'!$D$47</definedName>
    <definedName name="OSRRefD22_6x_0" localSheetId="77">'406'!$D$48</definedName>
    <definedName name="OSRRefD22_6x_0" localSheetId="78">'411'!$D$47</definedName>
    <definedName name="OSRRefD22_6x_0" localSheetId="79">'412'!$D$48</definedName>
    <definedName name="OSRRefD22_6x_0" localSheetId="80">'413'!$D$47</definedName>
    <definedName name="OSRRefD22_6x_0" localSheetId="81">'414'!$D$48</definedName>
    <definedName name="OSRRefD22_6x_0" localSheetId="82">'415'!$D$49</definedName>
    <definedName name="OSRRefD22_6x_0" localSheetId="83">'418'!$D$49</definedName>
    <definedName name="OSRRefD22_6x_0" localSheetId="84">'420'!$D$46:$D$47</definedName>
    <definedName name="OSRRefD22_6x_0" localSheetId="85">'423'!$D$41</definedName>
    <definedName name="OSRRefD22_6x_0" localSheetId="86">'424'!$D$41</definedName>
    <definedName name="OSRRefD22_6x_0" localSheetId="88">'425'!$D$52</definedName>
    <definedName name="OSRRefD22_6x_0" localSheetId="90">'430'!$D$40</definedName>
    <definedName name="OSRRefD22_6x_0" localSheetId="91">'433'!$D$50</definedName>
    <definedName name="OSRRefD22_6x_0" localSheetId="92">'435'!$D$41</definedName>
    <definedName name="OSRRefD22_6x_0" localSheetId="93">'444'!$D$50</definedName>
    <definedName name="OSRRefD22_6x_0" localSheetId="94">'450'!$D$50</definedName>
    <definedName name="OSRRefD22_6x_0" localSheetId="75">'491'!$D$60</definedName>
    <definedName name="OSRRefD22_6x_0" localSheetId="89">'492'!$D$53</definedName>
    <definedName name="OSRRefD22_6x_0" localSheetId="96">'501'!$D$46</definedName>
    <definedName name="OSRRefD22_6x_0" localSheetId="39">'Div 2'!$D$48</definedName>
    <definedName name="OSRRefD22_6x_0" localSheetId="47">'Div 3'!$D$202:$D$203</definedName>
    <definedName name="OSRRefD22_6x_0" localSheetId="73">'Div 4'!$D$60</definedName>
    <definedName name="OSRRefD22_6x_0" localSheetId="95">'Div 5'!$D$46</definedName>
    <definedName name="OSRRefD22_6x_0" localSheetId="63">'Div 6'!$D$86</definedName>
    <definedName name="OSRRefD22_6x_0" localSheetId="2">Summary!$D$236:$D$237</definedName>
    <definedName name="OSRRefD22_7x_0" localSheetId="41">'201'!$D$43</definedName>
    <definedName name="OSRRefD22_7x_0" localSheetId="42">'202'!$D$45</definedName>
    <definedName name="OSRRefD22_7x_0" localSheetId="43">'203'!$D$47</definedName>
    <definedName name="OSRRefD22_7x_0" localSheetId="44">'204'!$D$49</definedName>
    <definedName name="OSRRefD22_7x_0" localSheetId="45">'205'!$D$44</definedName>
    <definedName name="OSRRefD22_7x_0" localSheetId="46">'206'!$D$45</definedName>
    <definedName name="OSRRefD22_7x_0" localSheetId="48">'300'!$D$200</definedName>
    <definedName name="OSRRefD22_7x_0" localSheetId="49">'300 &amp; 317'!$D$226</definedName>
    <definedName name="OSRRefD22_7x_0" localSheetId="50">'301'!$D$53</definedName>
    <definedName name="OSRRefD22_7x_0" localSheetId="51">'306'!$D$48:$D$50</definedName>
    <definedName name="OSRRefD22_7x_0" localSheetId="53">'307'!$D$103:$D$104</definedName>
    <definedName name="OSRRefD22_7x_0" localSheetId="55">'308'!$D$96</definedName>
    <definedName name="OSRRefD22_7x_0" localSheetId="66">'309'!$D$49</definedName>
    <definedName name="OSRRefD22_7x_0" localSheetId="65">'310'!$D$58</definedName>
    <definedName name="OSRRefD22_7x_0" localSheetId="74">'310 &amp; 491'!$D$68</definedName>
    <definedName name="OSRRefD22_7x_0" localSheetId="56">'311'!$D$95</definedName>
    <definedName name="OSRRefD22_7x_0" localSheetId="67">'313'!$D$53</definedName>
    <definedName name="OSRRefD22_7x_0" localSheetId="54">'314'!$D$81</definedName>
    <definedName name="OSRRefD22_7x_0" localSheetId="59">'315'!$D$112</definedName>
    <definedName name="OSRRefD22_7x_0" localSheetId="61">'316'!$D$62</definedName>
    <definedName name="OSRRefD22_7x_0" localSheetId="64">'317'!$D$88</definedName>
    <definedName name="OSRRefD22_7x_0" localSheetId="62">'320'!$D$53:$D$54</definedName>
    <definedName name="OSRRefD22_7x_0" localSheetId="68">'321'!$D$49:$D$51</definedName>
    <definedName name="OSRRefD22_7x_0" localSheetId="69">'322'!$D$49</definedName>
    <definedName name="OSRRefD22_7x_0" localSheetId="70">'325'!$D$50</definedName>
    <definedName name="OSRRefD22_7x_0" localSheetId="71">'326'!$D$90</definedName>
    <definedName name="OSRRefD22_7x_0" localSheetId="52">'330'!$D$112</definedName>
    <definedName name="OSRRefD22_7x_0" localSheetId="58">'331'!$D$119:$D$120</definedName>
    <definedName name="OSRRefD22_7x_0" localSheetId="60">'332'!$D$70</definedName>
    <definedName name="OSRRefD22_7x_0" localSheetId="76">'405'!$D$49</definedName>
    <definedName name="OSRRefD22_7x_0" localSheetId="77">'406'!$D$50</definedName>
    <definedName name="OSRRefD22_7x_0" localSheetId="78">'411'!$D$49</definedName>
    <definedName name="OSRRefD22_7x_0" localSheetId="79">'412'!$D$50</definedName>
    <definedName name="OSRRefD22_7x_0" localSheetId="80">'413'!$D$49:$D$51</definedName>
    <definedName name="OSRRefD22_7x_0" localSheetId="81">'414'!$D$50</definedName>
    <definedName name="OSRRefD22_7x_0" localSheetId="82">'415'!$D$51</definedName>
    <definedName name="OSRRefD22_7x_0" localSheetId="83">'418'!$D$51</definedName>
    <definedName name="OSRRefD22_7x_0" localSheetId="84">'420'!$D$49</definedName>
    <definedName name="OSRRefD22_7x_0" localSheetId="86">'424'!$D$43</definedName>
    <definedName name="OSRRefD22_7x_0" localSheetId="88">'425'!$D$54</definedName>
    <definedName name="OSRRefD22_7x_0" localSheetId="90">'430'!$D$42</definedName>
    <definedName name="OSRRefD22_7x_0" localSheetId="91">'433'!$D$52</definedName>
    <definedName name="OSRRefD22_7x_0" localSheetId="92">'435'!$D$43:$D$45</definedName>
    <definedName name="OSRRefD22_7x_0" localSheetId="93">'444'!$D$52</definedName>
    <definedName name="OSRRefD22_7x_0" localSheetId="94">'450'!$D$52</definedName>
    <definedName name="OSRRefD22_7x_0" localSheetId="75">'491'!$D$62</definedName>
    <definedName name="OSRRefD22_7x_0" localSheetId="89">'492'!$D$55</definedName>
    <definedName name="OSRRefD22_7x_0" localSheetId="96">'501'!$D$48</definedName>
    <definedName name="OSRRefD22_7x_0" localSheetId="39">'Div 2'!$D$50</definedName>
    <definedName name="OSRRefD22_7x_0" localSheetId="47">'Div 3'!$D$205</definedName>
    <definedName name="OSRRefD22_7x_0" localSheetId="73">'Div 4'!$D$62</definedName>
    <definedName name="OSRRefD22_7x_0" localSheetId="95">'Div 5'!$D$48</definedName>
    <definedName name="OSRRefD22_7x_0" localSheetId="63">'Div 6'!$D$88</definedName>
    <definedName name="OSRRefD22_7x_0" localSheetId="2">Summary!$D$239</definedName>
    <definedName name="OSRRefD22_8x_0" localSheetId="41">'201'!$D$45</definedName>
    <definedName name="OSRRefD22_8x_0" localSheetId="42">'202'!$D$47</definedName>
    <definedName name="OSRRefD22_8x_0" localSheetId="43">'203'!$D$49</definedName>
    <definedName name="OSRRefD22_8x_0" localSheetId="44">'204'!$D$51:$D$52</definedName>
    <definedName name="OSRRefD22_8x_0" localSheetId="45">'205'!$D$46</definedName>
    <definedName name="OSRRefD22_8x_0" localSheetId="46">'206'!$D$47</definedName>
    <definedName name="OSRRefD22_8x_0" localSheetId="48">'300'!$D$202</definedName>
    <definedName name="OSRRefD22_8x_0" localSheetId="49">'300 &amp; 317'!$D$228</definedName>
    <definedName name="OSRRefD22_8x_0" localSheetId="50">'301'!$D$55</definedName>
    <definedName name="OSRRefD22_8x_0" localSheetId="51">'306'!$D$52</definedName>
    <definedName name="OSRRefD22_8x_0" localSheetId="53">'307'!$D$106:$D$107</definedName>
    <definedName name="OSRRefD22_8x_0" localSheetId="55">'308'!$D$98:$D$99</definedName>
    <definedName name="OSRRefD22_8x_0" localSheetId="66">'309'!$D$51</definedName>
    <definedName name="OSRRefD22_8x_0" localSheetId="65">'310'!$D$60</definedName>
    <definedName name="OSRRefD22_8x_0" localSheetId="74">'310 &amp; 491'!$D$70</definedName>
    <definedName name="OSRRefD22_8x_0" localSheetId="56">'311'!$D$97:$D$98</definedName>
    <definedName name="OSRRefD22_8x_0" localSheetId="67">'313'!$D$55:$D$57</definedName>
    <definedName name="OSRRefD22_8x_0" localSheetId="54">'314'!$D$83</definedName>
    <definedName name="OSRRefD22_8x_0" localSheetId="59">'315'!$D$114:$D$115</definedName>
    <definedName name="OSRRefD22_8x_0" localSheetId="61">'316'!$D$64:$D$66</definedName>
    <definedName name="OSRRefD22_8x_0" localSheetId="64">'317'!$D$90:$D$91</definedName>
    <definedName name="OSRRefD22_8x_0" localSheetId="62">'320'!$D$56</definedName>
    <definedName name="OSRRefD22_8x_0" localSheetId="68">'321'!$D$53</definedName>
    <definedName name="OSRRefD22_8x_0" localSheetId="69">'322'!$D$51:$D$52</definedName>
    <definedName name="OSRRefD22_8x_0" localSheetId="70">'325'!$D$52</definedName>
    <definedName name="OSRRefD22_8x_0" localSheetId="71">'326'!$D$92</definedName>
    <definedName name="OSRRefD22_8x_0" localSheetId="52">'330'!$D$114:$D$115</definedName>
    <definedName name="OSRRefD22_8x_0" localSheetId="58">'331'!$D$122</definedName>
    <definedName name="OSRRefD22_8x_0" localSheetId="60">'332'!$D$72</definedName>
    <definedName name="OSRRefD22_8x_0" localSheetId="76">'405'!$D$51</definedName>
    <definedName name="OSRRefD22_8x_0" localSheetId="77">'406'!$D$52</definedName>
    <definedName name="OSRRefD22_8x_0" localSheetId="78">'411'!$D$51</definedName>
    <definedName name="OSRRefD22_8x_0" localSheetId="79">'412'!$D$52</definedName>
    <definedName name="OSRRefD22_8x_0" localSheetId="80">'413'!$D$53:$D$55</definedName>
    <definedName name="OSRRefD22_8x_0" localSheetId="81">'414'!$D$52</definedName>
    <definedName name="OSRRefD22_8x_0" localSheetId="82">'415'!$D$53</definedName>
    <definedName name="OSRRefD22_8x_0" localSheetId="83">'418'!$D$53</definedName>
    <definedName name="OSRRefD22_8x_0" localSheetId="86">'424'!$D$45:$D$46</definedName>
    <definedName name="OSRRefD22_8x_0" localSheetId="88">'425'!$D$56</definedName>
    <definedName name="OSRRefD22_8x_0" localSheetId="91">'433'!$D$54</definedName>
    <definedName name="OSRRefD22_8x_0" localSheetId="92">'435'!$D$47</definedName>
    <definedName name="OSRRefD22_8x_0" localSheetId="93">'444'!$D$54</definedName>
    <definedName name="OSRRefD22_8x_0" localSheetId="94">'450'!$D$54</definedName>
    <definedName name="OSRRefD22_8x_0" localSheetId="75">'491'!$D$64</definedName>
    <definedName name="OSRRefD22_8x_0" localSheetId="89">'492'!$D$57</definedName>
    <definedName name="OSRRefD22_8x_0" localSheetId="96">'501'!$D$50</definedName>
    <definedName name="OSRRefD22_8x_0" localSheetId="39">'Div 2'!$D$52</definedName>
    <definedName name="OSRRefD22_8x_0" localSheetId="47">'Div 3'!$D$207</definedName>
    <definedName name="OSRRefD22_8x_0" localSheetId="73">'Div 4'!$D$64</definedName>
    <definedName name="OSRRefD22_8x_0" localSheetId="95">'Div 5'!$D$50</definedName>
    <definedName name="OSRRefD22_8x_0" localSheetId="63">'Div 6'!$D$90:$D$91</definedName>
    <definedName name="OSRRefD22_8x_0" localSheetId="2">Summary!$D$241</definedName>
    <definedName name="OSRRefD22_9x_0" localSheetId="41">'201'!$D$47:$D$49</definedName>
    <definedName name="OSRRefD22_9x_0" localSheetId="42">'202'!$D$49:$D$51</definedName>
    <definedName name="OSRRefD22_9x_0" localSheetId="43">'203'!$D$51:$D$53</definedName>
    <definedName name="OSRRefD22_9x_0" localSheetId="44">'204'!$D$54</definedName>
    <definedName name="OSRRefD22_9x_0" localSheetId="48">'300'!$D$204</definedName>
    <definedName name="OSRRefD22_9x_0" localSheetId="49">'300 &amp; 317'!$D$230</definedName>
    <definedName name="OSRRefD22_9x_0" localSheetId="50">'301'!$D$57</definedName>
    <definedName name="OSRRefD22_9x_0" localSheetId="51">'306'!$D$54</definedName>
    <definedName name="OSRRefD22_9x_0" localSheetId="53">'307'!$D$109:$D$112</definedName>
    <definedName name="OSRRefD22_9x_0" localSheetId="55">'308'!$D$101:$D$102</definedName>
    <definedName name="OSRRefD22_9x_0" localSheetId="66">'309'!$D$53:$D$54</definedName>
    <definedName name="OSRRefD22_9x_0" localSheetId="65">'310'!$D$62</definedName>
    <definedName name="OSRRefD22_9x_0" localSheetId="74">'310 &amp; 491'!$D$72</definedName>
    <definedName name="OSRRefD22_9x_0" localSheetId="56">'311'!$D$100:$D$101</definedName>
    <definedName name="OSRRefD22_9x_0" localSheetId="67">'313'!$D$59</definedName>
    <definedName name="OSRRefD22_9x_0" localSheetId="59">'315'!$D$117:$D$118</definedName>
    <definedName name="OSRRefD22_9x_0" localSheetId="61">'316'!$D$68</definedName>
    <definedName name="OSRRefD22_9x_0" localSheetId="64">'317'!$D$93</definedName>
    <definedName name="OSRRefD22_9x_0" localSheetId="68">'321'!$D$55:$D$57</definedName>
    <definedName name="OSRRefD22_9x_0" localSheetId="69">'322'!$D$54:$D$56</definedName>
    <definedName name="OSRRefD22_9x_0" localSheetId="70">'325'!$D$54</definedName>
    <definedName name="OSRRefD22_9x_0" localSheetId="71">'326'!$D$94</definedName>
    <definedName name="OSRRefD22_9x_0" localSheetId="52">'330'!$D$117:$D$118</definedName>
    <definedName name="OSRRefD22_9x_0" localSheetId="58">'331'!$D$124</definedName>
    <definedName name="OSRRefD22_9x_0" localSheetId="60">'332'!$D$74:$D$76</definedName>
    <definedName name="OSRRefD22_9x_0" localSheetId="76">'405'!$D$53</definedName>
    <definedName name="OSRRefD22_9x_0" localSheetId="77">'406'!$D$54:$D$56</definedName>
    <definedName name="OSRRefD22_9x_0" localSheetId="78">'411'!$D$53</definedName>
    <definedName name="OSRRefD22_9x_0" localSheetId="79">'412'!$D$54:$D$56</definedName>
    <definedName name="OSRRefD22_9x_0" localSheetId="80">'413'!$D$57:$D$62</definedName>
    <definedName name="OSRRefD22_9x_0" localSheetId="81">'414'!$D$54:$D$55</definedName>
    <definedName name="OSRRefD22_9x_0" localSheetId="82">'415'!$D$55</definedName>
    <definedName name="OSRRefD22_9x_0" localSheetId="83">'418'!$D$55</definedName>
    <definedName name="OSRRefD22_9x_0" localSheetId="86">'424'!$D$48</definedName>
    <definedName name="OSRRefD22_9x_0" localSheetId="88">'425'!$D$58:$D$60</definedName>
    <definedName name="OSRRefD22_9x_0" localSheetId="91">'433'!$D$56</definedName>
    <definedName name="OSRRefD22_9x_0" localSheetId="93">'444'!$D$56</definedName>
    <definedName name="OSRRefD22_9x_0" localSheetId="94">'450'!$D$56</definedName>
    <definedName name="OSRRefD22_9x_0" localSheetId="75">'491'!$D$66</definedName>
    <definedName name="OSRRefD22_9x_0" localSheetId="89">'492'!$D$59</definedName>
    <definedName name="OSRRefD22_9x_0" localSheetId="96">'501'!$D$52:$D$54</definedName>
    <definedName name="OSRRefD22_9x_0" localSheetId="39">'Div 2'!$D$54:$D$55</definedName>
    <definedName name="OSRRefD22_9x_0" localSheetId="47">'Div 3'!$D$209</definedName>
    <definedName name="OSRRefD22_9x_0" localSheetId="73">'Div 4'!$D$66</definedName>
    <definedName name="OSRRefD22_9x_0" localSheetId="95">'Div 5'!$D$52:$D$54</definedName>
    <definedName name="OSRRefD22_9x_0" localSheetId="63">'Div 6'!$D$93</definedName>
    <definedName name="OSRRefD22_9x_0" localSheetId="2">Summary!$D$243</definedName>
    <definedName name="OSRRefD22x_0" localSheetId="40">'200'!$D$20,'200'!$D$22,'200'!$D$24,'200'!$D$26,'200'!$D$28:$D$29</definedName>
    <definedName name="OSRRefD22x_0" localSheetId="41">'201'!$D$20:$D$27,'201'!$D$29:$D$31,'201'!$D$33,'201'!$D$35,'201'!$D$37,'201'!$D$39,'201'!$D$41,'201'!$D$43,'201'!$D$45,'201'!$D$47:$D$49,'201'!$D$51:$D$53,'201'!$D$55,'201'!$D$57:$D$60,'201'!$D$62,'201'!$D$64,'201'!$D$66</definedName>
    <definedName name="OSRRefD22x_0" localSheetId="42">'202'!$D$20:$D$27,'202'!$D$29:$D$32,'202'!$D$34,'202'!$D$36,'202'!$D$38,'202'!$D$40,'202'!$D$42:$D$43,'202'!$D$45,'202'!$D$47,'202'!$D$49:$D$51,'202'!$D$53,'202'!$D$55,'202'!$D$57:$D$59,'202'!$D$61,'202'!$D$63,'202'!$D$65</definedName>
    <definedName name="OSRRefD22x_0" localSheetId="43">'203'!$D$20:$D$29,'203'!$D$31:$D$35,'203'!$D$37,'203'!$D$39,'203'!$D$41,'203'!$D$43,'203'!$D$45,'203'!$D$47,'203'!$D$49,'203'!$D$51:$D$53,'203'!$D$55:$D$56,'203'!$D$58,'203'!$D$60:$D$63,'203'!$D$65,'203'!$D$67,'203'!$D$69</definedName>
    <definedName name="OSRRefD22x_0" localSheetId="44">'204'!$D$20:$D$29,'204'!$D$31:$D$35,'204'!$D$37,'204'!$D$39,'204'!$D$41,'204'!$D$43,'204'!$D$45:$D$47,'204'!$D$49,'204'!$D$51:$D$52,'204'!$D$54,'204'!$D$56:$D$57</definedName>
    <definedName name="OSRRefD22x_0" localSheetId="45">'205'!$D$20:$D$27,'205'!$D$29,'205'!$D$31,'205'!$D$33,'205'!$D$35:$D$36,'205'!$D$38,'205'!$D$40:$D$42,'205'!$D$44,'205'!$D$46</definedName>
    <definedName name="OSRRefD22x_0" localSheetId="46">'206'!$D$20:$D$27,'206'!$D$29:$D$32,'206'!$D$34,'206'!$D$36,'206'!$D$38,'206'!$D$40,'206'!$D$42:$D$43,'206'!$D$45,'206'!$D$47</definedName>
    <definedName name="OSRRefD22x_0" localSheetId="48">'300'!$D$167:$D$176,'300'!$D$178:$D$184,'300'!$D$186,'300'!$D$188:$D$189,'300'!$D$191,'300'!$D$193:$D$195,'300'!$D$197:$D$198,'300'!$D$200,'300'!$D$202,'300'!$D$204,'300'!$D$206:$D$207,'300'!$D$209,'300'!$D$211,'300'!$D$213:$D$215,'300'!$D$217,'300'!$D$219,'300'!$D$221:$D$224,'300'!$D$226:$D$228,'300'!$D$230:$D$233,'300'!$D$235:$D$236,'300'!$D$238:$D$244,'300'!$D$246:$D$247,'300'!$D$249,'300'!$D$251:$D$253,'300'!$D$255</definedName>
    <definedName name="OSRRefD22x_0" localSheetId="49">'300 &amp; 317'!$D$193:$D$202,'300 &amp; 317'!$D$204:$D$210,'300 &amp; 317'!$D$212,'300 &amp; 317'!$D$214:$D$215,'300 &amp; 317'!$D$217,'300 &amp; 317'!$D$219:$D$221,'300 &amp; 317'!$D$223:$D$224,'300 &amp; 317'!$D$226,'300 &amp; 317'!$D$228,'300 &amp; 317'!$D$230,'300 &amp; 317'!$D$232:$D$233,'300 &amp; 317'!$D$235,'300 &amp; 317'!$D$237,'300 &amp; 317'!$D$239:$D$241,'300 &amp; 317'!$D$243,'300 &amp; 317'!$D$245,'300 &amp; 317'!$D$247:$D$250,'300 &amp; 317'!$D$252:$D$254,'300 &amp; 317'!$D$256:$D$259,'300 &amp; 317'!$D$261:$D$262,'300 &amp; 317'!$D$264:$D$270,'300 &amp; 317'!$D$272:$D$273,'300 &amp; 317'!$D$275,'300 &amp; 317'!$D$277:$D$279,'300 &amp; 317'!$D$281</definedName>
    <definedName name="OSRRefD22x_0" localSheetId="50">'301'!$D$20:$D$29,'301'!$D$31:$D$37,'301'!$D$39,'301'!$D$41:$D$42,'301'!$D$44,'301'!$D$46:$D$48,'301'!$D$50:$D$51,'301'!$D$53,'301'!$D$55,'301'!$D$57,'301'!$D$59,'301'!$D$61,'301'!$D$63,'301'!$D$65,'301'!$D$67,'301'!$D$69:$D$72,'301'!$D$74:$D$76,'301'!$D$78:$D$79,'301'!$D$81:$D$86,'301'!$D$88,'301'!$D$90,'301'!$D$92:$D$94,'301'!$D$96</definedName>
    <definedName name="OSRRefD22x_0" localSheetId="51">'306'!$D$20:$D$28,'306'!$D$30:$D$35,'306'!$D$37,'306'!$D$39,'306'!$D$41,'306'!$D$43,'306'!$D$45:$D$46,'306'!$D$48:$D$50,'306'!$D$52,'306'!$D$54</definedName>
    <definedName name="OSRRefD22x_0" localSheetId="53">'307'!$D$78:$D$85,'307'!$D$87:$D$90,'307'!$D$92,'307'!$D$94,'307'!$D$96:$D$97,'307'!$D$99,'307'!$D$101,'307'!$D$103:$D$104,'307'!$D$106:$D$107,'307'!$D$109:$D$112,'307'!$D$114,'307'!$D$116</definedName>
    <definedName name="OSRRefD22x_0" localSheetId="55">'308'!$D$66:$D$74,'308'!$D$76:$D$82,'308'!$D$84,'308'!$D$86:$D$87,'308'!$D$89,'308'!$D$91,'308'!$D$93:$D$94,'308'!$D$96,'308'!$D$98:$D$99,'308'!$D$101:$D$102,'308'!$D$104:$D$105,'308'!$D$107:$D$109,'308'!$D$111:$D$112,'308'!$D$114,'308'!$D$116</definedName>
    <definedName name="OSRRefD22x_0" localSheetId="66">'309'!$D$24:$D$31,'309'!$D$33:$D$37,'309'!$D$39,'309'!$D$41,'309'!$D$43,'309'!$D$45,'309'!$D$47,'309'!$D$49,'309'!$D$51,'309'!$D$53:$D$54,'309'!$D$56:$D$58,'309'!$D$60:$D$62,'309'!$D$64</definedName>
    <definedName name="OSRRefD22x_0" localSheetId="65">'310'!$D$31:$D$38,'310'!$D$40:$D$45,'310'!$D$47,'310'!$D$49,'310'!$D$51,'310'!$D$53:$D$54,'310'!$D$56,'310'!$D$58,'310'!$D$60,'310'!$D$62,'310'!$D$64,'310'!$D$66,'310'!$D$68,'310'!$D$70,'310'!$D$72:$D$74,'310'!$D$76,'310'!$D$78:$D$81,'310'!$D$83,'310'!$D$85:$D$93,'310'!$D$95,'310'!$D$97,'310'!$D$99</definedName>
    <definedName name="OSRRefD22x_0" localSheetId="74">'310 &amp; 491'!$D$38:$D$46,'310 &amp; 491'!$D$48:$D$54,'310 &amp; 491'!$D$56,'310 &amp; 491'!$D$58,'310 &amp; 491'!$D$60,'310 &amp; 491'!$D$62:$D$64,'310 &amp; 491'!$D$66,'310 &amp; 491'!$D$68,'310 &amp; 491'!$D$70,'310 &amp; 491'!$D$72,'310 &amp; 491'!$D$74:$D$75,'310 &amp; 491'!$D$77:$D$78,'310 &amp; 491'!$D$80,'310 &amp; 491'!$D$82,'310 &amp; 491'!$D$84,'310 &amp; 491'!$D$86,'310 &amp; 491'!$D$88:$D$91,'310 &amp; 491'!$D$93:$D$94,'310 &amp; 491'!$D$96:$D$100,'310 &amp; 491'!$D$102:$D$103,'310 &amp; 491'!$D$105:$D$114,'310 &amp; 491'!$D$116,'310 &amp; 491'!$D$118,'310 &amp; 491'!$D$120:$D$122,'310 &amp; 491'!$D$124</definedName>
    <definedName name="OSRRefD22x_0" localSheetId="56">'311'!$D$65:$D$73,'311'!$D$75:$D$81,'311'!$D$83,'311'!$D$85:$D$86,'311'!$D$88,'311'!$D$90,'311'!$D$92:$D$93,'311'!$D$95,'311'!$D$97:$D$98,'311'!$D$100:$D$101,'311'!$D$103:$D$104,'311'!$D$106:$D$108,'311'!$D$110:$D$111,'311'!$D$113,'311'!$D$115</definedName>
    <definedName name="OSRRefD22x_0" localSheetId="67">'313'!$D$28:$D$35,'313'!$D$37:$D$41,'313'!$D$43,'313'!$D$45,'313'!$D$47,'313'!$D$49,'313'!$D$51,'313'!$D$53,'313'!$D$55:$D$57,'313'!$D$59,'313'!$D$61:$D$66,'313'!$D$68,'313'!$D$70</definedName>
    <definedName name="OSRRefD22x_0" localSheetId="54">'314'!$D$56:$D$64,'314'!$D$66:$D$68,'314'!$D$70,'314'!$D$72:$D$73,'314'!$D$75,'314'!$D$77,'314'!$D$79,'314'!$D$81,'314'!$D$83</definedName>
    <definedName name="OSRRefD22x_0" localSheetId="59">'315'!$D$83:$D$90,'315'!$D$92:$D$97,'315'!$D$99,'315'!$D$101:$D$102,'315'!$D$104,'315'!$D$106:$D$107,'315'!$D$109:$D$110,'315'!$D$112,'315'!$D$114:$D$115,'315'!$D$117:$D$118,'315'!$D$120:$D$124,'315'!$D$126,'315'!$D$128,'315'!$D$130:$D$131</definedName>
    <definedName name="OSRRefD22x_0" localSheetId="61">'316'!$D$37:$D$44,'316'!$D$46:$D$49,'316'!$D$51,'316'!$D$53,'316'!$D$55,'316'!$D$57,'316'!$D$59:$D$60,'316'!$D$62,'316'!$D$64:$D$66,'316'!$D$68,'316'!$D$70:$D$75,'316'!$D$77,'316'!$D$79,'316'!$D$81</definedName>
    <definedName name="OSRRefD22x_0" localSheetId="64">'317'!$D$61:$D$69,'317'!$D$71:$D$75,'317'!$D$77,'317'!$D$79,'317'!$D$81,'317'!$D$83:$D$84,'317'!$D$86,'317'!$D$88,'317'!$D$90:$D$91,'317'!$D$93,'317'!$D$95:$D$99,'317'!$D$101,'317'!$D$103,'317'!$D$105</definedName>
    <definedName name="OSRRefD22x_0" localSheetId="62">'320'!$D$28:$D$34,'320'!$D$36:$D$40,'320'!$D$42,'320'!$D$44,'320'!$D$46:$D$47,'320'!$D$49,'320'!$D$51,'320'!$D$53:$D$54,'320'!$D$56</definedName>
    <definedName name="OSRRefD22x_0" localSheetId="68">'321'!$D$24:$D$31,'321'!$D$33:$D$37,'321'!$D$39,'321'!$D$41,'321'!$D$43,'321'!$D$45,'321'!$D$47,'321'!$D$49:$D$51,'321'!$D$53,'321'!$D$55:$D$57,'321'!$D$59:$D$63,'321'!$D$65,'321'!$D$67</definedName>
    <definedName name="OSRRefD22x_0" localSheetId="69">'322'!$D$24:$D$31,'322'!$D$33:$D$37,'322'!$D$39,'322'!$D$41,'322'!$D$43,'322'!$D$45,'322'!$D$47,'322'!$D$49,'322'!$D$51:$D$52,'322'!$D$54:$D$56,'322'!$D$58:$D$64,'322'!$D$66,'322'!$D$68</definedName>
    <definedName name="OSRRefD22x_0" localSheetId="70">'325'!$D$24:$D$31,'325'!$D$33:$D$37,'325'!$D$39,'325'!$D$41,'325'!$D$43,'325'!$D$45:$D$46,'325'!$D$48,'325'!$D$50,'325'!$D$52,'325'!$D$54,'325'!$D$56,'325'!$D$58:$D$60,'325'!$D$62:$D$64,'325'!$D$66,'325'!$D$68:$D$72,'325'!$D$74,'325'!$D$76,'325'!$D$78</definedName>
    <definedName name="OSRRefD22x_0" localSheetId="71">'326'!$D$63:$D$70,'326'!$D$72:$D$77,'326'!$D$79,'326'!$D$81,'326'!$D$83,'326'!$D$85:$D$86,'326'!$D$88,'326'!$D$90,'326'!$D$92,'326'!$D$94,'326'!$D$96,'326'!$D$98,'326'!$D$100:$D$102,'326'!$D$104:$D$106,'326'!$D$108:$D$109,'326'!$D$111:$D$116,'326'!$D$118,'326'!$D$120,'326'!$D$122,'326'!$D$124</definedName>
    <definedName name="OSRRefD22x_0" localSheetId="72">'327'!$D$22,'327'!$D$24,'327'!$D$26</definedName>
    <definedName name="OSRRefD22x_0" localSheetId="52">'330'!$D$85:$D$93,'330'!$D$95:$D$99,'330'!$D$101,'330'!$D$103,'330'!$D$105:$D$106,'330'!$D$108,'330'!$D$110,'330'!$D$112,'330'!$D$114:$D$115,'330'!$D$117:$D$118,'330'!$D$120,'330'!$D$122:$D$125,'330'!$D$127,'330'!$D$129,'330'!$D$131</definedName>
    <definedName name="OSRRefD22x_0" localSheetId="58">'331'!$D$92:$D$99,'331'!$D$101:$D$106,'331'!$D$108,'331'!$D$110,'331'!$D$112,'331'!$D$114:$D$115,'331'!$D$117,'331'!$D$119:$D$120,'331'!$D$122,'331'!$D$124,'331'!$D$126:$D$127,'331'!$D$129,'331'!$D$131,'331'!$D$133:$D$135,'331'!$D$137:$D$138,'331'!$D$140:$D$142,'331'!$D$144:$D$145,'331'!$D$147:$D$152,'331'!$D$154,'331'!$D$156,'331'!$D$158:$D$159,'331'!$D$161</definedName>
    <definedName name="OSRRefD22x_0" localSheetId="60">'332'!$D$44:$D$51,'332'!$D$53:$D$57,'332'!$D$59,'332'!$D$61,'332'!$D$63,'332'!$D$65,'332'!$D$67:$D$68,'332'!$D$70,'332'!$D$72,'332'!$D$74:$D$76,'332'!$D$78,'332'!$D$80:$D$85,'332'!$D$87,'332'!$D$89,'332'!$D$91</definedName>
    <definedName name="OSRRefD22x_0" localSheetId="76">'405'!$D$24:$D$31,'405'!$D$33:$D$36,'405'!$D$38,'405'!$D$40,'405'!$D$42,'405'!$D$44:$D$45,'405'!$D$47,'405'!$D$49,'405'!$D$51,'405'!$D$53,'405'!$D$55:$D$56,'405'!$D$58,'405'!$D$60:$D$62,'405'!$D$64:$D$65,'405'!$D$67:$D$73,'405'!$D$75,'405'!$D$77,'405'!$D$79</definedName>
    <definedName name="OSRRefD22x_0" localSheetId="77">'406'!$D$24:$D$31,'406'!$D$33:$D$38,'406'!$D$40,'406'!$D$42,'406'!$D$44,'406'!$D$46,'406'!$D$48,'406'!$D$50,'406'!$D$52,'406'!$D$54:$D$56,'406'!$D$58:$D$59,'406'!$D$61:$D$66,'406'!$D$68,'406'!$D$70,'406'!$D$72</definedName>
    <definedName name="OSRRefD22x_0" localSheetId="78">'411'!$D$20:$D$28,'411'!$D$30:$D$35,'411'!$D$37,'411'!$D$39,'411'!$D$41:$D$43,'411'!$D$45,'411'!$D$47,'411'!$D$49,'411'!$D$51,'411'!$D$53,'411'!$D$55,'411'!$D$57,'411'!$D$59:$D$62,'411'!$D$64:$D$68,'411'!$D$70:$D$71,'411'!$D$73:$D$81,'411'!$D$83,'411'!$D$85,'411'!$D$87:$D$89,'411'!$D$91</definedName>
    <definedName name="OSRRefD22x_0" localSheetId="79">'412'!$D$24:$D$31,'412'!$D$33:$D$38,'412'!$D$40,'412'!$D$42,'412'!$D$44,'412'!$D$46,'412'!$D$48,'412'!$D$50,'412'!$D$52,'412'!$D$54:$D$56,'412'!$D$58:$D$60,'412'!$D$62:$D$67,'412'!$D$69,'412'!$D$71</definedName>
    <definedName name="OSRRefD22x_0" localSheetId="80">'413'!$D$24:$D$31,'413'!$D$33:$D$37,'413'!$D$39,'413'!$D$41,'413'!$D$43,'413'!$D$45,'413'!$D$47,'413'!$D$49:$D$51,'413'!$D$53:$D$55,'413'!$D$57:$D$62,'413'!$D$64,'413'!$D$66</definedName>
    <definedName name="OSRRefD22x_0" localSheetId="81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2">'415'!$D$24:$D$31,'415'!$D$33:$D$38,'415'!$D$40,'415'!$D$42,'415'!$D$44,'415'!$D$46:$D$47,'415'!$D$49,'415'!$D$51,'415'!$D$53,'415'!$D$55,'415'!$D$57,'415'!$D$59:$D$62,'415'!$D$64:$D$68,'415'!$D$70:$D$71,'415'!$D$73:$D$81,'415'!$D$83,'415'!$D$85,'415'!$D$87</definedName>
    <definedName name="OSRRefD22x_0" localSheetId="83">'418'!$D$24:$D$31,'418'!$D$33:$D$38,'418'!$D$40,'418'!$D$42,'418'!$D$44,'418'!$D$46:$D$47,'418'!$D$49,'418'!$D$51,'418'!$D$53,'418'!$D$55,'418'!$D$57:$D$58,'418'!$D$60:$D$62,'418'!$D$64:$D$66,'418'!$D$68:$D$69,'418'!$D$71:$D$78,'418'!$D$80,'418'!$D$82</definedName>
    <definedName name="OSRRefD22x_0" localSheetId="84">'420'!$D$24:$D$31,'420'!$D$33:$D$36,'420'!$D$38,'420'!$D$40,'420'!$D$42,'420'!$D$44,'420'!$D$46:$D$47,'420'!$D$49</definedName>
    <definedName name="OSRRefD22x_0" localSheetId="85">'423'!$D$21:$D$28,'423'!$D$30:$D$31,'423'!$D$33,'423'!$D$35,'423'!$D$37,'423'!$D$39,'423'!$D$41</definedName>
    <definedName name="OSRRefD22x_0" localSheetId="86">'424'!$D$24:$D$25,'424'!$D$27:$D$31,'424'!$D$33,'424'!$D$35,'424'!$D$37,'424'!$D$39,'424'!$D$41,'424'!$D$43,'424'!$D$45:$D$46,'424'!$D$48,'424'!$D$50,'424'!$D$52:$D$56,'424'!$D$58</definedName>
    <definedName name="OSRRefD22x_0" localSheetId="88">'425'!$D$27:$D$35,'425'!$D$37:$D$42,'425'!$D$44,'425'!$D$46,'425'!$D$48,'425'!$D$50,'425'!$D$52,'425'!$D$54,'425'!$D$56,'425'!$D$58:$D$60,'425'!$D$62,'425'!$D$64:$D$66,'425'!$D$68:$D$74,'425'!$D$76,'425'!$D$78</definedName>
    <definedName name="OSRRefD22x_0" localSheetId="90">'430'!$D$20:$D$27,'430'!$D$29,'430'!$D$31,'430'!$D$33,'430'!$D$35:$D$36,'430'!$D$38,'430'!$D$40,'430'!$D$42</definedName>
    <definedName name="OSRRefD22x_0" localSheetId="91">'433'!$D$25:$D$33,'433'!$D$35:$D$40,'433'!$D$42,'433'!$D$44,'433'!$D$46,'433'!$D$48,'433'!$D$50,'433'!$D$52,'433'!$D$54,'433'!$D$56,'433'!$D$58,'433'!$D$60:$D$62,'433'!$D$64:$D$66,'433'!$D$68:$D$75,'433'!$D$77,'433'!$D$79,'433'!$D$81</definedName>
    <definedName name="OSRRefD22x_0" localSheetId="92">'435'!$D$25:$D$27,'435'!$D$29:$D$31,'435'!$D$33,'435'!$D$35,'435'!$D$37,'435'!$D$39,'435'!$D$41,'435'!$D$43:$D$45,'435'!$D$47</definedName>
    <definedName name="OSRRefD22x_0" localSheetId="93">'444'!$D$25:$D$33,'444'!$D$35:$D$40,'444'!$D$42,'444'!$D$44,'444'!$D$46,'444'!$D$48,'444'!$D$50,'444'!$D$52,'444'!$D$54,'444'!$D$56,'444'!$D$58,'444'!$D$60:$D$62,'444'!$D$64:$D$67,'444'!$D$69,'444'!$D$71:$D$79,'444'!$D$81,'444'!$D$83,'444'!$D$85</definedName>
    <definedName name="OSRRefD22x_0" localSheetId="94">'450'!$D$25:$D$33,'450'!$D$35:$D$40,'450'!$D$42,'450'!$D$44,'450'!$D$46,'450'!$D$48,'450'!$D$50,'450'!$D$52,'450'!$D$54,'450'!$D$56,'450'!$D$58,'450'!$D$60,'450'!$D$62:$D$63,'450'!$D$65:$D$67,'450'!$D$69:$D$74,'450'!$D$76,'450'!$D$78,'450'!$D$80</definedName>
    <definedName name="OSRRefD22x_0" localSheetId="87">'455'!$D$20:$D$26,'455'!$D$28:$D$29</definedName>
    <definedName name="OSRRefD22x_0" localSheetId="75">'491'!$D$32:$D$40,'491'!$D$42:$D$48,'491'!$D$50,'491'!$D$52,'491'!$D$54,'491'!$D$56:$D$58,'491'!$D$60,'491'!$D$62,'491'!$D$64,'491'!$D$66,'491'!$D$68,'491'!$D$70:$D$71,'491'!$D$73,'491'!$D$75,'491'!$D$77,'491'!$D$79,'491'!$D$81:$D$84,'491'!$D$86:$D$87,'491'!$D$89:$D$93,'491'!$D$95:$D$96,'491'!$D$98:$D$107,'491'!$D$109,'491'!$D$111,'491'!$D$113:$D$115,'491'!$D$117</definedName>
    <definedName name="OSRRefD22x_0" localSheetId="89">'492'!$D$27:$D$35,'492'!$D$37:$D$43,'492'!$D$45,'492'!$D$47,'492'!$D$49,'492'!$D$51,'492'!$D$53,'492'!$D$55,'492'!$D$57,'492'!$D$59,'492'!$D$61,'492'!$D$63,'492'!$D$65:$D$67,'492'!$D$69:$D$72,'492'!$D$74,'492'!$D$76:$D$84,'492'!$D$86,'492'!$D$88,'492'!$D$90</definedName>
    <definedName name="OSRRefD22x_0" localSheetId="96">'501'!$D$21:$D$29,'501'!$D$31:$D$35,'501'!$D$37,'501'!$D$39,'501'!$D$41,'501'!$D$43:$D$44,'501'!$D$46,'501'!$D$48,'501'!$D$50,'501'!$D$52:$D$54,'501'!$D$56,'501'!$D$58:$D$60,'501'!$D$62,'501'!$D$64</definedName>
    <definedName name="OSRRefD22x_0" localSheetId="39">'Div 2'!$D$20:$D$30,'Div 2'!$D$32:$D$38,'Div 2'!$D$40,'Div 2'!$D$42,'Div 2'!$D$44,'Div 2'!$D$46,'Div 2'!$D$48,'Div 2'!$D$50,'Div 2'!$D$52,'Div 2'!$D$54:$D$55,'Div 2'!$D$57,'Div 2'!$D$59,'Div 2'!$D$61:$D$64,'Div 2'!$D$66:$D$68,'Div 2'!$D$70:$D$71,'Div 2'!$D$73,'Div 2'!$D$75:$D$79,'Div 2'!$D$81:$D$82,'Div 2'!$D$84,'Div 2'!$D$86:$D$87</definedName>
    <definedName name="OSRRefD22x_0" localSheetId="47">'Div 3'!$D$172:$D$181,'Div 3'!$D$183:$D$189,'Div 3'!$D$191,'Div 3'!$D$193:$D$194,'Div 3'!$D$196,'Div 3'!$D$198:$D$200,'Div 3'!$D$202:$D$203,'Div 3'!$D$205,'Div 3'!$D$207,'Div 3'!$D$209,'Div 3'!$D$211:$D$212,'Div 3'!$D$214,'Div 3'!$D$216,'Div 3'!$D$218,'Div 3'!$D$220:$D$222,'Div 3'!$D$224,'Div 3'!$D$226,'Div 3'!$D$228:$D$231,'Div 3'!$D$233:$D$235,'Div 3'!$D$237:$D$241,'Div 3'!$D$243:$D$244,'Div 3'!$D$246:$D$254,'Div 3'!$D$256:$D$257,'Div 3'!$D$259,'Div 3'!$D$261:$D$263,'Div 3'!$D$265</definedName>
    <definedName name="OSRRefD22x_0" localSheetId="73">'Div 4'!$D$32:$D$40,'Div 4'!$D$42:$D$48,'Div 4'!$D$50,'Div 4'!$D$52,'Div 4'!$D$54,'Div 4'!$D$56:$D$58,'Div 4'!$D$60,'Div 4'!$D$62,'Div 4'!$D$64,'Div 4'!$D$66,'Div 4'!$D$68,'Div 4'!$D$70:$D$71,'Div 4'!$D$73,'Div 4'!$D$75,'Div 4'!$D$77,'Div 4'!$D$79,'Div 4'!$D$81,'Div 4'!$D$83:$D$86,'Div 4'!$D$88:$D$89,'Div 4'!$D$91:$D$95,'Div 4'!$D$97:$D$98,'Div 4'!$D$100:$D$109,'Div 4'!$D$111,'Div 4'!$D$113,'Div 4'!$D$115:$D$117,'Div 4'!$D$119</definedName>
    <definedName name="OSRRefD22x_0" localSheetId="95">'Div 5'!$D$21:$D$29,'Div 5'!$D$31:$D$35,'Div 5'!$D$37,'Div 5'!$D$39,'Div 5'!$D$41,'Div 5'!$D$43:$D$44,'Div 5'!$D$46,'Div 5'!$D$48,'Div 5'!$D$50,'Div 5'!$D$52:$D$54,'Div 5'!$D$56,'Div 5'!$D$58:$D$60,'Div 5'!$D$62,'Div 5'!$D$64</definedName>
    <definedName name="OSRRefD22x_0" localSheetId="63">'Div 6'!$D$61:$D$69,'Div 6'!$D$71:$D$75,'Div 6'!$D$77,'Div 6'!$D$79,'Div 6'!$D$81,'Div 6'!$D$83:$D$84,'Div 6'!$D$86,'Div 6'!$D$88,'Div 6'!$D$90:$D$91,'Div 6'!$D$93,'Div 6'!$D$95:$D$99,'Div 6'!$D$101,'Div 6'!$D$103,'Div 6'!$D$105</definedName>
    <definedName name="OSRRefD22x_0" localSheetId="2">Summary!$D$205:$D$214,Summary!$D$216:$D$222,Summary!$D$224,Summary!$D$226:$D$227,Summary!$D$229,Summary!$D$231:$D$234,Summary!$D$236:$D$237,Summary!$D$239,Summary!$D$241,Summary!$D$243,Summary!$D$245:$D$246,Summary!$D$248:$D$249,Summary!$D$251,Summary!$D$253,Summary!$D$255:$D$257,Summary!$D$259,Summary!$D$261,Summary!$D$263,Summary!$D$265:$D$268,Summary!$D$270:$D$272,Summary!$D$274:$D$278,Summary!$D$280:$D$281,Summary!$D$283:$D$292,Summary!$D$294:$D$295,Summary!$D$297,Summary!$D$299:$D$301,Summary!$D$303</definedName>
    <definedName name="OSRRefD25x_0" localSheetId="48">'300'!$D$258:$D$266</definedName>
    <definedName name="OSRRefD25x_0" localSheetId="49">'300 &amp; 317'!$D$284:$D$295</definedName>
    <definedName name="OSRRefD25x_0" localSheetId="50">'301'!$D$99:$D$101</definedName>
    <definedName name="OSRRefD25x_0" localSheetId="53">'307'!$D$119</definedName>
    <definedName name="OSRRefD25x_0" localSheetId="55">'308'!$D$119:$D$121</definedName>
    <definedName name="OSRRefD25x_0" localSheetId="74">'310 &amp; 491'!$D$127:$D$129</definedName>
    <definedName name="OSRRefD25x_0" localSheetId="56">'311'!$D$118:$D$120</definedName>
    <definedName name="OSRRefD25x_0" localSheetId="59">'315'!$D$134:$D$135</definedName>
    <definedName name="OSRRefD25x_0" localSheetId="61">'316'!$D$84</definedName>
    <definedName name="OSRRefD25x_0" localSheetId="64">'317'!$D$108:$D$111</definedName>
    <definedName name="OSRRefD25x_0" localSheetId="62">'320'!$D$59:$D$63</definedName>
    <definedName name="OSRRefD25x_0" localSheetId="52">'330'!$D$134</definedName>
    <definedName name="OSRRefD25x_0" localSheetId="58">'331'!$D$164:$D$165</definedName>
    <definedName name="OSRRefD25x_0" localSheetId="60">'332'!$D$94:$D$99</definedName>
    <definedName name="OSRRefD25x_0" localSheetId="78">'411'!$D$94:$D$95</definedName>
    <definedName name="OSRRefD25x_0" localSheetId="80">'413'!$D$69</definedName>
    <definedName name="OSRRefD25x_0" localSheetId="82">'415'!$D$90</definedName>
    <definedName name="OSRRefD25x_0" localSheetId="83">'418'!$D$85</definedName>
    <definedName name="OSRRefD25x_0" localSheetId="85">'423'!$D$44</definedName>
    <definedName name="OSRRefD25x_0" localSheetId="86">'424'!$D$61</definedName>
    <definedName name="OSRRefD25x_0" localSheetId="88">'425'!$D$81</definedName>
    <definedName name="OSRRefD25x_0" localSheetId="87">'455'!$D$32:$D$34</definedName>
    <definedName name="OSRRefD25x_0" localSheetId="75">'491'!$D$120:$D$122</definedName>
    <definedName name="OSRRefD25x_0" localSheetId="96">'501'!$D$67</definedName>
    <definedName name="OSRRefD25x_0" localSheetId="47">'Div 3'!$D$268:$D$276</definedName>
    <definedName name="OSRRefD25x_0" localSheetId="73">'Div 4'!$D$122:$D$124</definedName>
    <definedName name="OSRRefD25x_0" localSheetId="95">'Div 5'!$D$67</definedName>
    <definedName name="OSRRefD25x_0" localSheetId="63">'Div 6'!$D$108:$D$111</definedName>
    <definedName name="OSRRefD25x_0" localSheetId="2">Summary!$D$306:$D$318</definedName>
    <definedName name="OSRRefH13x_0" localSheetId="48">'300'!$H$13:$H$108</definedName>
    <definedName name="OSRRefH13x_0" localSheetId="49">'300 &amp; 317'!$H$13:$H$126</definedName>
    <definedName name="OSRRefH13x_0" localSheetId="53">'307'!$H$13:$H$49</definedName>
    <definedName name="OSRRefH13x_0" localSheetId="55">'308'!$H$13:$H$41</definedName>
    <definedName name="OSRRefH13x_0" localSheetId="66">'309'!$H$13:$H$14</definedName>
    <definedName name="OSRRefH13x_0" localSheetId="65">'310'!$H$13:$H$21</definedName>
    <definedName name="OSRRefH13x_0" localSheetId="74">'310 &amp; 491'!$H$13:$H$28</definedName>
    <definedName name="OSRRefH13x_0" localSheetId="56">'311'!$H$13:$H$40</definedName>
    <definedName name="OSRRefH13x_0" localSheetId="67">'313'!$H$13:$H$18</definedName>
    <definedName name="OSRRefH13x_0" localSheetId="54">'314'!$H$13:$H$33</definedName>
    <definedName name="OSRRefH13x_0" localSheetId="59">'315'!$H$13:$H$50</definedName>
    <definedName name="OSRRefH13x_0" localSheetId="61">'316'!$H$13:$H$29</definedName>
    <definedName name="OSRRefH13x_0" localSheetId="64">'317'!$H$13:$H$37</definedName>
    <definedName name="OSRRefH13x_0" localSheetId="62">'320'!$H$13:$H$15</definedName>
    <definedName name="OSRRefH13x_0" localSheetId="68">'321'!$H$13:$H$14</definedName>
    <definedName name="OSRRefH13x_0" localSheetId="69">'322'!$H$13:$H$14</definedName>
    <definedName name="OSRRefH13x_0" localSheetId="57">'324'!$H$13:$H$15</definedName>
    <definedName name="OSRRefH13x_0" localSheetId="70">'325'!$H$13:$H$14</definedName>
    <definedName name="OSRRefH13x_0" localSheetId="71">'326'!$H$13:$H$38</definedName>
    <definedName name="OSRRefH13x_0" localSheetId="72">'327'!$H$13</definedName>
    <definedName name="OSRRefH13x_0" localSheetId="52">'330'!$H$13:$H$53</definedName>
    <definedName name="OSRRefH13x_0" localSheetId="58">'331'!$H$13:$H$54</definedName>
    <definedName name="OSRRefH13x_0" localSheetId="60">'332'!$H$13:$H$31</definedName>
    <definedName name="OSRRefH13x_0" localSheetId="76">'405'!$H$13:$H$14</definedName>
    <definedName name="OSRRefH13x_0" localSheetId="77">'406'!$H$13:$H$14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4">'420'!$H$13:$H$14</definedName>
    <definedName name="OSRRefH13x_0" localSheetId="86">'424'!$H$13:$H$14</definedName>
    <definedName name="OSRRefH13x_0" localSheetId="88">'425'!$H$13:$H$17</definedName>
    <definedName name="OSRRefH13x_0" localSheetId="91">'433'!$H$13:$H$15</definedName>
    <definedName name="OSRRefH13x_0" localSheetId="92">'435'!$H$13:$H$15</definedName>
    <definedName name="OSRRefH13x_0" localSheetId="93">'444'!$H$13:$H$15</definedName>
    <definedName name="OSRRefH13x_0" localSheetId="94">'450'!$H$13:$H$15</definedName>
    <definedName name="OSRRefH13x_0" localSheetId="75">'491'!$H$13:$H$22</definedName>
    <definedName name="OSRRefH13x_0" localSheetId="89">'492'!$H$13:$H$17</definedName>
    <definedName name="OSRRefH13x_0" localSheetId="96">'501'!$H$13</definedName>
    <definedName name="OSRRefH13x_0" localSheetId="47">'Div 3'!$H$13:$H$111</definedName>
    <definedName name="OSRRefH13x_0" localSheetId="73">'Div 4'!$H$13:$H$22</definedName>
    <definedName name="OSRRefH13x_0" localSheetId="95">'Div 5'!$H$13</definedName>
    <definedName name="OSRRefH13x_0" localSheetId="63">'Div 6'!$H$13:$H$37</definedName>
    <definedName name="OSRRefH13x_0" localSheetId="2">Summary!$H$13:$H$136</definedName>
    <definedName name="OSRRefH16x_0" localSheetId="48">'300'!$H$111:$H$161</definedName>
    <definedName name="OSRRefH16x_0" localSheetId="49">'300 &amp; 317'!$H$129:$H$187</definedName>
    <definedName name="OSRRefH16x_0" localSheetId="53">'307'!$H$52:$H$72</definedName>
    <definedName name="OSRRefH16x_0" localSheetId="55">'308'!$H$44:$H$60</definedName>
    <definedName name="OSRRefH16x_0" localSheetId="66">'309'!$H$17:$H$18</definedName>
    <definedName name="OSRRefH16x_0" localSheetId="65">'310'!$H$24:$H$25</definedName>
    <definedName name="OSRRefH16x_0" localSheetId="74">'310 &amp; 491'!$H$31:$H$32</definedName>
    <definedName name="OSRRefH16x_0" localSheetId="56">'311'!$H$43:$H$59</definedName>
    <definedName name="OSRRefH16x_0" localSheetId="67">'313'!$H$21:$H$22</definedName>
    <definedName name="OSRRefH16x_0" localSheetId="54">'314'!$H$36:$H$50</definedName>
    <definedName name="OSRRefH16x_0" localSheetId="59">'315'!$H$53:$H$77</definedName>
    <definedName name="OSRRefH16x_0" localSheetId="64">'317'!$H$40:$H$55</definedName>
    <definedName name="OSRRefH16x_0" localSheetId="62">'320'!$H$18:$H$22</definedName>
    <definedName name="OSRRefH16x_0" localSheetId="68">'321'!$H$17:$H$18</definedName>
    <definedName name="OSRRefH16x_0" localSheetId="69">'322'!$H$17:$H$18</definedName>
    <definedName name="OSRRefH16x_0" localSheetId="57">'324'!$H$18:$H$19</definedName>
    <definedName name="OSRRefH16x_0" localSheetId="70">'325'!$H$17:$H$18</definedName>
    <definedName name="OSRRefH16x_0" localSheetId="71">'326'!$H$41:$H$57</definedName>
    <definedName name="OSRRefH16x_0" localSheetId="72">'327'!$H$16</definedName>
    <definedName name="OSRRefH16x_0" localSheetId="52">'330'!$H$56:$H$79</definedName>
    <definedName name="OSRRefH16x_0" localSheetId="58">'331'!$H$57:$H$86</definedName>
    <definedName name="OSRRefH16x_0" localSheetId="60">'332'!$H$34:$H$38</definedName>
    <definedName name="OSRRefH16x_0" localSheetId="76">'405'!$H$17:$H$18</definedName>
    <definedName name="OSRRefH16x_0" localSheetId="77">'406'!$H$17:$H$18</definedName>
    <definedName name="OSRRefH16x_0" localSheetId="79">'412'!$H$17:$H$18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4">'420'!$H$17:$H$18</definedName>
    <definedName name="OSRRefH16x_0" localSheetId="85">'423'!$H$15</definedName>
    <definedName name="OSRRefH16x_0" localSheetId="86">'424'!$H$17:$H$18</definedName>
    <definedName name="OSRRefH16x_0" localSheetId="88">'425'!$H$20:$H$21</definedName>
    <definedName name="OSRRefH16x_0" localSheetId="91">'433'!$H$18:$H$19</definedName>
    <definedName name="OSRRefH16x_0" localSheetId="92">'435'!$H$18:$H$19</definedName>
    <definedName name="OSRRefH16x_0" localSheetId="93">'444'!$H$18:$H$19</definedName>
    <definedName name="OSRRefH16x_0" localSheetId="94">'450'!$H$18:$H$19</definedName>
    <definedName name="OSRRefH16x_0" localSheetId="75">'491'!$H$25:$H$26</definedName>
    <definedName name="OSRRefH16x_0" localSheetId="89">'492'!$H$20:$H$21</definedName>
    <definedName name="OSRRefH16x_0" localSheetId="47">'Div 3'!$H$114:$H$166</definedName>
    <definedName name="OSRRefH16x_0" localSheetId="73">'Div 4'!$H$25:$H$26</definedName>
    <definedName name="OSRRefH16x_0" localSheetId="63">'Div 6'!$H$40:$H$55</definedName>
    <definedName name="OSRRefH16x_0" localSheetId="2">Summary!$H$139:$H$199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8">'300'!$H$167:$H$176</definedName>
    <definedName name="OSRRefH22_0x_0" localSheetId="49">'300 &amp; 317'!$H$193:$H$202</definedName>
    <definedName name="OSRRefH22_0x_0" localSheetId="50">'301'!$H$20:$H$29</definedName>
    <definedName name="OSRRefH22_0x_0" localSheetId="51">'306'!$H$20:$H$28</definedName>
    <definedName name="OSRRefH22_0x_0" localSheetId="53">'307'!$H$78:$H$85</definedName>
    <definedName name="OSRRefH22_0x_0" localSheetId="55">'308'!$H$66:$H$74</definedName>
    <definedName name="OSRRefH22_0x_0" localSheetId="66">'309'!$H$24:$H$31</definedName>
    <definedName name="OSRRefH22_0x_0" localSheetId="65">'310'!$H$31:$H$38</definedName>
    <definedName name="OSRRefH22_0x_0" localSheetId="74">'310 &amp; 491'!$H$38:$H$46</definedName>
    <definedName name="OSRRefH22_0x_0" localSheetId="56">'311'!$H$65:$H$73</definedName>
    <definedName name="OSRRefH22_0x_0" localSheetId="67">'313'!$H$28:$H$35</definedName>
    <definedName name="OSRRefH22_0x_0" localSheetId="54">'314'!$H$56:$H$64</definedName>
    <definedName name="OSRRefH22_0x_0" localSheetId="59">'315'!$H$83:$H$90</definedName>
    <definedName name="OSRRefH22_0x_0" localSheetId="61">'316'!$H$37:$H$44</definedName>
    <definedName name="OSRRefH22_0x_0" localSheetId="64">'317'!$H$61:$H$69</definedName>
    <definedName name="OSRRefH22_0x_0" localSheetId="62">'320'!$H$28:$H$34</definedName>
    <definedName name="OSRRefH22_0x_0" localSheetId="68">'321'!$H$24:$H$31</definedName>
    <definedName name="OSRRefH22_0x_0" localSheetId="69">'322'!$H$24:$H$31</definedName>
    <definedName name="OSRRefH22_0x_0" localSheetId="70">'325'!$H$24:$H$31</definedName>
    <definedName name="OSRRefH22_0x_0" localSheetId="71">'326'!$H$63:$H$70</definedName>
    <definedName name="OSRRefH22_0x_0" localSheetId="72">'327'!$H$22</definedName>
    <definedName name="OSRRefH22_0x_0" localSheetId="52">'330'!$H$85:$H$93</definedName>
    <definedName name="OSRRefH22_0x_0" localSheetId="58">'331'!$H$92:$H$99</definedName>
    <definedName name="OSRRefH22_0x_0" localSheetId="60">'332'!$H$44:$H$51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'412'!$H$24:$H$31</definedName>
    <definedName name="OSRRefH22_0x_0" localSheetId="80">'413'!$H$24:$H$31</definedName>
    <definedName name="OSRRefH22_0x_0" localSheetId="81">'414'!$H$24:$H$31</definedName>
    <definedName name="OSRRefH22_0x_0" localSheetId="82">'415'!$H$24:$H$31</definedName>
    <definedName name="OSRRefH22_0x_0" localSheetId="83">'418'!$H$24:$H$31</definedName>
    <definedName name="OSRRefH22_0x_0" localSheetId="84">'420'!$H$24:$H$31</definedName>
    <definedName name="OSRRefH22_0x_0" localSheetId="85">'423'!$H$21:$H$28</definedName>
    <definedName name="OSRRefH22_0x_0" localSheetId="86">'424'!$H$24:$H$25</definedName>
    <definedName name="OSRRefH22_0x_0" localSheetId="88">'425'!$H$27:$H$35</definedName>
    <definedName name="OSRRefH22_0x_0" localSheetId="90">'430'!$H$20:$H$27</definedName>
    <definedName name="OSRRefH22_0x_0" localSheetId="91">'433'!$H$25:$H$33</definedName>
    <definedName name="OSRRefH22_0x_0" localSheetId="92">'435'!$H$25:$H$27</definedName>
    <definedName name="OSRRefH22_0x_0" localSheetId="93">'444'!$H$25:$H$33</definedName>
    <definedName name="OSRRefH22_0x_0" localSheetId="94">'450'!$H$25:$H$33</definedName>
    <definedName name="OSRRefH22_0x_0" localSheetId="87">'455'!$H$20:$H$26</definedName>
    <definedName name="OSRRefH22_0x_0" localSheetId="75">'491'!$H$32:$H$40</definedName>
    <definedName name="OSRRefH22_0x_0" localSheetId="89">'492'!$H$27:$H$35</definedName>
    <definedName name="OSRRefH22_0x_0" localSheetId="96">'501'!$H$21:$H$29</definedName>
    <definedName name="OSRRefH22_0x_0" localSheetId="39">'Div 2'!$H$20:$H$30</definedName>
    <definedName name="OSRRefH22_0x_0" localSheetId="47">'Div 3'!$H$172:$H$181</definedName>
    <definedName name="OSRRefH22_0x_0" localSheetId="73">'Div 4'!$H$32:$H$40</definedName>
    <definedName name="OSRRefH22_0x_0" localSheetId="95">'Div 5'!$H$21:$H$29</definedName>
    <definedName name="OSRRefH22_0x_0" localSheetId="63">'Div 6'!$H$61:$H$69</definedName>
    <definedName name="OSRRefH22_0x_0" localSheetId="2">Summary!$H$205:$H$214</definedName>
    <definedName name="OSRRefH22_10x_0" localSheetId="41">'201'!$H$51:$H$53</definedName>
    <definedName name="OSRRefH22_10x_0" localSheetId="42">'202'!$H$53</definedName>
    <definedName name="OSRRefH22_10x_0" localSheetId="43">'203'!$H$55:$H$56</definedName>
    <definedName name="OSRRefH22_10x_0" localSheetId="44">'204'!$H$56:$H$57</definedName>
    <definedName name="OSRRefH22_10x_0" localSheetId="48">'300'!$H$206:$H$207</definedName>
    <definedName name="OSRRefH22_10x_0" localSheetId="49">'300 &amp; 317'!$H$232:$H$233</definedName>
    <definedName name="OSRRefH22_10x_0" localSheetId="50">'301'!$H$59</definedName>
    <definedName name="OSRRefH22_10x_0" localSheetId="53">'307'!$H$114</definedName>
    <definedName name="OSRRefH22_10x_0" localSheetId="55">'308'!$H$104:$H$105</definedName>
    <definedName name="OSRRefH22_10x_0" localSheetId="66">'309'!$H$56:$H$58</definedName>
    <definedName name="OSRRefH22_10x_0" localSheetId="65">'310'!$H$64</definedName>
    <definedName name="OSRRefH22_10x_0" localSheetId="74">'310 &amp; 491'!$H$74:$H$75</definedName>
    <definedName name="OSRRefH22_10x_0" localSheetId="56">'311'!$H$103:$H$104</definedName>
    <definedName name="OSRRefH22_10x_0" localSheetId="67">'313'!$H$61:$H$66</definedName>
    <definedName name="OSRRefH22_10x_0" localSheetId="59">'315'!$H$120:$H$124</definedName>
    <definedName name="OSRRefH22_10x_0" localSheetId="61">'316'!$H$70:$H$75</definedName>
    <definedName name="OSRRefH22_10x_0" localSheetId="64">'317'!$H$95:$H$99</definedName>
    <definedName name="OSRRefH22_10x_0" localSheetId="68">'321'!$H$59:$H$63</definedName>
    <definedName name="OSRRefH22_10x_0" localSheetId="69">'322'!$H$58:$H$64</definedName>
    <definedName name="OSRRefH22_10x_0" localSheetId="70">'325'!$H$56</definedName>
    <definedName name="OSRRefH22_10x_0" localSheetId="71">'326'!$H$96</definedName>
    <definedName name="OSRRefH22_10x_0" localSheetId="52">'330'!$H$120</definedName>
    <definedName name="OSRRefH22_10x_0" localSheetId="58">'331'!$H$126:$H$127</definedName>
    <definedName name="OSRRefH22_10x_0" localSheetId="60">'332'!$H$78</definedName>
    <definedName name="OSRRefH22_10x_0" localSheetId="76">'405'!$H$55:$H$56</definedName>
    <definedName name="OSRRefH22_10x_0" localSheetId="77">'406'!$H$58:$H$59</definedName>
    <definedName name="OSRRefH22_10x_0" localSheetId="78">'411'!$H$55</definedName>
    <definedName name="OSRRefH22_10x_0" localSheetId="79">'412'!$H$58:$H$60</definedName>
    <definedName name="OSRRefH22_10x_0" localSheetId="80">'413'!$H$64</definedName>
    <definedName name="OSRRefH22_10x_0" localSheetId="81">'414'!$H$57</definedName>
    <definedName name="OSRRefH22_10x_0" localSheetId="82">'415'!$H$57</definedName>
    <definedName name="OSRRefH22_10x_0" localSheetId="83">'418'!$H$57:$H$58</definedName>
    <definedName name="OSRRefH22_10x_0" localSheetId="86">'424'!$H$50</definedName>
    <definedName name="OSRRefH22_10x_0" localSheetId="88">'425'!$H$62</definedName>
    <definedName name="OSRRefH22_10x_0" localSheetId="91">'433'!$H$58</definedName>
    <definedName name="OSRRefH22_10x_0" localSheetId="93">'444'!$H$58</definedName>
    <definedName name="OSRRefH22_10x_0" localSheetId="94">'450'!$H$58</definedName>
    <definedName name="OSRRefH22_10x_0" localSheetId="75">'491'!$H$68</definedName>
    <definedName name="OSRRefH22_10x_0" localSheetId="89">'492'!$H$61</definedName>
    <definedName name="OSRRefH22_10x_0" localSheetId="96">'501'!$H$56</definedName>
    <definedName name="OSRRefH22_10x_0" localSheetId="39">'Div 2'!$H$57</definedName>
    <definedName name="OSRRefH22_10x_0" localSheetId="47">'Div 3'!$H$211:$H$212</definedName>
    <definedName name="OSRRefH22_10x_0" localSheetId="73">'Div 4'!$H$68</definedName>
    <definedName name="OSRRefH22_10x_0" localSheetId="95">'Div 5'!$H$56</definedName>
    <definedName name="OSRRefH22_10x_0" localSheetId="63">'Div 6'!$H$95:$H$99</definedName>
    <definedName name="OSRRefH22_10x_0" localSheetId="2">Summary!$H$245:$H$246</definedName>
    <definedName name="OSRRefH22_11x_0" localSheetId="41">'201'!$H$55</definedName>
    <definedName name="OSRRefH22_11x_0" localSheetId="42">'202'!$H$55</definedName>
    <definedName name="OSRRefH22_11x_0" localSheetId="43">'203'!$H$58</definedName>
    <definedName name="OSRRefH22_11x_0" localSheetId="48">'300'!$H$209</definedName>
    <definedName name="OSRRefH22_11x_0" localSheetId="49">'300 &amp; 317'!$H$235</definedName>
    <definedName name="OSRRefH22_11x_0" localSheetId="50">'301'!$H$61</definedName>
    <definedName name="OSRRefH22_11x_0" localSheetId="53">'307'!$H$116</definedName>
    <definedName name="OSRRefH22_11x_0" localSheetId="55">'308'!$H$107:$H$109</definedName>
    <definedName name="OSRRefH22_11x_0" localSheetId="66">'309'!$H$60:$H$62</definedName>
    <definedName name="OSRRefH22_11x_0" localSheetId="65">'310'!$H$66</definedName>
    <definedName name="OSRRefH22_11x_0" localSheetId="74">'310 &amp; 491'!$H$77:$H$78</definedName>
    <definedName name="OSRRefH22_11x_0" localSheetId="56">'311'!$H$106:$H$108</definedName>
    <definedName name="OSRRefH22_11x_0" localSheetId="67">'313'!$H$68</definedName>
    <definedName name="OSRRefH22_11x_0" localSheetId="59">'315'!$H$126</definedName>
    <definedName name="OSRRefH22_11x_0" localSheetId="61">'316'!$H$77</definedName>
    <definedName name="OSRRefH22_11x_0" localSheetId="64">'317'!$H$101</definedName>
    <definedName name="OSRRefH22_11x_0" localSheetId="68">'321'!$H$65</definedName>
    <definedName name="OSRRefH22_11x_0" localSheetId="69">'322'!$H$66</definedName>
    <definedName name="OSRRefH22_11x_0" localSheetId="70">'325'!$H$58:$H$60</definedName>
    <definedName name="OSRRefH22_11x_0" localSheetId="71">'326'!$H$98</definedName>
    <definedName name="OSRRefH22_11x_0" localSheetId="52">'330'!$H$122:$H$125</definedName>
    <definedName name="OSRRefH22_11x_0" localSheetId="58">'331'!$H$129</definedName>
    <definedName name="OSRRefH22_11x_0" localSheetId="60">'332'!$H$80:$H$85</definedName>
    <definedName name="OSRRefH22_11x_0" localSheetId="76">'405'!$H$58</definedName>
    <definedName name="OSRRefH22_11x_0" localSheetId="77">'406'!$H$61:$H$66</definedName>
    <definedName name="OSRRefH22_11x_0" localSheetId="78">'411'!$H$57</definedName>
    <definedName name="OSRRefH22_11x_0" localSheetId="79">'412'!$H$62:$H$67</definedName>
    <definedName name="OSRRefH22_11x_0" localSheetId="80">'413'!$H$66</definedName>
    <definedName name="OSRRefH22_11x_0" localSheetId="81">'414'!$H$59</definedName>
    <definedName name="OSRRefH22_11x_0" localSheetId="82">'415'!$H$59:$H$62</definedName>
    <definedName name="OSRRefH22_11x_0" localSheetId="83">'418'!$H$60:$H$62</definedName>
    <definedName name="OSRRefH22_11x_0" localSheetId="86">'424'!$H$52:$H$56</definedName>
    <definedName name="OSRRefH22_11x_0" localSheetId="88">'425'!$H$64:$H$66</definedName>
    <definedName name="OSRRefH22_11x_0" localSheetId="91">'433'!$H$60:$H$62</definedName>
    <definedName name="OSRRefH22_11x_0" localSheetId="93">'444'!$H$60:$H$62</definedName>
    <definedName name="OSRRefH22_11x_0" localSheetId="94">'450'!$H$60</definedName>
    <definedName name="OSRRefH22_11x_0" localSheetId="75">'491'!$H$70:$H$71</definedName>
    <definedName name="OSRRefH22_11x_0" localSheetId="89">'492'!$H$63</definedName>
    <definedName name="OSRRefH22_11x_0" localSheetId="96">'501'!$H$58:$H$60</definedName>
    <definedName name="OSRRefH22_11x_0" localSheetId="39">'Div 2'!$H$59</definedName>
    <definedName name="OSRRefH22_11x_0" localSheetId="47">'Div 3'!$H$214</definedName>
    <definedName name="OSRRefH22_11x_0" localSheetId="73">'Div 4'!$H$70:$H$71</definedName>
    <definedName name="OSRRefH22_11x_0" localSheetId="95">'Div 5'!$H$58:$H$60</definedName>
    <definedName name="OSRRefH22_11x_0" localSheetId="63">'Div 6'!$H$101</definedName>
    <definedName name="OSRRefH22_11x_0" localSheetId="2">Summary!$H$248:$H$249</definedName>
    <definedName name="OSRRefH22_12x_0" localSheetId="41">'201'!$H$57:$H$60</definedName>
    <definedName name="OSRRefH22_12x_0" localSheetId="42">'202'!$H$57:$H$59</definedName>
    <definedName name="OSRRefH22_12x_0" localSheetId="43">'203'!$H$60:$H$63</definedName>
    <definedName name="OSRRefH22_12x_0" localSheetId="48">'300'!$H$211</definedName>
    <definedName name="OSRRefH22_12x_0" localSheetId="49">'300 &amp; 317'!$H$237</definedName>
    <definedName name="OSRRefH22_12x_0" localSheetId="50">'301'!$H$63</definedName>
    <definedName name="OSRRefH22_12x_0" localSheetId="55">'308'!$H$111:$H$112</definedName>
    <definedName name="OSRRefH22_12x_0" localSheetId="66">'309'!$H$64</definedName>
    <definedName name="OSRRefH22_12x_0" localSheetId="65">'310'!$H$68</definedName>
    <definedName name="OSRRefH22_12x_0" localSheetId="74">'310 &amp; 491'!$H$80</definedName>
    <definedName name="OSRRefH22_12x_0" localSheetId="56">'311'!$H$110:$H$111</definedName>
    <definedName name="OSRRefH22_12x_0" localSheetId="67">'313'!$H$70</definedName>
    <definedName name="OSRRefH22_12x_0" localSheetId="59">'315'!$H$128</definedName>
    <definedName name="OSRRefH22_12x_0" localSheetId="61">'316'!$H$79</definedName>
    <definedName name="OSRRefH22_12x_0" localSheetId="64">'317'!$H$103</definedName>
    <definedName name="OSRRefH22_12x_0" localSheetId="68">'321'!$H$67</definedName>
    <definedName name="OSRRefH22_12x_0" localSheetId="69">'322'!$H$68</definedName>
    <definedName name="OSRRefH22_12x_0" localSheetId="70">'325'!$H$62:$H$64</definedName>
    <definedName name="OSRRefH22_12x_0" localSheetId="71">'326'!$H$100:$H$102</definedName>
    <definedName name="OSRRefH22_12x_0" localSheetId="52">'330'!$H$127</definedName>
    <definedName name="OSRRefH22_12x_0" localSheetId="58">'331'!$H$131</definedName>
    <definedName name="OSRRefH22_12x_0" localSheetId="60">'332'!$H$87</definedName>
    <definedName name="OSRRefH22_12x_0" localSheetId="76">'405'!$H$60:$H$62</definedName>
    <definedName name="OSRRefH22_12x_0" localSheetId="77">'406'!$H$68</definedName>
    <definedName name="OSRRefH22_12x_0" localSheetId="78">'411'!$H$59:$H$62</definedName>
    <definedName name="OSRRefH22_12x_0" localSheetId="79">'412'!$H$69</definedName>
    <definedName name="OSRRefH22_12x_0" localSheetId="81">'414'!$H$61</definedName>
    <definedName name="OSRRefH22_12x_0" localSheetId="82">'415'!$H$64:$H$68</definedName>
    <definedName name="OSRRefH22_12x_0" localSheetId="83">'418'!$H$64:$H$66</definedName>
    <definedName name="OSRRefH22_12x_0" localSheetId="86">'424'!$H$58</definedName>
    <definedName name="OSRRefH22_12x_0" localSheetId="88">'425'!$H$68:$H$74</definedName>
    <definedName name="OSRRefH22_12x_0" localSheetId="91">'433'!$H$64:$H$66</definedName>
    <definedName name="OSRRefH22_12x_0" localSheetId="93">'444'!$H$64:$H$67</definedName>
    <definedName name="OSRRefH22_12x_0" localSheetId="94">'450'!$H$62:$H$63</definedName>
    <definedName name="OSRRefH22_12x_0" localSheetId="75">'491'!$H$73</definedName>
    <definedName name="OSRRefH22_12x_0" localSheetId="89">'492'!$H$65:$H$67</definedName>
    <definedName name="OSRRefH22_12x_0" localSheetId="96">'501'!$H$62</definedName>
    <definedName name="OSRRefH22_12x_0" localSheetId="39">'Div 2'!$H$61:$H$64</definedName>
    <definedName name="OSRRefH22_12x_0" localSheetId="47">'Div 3'!$H$216</definedName>
    <definedName name="OSRRefH22_12x_0" localSheetId="73">'Div 4'!$H$73</definedName>
    <definedName name="OSRRefH22_12x_0" localSheetId="95">'Div 5'!$H$62</definedName>
    <definedName name="OSRRefH22_12x_0" localSheetId="63">'Div 6'!$H$103</definedName>
    <definedName name="OSRRefH22_12x_0" localSheetId="2">Summary!$H$251</definedName>
    <definedName name="OSRRefH22_13x_0" localSheetId="41">'201'!$H$62</definedName>
    <definedName name="OSRRefH22_13x_0" localSheetId="42">'202'!$H$61</definedName>
    <definedName name="OSRRefH22_13x_0" localSheetId="43">'203'!$H$65</definedName>
    <definedName name="OSRRefH22_13x_0" localSheetId="48">'300'!$H$213:$H$215</definedName>
    <definedName name="OSRRefH22_13x_0" localSheetId="49">'300 &amp; 317'!$H$239:$H$241</definedName>
    <definedName name="OSRRefH22_13x_0" localSheetId="50">'301'!$H$65</definedName>
    <definedName name="OSRRefH22_13x_0" localSheetId="55">'308'!$H$114</definedName>
    <definedName name="OSRRefH22_13x_0" localSheetId="65">'310'!$H$70</definedName>
    <definedName name="OSRRefH22_13x_0" localSheetId="74">'310 &amp; 491'!$H$82</definedName>
    <definedName name="OSRRefH22_13x_0" localSheetId="56">'311'!$H$113</definedName>
    <definedName name="OSRRefH22_13x_0" localSheetId="59">'315'!$H$130:$H$131</definedName>
    <definedName name="OSRRefH22_13x_0" localSheetId="61">'316'!$H$81</definedName>
    <definedName name="OSRRefH22_13x_0" localSheetId="64">'317'!$H$105</definedName>
    <definedName name="OSRRefH22_13x_0" localSheetId="70">'325'!$H$66</definedName>
    <definedName name="OSRRefH22_13x_0" localSheetId="71">'326'!$H$104:$H$106</definedName>
    <definedName name="OSRRefH22_13x_0" localSheetId="52">'330'!$H$129</definedName>
    <definedName name="OSRRefH22_13x_0" localSheetId="58">'331'!$H$133:$H$135</definedName>
    <definedName name="OSRRefH22_13x_0" localSheetId="60">'332'!$H$89</definedName>
    <definedName name="OSRRefH22_13x_0" localSheetId="76">'405'!$H$64:$H$65</definedName>
    <definedName name="OSRRefH22_13x_0" localSheetId="77">'406'!$H$70</definedName>
    <definedName name="OSRRefH22_13x_0" localSheetId="78">'411'!$H$64:$H$68</definedName>
    <definedName name="OSRRefH22_13x_0" localSheetId="79">'412'!$H$71</definedName>
    <definedName name="OSRRefH22_13x_0" localSheetId="81">'414'!$H$63:$H$69</definedName>
    <definedName name="OSRRefH22_13x_0" localSheetId="82">'415'!$H$70:$H$71</definedName>
    <definedName name="OSRRefH22_13x_0" localSheetId="83">'418'!$H$68:$H$69</definedName>
    <definedName name="OSRRefH22_13x_0" localSheetId="88">'425'!$H$76</definedName>
    <definedName name="OSRRefH22_13x_0" localSheetId="91">'433'!$H$68:$H$75</definedName>
    <definedName name="OSRRefH22_13x_0" localSheetId="93">'444'!$H$69</definedName>
    <definedName name="OSRRefH22_13x_0" localSheetId="94">'450'!$H$65:$H$67</definedName>
    <definedName name="OSRRefH22_13x_0" localSheetId="75">'491'!$H$75</definedName>
    <definedName name="OSRRefH22_13x_0" localSheetId="89">'492'!$H$69:$H$72</definedName>
    <definedName name="OSRRefH22_13x_0" localSheetId="96">'501'!$H$64</definedName>
    <definedName name="OSRRefH22_13x_0" localSheetId="39">'Div 2'!$H$66:$H$68</definedName>
    <definedName name="OSRRefH22_13x_0" localSheetId="47">'Div 3'!$H$218</definedName>
    <definedName name="OSRRefH22_13x_0" localSheetId="73">'Div 4'!$H$75</definedName>
    <definedName name="OSRRefH22_13x_0" localSheetId="95">'Div 5'!$H$64</definedName>
    <definedName name="OSRRefH22_13x_0" localSheetId="63">'Div 6'!$H$105</definedName>
    <definedName name="OSRRefH22_13x_0" localSheetId="2">Summary!$H$253</definedName>
    <definedName name="OSRRefH22_14x_0" localSheetId="41">'201'!$H$64</definedName>
    <definedName name="OSRRefH22_14x_0" localSheetId="42">'202'!$H$63</definedName>
    <definedName name="OSRRefH22_14x_0" localSheetId="43">'203'!$H$67</definedName>
    <definedName name="OSRRefH22_14x_0" localSheetId="48">'300'!$H$217</definedName>
    <definedName name="OSRRefH22_14x_0" localSheetId="49">'300 &amp; 317'!$H$243</definedName>
    <definedName name="OSRRefH22_14x_0" localSheetId="50">'301'!$H$67</definedName>
    <definedName name="OSRRefH22_14x_0" localSheetId="55">'308'!$H$116</definedName>
    <definedName name="OSRRefH22_14x_0" localSheetId="65">'310'!$H$72:$H$74</definedName>
    <definedName name="OSRRefH22_14x_0" localSheetId="74">'310 &amp; 491'!$H$84</definedName>
    <definedName name="OSRRefH22_14x_0" localSheetId="56">'311'!$H$115</definedName>
    <definedName name="OSRRefH22_14x_0" localSheetId="70">'325'!$H$68:$H$72</definedName>
    <definedName name="OSRRefH22_14x_0" localSheetId="71">'326'!$H$108:$H$109</definedName>
    <definedName name="OSRRefH22_14x_0" localSheetId="52">'330'!$H$131</definedName>
    <definedName name="OSRRefH22_14x_0" localSheetId="58">'331'!$H$137:$H$138</definedName>
    <definedName name="OSRRefH22_14x_0" localSheetId="60">'332'!$H$91</definedName>
    <definedName name="OSRRefH22_14x_0" localSheetId="76">'405'!$H$67:$H$73</definedName>
    <definedName name="OSRRefH22_14x_0" localSheetId="77">'406'!$H$72</definedName>
    <definedName name="OSRRefH22_14x_0" localSheetId="78">'411'!$H$70:$H$71</definedName>
    <definedName name="OSRRefH22_14x_0" localSheetId="81">'414'!$H$71</definedName>
    <definedName name="OSRRefH22_14x_0" localSheetId="82">'415'!$H$73:$H$81</definedName>
    <definedName name="OSRRefH22_14x_0" localSheetId="83">'418'!$H$71:$H$78</definedName>
    <definedName name="OSRRefH22_14x_0" localSheetId="88">'425'!$H$78</definedName>
    <definedName name="OSRRefH22_14x_0" localSheetId="91">'433'!$H$77</definedName>
    <definedName name="OSRRefH22_14x_0" localSheetId="93">'444'!$H$71:$H$79</definedName>
    <definedName name="OSRRefH22_14x_0" localSheetId="94">'450'!$H$69:$H$74</definedName>
    <definedName name="OSRRefH22_14x_0" localSheetId="75">'491'!$H$77</definedName>
    <definedName name="OSRRefH22_14x_0" localSheetId="89">'492'!$H$74</definedName>
    <definedName name="OSRRefH22_14x_0" localSheetId="39">'Div 2'!$H$70:$H$71</definedName>
    <definedName name="OSRRefH22_14x_0" localSheetId="47">'Div 3'!$H$220:$H$222</definedName>
    <definedName name="OSRRefH22_14x_0" localSheetId="73">'Div 4'!$H$77</definedName>
    <definedName name="OSRRefH22_14x_0" localSheetId="2">Summary!$H$255:$H$257</definedName>
    <definedName name="OSRRefH22_15x_0" localSheetId="41">'201'!$H$66</definedName>
    <definedName name="OSRRefH22_15x_0" localSheetId="42">'202'!$H$65</definedName>
    <definedName name="OSRRefH22_15x_0" localSheetId="43">'203'!$H$69</definedName>
    <definedName name="OSRRefH22_15x_0" localSheetId="48">'300'!$H$219</definedName>
    <definedName name="OSRRefH22_15x_0" localSheetId="49">'300 &amp; 317'!$H$245</definedName>
    <definedName name="OSRRefH22_15x_0" localSheetId="50">'301'!$H$69:$H$72</definedName>
    <definedName name="OSRRefH22_15x_0" localSheetId="65">'310'!$H$76</definedName>
    <definedName name="OSRRefH22_15x_0" localSheetId="74">'310 &amp; 491'!$H$86</definedName>
    <definedName name="OSRRefH22_15x_0" localSheetId="70">'325'!$H$74</definedName>
    <definedName name="OSRRefH22_15x_0" localSheetId="71">'326'!$H$111:$H$116</definedName>
    <definedName name="OSRRefH22_15x_0" localSheetId="58">'331'!$H$140:$H$142</definedName>
    <definedName name="OSRRefH22_15x_0" localSheetId="76">'405'!$H$75</definedName>
    <definedName name="OSRRefH22_15x_0" localSheetId="78">'411'!$H$73:$H$81</definedName>
    <definedName name="OSRRefH22_15x_0" localSheetId="81">'414'!$H$73</definedName>
    <definedName name="OSRRefH22_15x_0" localSheetId="82">'415'!$H$83</definedName>
    <definedName name="OSRRefH22_15x_0" localSheetId="83">'418'!$H$80</definedName>
    <definedName name="OSRRefH22_15x_0" localSheetId="91">'433'!$H$79</definedName>
    <definedName name="OSRRefH22_15x_0" localSheetId="93">'444'!$H$81</definedName>
    <definedName name="OSRRefH22_15x_0" localSheetId="94">'450'!$H$76</definedName>
    <definedName name="OSRRefH22_15x_0" localSheetId="75">'491'!$H$79</definedName>
    <definedName name="OSRRefH22_15x_0" localSheetId="89">'492'!$H$76:$H$84</definedName>
    <definedName name="OSRRefH22_15x_0" localSheetId="39">'Div 2'!$H$73</definedName>
    <definedName name="OSRRefH22_15x_0" localSheetId="47">'Div 3'!$H$224</definedName>
    <definedName name="OSRRefH22_15x_0" localSheetId="73">'Div 4'!$H$79</definedName>
    <definedName name="OSRRefH22_15x_0" localSheetId="2">Summary!$H$259</definedName>
    <definedName name="OSRRefH22_16x_0" localSheetId="48">'300'!$H$221:$H$224</definedName>
    <definedName name="OSRRefH22_16x_0" localSheetId="49">'300 &amp; 317'!$H$247:$H$250</definedName>
    <definedName name="OSRRefH22_16x_0" localSheetId="50">'301'!$H$74:$H$76</definedName>
    <definedName name="OSRRefH22_16x_0" localSheetId="65">'310'!$H$78:$H$81</definedName>
    <definedName name="OSRRefH22_16x_0" localSheetId="74">'310 &amp; 491'!$H$88:$H$91</definedName>
    <definedName name="OSRRefH22_16x_0" localSheetId="70">'325'!$H$76</definedName>
    <definedName name="OSRRefH22_16x_0" localSheetId="71">'326'!$H$118</definedName>
    <definedName name="OSRRefH22_16x_0" localSheetId="58">'331'!$H$144:$H$145</definedName>
    <definedName name="OSRRefH22_16x_0" localSheetId="76">'405'!$H$77</definedName>
    <definedName name="OSRRefH22_16x_0" localSheetId="78">'411'!$H$83</definedName>
    <definedName name="OSRRefH22_16x_0" localSheetId="82">'415'!$H$85</definedName>
    <definedName name="OSRRefH22_16x_0" localSheetId="83">'418'!$H$82</definedName>
    <definedName name="OSRRefH22_16x_0" localSheetId="91">'433'!$H$81</definedName>
    <definedName name="OSRRefH22_16x_0" localSheetId="93">'444'!$H$83</definedName>
    <definedName name="OSRRefH22_16x_0" localSheetId="94">'450'!$H$78</definedName>
    <definedName name="OSRRefH22_16x_0" localSheetId="75">'491'!$H$81:$H$84</definedName>
    <definedName name="OSRRefH22_16x_0" localSheetId="89">'492'!$H$86</definedName>
    <definedName name="OSRRefH22_16x_0" localSheetId="39">'Div 2'!$H$75:$H$79</definedName>
    <definedName name="OSRRefH22_16x_0" localSheetId="47">'Div 3'!$H$226</definedName>
    <definedName name="OSRRefH22_16x_0" localSheetId="73">'Div 4'!$H$81</definedName>
    <definedName name="OSRRefH22_16x_0" localSheetId="2">Summary!$H$261</definedName>
    <definedName name="OSRRefH22_17x_0" localSheetId="48">'300'!$H$226:$H$228</definedName>
    <definedName name="OSRRefH22_17x_0" localSheetId="49">'300 &amp; 317'!$H$252:$H$254</definedName>
    <definedName name="OSRRefH22_17x_0" localSheetId="50">'301'!$H$78:$H$79</definedName>
    <definedName name="OSRRefH22_17x_0" localSheetId="65">'310'!$H$83</definedName>
    <definedName name="OSRRefH22_17x_0" localSheetId="74">'310 &amp; 491'!$H$93:$H$94</definedName>
    <definedName name="OSRRefH22_17x_0" localSheetId="70">'325'!$H$78</definedName>
    <definedName name="OSRRefH22_17x_0" localSheetId="71">'326'!$H$120</definedName>
    <definedName name="OSRRefH22_17x_0" localSheetId="58">'331'!$H$147:$H$152</definedName>
    <definedName name="OSRRefH22_17x_0" localSheetId="76">'405'!$H$79</definedName>
    <definedName name="OSRRefH22_17x_0" localSheetId="78">'411'!$H$85</definedName>
    <definedName name="OSRRefH22_17x_0" localSheetId="82">'415'!$H$87</definedName>
    <definedName name="OSRRefH22_17x_0" localSheetId="93">'444'!$H$85</definedName>
    <definedName name="OSRRefH22_17x_0" localSheetId="94">'450'!$H$80</definedName>
    <definedName name="OSRRefH22_17x_0" localSheetId="75">'491'!$H$86:$H$87</definedName>
    <definedName name="OSRRefH22_17x_0" localSheetId="89">'492'!$H$88</definedName>
    <definedName name="OSRRefH22_17x_0" localSheetId="39">'Div 2'!$H$81:$H$82</definedName>
    <definedName name="OSRRefH22_17x_0" localSheetId="47">'Div 3'!$H$228:$H$231</definedName>
    <definedName name="OSRRefH22_17x_0" localSheetId="73">'Div 4'!$H$83:$H$86</definedName>
    <definedName name="OSRRefH22_17x_0" localSheetId="2">Summary!$H$263</definedName>
    <definedName name="OSRRefH22_18x_0" localSheetId="48">'300'!$H$230:$H$233</definedName>
    <definedName name="OSRRefH22_18x_0" localSheetId="49">'300 &amp; 317'!$H$256:$H$259</definedName>
    <definedName name="OSRRefH22_18x_0" localSheetId="50">'301'!$H$81:$H$86</definedName>
    <definedName name="OSRRefH22_18x_0" localSheetId="65">'310'!$H$85:$H$93</definedName>
    <definedName name="OSRRefH22_18x_0" localSheetId="74">'310 &amp; 491'!$H$96:$H$100</definedName>
    <definedName name="OSRRefH22_18x_0" localSheetId="71">'326'!$H$122</definedName>
    <definedName name="OSRRefH22_18x_0" localSheetId="58">'331'!$H$154</definedName>
    <definedName name="OSRRefH22_18x_0" localSheetId="78">'411'!$H$87:$H$89</definedName>
    <definedName name="OSRRefH22_18x_0" localSheetId="75">'491'!$H$89:$H$93</definedName>
    <definedName name="OSRRefH22_18x_0" localSheetId="89">'492'!$H$90</definedName>
    <definedName name="OSRRefH22_18x_0" localSheetId="39">'Div 2'!$H$84</definedName>
    <definedName name="OSRRefH22_18x_0" localSheetId="47">'Div 3'!$H$233:$H$235</definedName>
    <definedName name="OSRRefH22_18x_0" localSheetId="73">'Div 4'!$H$88:$H$89</definedName>
    <definedName name="OSRRefH22_18x_0" localSheetId="2">Summary!$H$265:$H$268</definedName>
    <definedName name="OSRRefH22_19x_0" localSheetId="48">'300'!$H$235:$H$236</definedName>
    <definedName name="OSRRefH22_19x_0" localSheetId="49">'300 &amp; 317'!$H$261:$H$262</definedName>
    <definedName name="OSRRefH22_19x_0" localSheetId="50">'301'!$H$88</definedName>
    <definedName name="OSRRefH22_19x_0" localSheetId="65">'310'!$H$95</definedName>
    <definedName name="OSRRefH22_19x_0" localSheetId="74">'310 &amp; 491'!$H$102:$H$103</definedName>
    <definedName name="OSRRefH22_19x_0" localSheetId="71">'326'!$H$124</definedName>
    <definedName name="OSRRefH22_19x_0" localSheetId="58">'331'!$H$156</definedName>
    <definedName name="OSRRefH22_19x_0" localSheetId="78">'411'!$H$91</definedName>
    <definedName name="OSRRefH22_19x_0" localSheetId="75">'491'!$H$95:$H$96</definedName>
    <definedName name="OSRRefH22_19x_0" localSheetId="39">'Div 2'!$H$86:$H$87</definedName>
    <definedName name="OSRRefH22_19x_0" localSheetId="47">'Div 3'!$H$237:$H$241</definedName>
    <definedName name="OSRRefH22_19x_0" localSheetId="73">'Div 4'!$H$91:$H$95</definedName>
    <definedName name="OSRRefH22_19x_0" localSheetId="2">Summary!$H$270:$H$272</definedName>
    <definedName name="OSRRefH22_1x_0" localSheetId="40">'200'!$H$22</definedName>
    <definedName name="OSRRefH22_1x_0" localSheetId="41">'201'!$H$29:$H$31</definedName>
    <definedName name="OSRRefH22_1x_0" localSheetId="42">'202'!$H$29:$H$32</definedName>
    <definedName name="OSRRefH22_1x_0" localSheetId="43">'203'!$H$31:$H$35</definedName>
    <definedName name="OSRRefH22_1x_0" localSheetId="44">'204'!$H$31:$H$35</definedName>
    <definedName name="OSRRefH22_1x_0" localSheetId="45">'205'!$H$29</definedName>
    <definedName name="OSRRefH22_1x_0" localSheetId="46">'206'!$H$29:$H$32</definedName>
    <definedName name="OSRRefH22_1x_0" localSheetId="48">'300'!$H$178:$H$184</definedName>
    <definedName name="OSRRefH22_1x_0" localSheetId="49">'300 &amp; 317'!$H$204:$H$210</definedName>
    <definedName name="OSRRefH22_1x_0" localSheetId="50">'301'!$H$31:$H$37</definedName>
    <definedName name="OSRRefH22_1x_0" localSheetId="51">'306'!$H$30:$H$35</definedName>
    <definedName name="OSRRefH22_1x_0" localSheetId="53">'307'!$H$87:$H$90</definedName>
    <definedName name="OSRRefH22_1x_0" localSheetId="55">'308'!$H$76:$H$82</definedName>
    <definedName name="OSRRefH22_1x_0" localSheetId="66">'309'!$H$33:$H$37</definedName>
    <definedName name="OSRRefH22_1x_0" localSheetId="65">'310'!$H$40:$H$45</definedName>
    <definedName name="OSRRefH22_1x_0" localSheetId="74">'310 &amp; 491'!$H$48:$H$54</definedName>
    <definedName name="OSRRefH22_1x_0" localSheetId="56">'311'!$H$75:$H$81</definedName>
    <definedName name="OSRRefH22_1x_0" localSheetId="67">'313'!$H$37:$H$41</definedName>
    <definedName name="OSRRefH22_1x_0" localSheetId="54">'314'!$H$66:$H$68</definedName>
    <definedName name="OSRRefH22_1x_0" localSheetId="59">'315'!$H$92:$H$97</definedName>
    <definedName name="OSRRefH22_1x_0" localSheetId="61">'316'!$H$46:$H$49</definedName>
    <definedName name="OSRRefH22_1x_0" localSheetId="64">'317'!$H$71:$H$75</definedName>
    <definedName name="OSRRefH22_1x_0" localSheetId="62">'320'!$H$36:$H$40</definedName>
    <definedName name="OSRRefH22_1x_0" localSheetId="68">'321'!$H$33:$H$37</definedName>
    <definedName name="OSRRefH22_1x_0" localSheetId="69">'322'!$H$33:$H$37</definedName>
    <definedName name="OSRRefH22_1x_0" localSheetId="70">'325'!$H$33:$H$37</definedName>
    <definedName name="OSRRefH22_1x_0" localSheetId="71">'326'!$H$72:$H$77</definedName>
    <definedName name="OSRRefH22_1x_0" localSheetId="72">'327'!$H$24</definedName>
    <definedName name="OSRRefH22_1x_0" localSheetId="52">'330'!$H$95:$H$99</definedName>
    <definedName name="OSRRefH22_1x_0" localSheetId="58">'331'!$H$101:$H$106</definedName>
    <definedName name="OSRRefH22_1x_0" localSheetId="60">'332'!$H$53:$H$57</definedName>
    <definedName name="OSRRefH22_1x_0" localSheetId="76">'405'!$H$33:$H$36</definedName>
    <definedName name="OSRRefH22_1x_0" localSheetId="77">'406'!$H$33:$H$38</definedName>
    <definedName name="OSRRefH22_1x_0" localSheetId="78">'411'!$H$30:$H$35</definedName>
    <definedName name="OSRRefH22_1x_0" localSheetId="79">'412'!$H$33:$H$38</definedName>
    <definedName name="OSRRefH22_1x_0" localSheetId="80">'413'!$H$33:$H$37</definedName>
    <definedName name="OSRRefH22_1x_0" localSheetId="81">'414'!$H$33:$H$38</definedName>
    <definedName name="OSRRefH22_1x_0" localSheetId="82">'415'!$H$33:$H$38</definedName>
    <definedName name="OSRRefH22_1x_0" localSheetId="83">'418'!$H$33:$H$38</definedName>
    <definedName name="OSRRefH22_1x_0" localSheetId="84">'420'!$H$33:$H$36</definedName>
    <definedName name="OSRRefH22_1x_0" localSheetId="85">'423'!$H$30:$H$31</definedName>
    <definedName name="OSRRefH22_1x_0" localSheetId="86">'424'!$H$27:$H$31</definedName>
    <definedName name="OSRRefH22_1x_0" localSheetId="88">'425'!$H$37:$H$42</definedName>
    <definedName name="OSRRefH22_1x_0" localSheetId="90">'430'!$H$29</definedName>
    <definedName name="OSRRefH22_1x_0" localSheetId="91">'433'!$H$35:$H$40</definedName>
    <definedName name="OSRRefH22_1x_0" localSheetId="92">'435'!$H$29:$H$31</definedName>
    <definedName name="OSRRefH22_1x_0" localSheetId="93">'444'!$H$35:$H$40</definedName>
    <definedName name="OSRRefH22_1x_0" localSheetId="94">'450'!$H$35:$H$40</definedName>
    <definedName name="OSRRefH22_1x_0" localSheetId="87">'455'!$H$28:$H$29</definedName>
    <definedName name="OSRRefH22_1x_0" localSheetId="75">'491'!$H$42:$H$48</definedName>
    <definedName name="OSRRefH22_1x_0" localSheetId="89">'492'!$H$37:$H$43</definedName>
    <definedName name="OSRRefH22_1x_0" localSheetId="96">'501'!$H$31:$H$35</definedName>
    <definedName name="OSRRefH22_1x_0" localSheetId="39">'Div 2'!$H$32:$H$38</definedName>
    <definedName name="OSRRefH22_1x_0" localSheetId="47">'Div 3'!$H$183:$H$189</definedName>
    <definedName name="OSRRefH22_1x_0" localSheetId="73">'Div 4'!$H$42:$H$48</definedName>
    <definedName name="OSRRefH22_1x_0" localSheetId="95">'Div 5'!$H$31:$H$35</definedName>
    <definedName name="OSRRefH22_1x_0" localSheetId="63">'Div 6'!$H$71:$H$75</definedName>
    <definedName name="OSRRefH22_1x_0" localSheetId="2">Summary!$H$216:$H$222</definedName>
    <definedName name="OSRRefH22_20x_0" localSheetId="48">'300'!$H$238:$H$244</definedName>
    <definedName name="OSRRefH22_20x_0" localSheetId="49">'300 &amp; 317'!$H$264:$H$270</definedName>
    <definedName name="OSRRefH22_20x_0" localSheetId="50">'301'!$H$90</definedName>
    <definedName name="OSRRefH22_20x_0" localSheetId="65">'310'!$H$97</definedName>
    <definedName name="OSRRefH22_20x_0" localSheetId="74">'310 &amp; 491'!$H$105:$H$114</definedName>
    <definedName name="OSRRefH22_20x_0" localSheetId="58">'331'!$H$158:$H$159</definedName>
    <definedName name="OSRRefH22_20x_0" localSheetId="75">'491'!$H$98:$H$107</definedName>
    <definedName name="OSRRefH22_20x_0" localSheetId="47">'Div 3'!$H$243:$H$244</definedName>
    <definedName name="OSRRefH22_20x_0" localSheetId="73">'Div 4'!$H$97:$H$98</definedName>
    <definedName name="OSRRefH22_20x_0" localSheetId="2">Summary!$H$274:$H$278</definedName>
    <definedName name="OSRRefH22_21x_0" localSheetId="48">'300'!$H$246:$H$247</definedName>
    <definedName name="OSRRefH22_21x_0" localSheetId="49">'300 &amp; 317'!$H$272:$H$273</definedName>
    <definedName name="OSRRefH22_21x_0" localSheetId="50">'301'!$H$92:$H$94</definedName>
    <definedName name="OSRRefH22_21x_0" localSheetId="65">'310'!$H$99</definedName>
    <definedName name="OSRRefH22_21x_0" localSheetId="74">'310 &amp; 491'!$H$116</definedName>
    <definedName name="OSRRefH22_21x_0" localSheetId="58">'331'!$H$161</definedName>
    <definedName name="OSRRefH22_21x_0" localSheetId="75">'491'!$H$109</definedName>
    <definedName name="OSRRefH22_21x_0" localSheetId="47">'Div 3'!$H$246:$H$254</definedName>
    <definedName name="OSRRefH22_21x_0" localSheetId="73">'Div 4'!$H$100:$H$109</definedName>
    <definedName name="OSRRefH22_21x_0" localSheetId="2">Summary!$H$280:$H$281</definedName>
    <definedName name="OSRRefH22_22x_0" localSheetId="48">'300'!$H$249</definedName>
    <definedName name="OSRRefH22_22x_0" localSheetId="49">'300 &amp; 317'!$H$275</definedName>
    <definedName name="OSRRefH22_22x_0" localSheetId="50">'301'!$H$96</definedName>
    <definedName name="OSRRefH22_22x_0" localSheetId="74">'310 &amp; 491'!$H$118</definedName>
    <definedName name="OSRRefH22_22x_0" localSheetId="75">'491'!$H$111</definedName>
    <definedName name="OSRRefH22_22x_0" localSheetId="47">'Div 3'!$H$256:$H$257</definedName>
    <definedName name="OSRRefH22_22x_0" localSheetId="73">'Div 4'!$H$111</definedName>
    <definedName name="OSRRefH22_22x_0" localSheetId="2">Summary!$H$283:$H$292</definedName>
    <definedName name="OSRRefH22_23x_0" localSheetId="48">'300'!$H$251:$H$253</definedName>
    <definedName name="OSRRefH22_23x_0" localSheetId="49">'300 &amp; 317'!$H$277:$H$279</definedName>
    <definedName name="OSRRefH22_23x_0" localSheetId="74">'310 &amp; 491'!$H$120:$H$122</definedName>
    <definedName name="OSRRefH22_23x_0" localSheetId="75">'491'!$H$113:$H$115</definedName>
    <definedName name="OSRRefH22_23x_0" localSheetId="47">'Div 3'!$H$259</definedName>
    <definedName name="OSRRefH22_23x_0" localSheetId="73">'Div 4'!$H$113</definedName>
    <definedName name="OSRRefH22_23x_0" localSheetId="2">Summary!$H$294:$H$295</definedName>
    <definedName name="OSRRefH22_24x_0" localSheetId="48">'300'!$H$255</definedName>
    <definedName name="OSRRefH22_24x_0" localSheetId="49">'300 &amp; 317'!$H$281</definedName>
    <definedName name="OSRRefH22_24x_0" localSheetId="74">'310 &amp; 491'!$H$124</definedName>
    <definedName name="OSRRefH22_24x_0" localSheetId="75">'491'!$H$117</definedName>
    <definedName name="OSRRefH22_24x_0" localSheetId="47">'Div 3'!$H$261:$H$263</definedName>
    <definedName name="OSRRefH22_24x_0" localSheetId="73">'Div 4'!$H$115:$H$117</definedName>
    <definedName name="OSRRefH22_24x_0" localSheetId="2">Summary!$H$297</definedName>
    <definedName name="OSRRefH22_25x_0" localSheetId="47">'Div 3'!$H$265</definedName>
    <definedName name="OSRRefH22_25x_0" localSheetId="73">'Div 4'!$H$119</definedName>
    <definedName name="OSRRefH22_25x_0" localSheetId="2">Summary!$H$299:$H$301</definedName>
    <definedName name="OSRRefH22_26x_0" localSheetId="2">Summary!$H$303</definedName>
    <definedName name="OSRRefH22_2x_0" localSheetId="40">'200'!$H$24</definedName>
    <definedName name="OSRRefH22_2x_0" localSheetId="41">'201'!$H$33</definedName>
    <definedName name="OSRRefH22_2x_0" localSheetId="42">'202'!$H$34</definedName>
    <definedName name="OSRRefH22_2x_0" localSheetId="43">'203'!$H$37</definedName>
    <definedName name="OSRRefH22_2x_0" localSheetId="44">'204'!$H$37</definedName>
    <definedName name="OSRRefH22_2x_0" localSheetId="45">'205'!$H$31</definedName>
    <definedName name="OSRRefH22_2x_0" localSheetId="46">'206'!$H$34</definedName>
    <definedName name="OSRRefH22_2x_0" localSheetId="48">'300'!$H$186</definedName>
    <definedName name="OSRRefH22_2x_0" localSheetId="49">'300 &amp; 317'!$H$212</definedName>
    <definedName name="OSRRefH22_2x_0" localSheetId="50">'301'!$H$39</definedName>
    <definedName name="OSRRefH22_2x_0" localSheetId="51">'306'!$H$37</definedName>
    <definedName name="OSRRefH22_2x_0" localSheetId="53">'307'!$H$92</definedName>
    <definedName name="OSRRefH22_2x_0" localSheetId="55">'308'!$H$84</definedName>
    <definedName name="OSRRefH22_2x_0" localSheetId="66">'309'!$H$39</definedName>
    <definedName name="OSRRefH22_2x_0" localSheetId="65">'310'!$H$47</definedName>
    <definedName name="OSRRefH22_2x_0" localSheetId="74">'310 &amp; 491'!$H$56</definedName>
    <definedName name="OSRRefH22_2x_0" localSheetId="56">'311'!$H$83</definedName>
    <definedName name="OSRRefH22_2x_0" localSheetId="67">'313'!$H$43</definedName>
    <definedName name="OSRRefH22_2x_0" localSheetId="54">'314'!$H$70</definedName>
    <definedName name="OSRRefH22_2x_0" localSheetId="59">'315'!$H$99</definedName>
    <definedName name="OSRRefH22_2x_0" localSheetId="61">'316'!$H$51</definedName>
    <definedName name="OSRRefH22_2x_0" localSheetId="64">'317'!$H$77</definedName>
    <definedName name="OSRRefH22_2x_0" localSheetId="62">'320'!$H$42</definedName>
    <definedName name="OSRRefH22_2x_0" localSheetId="68">'321'!$H$39</definedName>
    <definedName name="OSRRefH22_2x_0" localSheetId="69">'322'!$H$39</definedName>
    <definedName name="OSRRefH22_2x_0" localSheetId="70">'325'!$H$39</definedName>
    <definedName name="OSRRefH22_2x_0" localSheetId="71">'326'!$H$79</definedName>
    <definedName name="OSRRefH22_2x_0" localSheetId="72">'327'!$H$26</definedName>
    <definedName name="OSRRefH22_2x_0" localSheetId="52">'330'!$H$101</definedName>
    <definedName name="OSRRefH22_2x_0" localSheetId="58">'331'!$H$108</definedName>
    <definedName name="OSRRefH22_2x_0" localSheetId="60">'332'!$H$59</definedName>
    <definedName name="OSRRefH22_2x_0" localSheetId="76">'405'!$H$38</definedName>
    <definedName name="OSRRefH22_2x_0" localSheetId="77">'406'!$H$40</definedName>
    <definedName name="OSRRefH22_2x_0" localSheetId="78">'411'!$H$37</definedName>
    <definedName name="OSRRefH22_2x_0" localSheetId="79">'412'!$H$40</definedName>
    <definedName name="OSRRefH22_2x_0" localSheetId="80">'413'!$H$39</definedName>
    <definedName name="OSRRefH22_2x_0" localSheetId="81">'414'!$H$40</definedName>
    <definedName name="OSRRefH22_2x_0" localSheetId="82">'415'!$H$40</definedName>
    <definedName name="OSRRefH22_2x_0" localSheetId="83">'418'!$H$40</definedName>
    <definedName name="OSRRefH22_2x_0" localSheetId="84">'420'!$H$38</definedName>
    <definedName name="OSRRefH22_2x_0" localSheetId="85">'423'!$H$33</definedName>
    <definedName name="OSRRefH22_2x_0" localSheetId="86">'424'!$H$33</definedName>
    <definedName name="OSRRefH22_2x_0" localSheetId="88">'425'!$H$44</definedName>
    <definedName name="OSRRefH22_2x_0" localSheetId="90">'430'!$H$31</definedName>
    <definedName name="OSRRefH22_2x_0" localSheetId="91">'433'!$H$42</definedName>
    <definedName name="OSRRefH22_2x_0" localSheetId="92">'435'!$H$33</definedName>
    <definedName name="OSRRefH22_2x_0" localSheetId="93">'444'!$H$42</definedName>
    <definedName name="OSRRefH22_2x_0" localSheetId="94">'450'!$H$42</definedName>
    <definedName name="OSRRefH22_2x_0" localSheetId="75">'491'!$H$50</definedName>
    <definedName name="OSRRefH22_2x_0" localSheetId="89">'492'!$H$45</definedName>
    <definedName name="OSRRefH22_2x_0" localSheetId="96">'501'!$H$37</definedName>
    <definedName name="OSRRefH22_2x_0" localSheetId="39">'Div 2'!$H$40</definedName>
    <definedName name="OSRRefH22_2x_0" localSheetId="47">'Div 3'!$H$191</definedName>
    <definedName name="OSRRefH22_2x_0" localSheetId="73">'Div 4'!$H$50</definedName>
    <definedName name="OSRRefH22_2x_0" localSheetId="95">'Div 5'!$H$37</definedName>
    <definedName name="OSRRefH22_2x_0" localSheetId="63">'Div 6'!$H$77</definedName>
    <definedName name="OSRRefH22_2x_0" localSheetId="2">Summary!$H$224</definedName>
    <definedName name="OSRRefH22_3x_0" localSheetId="40">'200'!$H$26</definedName>
    <definedName name="OSRRefH22_3x_0" localSheetId="41">'201'!$H$35</definedName>
    <definedName name="OSRRefH22_3x_0" localSheetId="42">'202'!$H$36</definedName>
    <definedName name="OSRRefH22_3x_0" localSheetId="43">'203'!$H$39</definedName>
    <definedName name="OSRRefH22_3x_0" localSheetId="44">'204'!$H$39</definedName>
    <definedName name="OSRRefH22_3x_0" localSheetId="45">'205'!$H$33</definedName>
    <definedName name="OSRRefH22_3x_0" localSheetId="46">'206'!$H$36</definedName>
    <definedName name="OSRRefH22_3x_0" localSheetId="48">'300'!$H$188:$H$189</definedName>
    <definedName name="OSRRefH22_3x_0" localSheetId="49">'300 &amp; 317'!$H$214:$H$215</definedName>
    <definedName name="OSRRefH22_3x_0" localSheetId="50">'301'!$H$41:$H$42</definedName>
    <definedName name="OSRRefH22_3x_0" localSheetId="51">'306'!$H$39</definedName>
    <definedName name="OSRRefH22_3x_0" localSheetId="53">'307'!$H$94</definedName>
    <definedName name="OSRRefH22_3x_0" localSheetId="55">'308'!$H$86:$H$87</definedName>
    <definedName name="OSRRefH22_3x_0" localSheetId="66">'309'!$H$41</definedName>
    <definedName name="OSRRefH22_3x_0" localSheetId="65">'310'!$H$49</definedName>
    <definedName name="OSRRefH22_3x_0" localSheetId="74">'310 &amp; 491'!$H$58</definedName>
    <definedName name="OSRRefH22_3x_0" localSheetId="56">'311'!$H$85:$H$86</definedName>
    <definedName name="OSRRefH22_3x_0" localSheetId="67">'313'!$H$45</definedName>
    <definedName name="OSRRefH22_3x_0" localSheetId="54">'314'!$H$72:$H$73</definedName>
    <definedName name="OSRRefH22_3x_0" localSheetId="59">'315'!$H$101:$H$102</definedName>
    <definedName name="OSRRefH22_3x_0" localSheetId="61">'316'!$H$53</definedName>
    <definedName name="OSRRefH22_3x_0" localSheetId="64">'317'!$H$79</definedName>
    <definedName name="OSRRefH22_3x_0" localSheetId="62">'320'!$H$44</definedName>
    <definedName name="OSRRefH22_3x_0" localSheetId="68">'321'!$H$41</definedName>
    <definedName name="OSRRefH22_3x_0" localSheetId="69">'322'!$H$41</definedName>
    <definedName name="OSRRefH22_3x_0" localSheetId="70">'325'!$H$41</definedName>
    <definedName name="OSRRefH22_3x_0" localSheetId="71">'326'!$H$81</definedName>
    <definedName name="OSRRefH22_3x_0" localSheetId="52">'330'!$H$103</definedName>
    <definedName name="OSRRefH22_3x_0" localSheetId="58">'331'!$H$110</definedName>
    <definedName name="OSRRefH22_3x_0" localSheetId="60">'332'!$H$61</definedName>
    <definedName name="OSRRefH22_3x_0" localSheetId="76">'405'!$H$40</definedName>
    <definedName name="OSRRefH22_3x_0" localSheetId="77">'406'!$H$42</definedName>
    <definedName name="OSRRefH22_3x_0" localSheetId="78">'411'!$H$39</definedName>
    <definedName name="OSRRefH22_3x_0" localSheetId="79">'412'!$H$42</definedName>
    <definedName name="OSRRefH22_3x_0" localSheetId="80">'413'!$H$41</definedName>
    <definedName name="OSRRefH22_3x_0" localSheetId="81">'414'!$H$42</definedName>
    <definedName name="OSRRefH22_3x_0" localSheetId="82">'415'!$H$42</definedName>
    <definedName name="OSRRefH22_3x_0" localSheetId="83">'418'!$H$42</definedName>
    <definedName name="OSRRefH22_3x_0" localSheetId="84">'420'!$H$40</definedName>
    <definedName name="OSRRefH22_3x_0" localSheetId="85">'423'!$H$35</definedName>
    <definedName name="OSRRefH22_3x_0" localSheetId="86">'424'!$H$35</definedName>
    <definedName name="OSRRefH22_3x_0" localSheetId="88">'425'!$H$46</definedName>
    <definedName name="OSRRefH22_3x_0" localSheetId="90">'430'!$H$33</definedName>
    <definedName name="OSRRefH22_3x_0" localSheetId="91">'433'!$H$44</definedName>
    <definedName name="OSRRefH22_3x_0" localSheetId="92">'435'!$H$35</definedName>
    <definedName name="OSRRefH22_3x_0" localSheetId="93">'444'!$H$44</definedName>
    <definedName name="OSRRefH22_3x_0" localSheetId="94">'450'!$H$44</definedName>
    <definedName name="OSRRefH22_3x_0" localSheetId="75">'491'!$H$52</definedName>
    <definedName name="OSRRefH22_3x_0" localSheetId="89">'492'!$H$47</definedName>
    <definedName name="OSRRefH22_3x_0" localSheetId="96">'501'!$H$39</definedName>
    <definedName name="OSRRefH22_3x_0" localSheetId="39">'Div 2'!$H$42</definedName>
    <definedName name="OSRRefH22_3x_0" localSheetId="47">'Div 3'!$H$193:$H$194</definedName>
    <definedName name="OSRRefH22_3x_0" localSheetId="73">'Div 4'!$H$52</definedName>
    <definedName name="OSRRefH22_3x_0" localSheetId="95">'Div 5'!$H$39</definedName>
    <definedName name="OSRRefH22_3x_0" localSheetId="63">'Div 6'!$H$79</definedName>
    <definedName name="OSRRefH22_3x_0" localSheetId="2">Summary!$H$226:$H$227</definedName>
    <definedName name="OSRRefH22_4x_0" localSheetId="40">'200'!$H$28:$H$29</definedName>
    <definedName name="OSRRefH22_4x_0" localSheetId="41">'201'!$H$37</definedName>
    <definedName name="OSRRefH22_4x_0" localSheetId="42">'202'!$H$38</definedName>
    <definedName name="OSRRefH22_4x_0" localSheetId="43">'203'!$H$41</definedName>
    <definedName name="OSRRefH22_4x_0" localSheetId="44">'204'!$H$41</definedName>
    <definedName name="OSRRefH22_4x_0" localSheetId="45">'205'!$H$35:$H$36</definedName>
    <definedName name="OSRRefH22_4x_0" localSheetId="46">'206'!$H$38</definedName>
    <definedName name="OSRRefH22_4x_0" localSheetId="48">'300'!$H$191</definedName>
    <definedName name="OSRRefH22_4x_0" localSheetId="49">'300 &amp; 317'!$H$217</definedName>
    <definedName name="OSRRefH22_4x_0" localSheetId="50">'301'!$H$44</definedName>
    <definedName name="OSRRefH22_4x_0" localSheetId="51">'306'!$H$41</definedName>
    <definedName name="OSRRefH22_4x_0" localSheetId="53">'307'!$H$96:$H$97</definedName>
    <definedName name="OSRRefH22_4x_0" localSheetId="55">'308'!$H$89</definedName>
    <definedName name="OSRRefH22_4x_0" localSheetId="66">'309'!$H$43</definedName>
    <definedName name="OSRRefH22_4x_0" localSheetId="65">'310'!$H$51</definedName>
    <definedName name="OSRRefH22_4x_0" localSheetId="74">'310 &amp; 491'!$H$60</definedName>
    <definedName name="OSRRefH22_4x_0" localSheetId="56">'311'!$H$88</definedName>
    <definedName name="OSRRefH22_4x_0" localSheetId="67">'313'!$H$47</definedName>
    <definedName name="OSRRefH22_4x_0" localSheetId="54">'314'!$H$75</definedName>
    <definedName name="OSRRefH22_4x_0" localSheetId="59">'315'!$H$104</definedName>
    <definedName name="OSRRefH22_4x_0" localSheetId="61">'316'!$H$55</definedName>
    <definedName name="OSRRefH22_4x_0" localSheetId="64">'317'!$H$81</definedName>
    <definedName name="OSRRefH22_4x_0" localSheetId="62">'320'!$H$46:$H$47</definedName>
    <definedName name="OSRRefH22_4x_0" localSheetId="68">'321'!$H$43</definedName>
    <definedName name="OSRRefH22_4x_0" localSheetId="69">'322'!$H$43</definedName>
    <definedName name="OSRRefH22_4x_0" localSheetId="70">'325'!$H$43</definedName>
    <definedName name="OSRRefH22_4x_0" localSheetId="71">'326'!$H$83</definedName>
    <definedName name="OSRRefH22_4x_0" localSheetId="52">'330'!$H$105:$H$106</definedName>
    <definedName name="OSRRefH22_4x_0" localSheetId="58">'331'!$H$112</definedName>
    <definedName name="OSRRefH22_4x_0" localSheetId="60">'332'!$H$63</definedName>
    <definedName name="OSRRefH22_4x_0" localSheetId="76">'405'!$H$42</definedName>
    <definedName name="OSRRefH22_4x_0" localSheetId="77">'406'!$H$44</definedName>
    <definedName name="OSRRefH22_4x_0" localSheetId="78">'411'!$H$41:$H$43</definedName>
    <definedName name="OSRRefH22_4x_0" localSheetId="79">'412'!$H$44</definedName>
    <definedName name="OSRRefH22_4x_0" localSheetId="80">'413'!$H$43</definedName>
    <definedName name="OSRRefH22_4x_0" localSheetId="81">'414'!$H$44</definedName>
    <definedName name="OSRRefH22_4x_0" localSheetId="82">'415'!$H$44</definedName>
    <definedName name="OSRRefH22_4x_0" localSheetId="83">'418'!$H$44</definedName>
    <definedName name="OSRRefH22_4x_0" localSheetId="84">'420'!$H$42</definedName>
    <definedName name="OSRRefH22_4x_0" localSheetId="85">'423'!$H$37</definedName>
    <definedName name="OSRRefH22_4x_0" localSheetId="86">'424'!$H$37</definedName>
    <definedName name="OSRRefH22_4x_0" localSheetId="88">'425'!$H$48</definedName>
    <definedName name="OSRRefH22_4x_0" localSheetId="90">'430'!$H$35:$H$36</definedName>
    <definedName name="OSRRefH22_4x_0" localSheetId="91">'433'!$H$46</definedName>
    <definedName name="OSRRefH22_4x_0" localSheetId="92">'435'!$H$37</definedName>
    <definedName name="OSRRefH22_4x_0" localSheetId="93">'444'!$H$46</definedName>
    <definedName name="OSRRefH22_4x_0" localSheetId="94">'450'!$H$46</definedName>
    <definedName name="OSRRefH22_4x_0" localSheetId="75">'491'!$H$54</definedName>
    <definedName name="OSRRefH22_4x_0" localSheetId="89">'492'!$H$49</definedName>
    <definedName name="OSRRefH22_4x_0" localSheetId="96">'501'!$H$41</definedName>
    <definedName name="OSRRefH22_4x_0" localSheetId="39">'Div 2'!$H$44</definedName>
    <definedName name="OSRRefH22_4x_0" localSheetId="47">'Div 3'!$H$196</definedName>
    <definedName name="OSRRefH22_4x_0" localSheetId="73">'Div 4'!$H$54</definedName>
    <definedName name="OSRRefH22_4x_0" localSheetId="95">'Div 5'!$H$41</definedName>
    <definedName name="OSRRefH22_4x_0" localSheetId="63">'Div 6'!$H$81</definedName>
    <definedName name="OSRRefH22_4x_0" localSheetId="2">Summary!$H$229</definedName>
    <definedName name="OSRRefH22_5x_0" localSheetId="41">'201'!$H$39</definedName>
    <definedName name="OSRRefH22_5x_0" localSheetId="42">'202'!$H$40</definedName>
    <definedName name="OSRRefH22_5x_0" localSheetId="43">'203'!$H$43</definedName>
    <definedName name="OSRRefH22_5x_0" localSheetId="44">'204'!$H$43</definedName>
    <definedName name="OSRRefH22_5x_0" localSheetId="45">'205'!$H$38</definedName>
    <definedName name="OSRRefH22_5x_0" localSheetId="46">'206'!$H$40</definedName>
    <definedName name="OSRRefH22_5x_0" localSheetId="48">'300'!$H$193:$H$195</definedName>
    <definedName name="OSRRefH22_5x_0" localSheetId="49">'300 &amp; 317'!$H$219:$H$221</definedName>
    <definedName name="OSRRefH22_5x_0" localSheetId="50">'301'!$H$46:$H$48</definedName>
    <definedName name="OSRRefH22_5x_0" localSheetId="51">'306'!$H$43</definedName>
    <definedName name="OSRRefH22_5x_0" localSheetId="53">'307'!$H$99</definedName>
    <definedName name="OSRRefH22_5x_0" localSheetId="55">'308'!$H$91</definedName>
    <definedName name="OSRRefH22_5x_0" localSheetId="66">'309'!$H$45</definedName>
    <definedName name="OSRRefH22_5x_0" localSheetId="65">'310'!$H$53:$H$54</definedName>
    <definedName name="OSRRefH22_5x_0" localSheetId="74">'310 &amp; 491'!$H$62:$H$64</definedName>
    <definedName name="OSRRefH22_5x_0" localSheetId="56">'311'!$H$90</definedName>
    <definedName name="OSRRefH22_5x_0" localSheetId="67">'313'!$H$49</definedName>
    <definedName name="OSRRefH22_5x_0" localSheetId="54">'314'!$H$77</definedName>
    <definedName name="OSRRefH22_5x_0" localSheetId="59">'315'!$H$106:$H$107</definedName>
    <definedName name="OSRRefH22_5x_0" localSheetId="61">'316'!$H$57</definedName>
    <definedName name="OSRRefH22_5x_0" localSheetId="64">'317'!$H$83:$H$84</definedName>
    <definedName name="OSRRefH22_5x_0" localSheetId="62">'320'!$H$49</definedName>
    <definedName name="OSRRefH22_5x_0" localSheetId="68">'321'!$H$45</definedName>
    <definedName name="OSRRefH22_5x_0" localSheetId="69">'322'!$H$45</definedName>
    <definedName name="OSRRefH22_5x_0" localSheetId="70">'325'!$H$45:$H$46</definedName>
    <definedName name="OSRRefH22_5x_0" localSheetId="71">'326'!$H$85:$H$86</definedName>
    <definedName name="OSRRefH22_5x_0" localSheetId="52">'330'!$H$108</definedName>
    <definedName name="OSRRefH22_5x_0" localSheetId="58">'331'!$H$114:$H$115</definedName>
    <definedName name="OSRRefH22_5x_0" localSheetId="60">'332'!$H$65</definedName>
    <definedName name="OSRRefH22_5x_0" localSheetId="76">'405'!$H$44:$H$45</definedName>
    <definedName name="OSRRefH22_5x_0" localSheetId="77">'406'!$H$46</definedName>
    <definedName name="OSRRefH22_5x_0" localSheetId="78">'411'!$H$45</definedName>
    <definedName name="OSRRefH22_5x_0" localSheetId="79">'412'!$H$46</definedName>
    <definedName name="OSRRefH22_5x_0" localSheetId="80">'413'!$H$45</definedName>
    <definedName name="OSRRefH22_5x_0" localSheetId="81">'414'!$H$46</definedName>
    <definedName name="OSRRefH22_5x_0" localSheetId="82">'415'!$H$46:$H$47</definedName>
    <definedName name="OSRRefH22_5x_0" localSheetId="83">'418'!$H$46:$H$47</definedName>
    <definedName name="OSRRefH22_5x_0" localSheetId="84">'420'!$H$44</definedName>
    <definedName name="OSRRefH22_5x_0" localSheetId="85">'423'!$H$39</definedName>
    <definedName name="OSRRefH22_5x_0" localSheetId="86">'424'!$H$39</definedName>
    <definedName name="OSRRefH22_5x_0" localSheetId="88">'425'!$H$50</definedName>
    <definedName name="OSRRefH22_5x_0" localSheetId="90">'430'!$H$38</definedName>
    <definedName name="OSRRefH22_5x_0" localSheetId="91">'433'!$H$48</definedName>
    <definedName name="OSRRefH22_5x_0" localSheetId="92">'435'!$H$39</definedName>
    <definedName name="OSRRefH22_5x_0" localSheetId="93">'444'!$H$48</definedName>
    <definedName name="OSRRefH22_5x_0" localSheetId="94">'450'!$H$48</definedName>
    <definedName name="OSRRefH22_5x_0" localSheetId="75">'491'!$H$56:$H$58</definedName>
    <definedName name="OSRRefH22_5x_0" localSheetId="89">'492'!$H$51</definedName>
    <definedName name="OSRRefH22_5x_0" localSheetId="96">'501'!$H$43:$H$44</definedName>
    <definedName name="OSRRefH22_5x_0" localSheetId="39">'Div 2'!$H$46</definedName>
    <definedName name="OSRRefH22_5x_0" localSheetId="47">'Div 3'!$H$198:$H$200</definedName>
    <definedName name="OSRRefH22_5x_0" localSheetId="73">'Div 4'!$H$56:$H$58</definedName>
    <definedName name="OSRRefH22_5x_0" localSheetId="95">'Div 5'!$H$43:$H$44</definedName>
    <definedName name="OSRRefH22_5x_0" localSheetId="63">'Div 6'!$H$83:$H$84</definedName>
    <definedName name="OSRRefH22_5x_0" localSheetId="2">Summary!$H$231:$H$234</definedName>
    <definedName name="OSRRefH22_6x_0" localSheetId="41">'201'!$H$41</definedName>
    <definedName name="OSRRefH22_6x_0" localSheetId="42">'202'!$H$42:$H$43</definedName>
    <definedName name="OSRRefH22_6x_0" localSheetId="43">'203'!$H$45</definedName>
    <definedName name="OSRRefH22_6x_0" localSheetId="44">'204'!$H$45:$H$47</definedName>
    <definedName name="OSRRefH22_6x_0" localSheetId="45">'205'!$H$40:$H$42</definedName>
    <definedName name="OSRRefH22_6x_0" localSheetId="46">'206'!$H$42:$H$43</definedName>
    <definedName name="OSRRefH22_6x_0" localSheetId="48">'300'!$H$197:$H$198</definedName>
    <definedName name="OSRRefH22_6x_0" localSheetId="49">'300 &amp; 317'!$H$223:$H$224</definedName>
    <definedName name="OSRRefH22_6x_0" localSheetId="50">'301'!$H$50:$H$51</definedName>
    <definedName name="OSRRefH22_6x_0" localSheetId="51">'306'!$H$45:$H$46</definedName>
    <definedName name="OSRRefH22_6x_0" localSheetId="53">'307'!$H$101</definedName>
    <definedName name="OSRRefH22_6x_0" localSheetId="55">'308'!$H$93:$H$94</definedName>
    <definedName name="OSRRefH22_6x_0" localSheetId="66">'309'!$H$47</definedName>
    <definedName name="OSRRefH22_6x_0" localSheetId="65">'310'!$H$56</definedName>
    <definedName name="OSRRefH22_6x_0" localSheetId="74">'310 &amp; 491'!$H$66</definedName>
    <definedName name="OSRRefH22_6x_0" localSheetId="56">'311'!$H$92:$H$93</definedName>
    <definedName name="OSRRefH22_6x_0" localSheetId="67">'313'!$H$51</definedName>
    <definedName name="OSRRefH22_6x_0" localSheetId="54">'314'!$H$79</definedName>
    <definedName name="OSRRefH22_6x_0" localSheetId="59">'315'!$H$109:$H$110</definedName>
    <definedName name="OSRRefH22_6x_0" localSheetId="61">'316'!$H$59:$H$60</definedName>
    <definedName name="OSRRefH22_6x_0" localSheetId="64">'317'!$H$86</definedName>
    <definedName name="OSRRefH22_6x_0" localSheetId="62">'320'!$H$51</definedName>
    <definedName name="OSRRefH22_6x_0" localSheetId="68">'321'!$H$47</definedName>
    <definedName name="OSRRefH22_6x_0" localSheetId="69">'322'!$H$47</definedName>
    <definedName name="OSRRefH22_6x_0" localSheetId="70">'325'!$H$48</definedName>
    <definedName name="OSRRefH22_6x_0" localSheetId="71">'326'!$H$88</definedName>
    <definedName name="OSRRefH22_6x_0" localSheetId="52">'330'!$H$110</definedName>
    <definedName name="OSRRefH22_6x_0" localSheetId="58">'331'!$H$117</definedName>
    <definedName name="OSRRefH22_6x_0" localSheetId="60">'332'!$H$67:$H$68</definedName>
    <definedName name="OSRRefH22_6x_0" localSheetId="76">'405'!$H$47</definedName>
    <definedName name="OSRRefH22_6x_0" localSheetId="77">'406'!$H$48</definedName>
    <definedName name="OSRRefH22_6x_0" localSheetId="78">'411'!$H$47</definedName>
    <definedName name="OSRRefH22_6x_0" localSheetId="79">'412'!$H$48</definedName>
    <definedName name="OSRRefH22_6x_0" localSheetId="80">'413'!$H$47</definedName>
    <definedName name="OSRRefH22_6x_0" localSheetId="81">'414'!$H$48</definedName>
    <definedName name="OSRRefH22_6x_0" localSheetId="82">'415'!$H$49</definedName>
    <definedName name="OSRRefH22_6x_0" localSheetId="83">'418'!$H$49</definedName>
    <definedName name="OSRRefH22_6x_0" localSheetId="84">'420'!$H$46:$H$47</definedName>
    <definedName name="OSRRefH22_6x_0" localSheetId="85">'423'!$H$41</definedName>
    <definedName name="OSRRefH22_6x_0" localSheetId="86">'424'!$H$41</definedName>
    <definedName name="OSRRefH22_6x_0" localSheetId="88">'425'!$H$52</definedName>
    <definedName name="OSRRefH22_6x_0" localSheetId="90">'430'!$H$40</definedName>
    <definedName name="OSRRefH22_6x_0" localSheetId="91">'433'!$H$50</definedName>
    <definedName name="OSRRefH22_6x_0" localSheetId="92">'435'!$H$41</definedName>
    <definedName name="OSRRefH22_6x_0" localSheetId="93">'444'!$H$50</definedName>
    <definedName name="OSRRefH22_6x_0" localSheetId="94">'450'!$H$50</definedName>
    <definedName name="OSRRefH22_6x_0" localSheetId="75">'491'!$H$60</definedName>
    <definedName name="OSRRefH22_6x_0" localSheetId="89">'492'!$H$53</definedName>
    <definedName name="OSRRefH22_6x_0" localSheetId="96">'501'!$H$46</definedName>
    <definedName name="OSRRefH22_6x_0" localSheetId="39">'Div 2'!$H$48</definedName>
    <definedName name="OSRRefH22_6x_0" localSheetId="47">'Div 3'!$H$202:$H$203</definedName>
    <definedName name="OSRRefH22_6x_0" localSheetId="73">'Div 4'!$H$60</definedName>
    <definedName name="OSRRefH22_6x_0" localSheetId="95">'Div 5'!$H$46</definedName>
    <definedName name="OSRRefH22_6x_0" localSheetId="63">'Div 6'!$H$86</definedName>
    <definedName name="OSRRefH22_6x_0" localSheetId="2">Summary!$H$236:$H$237</definedName>
    <definedName name="OSRRefH22_7x_0" localSheetId="41">'201'!$H$43</definedName>
    <definedName name="OSRRefH22_7x_0" localSheetId="42">'202'!$H$45</definedName>
    <definedName name="OSRRefH22_7x_0" localSheetId="43">'203'!$H$47</definedName>
    <definedName name="OSRRefH22_7x_0" localSheetId="44">'204'!$H$49</definedName>
    <definedName name="OSRRefH22_7x_0" localSheetId="45">'205'!$H$44</definedName>
    <definedName name="OSRRefH22_7x_0" localSheetId="46">'206'!$H$45</definedName>
    <definedName name="OSRRefH22_7x_0" localSheetId="48">'300'!$H$200</definedName>
    <definedName name="OSRRefH22_7x_0" localSheetId="49">'300 &amp; 317'!$H$226</definedName>
    <definedName name="OSRRefH22_7x_0" localSheetId="50">'301'!$H$53</definedName>
    <definedName name="OSRRefH22_7x_0" localSheetId="51">'306'!$H$48:$H$50</definedName>
    <definedName name="OSRRefH22_7x_0" localSheetId="53">'307'!$H$103:$H$104</definedName>
    <definedName name="OSRRefH22_7x_0" localSheetId="55">'308'!$H$96</definedName>
    <definedName name="OSRRefH22_7x_0" localSheetId="66">'309'!$H$49</definedName>
    <definedName name="OSRRefH22_7x_0" localSheetId="65">'310'!$H$58</definedName>
    <definedName name="OSRRefH22_7x_0" localSheetId="74">'310 &amp; 491'!$H$68</definedName>
    <definedName name="OSRRefH22_7x_0" localSheetId="56">'311'!$H$95</definedName>
    <definedName name="OSRRefH22_7x_0" localSheetId="67">'313'!$H$53</definedName>
    <definedName name="OSRRefH22_7x_0" localSheetId="54">'314'!$H$81</definedName>
    <definedName name="OSRRefH22_7x_0" localSheetId="59">'315'!$H$112</definedName>
    <definedName name="OSRRefH22_7x_0" localSheetId="61">'316'!$H$62</definedName>
    <definedName name="OSRRefH22_7x_0" localSheetId="64">'317'!$H$88</definedName>
    <definedName name="OSRRefH22_7x_0" localSheetId="62">'320'!$H$53:$H$54</definedName>
    <definedName name="OSRRefH22_7x_0" localSheetId="68">'321'!$H$49:$H$51</definedName>
    <definedName name="OSRRefH22_7x_0" localSheetId="69">'322'!$H$49</definedName>
    <definedName name="OSRRefH22_7x_0" localSheetId="70">'325'!$H$50</definedName>
    <definedName name="OSRRefH22_7x_0" localSheetId="71">'326'!$H$90</definedName>
    <definedName name="OSRRefH22_7x_0" localSheetId="52">'330'!$H$112</definedName>
    <definedName name="OSRRefH22_7x_0" localSheetId="58">'331'!$H$119:$H$120</definedName>
    <definedName name="OSRRefH22_7x_0" localSheetId="60">'332'!$H$70</definedName>
    <definedName name="OSRRefH22_7x_0" localSheetId="76">'405'!$H$49</definedName>
    <definedName name="OSRRefH22_7x_0" localSheetId="77">'406'!$H$50</definedName>
    <definedName name="OSRRefH22_7x_0" localSheetId="78">'411'!$H$49</definedName>
    <definedName name="OSRRefH22_7x_0" localSheetId="79">'412'!$H$50</definedName>
    <definedName name="OSRRefH22_7x_0" localSheetId="80">'413'!$H$49:$H$51</definedName>
    <definedName name="OSRRefH22_7x_0" localSheetId="81">'414'!$H$50</definedName>
    <definedName name="OSRRefH22_7x_0" localSheetId="82">'415'!$H$51</definedName>
    <definedName name="OSRRefH22_7x_0" localSheetId="83">'418'!$H$51</definedName>
    <definedName name="OSRRefH22_7x_0" localSheetId="84">'420'!$H$49</definedName>
    <definedName name="OSRRefH22_7x_0" localSheetId="86">'424'!$H$43</definedName>
    <definedName name="OSRRefH22_7x_0" localSheetId="88">'425'!$H$54</definedName>
    <definedName name="OSRRefH22_7x_0" localSheetId="90">'430'!$H$42</definedName>
    <definedName name="OSRRefH22_7x_0" localSheetId="91">'433'!$H$52</definedName>
    <definedName name="OSRRefH22_7x_0" localSheetId="92">'435'!$H$43:$H$45</definedName>
    <definedName name="OSRRefH22_7x_0" localSheetId="93">'444'!$H$52</definedName>
    <definedName name="OSRRefH22_7x_0" localSheetId="94">'450'!$H$52</definedName>
    <definedName name="OSRRefH22_7x_0" localSheetId="75">'491'!$H$62</definedName>
    <definedName name="OSRRefH22_7x_0" localSheetId="89">'492'!$H$55</definedName>
    <definedName name="OSRRefH22_7x_0" localSheetId="96">'501'!$H$48</definedName>
    <definedName name="OSRRefH22_7x_0" localSheetId="39">'Div 2'!$H$50</definedName>
    <definedName name="OSRRefH22_7x_0" localSheetId="47">'Div 3'!$H$205</definedName>
    <definedName name="OSRRefH22_7x_0" localSheetId="73">'Div 4'!$H$62</definedName>
    <definedName name="OSRRefH22_7x_0" localSheetId="95">'Div 5'!$H$48</definedName>
    <definedName name="OSRRefH22_7x_0" localSheetId="63">'Div 6'!$H$88</definedName>
    <definedName name="OSRRefH22_7x_0" localSheetId="2">Summary!$H$239</definedName>
    <definedName name="OSRRefH22_8x_0" localSheetId="41">'201'!$H$45</definedName>
    <definedName name="OSRRefH22_8x_0" localSheetId="42">'202'!$H$47</definedName>
    <definedName name="OSRRefH22_8x_0" localSheetId="43">'203'!$H$49</definedName>
    <definedName name="OSRRefH22_8x_0" localSheetId="44">'204'!$H$51:$H$52</definedName>
    <definedName name="OSRRefH22_8x_0" localSheetId="45">'205'!$H$46</definedName>
    <definedName name="OSRRefH22_8x_0" localSheetId="46">'206'!$H$47</definedName>
    <definedName name="OSRRefH22_8x_0" localSheetId="48">'300'!$H$202</definedName>
    <definedName name="OSRRefH22_8x_0" localSheetId="49">'300 &amp; 317'!$H$228</definedName>
    <definedName name="OSRRefH22_8x_0" localSheetId="50">'301'!$H$55</definedName>
    <definedName name="OSRRefH22_8x_0" localSheetId="51">'306'!$H$52</definedName>
    <definedName name="OSRRefH22_8x_0" localSheetId="53">'307'!$H$106:$H$107</definedName>
    <definedName name="OSRRefH22_8x_0" localSheetId="55">'308'!$H$98:$H$99</definedName>
    <definedName name="OSRRefH22_8x_0" localSheetId="66">'309'!$H$51</definedName>
    <definedName name="OSRRefH22_8x_0" localSheetId="65">'310'!$H$60</definedName>
    <definedName name="OSRRefH22_8x_0" localSheetId="74">'310 &amp; 491'!$H$70</definedName>
    <definedName name="OSRRefH22_8x_0" localSheetId="56">'311'!$H$97:$H$98</definedName>
    <definedName name="OSRRefH22_8x_0" localSheetId="67">'313'!$H$55:$H$57</definedName>
    <definedName name="OSRRefH22_8x_0" localSheetId="54">'314'!$H$83</definedName>
    <definedName name="OSRRefH22_8x_0" localSheetId="59">'315'!$H$114:$H$115</definedName>
    <definedName name="OSRRefH22_8x_0" localSheetId="61">'316'!$H$64:$H$66</definedName>
    <definedName name="OSRRefH22_8x_0" localSheetId="64">'317'!$H$90:$H$91</definedName>
    <definedName name="OSRRefH22_8x_0" localSheetId="62">'320'!$H$56</definedName>
    <definedName name="OSRRefH22_8x_0" localSheetId="68">'321'!$H$53</definedName>
    <definedName name="OSRRefH22_8x_0" localSheetId="69">'322'!$H$51:$H$52</definedName>
    <definedName name="OSRRefH22_8x_0" localSheetId="70">'325'!$H$52</definedName>
    <definedName name="OSRRefH22_8x_0" localSheetId="71">'326'!$H$92</definedName>
    <definedName name="OSRRefH22_8x_0" localSheetId="52">'330'!$H$114:$H$115</definedName>
    <definedName name="OSRRefH22_8x_0" localSheetId="58">'331'!$H$122</definedName>
    <definedName name="OSRRefH22_8x_0" localSheetId="60">'332'!$H$72</definedName>
    <definedName name="OSRRefH22_8x_0" localSheetId="76">'405'!$H$51</definedName>
    <definedName name="OSRRefH22_8x_0" localSheetId="77">'406'!$H$52</definedName>
    <definedName name="OSRRefH22_8x_0" localSheetId="78">'411'!$H$51</definedName>
    <definedName name="OSRRefH22_8x_0" localSheetId="79">'412'!$H$52</definedName>
    <definedName name="OSRRefH22_8x_0" localSheetId="80">'413'!$H$53:$H$55</definedName>
    <definedName name="OSRRefH22_8x_0" localSheetId="81">'414'!$H$52</definedName>
    <definedName name="OSRRefH22_8x_0" localSheetId="82">'415'!$H$53</definedName>
    <definedName name="OSRRefH22_8x_0" localSheetId="83">'418'!$H$53</definedName>
    <definedName name="OSRRefH22_8x_0" localSheetId="86">'424'!$H$45:$H$46</definedName>
    <definedName name="OSRRefH22_8x_0" localSheetId="88">'425'!$H$56</definedName>
    <definedName name="OSRRefH22_8x_0" localSheetId="91">'433'!$H$54</definedName>
    <definedName name="OSRRefH22_8x_0" localSheetId="92">'435'!$H$47</definedName>
    <definedName name="OSRRefH22_8x_0" localSheetId="93">'444'!$H$54</definedName>
    <definedName name="OSRRefH22_8x_0" localSheetId="94">'450'!$H$54</definedName>
    <definedName name="OSRRefH22_8x_0" localSheetId="75">'491'!$H$64</definedName>
    <definedName name="OSRRefH22_8x_0" localSheetId="89">'492'!$H$57</definedName>
    <definedName name="OSRRefH22_8x_0" localSheetId="96">'501'!$H$50</definedName>
    <definedName name="OSRRefH22_8x_0" localSheetId="39">'Div 2'!$H$52</definedName>
    <definedName name="OSRRefH22_8x_0" localSheetId="47">'Div 3'!$H$207</definedName>
    <definedName name="OSRRefH22_8x_0" localSheetId="73">'Div 4'!$H$64</definedName>
    <definedName name="OSRRefH22_8x_0" localSheetId="95">'Div 5'!$H$50</definedName>
    <definedName name="OSRRefH22_8x_0" localSheetId="63">'Div 6'!$H$90:$H$91</definedName>
    <definedName name="OSRRefH22_8x_0" localSheetId="2">Summary!$H$241</definedName>
    <definedName name="OSRRefH22_9x_0" localSheetId="41">'201'!$H$47:$H$49</definedName>
    <definedName name="OSRRefH22_9x_0" localSheetId="42">'202'!$H$49:$H$51</definedName>
    <definedName name="OSRRefH22_9x_0" localSheetId="43">'203'!$H$51:$H$53</definedName>
    <definedName name="OSRRefH22_9x_0" localSheetId="44">'204'!$H$54</definedName>
    <definedName name="OSRRefH22_9x_0" localSheetId="48">'300'!$H$204</definedName>
    <definedName name="OSRRefH22_9x_0" localSheetId="49">'300 &amp; 317'!$H$230</definedName>
    <definedName name="OSRRefH22_9x_0" localSheetId="50">'301'!$H$57</definedName>
    <definedName name="OSRRefH22_9x_0" localSheetId="51">'306'!$H$54</definedName>
    <definedName name="OSRRefH22_9x_0" localSheetId="53">'307'!$H$109:$H$112</definedName>
    <definedName name="OSRRefH22_9x_0" localSheetId="55">'308'!$H$101:$H$102</definedName>
    <definedName name="OSRRefH22_9x_0" localSheetId="66">'309'!$H$53:$H$54</definedName>
    <definedName name="OSRRefH22_9x_0" localSheetId="65">'310'!$H$62</definedName>
    <definedName name="OSRRefH22_9x_0" localSheetId="74">'310 &amp; 491'!$H$72</definedName>
    <definedName name="OSRRefH22_9x_0" localSheetId="56">'311'!$H$100:$H$101</definedName>
    <definedName name="OSRRefH22_9x_0" localSheetId="67">'313'!$H$59</definedName>
    <definedName name="OSRRefH22_9x_0" localSheetId="59">'315'!$H$117:$H$118</definedName>
    <definedName name="OSRRefH22_9x_0" localSheetId="61">'316'!$H$68</definedName>
    <definedName name="OSRRefH22_9x_0" localSheetId="64">'317'!$H$93</definedName>
    <definedName name="OSRRefH22_9x_0" localSheetId="68">'321'!$H$55:$H$57</definedName>
    <definedName name="OSRRefH22_9x_0" localSheetId="69">'322'!$H$54:$H$56</definedName>
    <definedName name="OSRRefH22_9x_0" localSheetId="70">'325'!$H$54</definedName>
    <definedName name="OSRRefH22_9x_0" localSheetId="71">'326'!$H$94</definedName>
    <definedName name="OSRRefH22_9x_0" localSheetId="52">'330'!$H$117:$H$118</definedName>
    <definedName name="OSRRefH22_9x_0" localSheetId="58">'331'!$H$124</definedName>
    <definedName name="OSRRefH22_9x_0" localSheetId="60">'332'!$H$74:$H$76</definedName>
    <definedName name="OSRRefH22_9x_0" localSheetId="76">'405'!$H$53</definedName>
    <definedName name="OSRRefH22_9x_0" localSheetId="77">'406'!$H$54:$H$56</definedName>
    <definedName name="OSRRefH22_9x_0" localSheetId="78">'411'!$H$53</definedName>
    <definedName name="OSRRefH22_9x_0" localSheetId="79">'412'!$H$54:$H$56</definedName>
    <definedName name="OSRRefH22_9x_0" localSheetId="80">'413'!$H$57:$H$62</definedName>
    <definedName name="OSRRefH22_9x_0" localSheetId="81">'414'!$H$54:$H$55</definedName>
    <definedName name="OSRRefH22_9x_0" localSheetId="82">'415'!$H$55</definedName>
    <definedName name="OSRRefH22_9x_0" localSheetId="83">'418'!$H$55</definedName>
    <definedName name="OSRRefH22_9x_0" localSheetId="86">'424'!$H$48</definedName>
    <definedName name="OSRRefH22_9x_0" localSheetId="88">'425'!$H$58:$H$60</definedName>
    <definedName name="OSRRefH22_9x_0" localSheetId="91">'433'!$H$56</definedName>
    <definedName name="OSRRefH22_9x_0" localSheetId="93">'444'!$H$56</definedName>
    <definedName name="OSRRefH22_9x_0" localSheetId="94">'450'!$H$56</definedName>
    <definedName name="OSRRefH22_9x_0" localSheetId="75">'491'!$H$66</definedName>
    <definedName name="OSRRefH22_9x_0" localSheetId="89">'492'!$H$59</definedName>
    <definedName name="OSRRefH22_9x_0" localSheetId="96">'501'!$H$52:$H$54</definedName>
    <definedName name="OSRRefH22_9x_0" localSheetId="39">'Div 2'!$H$54:$H$55</definedName>
    <definedName name="OSRRefH22_9x_0" localSheetId="47">'Div 3'!$H$209</definedName>
    <definedName name="OSRRefH22_9x_0" localSheetId="73">'Div 4'!$H$66</definedName>
    <definedName name="OSRRefH22_9x_0" localSheetId="95">'Div 5'!$H$52:$H$54</definedName>
    <definedName name="OSRRefH22_9x_0" localSheetId="63">'Div 6'!$H$93</definedName>
    <definedName name="OSRRefH22_9x_0" localSheetId="2">Summary!$H$243</definedName>
    <definedName name="OSRRefH22x_0" localSheetId="40">'200'!$H$20,'200'!$H$22,'200'!$H$24,'200'!$H$26,'200'!$H$28:$H$29</definedName>
    <definedName name="OSRRefH22x_0" localSheetId="41">'201'!$H$20:$H$27,'201'!$H$29:$H$31,'201'!$H$33,'201'!$H$35,'201'!$H$37,'201'!$H$39,'201'!$H$41,'201'!$H$43,'201'!$H$45,'201'!$H$47:$H$49,'201'!$H$51:$H$53,'201'!$H$55,'201'!$H$57:$H$60,'201'!$H$62,'201'!$H$64,'201'!$H$66</definedName>
    <definedName name="OSRRefH22x_0" localSheetId="42">'202'!$H$20:$H$27,'202'!$H$29:$H$32,'202'!$H$34,'202'!$H$36,'202'!$H$38,'202'!$H$40,'202'!$H$42:$H$43,'202'!$H$45,'202'!$H$47,'202'!$H$49:$H$51,'202'!$H$53,'202'!$H$55,'202'!$H$57:$H$59,'202'!$H$61,'202'!$H$63,'202'!$H$65</definedName>
    <definedName name="OSRRefH22x_0" localSheetId="43">'203'!$H$20:$H$29,'203'!$H$31:$H$35,'203'!$H$37,'203'!$H$39,'203'!$H$41,'203'!$H$43,'203'!$H$45,'203'!$H$47,'203'!$H$49,'203'!$H$51:$H$53,'203'!$H$55:$H$56,'203'!$H$58,'203'!$H$60:$H$63,'203'!$H$65,'203'!$H$67,'203'!$H$69</definedName>
    <definedName name="OSRRefH22x_0" localSheetId="44">'204'!$H$20:$H$29,'204'!$H$31:$H$35,'204'!$H$37,'204'!$H$39,'204'!$H$41,'204'!$H$43,'204'!$H$45:$H$47,'204'!$H$49,'204'!$H$51:$H$52,'204'!$H$54,'204'!$H$56:$H$57</definedName>
    <definedName name="OSRRefH22x_0" localSheetId="45">'205'!$H$20:$H$27,'205'!$H$29,'205'!$H$31,'205'!$H$33,'205'!$H$35:$H$36,'205'!$H$38,'205'!$H$40:$H$42,'205'!$H$44,'205'!$H$46</definedName>
    <definedName name="OSRRefH22x_0" localSheetId="46">'206'!$H$20:$H$27,'206'!$H$29:$H$32,'206'!$H$34,'206'!$H$36,'206'!$H$38,'206'!$H$40,'206'!$H$42:$H$43,'206'!$H$45,'206'!$H$47</definedName>
    <definedName name="OSRRefH22x_0" localSheetId="48">'300'!$H$167:$H$176,'300'!$H$178:$H$184,'300'!$H$186,'300'!$H$188:$H$189,'300'!$H$191,'300'!$H$193:$H$195,'300'!$H$197:$H$198,'300'!$H$200,'300'!$H$202,'300'!$H$204,'300'!$H$206:$H$207,'300'!$H$209,'300'!$H$211,'300'!$H$213:$H$215,'300'!$H$217,'300'!$H$219,'300'!$H$221:$H$224,'300'!$H$226:$H$228,'300'!$H$230:$H$233,'300'!$H$235:$H$236,'300'!$H$238:$H$244,'300'!$H$246:$H$247,'300'!$H$249,'300'!$H$251:$H$253,'300'!$H$255</definedName>
    <definedName name="OSRRefH22x_0" localSheetId="49">'300 &amp; 317'!$H$193:$H$202,'300 &amp; 317'!$H$204:$H$210,'300 &amp; 317'!$H$212,'300 &amp; 317'!$H$214:$H$215,'300 &amp; 317'!$H$217,'300 &amp; 317'!$H$219:$H$221,'300 &amp; 317'!$H$223:$H$224,'300 &amp; 317'!$H$226,'300 &amp; 317'!$H$228,'300 &amp; 317'!$H$230,'300 &amp; 317'!$H$232:$H$233,'300 &amp; 317'!$H$235,'300 &amp; 317'!$H$237,'300 &amp; 317'!$H$239:$H$241,'300 &amp; 317'!$H$243,'300 &amp; 317'!$H$245,'300 &amp; 317'!$H$247:$H$250,'300 &amp; 317'!$H$252:$H$254,'300 &amp; 317'!$H$256:$H$259,'300 &amp; 317'!$H$261:$H$262,'300 &amp; 317'!$H$264:$H$270,'300 &amp; 317'!$H$272:$H$273,'300 &amp; 317'!$H$275,'300 &amp; 317'!$H$277:$H$279,'300 &amp; 317'!$H$281</definedName>
    <definedName name="OSRRefH22x_0" localSheetId="50">'301'!$H$20:$H$29,'301'!$H$31:$H$37,'301'!$H$39,'301'!$H$41:$H$42,'301'!$H$44,'301'!$H$46:$H$48,'301'!$H$50:$H$51,'301'!$H$53,'301'!$H$55,'301'!$H$57,'301'!$H$59,'301'!$H$61,'301'!$H$63,'301'!$H$65,'301'!$H$67,'301'!$H$69:$H$72,'301'!$H$74:$H$76,'301'!$H$78:$H$79,'301'!$H$81:$H$86,'301'!$H$88,'301'!$H$90,'301'!$H$92:$H$94,'301'!$H$96</definedName>
    <definedName name="OSRRefH22x_0" localSheetId="51">'306'!$H$20:$H$28,'306'!$H$30:$H$35,'306'!$H$37,'306'!$H$39,'306'!$H$41,'306'!$H$43,'306'!$H$45:$H$46,'306'!$H$48:$H$50,'306'!$H$52,'306'!$H$54</definedName>
    <definedName name="OSRRefH22x_0" localSheetId="53">'307'!$H$78:$H$85,'307'!$H$87:$H$90,'307'!$H$92,'307'!$H$94,'307'!$H$96:$H$97,'307'!$H$99,'307'!$H$101,'307'!$H$103:$H$104,'307'!$H$106:$H$107,'307'!$H$109:$H$112,'307'!$H$114,'307'!$H$116</definedName>
    <definedName name="OSRRefH22x_0" localSheetId="55">'308'!$H$66:$H$74,'308'!$H$76:$H$82,'308'!$H$84,'308'!$H$86:$H$87,'308'!$H$89,'308'!$H$91,'308'!$H$93:$H$94,'308'!$H$96,'308'!$H$98:$H$99,'308'!$H$101:$H$102,'308'!$H$104:$H$105,'308'!$H$107:$H$109,'308'!$H$111:$H$112,'308'!$H$114,'308'!$H$116</definedName>
    <definedName name="OSRRefH22x_0" localSheetId="66">'309'!$H$24:$H$31,'309'!$H$33:$H$37,'309'!$H$39,'309'!$H$41,'309'!$H$43,'309'!$H$45,'309'!$H$47,'309'!$H$49,'309'!$H$51,'309'!$H$53:$H$54,'309'!$H$56:$H$58,'309'!$H$60:$H$62,'309'!$H$64</definedName>
    <definedName name="OSRRefH22x_0" localSheetId="65">'310'!$H$31:$H$38,'310'!$H$40:$H$45,'310'!$H$47,'310'!$H$49,'310'!$H$51,'310'!$H$53:$H$54,'310'!$H$56,'310'!$H$58,'310'!$H$60,'310'!$H$62,'310'!$H$64,'310'!$H$66,'310'!$H$68,'310'!$H$70,'310'!$H$72:$H$74,'310'!$H$76,'310'!$H$78:$H$81,'310'!$H$83,'310'!$H$85:$H$93,'310'!$H$95,'310'!$H$97,'310'!$H$99</definedName>
    <definedName name="OSRRefH22x_0" localSheetId="74">'310 &amp; 491'!$H$38:$H$46,'310 &amp; 491'!$H$48:$H$54,'310 &amp; 491'!$H$56,'310 &amp; 491'!$H$58,'310 &amp; 491'!$H$60,'310 &amp; 491'!$H$62:$H$64,'310 &amp; 491'!$H$66,'310 &amp; 491'!$H$68,'310 &amp; 491'!$H$70,'310 &amp; 491'!$H$72,'310 &amp; 491'!$H$74:$H$75,'310 &amp; 491'!$H$77:$H$78,'310 &amp; 491'!$H$80,'310 &amp; 491'!$H$82,'310 &amp; 491'!$H$84,'310 &amp; 491'!$H$86,'310 &amp; 491'!$H$88:$H$91,'310 &amp; 491'!$H$93:$H$94,'310 &amp; 491'!$H$96:$H$100,'310 &amp; 491'!$H$102:$H$103,'310 &amp; 491'!$H$105:$H$114,'310 &amp; 491'!$H$116,'310 &amp; 491'!$H$118,'310 &amp; 491'!$H$120:$H$122,'310 &amp; 491'!$H$124</definedName>
    <definedName name="OSRRefH22x_0" localSheetId="56">'311'!$H$65:$H$73,'311'!$H$75:$H$81,'311'!$H$83,'311'!$H$85:$H$86,'311'!$H$88,'311'!$H$90,'311'!$H$92:$H$93,'311'!$H$95,'311'!$H$97:$H$98,'311'!$H$100:$H$101,'311'!$H$103:$H$104,'311'!$H$106:$H$108,'311'!$H$110:$H$111,'311'!$H$113,'311'!$H$115</definedName>
    <definedName name="OSRRefH22x_0" localSheetId="67">'313'!$H$28:$H$35,'313'!$H$37:$H$41,'313'!$H$43,'313'!$H$45,'313'!$H$47,'313'!$H$49,'313'!$H$51,'313'!$H$53,'313'!$H$55:$H$57,'313'!$H$59,'313'!$H$61:$H$66,'313'!$H$68,'313'!$H$70</definedName>
    <definedName name="OSRRefH22x_0" localSheetId="54">'314'!$H$56:$H$64,'314'!$H$66:$H$68,'314'!$H$70,'314'!$H$72:$H$73,'314'!$H$75,'314'!$H$77,'314'!$H$79,'314'!$H$81,'314'!$H$83</definedName>
    <definedName name="OSRRefH22x_0" localSheetId="59">'315'!$H$83:$H$90,'315'!$H$92:$H$97,'315'!$H$99,'315'!$H$101:$H$102,'315'!$H$104,'315'!$H$106:$H$107,'315'!$H$109:$H$110,'315'!$H$112,'315'!$H$114:$H$115,'315'!$H$117:$H$118,'315'!$H$120:$H$124,'315'!$H$126,'315'!$H$128,'315'!$H$130:$H$131</definedName>
    <definedName name="OSRRefH22x_0" localSheetId="61">'316'!$H$37:$H$44,'316'!$H$46:$H$49,'316'!$H$51,'316'!$H$53,'316'!$H$55,'316'!$H$57,'316'!$H$59:$H$60,'316'!$H$62,'316'!$H$64:$H$66,'316'!$H$68,'316'!$H$70:$H$75,'316'!$H$77,'316'!$H$79,'316'!$H$81</definedName>
    <definedName name="OSRRefH22x_0" localSheetId="64">'317'!$H$61:$H$69,'317'!$H$71:$H$75,'317'!$H$77,'317'!$H$79,'317'!$H$81,'317'!$H$83:$H$84,'317'!$H$86,'317'!$H$88,'317'!$H$90:$H$91,'317'!$H$93,'317'!$H$95:$H$99,'317'!$H$101,'317'!$H$103,'317'!$H$105</definedName>
    <definedName name="OSRRefH22x_0" localSheetId="62">'320'!$H$28:$H$34,'320'!$H$36:$H$40,'320'!$H$42,'320'!$H$44,'320'!$H$46:$H$47,'320'!$H$49,'320'!$H$51,'320'!$H$53:$H$54,'320'!$H$56</definedName>
    <definedName name="OSRRefH22x_0" localSheetId="68">'321'!$H$24:$H$31,'321'!$H$33:$H$37,'321'!$H$39,'321'!$H$41,'321'!$H$43,'321'!$H$45,'321'!$H$47,'321'!$H$49:$H$51,'321'!$H$53,'321'!$H$55:$H$57,'321'!$H$59:$H$63,'321'!$H$65,'321'!$H$67</definedName>
    <definedName name="OSRRefH22x_0" localSheetId="69">'322'!$H$24:$H$31,'322'!$H$33:$H$37,'322'!$H$39,'322'!$H$41,'322'!$H$43,'322'!$H$45,'322'!$H$47,'322'!$H$49,'322'!$H$51:$H$52,'322'!$H$54:$H$56,'322'!$H$58:$H$64,'322'!$H$66,'322'!$H$68</definedName>
    <definedName name="OSRRefH22x_0" localSheetId="70">'325'!$H$24:$H$31,'325'!$H$33:$H$37,'325'!$H$39,'325'!$H$41,'325'!$H$43,'325'!$H$45:$H$46,'325'!$H$48,'325'!$H$50,'325'!$H$52,'325'!$H$54,'325'!$H$56,'325'!$H$58:$H$60,'325'!$H$62:$H$64,'325'!$H$66,'325'!$H$68:$H$72,'325'!$H$74,'325'!$H$76,'325'!$H$78</definedName>
    <definedName name="OSRRefH22x_0" localSheetId="71">'326'!$H$63:$H$70,'326'!$H$72:$H$77,'326'!$H$79,'326'!$H$81,'326'!$H$83,'326'!$H$85:$H$86,'326'!$H$88,'326'!$H$90,'326'!$H$92,'326'!$H$94,'326'!$H$96,'326'!$H$98,'326'!$H$100:$H$102,'326'!$H$104:$H$106,'326'!$H$108:$H$109,'326'!$H$111:$H$116,'326'!$H$118,'326'!$H$120,'326'!$H$122,'326'!$H$124</definedName>
    <definedName name="OSRRefH22x_0" localSheetId="72">'327'!$H$22,'327'!$H$24,'327'!$H$26</definedName>
    <definedName name="OSRRefH22x_0" localSheetId="52">'330'!$H$85:$H$93,'330'!$H$95:$H$99,'330'!$H$101,'330'!$H$103,'330'!$H$105:$H$106,'330'!$H$108,'330'!$H$110,'330'!$H$112,'330'!$H$114:$H$115,'330'!$H$117:$H$118,'330'!$H$120,'330'!$H$122:$H$125,'330'!$H$127,'330'!$H$129,'330'!$H$131</definedName>
    <definedName name="OSRRefH22x_0" localSheetId="58">'331'!$H$92:$H$99,'331'!$H$101:$H$106,'331'!$H$108,'331'!$H$110,'331'!$H$112,'331'!$H$114:$H$115,'331'!$H$117,'331'!$H$119:$H$120,'331'!$H$122,'331'!$H$124,'331'!$H$126:$H$127,'331'!$H$129,'331'!$H$131,'331'!$H$133:$H$135,'331'!$H$137:$H$138,'331'!$H$140:$H$142,'331'!$H$144:$H$145,'331'!$H$147:$H$152,'331'!$H$154,'331'!$H$156,'331'!$H$158:$H$159,'331'!$H$161</definedName>
    <definedName name="OSRRefH22x_0" localSheetId="60">'332'!$H$44:$H$51,'332'!$H$53:$H$57,'332'!$H$59,'332'!$H$61,'332'!$H$63,'332'!$H$65,'332'!$H$67:$H$68,'332'!$H$70,'332'!$H$72,'332'!$H$74:$H$76,'332'!$H$78,'332'!$H$80:$H$85,'332'!$H$87,'332'!$H$89,'332'!$H$91</definedName>
    <definedName name="OSRRefH22x_0" localSheetId="76">'405'!$H$24:$H$31,'405'!$H$33:$H$36,'405'!$H$38,'405'!$H$40,'405'!$H$42,'405'!$H$44:$H$45,'405'!$H$47,'405'!$H$49,'405'!$H$51,'405'!$H$53,'405'!$H$55:$H$56,'405'!$H$58,'405'!$H$60:$H$62,'405'!$H$64:$H$65,'405'!$H$67:$H$73,'405'!$H$75,'405'!$H$77,'405'!$H$79</definedName>
    <definedName name="OSRRefH22x_0" localSheetId="77">'406'!$H$24:$H$31,'406'!$H$33:$H$38,'406'!$H$40,'406'!$H$42,'406'!$H$44,'406'!$H$46,'406'!$H$48,'406'!$H$50,'406'!$H$52,'406'!$H$54:$H$56,'406'!$H$58:$H$59,'406'!$H$61:$H$66,'406'!$H$68,'406'!$H$70,'406'!$H$72</definedName>
    <definedName name="OSRRefH22x_0" localSheetId="78">'411'!$H$20:$H$28,'411'!$H$30:$H$35,'411'!$H$37,'411'!$H$39,'411'!$H$41:$H$43,'411'!$H$45,'411'!$H$47,'411'!$H$49,'411'!$H$51,'411'!$H$53,'411'!$H$55,'411'!$H$57,'411'!$H$59:$H$62,'411'!$H$64:$H$68,'411'!$H$70:$H$71,'411'!$H$73:$H$81,'411'!$H$83,'411'!$H$85,'411'!$H$87:$H$89,'411'!$H$91</definedName>
    <definedName name="OSRRefH22x_0" localSheetId="79">'412'!$H$24:$H$31,'412'!$H$33:$H$38,'412'!$H$40,'412'!$H$42,'412'!$H$44,'412'!$H$46,'412'!$H$48,'412'!$H$50,'412'!$H$52,'412'!$H$54:$H$56,'412'!$H$58:$H$60,'412'!$H$62:$H$67,'412'!$H$69,'412'!$H$71</definedName>
    <definedName name="OSRRefH22x_0" localSheetId="80">'413'!$H$24:$H$31,'413'!$H$33:$H$37,'413'!$H$39,'413'!$H$41,'413'!$H$43,'413'!$H$45,'413'!$H$47,'413'!$H$49:$H$51,'413'!$H$53:$H$55,'413'!$H$57:$H$62,'413'!$H$64,'413'!$H$66</definedName>
    <definedName name="OSRRefH22x_0" localSheetId="81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2">'415'!$H$24:$H$31,'415'!$H$33:$H$38,'415'!$H$40,'415'!$H$42,'415'!$H$44,'415'!$H$46:$H$47,'415'!$H$49,'415'!$H$51,'415'!$H$53,'415'!$H$55,'415'!$H$57,'415'!$H$59:$H$62,'415'!$H$64:$H$68,'415'!$H$70:$H$71,'415'!$H$73:$H$81,'415'!$H$83,'415'!$H$85,'415'!$H$87</definedName>
    <definedName name="OSRRefH22x_0" localSheetId="83">'418'!$H$24:$H$31,'418'!$H$33:$H$38,'418'!$H$40,'418'!$H$42,'418'!$H$44,'418'!$H$46:$H$47,'418'!$H$49,'418'!$H$51,'418'!$H$53,'418'!$H$55,'418'!$H$57:$H$58,'418'!$H$60:$H$62,'418'!$H$64:$H$66,'418'!$H$68:$H$69,'418'!$H$71:$H$78,'418'!$H$80,'418'!$H$82</definedName>
    <definedName name="OSRRefH22x_0" localSheetId="84">'420'!$H$24:$H$31,'420'!$H$33:$H$36,'420'!$H$38,'420'!$H$40,'420'!$H$42,'420'!$H$44,'420'!$H$46:$H$47,'420'!$H$49</definedName>
    <definedName name="OSRRefH22x_0" localSheetId="85">'423'!$H$21:$H$28,'423'!$H$30:$H$31,'423'!$H$33,'423'!$H$35,'423'!$H$37,'423'!$H$39,'423'!$H$41</definedName>
    <definedName name="OSRRefH22x_0" localSheetId="86">'424'!$H$24:$H$25,'424'!$H$27:$H$31,'424'!$H$33,'424'!$H$35,'424'!$H$37,'424'!$H$39,'424'!$H$41,'424'!$H$43,'424'!$H$45:$H$46,'424'!$H$48,'424'!$H$50,'424'!$H$52:$H$56,'424'!$H$58</definedName>
    <definedName name="OSRRefH22x_0" localSheetId="88">'425'!$H$27:$H$35,'425'!$H$37:$H$42,'425'!$H$44,'425'!$H$46,'425'!$H$48,'425'!$H$50,'425'!$H$52,'425'!$H$54,'425'!$H$56,'425'!$H$58:$H$60,'425'!$H$62,'425'!$H$64:$H$66,'425'!$H$68:$H$74,'425'!$H$76,'425'!$H$78</definedName>
    <definedName name="OSRRefH22x_0" localSheetId="90">'430'!$H$20:$H$27,'430'!$H$29,'430'!$H$31,'430'!$H$33,'430'!$H$35:$H$36,'430'!$H$38,'430'!$H$40,'430'!$H$42</definedName>
    <definedName name="OSRRefH22x_0" localSheetId="91">'433'!$H$25:$H$33,'433'!$H$35:$H$40,'433'!$H$42,'433'!$H$44,'433'!$H$46,'433'!$H$48,'433'!$H$50,'433'!$H$52,'433'!$H$54,'433'!$H$56,'433'!$H$58,'433'!$H$60:$H$62,'433'!$H$64:$H$66,'433'!$H$68:$H$75,'433'!$H$77,'433'!$H$79,'433'!$H$81</definedName>
    <definedName name="OSRRefH22x_0" localSheetId="92">'435'!$H$25:$H$27,'435'!$H$29:$H$31,'435'!$H$33,'435'!$H$35,'435'!$H$37,'435'!$H$39,'435'!$H$41,'435'!$H$43:$H$45,'435'!$H$47</definedName>
    <definedName name="OSRRefH22x_0" localSheetId="93">'444'!$H$25:$H$33,'444'!$H$35:$H$40,'444'!$H$42,'444'!$H$44,'444'!$H$46,'444'!$H$48,'444'!$H$50,'444'!$H$52,'444'!$H$54,'444'!$H$56,'444'!$H$58,'444'!$H$60:$H$62,'444'!$H$64:$H$67,'444'!$H$69,'444'!$H$71:$H$79,'444'!$H$81,'444'!$H$83,'444'!$H$85</definedName>
    <definedName name="OSRRefH22x_0" localSheetId="94">'450'!$H$25:$H$33,'450'!$H$35:$H$40,'450'!$H$42,'450'!$H$44,'450'!$H$46,'450'!$H$48,'450'!$H$50,'450'!$H$52,'450'!$H$54,'450'!$H$56,'450'!$H$58,'450'!$H$60,'450'!$H$62:$H$63,'450'!$H$65:$H$67,'450'!$H$69:$H$74,'450'!$H$76,'450'!$H$78,'450'!$H$80</definedName>
    <definedName name="OSRRefH22x_0" localSheetId="87">'455'!$H$20:$H$26,'455'!$H$28:$H$29</definedName>
    <definedName name="OSRRefH22x_0" localSheetId="75">'491'!$H$32:$H$40,'491'!$H$42:$H$48,'491'!$H$50,'491'!$H$52,'491'!$H$54,'491'!$H$56:$H$58,'491'!$H$60,'491'!$H$62,'491'!$H$64,'491'!$H$66,'491'!$H$68,'491'!$H$70:$H$71,'491'!$H$73,'491'!$H$75,'491'!$H$77,'491'!$H$79,'491'!$H$81:$H$84,'491'!$H$86:$H$87,'491'!$H$89:$H$93,'491'!$H$95:$H$96,'491'!$H$98:$H$107,'491'!$H$109,'491'!$H$111,'491'!$H$113:$H$115,'491'!$H$117</definedName>
    <definedName name="OSRRefH22x_0" localSheetId="89">'492'!$H$27:$H$35,'492'!$H$37:$H$43,'492'!$H$45,'492'!$H$47,'492'!$H$49,'492'!$H$51,'492'!$H$53,'492'!$H$55,'492'!$H$57,'492'!$H$59,'492'!$H$61,'492'!$H$63,'492'!$H$65:$H$67,'492'!$H$69:$H$72,'492'!$H$74,'492'!$H$76:$H$84,'492'!$H$86,'492'!$H$88,'492'!$H$90</definedName>
    <definedName name="OSRRefH22x_0" localSheetId="96">'501'!$H$21:$H$29,'501'!$H$31:$H$35,'501'!$H$37,'501'!$H$39,'501'!$H$41,'501'!$H$43:$H$44,'501'!$H$46,'501'!$H$48,'501'!$H$50,'501'!$H$52:$H$54,'501'!$H$56,'501'!$H$58:$H$60,'501'!$H$62,'501'!$H$64</definedName>
    <definedName name="OSRRefH22x_0" localSheetId="39">'Div 2'!$H$20:$H$30,'Div 2'!$H$32:$H$38,'Div 2'!$H$40,'Div 2'!$H$42,'Div 2'!$H$44,'Div 2'!$H$46,'Div 2'!$H$48,'Div 2'!$H$50,'Div 2'!$H$52,'Div 2'!$H$54:$H$55,'Div 2'!$H$57,'Div 2'!$H$59,'Div 2'!$H$61:$H$64,'Div 2'!$H$66:$H$68,'Div 2'!$H$70:$H$71,'Div 2'!$H$73,'Div 2'!$H$75:$H$79,'Div 2'!$H$81:$H$82,'Div 2'!$H$84,'Div 2'!$H$86:$H$87</definedName>
    <definedName name="OSRRefH22x_0" localSheetId="47">'Div 3'!$H$172:$H$181,'Div 3'!$H$183:$H$189,'Div 3'!$H$191,'Div 3'!$H$193:$H$194,'Div 3'!$H$196,'Div 3'!$H$198:$H$200,'Div 3'!$H$202:$H$203,'Div 3'!$H$205,'Div 3'!$H$207,'Div 3'!$H$209,'Div 3'!$H$211:$H$212,'Div 3'!$H$214,'Div 3'!$H$216,'Div 3'!$H$218,'Div 3'!$H$220:$H$222,'Div 3'!$H$224,'Div 3'!$H$226,'Div 3'!$H$228:$H$231,'Div 3'!$H$233:$H$235,'Div 3'!$H$237:$H$241,'Div 3'!$H$243:$H$244,'Div 3'!$H$246:$H$254,'Div 3'!$H$256:$H$257,'Div 3'!$H$259,'Div 3'!$H$261:$H$263,'Div 3'!$H$265</definedName>
    <definedName name="OSRRefH22x_0" localSheetId="73">'Div 4'!$H$32:$H$40,'Div 4'!$H$42:$H$48,'Div 4'!$H$50,'Div 4'!$H$52,'Div 4'!$H$54,'Div 4'!$H$56:$H$58,'Div 4'!$H$60,'Div 4'!$H$62,'Div 4'!$H$64,'Div 4'!$H$66,'Div 4'!$H$68,'Div 4'!$H$70:$H$71,'Div 4'!$H$73,'Div 4'!$H$75,'Div 4'!$H$77,'Div 4'!$H$79,'Div 4'!$H$81,'Div 4'!$H$83:$H$86,'Div 4'!$H$88:$H$89,'Div 4'!$H$91:$H$95,'Div 4'!$H$97:$H$98,'Div 4'!$H$100:$H$109,'Div 4'!$H$111,'Div 4'!$H$113,'Div 4'!$H$115:$H$117,'Div 4'!$H$119</definedName>
    <definedName name="OSRRefH22x_0" localSheetId="95">'Div 5'!$H$21:$H$29,'Div 5'!$H$31:$H$35,'Div 5'!$H$37,'Div 5'!$H$39,'Div 5'!$H$41,'Div 5'!$H$43:$H$44,'Div 5'!$H$46,'Div 5'!$H$48,'Div 5'!$H$50,'Div 5'!$H$52:$H$54,'Div 5'!$H$56,'Div 5'!$H$58:$H$60,'Div 5'!$H$62,'Div 5'!$H$64</definedName>
    <definedName name="OSRRefH22x_0" localSheetId="63">'Div 6'!$H$61:$H$69,'Div 6'!$H$71:$H$75,'Div 6'!$H$77,'Div 6'!$H$79,'Div 6'!$H$81,'Div 6'!$H$83:$H$84,'Div 6'!$H$86,'Div 6'!$H$88,'Div 6'!$H$90:$H$91,'Div 6'!$H$93,'Div 6'!$H$95:$H$99,'Div 6'!$H$101,'Div 6'!$H$103,'Div 6'!$H$105</definedName>
    <definedName name="OSRRefH22x_0" localSheetId="2">Summary!$H$205:$H$214,Summary!$H$216:$H$222,Summary!$H$224,Summary!$H$226:$H$227,Summary!$H$229,Summary!$H$231:$H$234,Summary!$H$236:$H$237,Summary!$H$239,Summary!$H$241,Summary!$H$243,Summary!$H$245:$H$246,Summary!$H$248:$H$249,Summary!$H$251,Summary!$H$253,Summary!$H$255:$H$257,Summary!$H$259,Summary!$H$261,Summary!$H$263,Summary!$H$265:$H$268,Summary!$H$270:$H$272,Summary!$H$274:$H$278,Summary!$H$280:$H$281,Summary!$H$283:$H$292,Summary!$H$294:$H$295,Summary!$H$297,Summary!$H$299:$H$301,Summary!$H$303</definedName>
    <definedName name="OSRRefH25x_0" localSheetId="48">'300'!$H$258:$H$266</definedName>
    <definedName name="OSRRefH25x_0" localSheetId="49">'300 &amp; 317'!$H$284:$H$295</definedName>
    <definedName name="OSRRefH25x_0" localSheetId="50">'301'!$H$99:$H$101</definedName>
    <definedName name="OSRRefH25x_0" localSheetId="53">'307'!$H$119</definedName>
    <definedName name="OSRRefH25x_0" localSheetId="55">'308'!$H$119:$H$121</definedName>
    <definedName name="OSRRefH25x_0" localSheetId="74">'310 &amp; 491'!$H$127:$H$129</definedName>
    <definedName name="OSRRefH25x_0" localSheetId="56">'311'!$H$118:$H$120</definedName>
    <definedName name="OSRRefH25x_0" localSheetId="59">'315'!$H$134:$H$135</definedName>
    <definedName name="OSRRefH25x_0" localSheetId="61">'316'!$H$84</definedName>
    <definedName name="OSRRefH25x_0" localSheetId="64">'317'!$H$108:$H$111</definedName>
    <definedName name="OSRRefH25x_0" localSheetId="62">'320'!$H$59:$H$63</definedName>
    <definedName name="OSRRefH25x_0" localSheetId="52">'330'!$H$134</definedName>
    <definedName name="OSRRefH25x_0" localSheetId="58">'331'!$H$164:$H$165</definedName>
    <definedName name="OSRRefH25x_0" localSheetId="60">'332'!$H$94:$H$99</definedName>
    <definedName name="OSRRefH25x_0" localSheetId="78">'411'!$H$94:$H$95</definedName>
    <definedName name="OSRRefH25x_0" localSheetId="80">'413'!$H$69</definedName>
    <definedName name="OSRRefH25x_0" localSheetId="82">'415'!$H$90</definedName>
    <definedName name="OSRRefH25x_0" localSheetId="83">'418'!$H$85</definedName>
    <definedName name="OSRRefH25x_0" localSheetId="85">'423'!$H$44</definedName>
    <definedName name="OSRRefH25x_0" localSheetId="86">'424'!$H$61</definedName>
    <definedName name="OSRRefH25x_0" localSheetId="88">'425'!$H$81</definedName>
    <definedName name="OSRRefH25x_0" localSheetId="87">'455'!$H$32:$H$34</definedName>
    <definedName name="OSRRefH25x_0" localSheetId="75">'491'!$H$120:$H$122</definedName>
    <definedName name="OSRRefH25x_0" localSheetId="96">'501'!$H$67</definedName>
    <definedName name="OSRRefH25x_0" localSheetId="47">'Div 3'!$H$268:$H$276</definedName>
    <definedName name="OSRRefH25x_0" localSheetId="73">'Div 4'!$H$122:$H$124</definedName>
    <definedName name="OSRRefH25x_0" localSheetId="95">'Div 5'!$H$67</definedName>
    <definedName name="OSRRefH25x_0" localSheetId="63">'Div 6'!$H$108:$H$111</definedName>
    <definedName name="OSRRefH25x_0" localSheetId="2">Summary!$H$306:$H$318</definedName>
    <definedName name="OSRRefP13x_0" localSheetId="48">'300'!$P$13:$P$108</definedName>
    <definedName name="OSRRefP13x_0" localSheetId="49">'300 &amp; 317'!$P$13:$P$126</definedName>
    <definedName name="OSRRefP13x_0" localSheetId="53">'307'!$P$13:$P$49</definedName>
    <definedName name="OSRRefP13x_0" localSheetId="55">'308'!$P$13:$P$41</definedName>
    <definedName name="OSRRefP13x_0" localSheetId="66">'309'!$P$13:$P$14</definedName>
    <definedName name="OSRRefP13x_0" localSheetId="65">'310'!$P$13:$P$21</definedName>
    <definedName name="OSRRefP13x_0" localSheetId="74">'310 &amp; 491'!$P$13:$P$28</definedName>
    <definedName name="OSRRefP13x_0" localSheetId="56">'311'!$P$13:$P$40</definedName>
    <definedName name="OSRRefP13x_0" localSheetId="67">'313'!$P$13:$P$18</definedName>
    <definedName name="OSRRefP13x_0" localSheetId="54">'314'!$P$13:$P$33</definedName>
    <definedName name="OSRRefP13x_0" localSheetId="59">'315'!$P$13:$P$50</definedName>
    <definedName name="OSRRefP13x_0" localSheetId="61">'316'!$P$13:$P$29</definedName>
    <definedName name="OSRRefP13x_0" localSheetId="64">'317'!$P$13:$P$37</definedName>
    <definedName name="OSRRefP13x_0" localSheetId="62">'320'!$P$13:$P$15</definedName>
    <definedName name="OSRRefP13x_0" localSheetId="68">'321'!$P$13:$P$14</definedName>
    <definedName name="OSRRefP13x_0" localSheetId="69">'322'!$P$13:$P$14</definedName>
    <definedName name="OSRRefP13x_0" localSheetId="57">'324'!$P$13:$P$15</definedName>
    <definedName name="OSRRefP13x_0" localSheetId="70">'325'!$P$13:$P$14</definedName>
    <definedName name="OSRRefP13x_0" localSheetId="71">'326'!$P$13:$P$38</definedName>
    <definedName name="OSRRefP13x_0" localSheetId="72">'327'!$P$13</definedName>
    <definedName name="OSRRefP13x_0" localSheetId="52">'330'!$P$13:$P$53</definedName>
    <definedName name="OSRRefP13x_0" localSheetId="58">'331'!$P$13:$P$54</definedName>
    <definedName name="OSRRefP13x_0" localSheetId="60">'332'!$P$13:$P$31</definedName>
    <definedName name="OSRRefP13x_0" localSheetId="76">'405'!$P$13:$P$14</definedName>
    <definedName name="OSRRefP13x_0" localSheetId="77">'406'!$P$13:$P$14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4">'420'!$P$13:$P$14</definedName>
    <definedName name="OSRRefP13x_0" localSheetId="86">'424'!$P$13:$P$14</definedName>
    <definedName name="OSRRefP13x_0" localSheetId="88">'425'!$P$13:$P$17</definedName>
    <definedName name="OSRRefP13x_0" localSheetId="91">'433'!$P$13:$P$15</definedName>
    <definedName name="OSRRefP13x_0" localSheetId="92">'435'!$P$13:$P$15</definedName>
    <definedName name="OSRRefP13x_0" localSheetId="93">'444'!$P$13:$P$15</definedName>
    <definedName name="OSRRefP13x_0" localSheetId="94">'450'!$P$13:$P$15</definedName>
    <definedName name="OSRRefP13x_0" localSheetId="75">'491'!$P$13:$P$22</definedName>
    <definedName name="OSRRefP13x_0" localSheetId="89">'492'!$P$13:$P$17</definedName>
    <definedName name="OSRRefP13x_0" localSheetId="96">'501'!$P$13</definedName>
    <definedName name="OSRRefP13x_0" localSheetId="47">'Div 3'!$P$13:$P$111</definedName>
    <definedName name="OSRRefP13x_0" localSheetId="73">'Div 4'!$P$13:$P$22</definedName>
    <definedName name="OSRRefP13x_0" localSheetId="95">'Div 5'!$P$13</definedName>
    <definedName name="OSRRefP13x_0" localSheetId="63">'Div 6'!$P$13:$P$37</definedName>
    <definedName name="OSRRefP13x_0" localSheetId="2">Summary!$P$13:$P$136</definedName>
    <definedName name="OSRRefP16x_0" localSheetId="48">'300'!$P$111:$P$161</definedName>
    <definedName name="OSRRefP16x_0" localSheetId="49">'300 &amp; 317'!$P$129:$P$187</definedName>
    <definedName name="OSRRefP16x_0" localSheetId="53">'307'!$P$52:$P$72</definedName>
    <definedName name="OSRRefP16x_0" localSheetId="55">'308'!$P$44:$P$60</definedName>
    <definedName name="OSRRefP16x_0" localSheetId="66">'309'!$P$17:$P$18</definedName>
    <definedName name="OSRRefP16x_0" localSheetId="65">'310'!$P$24:$P$25</definedName>
    <definedName name="OSRRefP16x_0" localSheetId="74">'310 &amp; 491'!$P$31:$P$32</definedName>
    <definedName name="OSRRefP16x_0" localSheetId="56">'311'!$P$43:$P$59</definedName>
    <definedName name="OSRRefP16x_0" localSheetId="67">'313'!$P$21:$P$22</definedName>
    <definedName name="OSRRefP16x_0" localSheetId="54">'314'!$P$36:$P$50</definedName>
    <definedName name="OSRRefP16x_0" localSheetId="59">'315'!$P$53:$P$77</definedName>
    <definedName name="OSRRefP16x_0" localSheetId="64">'317'!$P$40:$P$55</definedName>
    <definedName name="OSRRefP16x_0" localSheetId="62">'320'!$P$18:$P$22</definedName>
    <definedName name="OSRRefP16x_0" localSheetId="68">'321'!$P$17:$P$18</definedName>
    <definedName name="OSRRefP16x_0" localSheetId="69">'322'!$P$17:$P$18</definedName>
    <definedName name="OSRRefP16x_0" localSheetId="57">'324'!$P$18:$P$19</definedName>
    <definedName name="OSRRefP16x_0" localSheetId="70">'325'!$P$17:$P$18</definedName>
    <definedName name="OSRRefP16x_0" localSheetId="71">'326'!$P$41:$P$57</definedName>
    <definedName name="OSRRefP16x_0" localSheetId="72">'327'!$P$16</definedName>
    <definedName name="OSRRefP16x_0" localSheetId="52">'330'!$P$56:$P$79</definedName>
    <definedName name="OSRRefP16x_0" localSheetId="58">'331'!$P$57:$P$86</definedName>
    <definedName name="OSRRefP16x_0" localSheetId="60">'332'!$P$34:$P$38</definedName>
    <definedName name="OSRRefP16x_0" localSheetId="76">'405'!$P$17:$P$18</definedName>
    <definedName name="OSRRefP16x_0" localSheetId="77">'406'!$P$17:$P$18</definedName>
    <definedName name="OSRRefP16x_0" localSheetId="79">'412'!$P$17:$P$18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4">'420'!$P$17:$P$18</definedName>
    <definedName name="OSRRefP16x_0" localSheetId="85">'423'!$P$15</definedName>
    <definedName name="OSRRefP16x_0" localSheetId="86">'424'!$P$17:$P$18</definedName>
    <definedName name="OSRRefP16x_0" localSheetId="88">'425'!$P$20:$P$21</definedName>
    <definedName name="OSRRefP16x_0" localSheetId="91">'433'!$P$18:$P$19</definedName>
    <definedName name="OSRRefP16x_0" localSheetId="92">'435'!$P$18:$P$19</definedName>
    <definedName name="OSRRefP16x_0" localSheetId="93">'444'!$P$18:$P$19</definedName>
    <definedName name="OSRRefP16x_0" localSheetId="94">'450'!$P$18:$P$19</definedName>
    <definedName name="OSRRefP16x_0" localSheetId="75">'491'!$P$25:$P$26</definedName>
    <definedName name="OSRRefP16x_0" localSheetId="89">'492'!$P$20:$P$21</definedName>
    <definedName name="OSRRefP16x_0" localSheetId="47">'Div 3'!$P$114:$P$166</definedName>
    <definedName name="OSRRefP16x_0" localSheetId="73">'Div 4'!$P$25:$P$26</definedName>
    <definedName name="OSRRefP16x_0" localSheetId="63">'Div 6'!$P$40:$P$55</definedName>
    <definedName name="OSRRefP16x_0" localSheetId="2">Summary!$P$139:$P$199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8">'300'!$P$167:$P$176</definedName>
    <definedName name="OSRRefP22_0x_0" localSheetId="49">'300 &amp; 317'!$P$193:$P$202</definedName>
    <definedName name="OSRRefP22_0x_0" localSheetId="50">'301'!$P$20:$P$29</definedName>
    <definedName name="OSRRefP22_0x_0" localSheetId="51">'306'!$P$20:$P$28</definedName>
    <definedName name="OSRRefP22_0x_0" localSheetId="53">'307'!$P$78:$P$85</definedName>
    <definedName name="OSRRefP22_0x_0" localSheetId="55">'308'!$P$66:$P$74</definedName>
    <definedName name="OSRRefP22_0x_0" localSheetId="66">'309'!$P$24:$P$31</definedName>
    <definedName name="OSRRefP22_0x_0" localSheetId="65">'310'!$P$31:$P$38</definedName>
    <definedName name="OSRRefP22_0x_0" localSheetId="74">'310 &amp; 491'!$P$38:$P$46</definedName>
    <definedName name="OSRRefP22_0x_0" localSheetId="56">'311'!$P$65:$P$73</definedName>
    <definedName name="OSRRefP22_0x_0" localSheetId="67">'313'!$P$28:$P$35</definedName>
    <definedName name="OSRRefP22_0x_0" localSheetId="54">'314'!$P$56:$P$64</definedName>
    <definedName name="OSRRefP22_0x_0" localSheetId="59">'315'!$P$83:$P$90</definedName>
    <definedName name="OSRRefP22_0x_0" localSheetId="61">'316'!$P$37:$P$44</definedName>
    <definedName name="OSRRefP22_0x_0" localSheetId="64">'317'!$P$61:$P$69</definedName>
    <definedName name="OSRRefP22_0x_0" localSheetId="62">'320'!$P$28:$P$34</definedName>
    <definedName name="OSRRefP22_0x_0" localSheetId="68">'321'!$P$24:$P$31</definedName>
    <definedName name="OSRRefP22_0x_0" localSheetId="69">'322'!$P$24:$P$31</definedName>
    <definedName name="OSRRefP22_0x_0" localSheetId="70">'325'!$P$24:$P$31</definedName>
    <definedName name="OSRRefP22_0x_0" localSheetId="71">'326'!$P$63:$P$70</definedName>
    <definedName name="OSRRefP22_0x_0" localSheetId="72">'327'!$P$22</definedName>
    <definedName name="OSRRefP22_0x_0" localSheetId="52">'330'!$P$85:$P$93</definedName>
    <definedName name="OSRRefP22_0x_0" localSheetId="58">'331'!$P$92:$P$99</definedName>
    <definedName name="OSRRefP22_0x_0" localSheetId="60">'332'!$P$44:$P$51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'412'!$P$24:$P$31</definedName>
    <definedName name="OSRRefP22_0x_0" localSheetId="80">'413'!$P$24:$P$31</definedName>
    <definedName name="OSRRefP22_0x_0" localSheetId="81">'414'!$P$24:$P$31</definedName>
    <definedName name="OSRRefP22_0x_0" localSheetId="82">'415'!$P$24:$P$31</definedName>
    <definedName name="OSRRefP22_0x_0" localSheetId="83">'418'!$P$24:$P$31</definedName>
    <definedName name="OSRRefP22_0x_0" localSheetId="84">'420'!$P$24:$P$31</definedName>
    <definedName name="OSRRefP22_0x_0" localSheetId="85">'423'!$P$21:$P$28</definedName>
    <definedName name="OSRRefP22_0x_0" localSheetId="86">'424'!$P$24:$P$25</definedName>
    <definedName name="OSRRefP22_0x_0" localSheetId="88">'425'!$P$27:$P$35</definedName>
    <definedName name="OSRRefP22_0x_0" localSheetId="90">'430'!$P$20:$P$27</definedName>
    <definedName name="OSRRefP22_0x_0" localSheetId="91">'433'!$P$25:$P$33</definedName>
    <definedName name="OSRRefP22_0x_0" localSheetId="92">'435'!$P$25:$P$27</definedName>
    <definedName name="OSRRefP22_0x_0" localSheetId="93">'444'!$P$25:$P$33</definedName>
    <definedName name="OSRRefP22_0x_0" localSheetId="94">'450'!$P$25:$P$33</definedName>
    <definedName name="OSRRefP22_0x_0" localSheetId="87">'455'!$P$20:$P$26</definedName>
    <definedName name="OSRRefP22_0x_0" localSheetId="75">'491'!$P$32:$P$40</definedName>
    <definedName name="OSRRefP22_0x_0" localSheetId="89">'492'!$P$27:$P$35</definedName>
    <definedName name="OSRRefP22_0x_0" localSheetId="96">'501'!$P$21:$P$29</definedName>
    <definedName name="OSRRefP22_0x_0" localSheetId="39">'Div 2'!$P$20:$P$30</definedName>
    <definedName name="OSRRefP22_0x_0" localSheetId="47">'Div 3'!$P$172:$P$181</definedName>
    <definedName name="OSRRefP22_0x_0" localSheetId="73">'Div 4'!$P$32:$P$40</definedName>
    <definedName name="OSRRefP22_0x_0" localSheetId="95">'Div 5'!$P$21:$P$29</definedName>
    <definedName name="OSRRefP22_0x_0" localSheetId="63">'Div 6'!$P$61:$P$69</definedName>
    <definedName name="OSRRefP22_0x_0" localSheetId="2">Summary!$P$205:$P$214</definedName>
    <definedName name="OSRRefP22_10x_0" localSheetId="41">'201'!$P$51:$P$53</definedName>
    <definedName name="OSRRefP22_10x_0" localSheetId="42">'202'!$P$53</definedName>
    <definedName name="OSRRefP22_10x_0" localSheetId="43">'203'!$P$55:$P$56</definedName>
    <definedName name="OSRRefP22_10x_0" localSheetId="44">'204'!$P$56:$P$57</definedName>
    <definedName name="OSRRefP22_10x_0" localSheetId="48">'300'!$P$206:$P$207</definedName>
    <definedName name="OSRRefP22_10x_0" localSheetId="49">'300 &amp; 317'!$P$232:$P$233</definedName>
    <definedName name="OSRRefP22_10x_0" localSheetId="50">'301'!$P$59</definedName>
    <definedName name="OSRRefP22_10x_0" localSheetId="53">'307'!$P$114</definedName>
    <definedName name="OSRRefP22_10x_0" localSheetId="55">'308'!$P$104:$P$105</definedName>
    <definedName name="OSRRefP22_10x_0" localSheetId="66">'309'!$P$56:$P$58</definedName>
    <definedName name="OSRRefP22_10x_0" localSheetId="65">'310'!$P$64</definedName>
    <definedName name="OSRRefP22_10x_0" localSheetId="74">'310 &amp; 491'!$P$74:$P$75</definedName>
    <definedName name="OSRRefP22_10x_0" localSheetId="56">'311'!$P$103:$P$104</definedName>
    <definedName name="OSRRefP22_10x_0" localSheetId="67">'313'!$P$61:$P$66</definedName>
    <definedName name="OSRRefP22_10x_0" localSheetId="59">'315'!$P$120:$P$124</definedName>
    <definedName name="OSRRefP22_10x_0" localSheetId="61">'316'!$P$70:$P$75</definedName>
    <definedName name="OSRRefP22_10x_0" localSheetId="64">'317'!$P$95:$P$99</definedName>
    <definedName name="OSRRefP22_10x_0" localSheetId="68">'321'!$P$59:$P$63</definedName>
    <definedName name="OSRRefP22_10x_0" localSheetId="69">'322'!$P$58:$P$64</definedName>
    <definedName name="OSRRefP22_10x_0" localSheetId="70">'325'!$P$56</definedName>
    <definedName name="OSRRefP22_10x_0" localSheetId="71">'326'!$P$96</definedName>
    <definedName name="OSRRefP22_10x_0" localSheetId="52">'330'!$P$120</definedName>
    <definedName name="OSRRefP22_10x_0" localSheetId="58">'331'!$P$126:$P$127</definedName>
    <definedName name="OSRRefP22_10x_0" localSheetId="60">'332'!$P$78</definedName>
    <definedName name="OSRRefP22_10x_0" localSheetId="76">'405'!$P$55:$P$56</definedName>
    <definedName name="OSRRefP22_10x_0" localSheetId="77">'406'!$P$58:$P$59</definedName>
    <definedName name="OSRRefP22_10x_0" localSheetId="78">'411'!$P$55</definedName>
    <definedName name="OSRRefP22_10x_0" localSheetId="79">'412'!$P$58:$P$60</definedName>
    <definedName name="OSRRefP22_10x_0" localSheetId="80">'413'!$P$64</definedName>
    <definedName name="OSRRefP22_10x_0" localSheetId="81">'414'!$P$57</definedName>
    <definedName name="OSRRefP22_10x_0" localSheetId="82">'415'!$P$57</definedName>
    <definedName name="OSRRefP22_10x_0" localSheetId="83">'418'!$P$57:$P$58</definedName>
    <definedName name="OSRRefP22_10x_0" localSheetId="86">'424'!$P$50</definedName>
    <definedName name="OSRRefP22_10x_0" localSheetId="88">'425'!$P$62</definedName>
    <definedName name="OSRRefP22_10x_0" localSheetId="91">'433'!$P$58</definedName>
    <definedName name="OSRRefP22_10x_0" localSheetId="93">'444'!$P$58</definedName>
    <definedName name="OSRRefP22_10x_0" localSheetId="94">'450'!$P$58</definedName>
    <definedName name="OSRRefP22_10x_0" localSheetId="75">'491'!$P$68</definedName>
    <definedName name="OSRRefP22_10x_0" localSheetId="89">'492'!$P$61</definedName>
    <definedName name="OSRRefP22_10x_0" localSheetId="96">'501'!$P$56</definedName>
    <definedName name="OSRRefP22_10x_0" localSheetId="39">'Div 2'!$P$57</definedName>
    <definedName name="OSRRefP22_10x_0" localSheetId="47">'Div 3'!$P$211:$P$212</definedName>
    <definedName name="OSRRefP22_10x_0" localSheetId="73">'Div 4'!$P$68</definedName>
    <definedName name="OSRRefP22_10x_0" localSheetId="95">'Div 5'!$P$56</definedName>
    <definedName name="OSRRefP22_10x_0" localSheetId="63">'Div 6'!$P$95:$P$99</definedName>
    <definedName name="OSRRefP22_10x_0" localSheetId="2">Summary!$P$245:$P$246</definedName>
    <definedName name="OSRRefP22_11x_0" localSheetId="41">'201'!$P$55</definedName>
    <definedName name="OSRRefP22_11x_0" localSheetId="42">'202'!$P$55</definedName>
    <definedName name="OSRRefP22_11x_0" localSheetId="43">'203'!$P$58</definedName>
    <definedName name="OSRRefP22_11x_0" localSheetId="48">'300'!$P$209</definedName>
    <definedName name="OSRRefP22_11x_0" localSheetId="49">'300 &amp; 317'!$P$235</definedName>
    <definedName name="OSRRefP22_11x_0" localSheetId="50">'301'!$P$61</definedName>
    <definedName name="OSRRefP22_11x_0" localSheetId="53">'307'!$P$116</definedName>
    <definedName name="OSRRefP22_11x_0" localSheetId="55">'308'!$P$107:$P$109</definedName>
    <definedName name="OSRRefP22_11x_0" localSheetId="66">'309'!$P$60:$P$62</definedName>
    <definedName name="OSRRefP22_11x_0" localSheetId="65">'310'!$P$66</definedName>
    <definedName name="OSRRefP22_11x_0" localSheetId="74">'310 &amp; 491'!$P$77:$P$78</definedName>
    <definedName name="OSRRefP22_11x_0" localSheetId="56">'311'!$P$106:$P$108</definedName>
    <definedName name="OSRRefP22_11x_0" localSheetId="67">'313'!$P$68</definedName>
    <definedName name="OSRRefP22_11x_0" localSheetId="59">'315'!$P$126</definedName>
    <definedName name="OSRRefP22_11x_0" localSheetId="61">'316'!$P$77</definedName>
    <definedName name="OSRRefP22_11x_0" localSheetId="64">'317'!$P$101</definedName>
    <definedName name="OSRRefP22_11x_0" localSheetId="68">'321'!$P$65</definedName>
    <definedName name="OSRRefP22_11x_0" localSheetId="69">'322'!$P$66</definedName>
    <definedName name="OSRRefP22_11x_0" localSheetId="70">'325'!$P$58:$P$60</definedName>
    <definedName name="OSRRefP22_11x_0" localSheetId="71">'326'!$P$98</definedName>
    <definedName name="OSRRefP22_11x_0" localSheetId="52">'330'!$P$122:$P$125</definedName>
    <definedName name="OSRRefP22_11x_0" localSheetId="58">'331'!$P$129</definedName>
    <definedName name="OSRRefP22_11x_0" localSheetId="60">'332'!$P$80:$P$85</definedName>
    <definedName name="OSRRefP22_11x_0" localSheetId="76">'405'!$P$58</definedName>
    <definedName name="OSRRefP22_11x_0" localSheetId="77">'406'!$P$61:$P$66</definedName>
    <definedName name="OSRRefP22_11x_0" localSheetId="78">'411'!$P$57</definedName>
    <definedName name="OSRRefP22_11x_0" localSheetId="79">'412'!$P$62:$P$67</definedName>
    <definedName name="OSRRefP22_11x_0" localSheetId="80">'413'!$P$66</definedName>
    <definedName name="OSRRefP22_11x_0" localSheetId="81">'414'!$P$59</definedName>
    <definedName name="OSRRefP22_11x_0" localSheetId="82">'415'!$P$59:$P$62</definedName>
    <definedName name="OSRRefP22_11x_0" localSheetId="83">'418'!$P$60:$P$62</definedName>
    <definedName name="OSRRefP22_11x_0" localSheetId="86">'424'!$P$52:$P$56</definedName>
    <definedName name="OSRRefP22_11x_0" localSheetId="88">'425'!$P$64:$P$66</definedName>
    <definedName name="OSRRefP22_11x_0" localSheetId="91">'433'!$P$60:$P$62</definedName>
    <definedName name="OSRRefP22_11x_0" localSheetId="93">'444'!$P$60:$P$62</definedName>
    <definedName name="OSRRefP22_11x_0" localSheetId="94">'450'!$P$60</definedName>
    <definedName name="OSRRefP22_11x_0" localSheetId="75">'491'!$P$70:$P$71</definedName>
    <definedName name="OSRRefP22_11x_0" localSheetId="89">'492'!$P$63</definedName>
    <definedName name="OSRRefP22_11x_0" localSheetId="96">'501'!$P$58:$P$60</definedName>
    <definedName name="OSRRefP22_11x_0" localSheetId="39">'Div 2'!$P$59</definedName>
    <definedName name="OSRRefP22_11x_0" localSheetId="47">'Div 3'!$P$214</definedName>
    <definedName name="OSRRefP22_11x_0" localSheetId="73">'Div 4'!$P$70:$P$71</definedName>
    <definedName name="OSRRefP22_11x_0" localSheetId="95">'Div 5'!$P$58:$P$60</definedName>
    <definedName name="OSRRefP22_11x_0" localSheetId="63">'Div 6'!$P$101</definedName>
    <definedName name="OSRRefP22_11x_0" localSheetId="2">Summary!$P$248:$P$249</definedName>
    <definedName name="OSRRefP22_12x_0" localSheetId="41">'201'!$P$57:$P$60</definedName>
    <definedName name="OSRRefP22_12x_0" localSheetId="42">'202'!$P$57:$P$59</definedName>
    <definedName name="OSRRefP22_12x_0" localSheetId="43">'203'!$P$60:$P$63</definedName>
    <definedName name="OSRRefP22_12x_0" localSheetId="48">'300'!$P$211</definedName>
    <definedName name="OSRRefP22_12x_0" localSheetId="49">'300 &amp; 317'!$P$237</definedName>
    <definedName name="OSRRefP22_12x_0" localSheetId="50">'301'!$P$63</definedName>
    <definedName name="OSRRefP22_12x_0" localSheetId="55">'308'!$P$111:$P$112</definedName>
    <definedName name="OSRRefP22_12x_0" localSheetId="66">'309'!$P$64</definedName>
    <definedName name="OSRRefP22_12x_0" localSheetId="65">'310'!$P$68</definedName>
    <definedName name="OSRRefP22_12x_0" localSheetId="74">'310 &amp; 491'!$P$80</definedName>
    <definedName name="OSRRefP22_12x_0" localSheetId="56">'311'!$P$110:$P$111</definedName>
    <definedName name="OSRRefP22_12x_0" localSheetId="67">'313'!$P$70</definedName>
    <definedName name="OSRRefP22_12x_0" localSheetId="59">'315'!$P$128</definedName>
    <definedName name="OSRRefP22_12x_0" localSheetId="61">'316'!$P$79</definedName>
    <definedName name="OSRRefP22_12x_0" localSheetId="64">'317'!$P$103</definedName>
    <definedName name="OSRRefP22_12x_0" localSheetId="68">'321'!$P$67</definedName>
    <definedName name="OSRRefP22_12x_0" localSheetId="69">'322'!$P$68</definedName>
    <definedName name="OSRRefP22_12x_0" localSheetId="70">'325'!$P$62:$P$64</definedName>
    <definedName name="OSRRefP22_12x_0" localSheetId="71">'326'!$P$100:$P$102</definedName>
    <definedName name="OSRRefP22_12x_0" localSheetId="52">'330'!$P$127</definedName>
    <definedName name="OSRRefP22_12x_0" localSheetId="58">'331'!$P$131</definedName>
    <definedName name="OSRRefP22_12x_0" localSheetId="60">'332'!$P$87</definedName>
    <definedName name="OSRRefP22_12x_0" localSheetId="76">'405'!$P$60:$P$62</definedName>
    <definedName name="OSRRefP22_12x_0" localSheetId="77">'406'!$P$68</definedName>
    <definedName name="OSRRefP22_12x_0" localSheetId="78">'411'!$P$59:$P$62</definedName>
    <definedName name="OSRRefP22_12x_0" localSheetId="79">'412'!$P$69</definedName>
    <definedName name="OSRRefP22_12x_0" localSheetId="81">'414'!$P$61</definedName>
    <definedName name="OSRRefP22_12x_0" localSheetId="82">'415'!$P$64:$P$68</definedName>
    <definedName name="OSRRefP22_12x_0" localSheetId="83">'418'!$P$64:$P$66</definedName>
    <definedName name="OSRRefP22_12x_0" localSheetId="86">'424'!$P$58</definedName>
    <definedName name="OSRRefP22_12x_0" localSheetId="88">'425'!$P$68:$P$74</definedName>
    <definedName name="OSRRefP22_12x_0" localSheetId="91">'433'!$P$64:$P$66</definedName>
    <definedName name="OSRRefP22_12x_0" localSheetId="93">'444'!$P$64:$P$67</definedName>
    <definedName name="OSRRefP22_12x_0" localSheetId="94">'450'!$P$62:$P$63</definedName>
    <definedName name="OSRRefP22_12x_0" localSheetId="75">'491'!$P$73</definedName>
    <definedName name="OSRRefP22_12x_0" localSheetId="89">'492'!$P$65:$P$67</definedName>
    <definedName name="OSRRefP22_12x_0" localSheetId="96">'501'!$P$62</definedName>
    <definedName name="OSRRefP22_12x_0" localSheetId="39">'Div 2'!$P$61:$P$64</definedName>
    <definedName name="OSRRefP22_12x_0" localSheetId="47">'Div 3'!$P$216</definedName>
    <definedName name="OSRRefP22_12x_0" localSheetId="73">'Div 4'!$P$73</definedName>
    <definedName name="OSRRefP22_12x_0" localSheetId="95">'Div 5'!$P$62</definedName>
    <definedName name="OSRRefP22_12x_0" localSheetId="63">'Div 6'!$P$103</definedName>
    <definedName name="OSRRefP22_12x_0" localSheetId="2">Summary!$P$251</definedName>
    <definedName name="OSRRefP22_13x_0" localSheetId="41">'201'!$P$62</definedName>
    <definedName name="OSRRefP22_13x_0" localSheetId="42">'202'!$P$61</definedName>
    <definedName name="OSRRefP22_13x_0" localSheetId="43">'203'!$P$65</definedName>
    <definedName name="OSRRefP22_13x_0" localSheetId="48">'300'!$P$213:$P$215</definedName>
    <definedName name="OSRRefP22_13x_0" localSheetId="49">'300 &amp; 317'!$P$239:$P$241</definedName>
    <definedName name="OSRRefP22_13x_0" localSheetId="50">'301'!$P$65</definedName>
    <definedName name="OSRRefP22_13x_0" localSheetId="55">'308'!$P$114</definedName>
    <definedName name="OSRRefP22_13x_0" localSheetId="65">'310'!$P$70</definedName>
    <definedName name="OSRRefP22_13x_0" localSheetId="74">'310 &amp; 491'!$P$82</definedName>
    <definedName name="OSRRefP22_13x_0" localSheetId="56">'311'!$P$113</definedName>
    <definedName name="OSRRefP22_13x_0" localSheetId="59">'315'!$P$130:$P$131</definedName>
    <definedName name="OSRRefP22_13x_0" localSheetId="61">'316'!$P$81</definedName>
    <definedName name="OSRRefP22_13x_0" localSheetId="64">'317'!$P$105</definedName>
    <definedName name="OSRRefP22_13x_0" localSheetId="70">'325'!$P$66</definedName>
    <definedName name="OSRRefP22_13x_0" localSheetId="71">'326'!$P$104:$P$106</definedName>
    <definedName name="OSRRefP22_13x_0" localSheetId="52">'330'!$P$129</definedName>
    <definedName name="OSRRefP22_13x_0" localSheetId="58">'331'!$P$133:$P$135</definedName>
    <definedName name="OSRRefP22_13x_0" localSheetId="60">'332'!$P$89</definedName>
    <definedName name="OSRRefP22_13x_0" localSheetId="76">'405'!$P$64:$P$65</definedName>
    <definedName name="OSRRefP22_13x_0" localSheetId="77">'406'!$P$70</definedName>
    <definedName name="OSRRefP22_13x_0" localSheetId="78">'411'!$P$64:$P$68</definedName>
    <definedName name="OSRRefP22_13x_0" localSheetId="79">'412'!$P$71</definedName>
    <definedName name="OSRRefP22_13x_0" localSheetId="81">'414'!$P$63:$P$69</definedName>
    <definedName name="OSRRefP22_13x_0" localSheetId="82">'415'!$P$70:$P$71</definedName>
    <definedName name="OSRRefP22_13x_0" localSheetId="83">'418'!$P$68:$P$69</definedName>
    <definedName name="OSRRefP22_13x_0" localSheetId="88">'425'!$P$76</definedName>
    <definedName name="OSRRefP22_13x_0" localSheetId="91">'433'!$P$68:$P$75</definedName>
    <definedName name="OSRRefP22_13x_0" localSheetId="93">'444'!$P$69</definedName>
    <definedName name="OSRRefP22_13x_0" localSheetId="94">'450'!$P$65:$P$67</definedName>
    <definedName name="OSRRefP22_13x_0" localSheetId="75">'491'!$P$75</definedName>
    <definedName name="OSRRefP22_13x_0" localSheetId="89">'492'!$P$69:$P$72</definedName>
    <definedName name="OSRRefP22_13x_0" localSheetId="96">'501'!$P$64</definedName>
    <definedName name="OSRRefP22_13x_0" localSheetId="39">'Div 2'!$P$66:$P$68</definedName>
    <definedName name="OSRRefP22_13x_0" localSheetId="47">'Div 3'!$P$218</definedName>
    <definedName name="OSRRefP22_13x_0" localSheetId="73">'Div 4'!$P$75</definedName>
    <definedName name="OSRRefP22_13x_0" localSheetId="95">'Div 5'!$P$64</definedName>
    <definedName name="OSRRefP22_13x_0" localSheetId="63">'Div 6'!$P$105</definedName>
    <definedName name="OSRRefP22_13x_0" localSheetId="2">Summary!$P$253</definedName>
    <definedName name="OSRRefP22_14x_0" localSheetId="41">'201'!$P$64</definedName>
    <definedName name="OSRRefP22_14x_0" localSheetId="42">'202'!$P$63</definedName>
    <definedName name="OSRRefP22_14x_0" localSheetId="43">'203'!$P$67</definedName>
    <definedName name="OSRRefP22_14x_0" localSheetId="48">'300'!$P$217</definedName>
    <definedName name="OSRRefP22_14x_0" localSheetId="49">'300 &amp; 317'!$P$243</definedName>
    <definedName name="OSRRefP22_14x_0" localSheetId="50">'301'!$P$67</definedName>
    <definedName name="OSRRefP22_14x_0" localSheetId="55">'308'!$P$116</definedName>
    <definedName name="OSRRefP22_14x_0" localSheetId="65">'310'!$P$72:$P$74</definedName>
    <definedName name="OSRRefP22_14x_0" localSheetId="74">'310 &amp; 491'!$P$84</definedName>
    <definedName name="OSRRefP22_14x_0" localSheetId="56">'311'!$P$115</definedName>
    <definedName name="OSRRefP22_14x_0" localSheetId="70">'325'!$P$68:$P$72</definedName>
    <definedName name="OSRRefP22_14x_0" localSheetId="71">'326'!$P$108:$P$109</definedName>
    <definedName name="OSRRefP22_14x_0" localSheetId="52">'330'!$P$131</definedName>
    <definedName name="OSRRefP22_14x_0" localSheetId="58">'331'!$P$137:$P$138</definedName>
    <definedName name="OSRRefP22_14x_0" localSheetId="60">'332'!$P$91</definedName>
    <definedName name="OSRRefP22_14x_0" localSheetId="76">'405'!$P$67:$P$73</definedName>
    <definedName name="OSRRefP22_14x_0" localSheetId="77">'406'!$P$72</definedName>
    <definedName name="OSRRefP22_14x_0" localSheetId="78">'411'!$P$70:$P$71</definedName>
    <definedName name="OSRRefP22_14x_0" localSheetId="81">'414'!$P$71</definedName>
    <definedName name="OSRRefP22_14x_0" localSheetId="82">'415'!$P$73:$P$81</definedName>
    <definedName name="OSRRefP22_14x_0" localSheetId="83">'418'!$P$71:$P$78</definedName>
    <definedName name="OSRRefP22_14x_0" localSheetId="88">'425'!$P$78</definedName>
    <definedName name="OSRRefP22_14x_0" localSheetId="91">'433'!$P$77</definedName>
    <definedName name="OSRRefP22_14x_0" localSheetId="93">'444'!$P$71:$P$79</definedName>
    <definedName name="OSRRefP22_14x_0" localSheetId="94">'450'!$P$69:$P$74</definedName>
    <definedName name="OSRRefP22_14x_0" localSheetId="75">'491'!$P$77</definedName>
    <definedName name="OSRRefP22_14x_0" localSheetId="89">'492'!$P$74</definedName>
    <definedName name="OSRRefP22_14x_0" localSheetId="39">'Div 2'!$P$70:$P$71</definedName>
    <definedName name="OSRRefP22_14x_0" localSheetId="47">'Div 3'!$P$220:$P$222</definedName>
    <definedName name="OSRRefP22_14x_0" localSheetId="73">'Div 4'!$P$77</definedName>
    <definedName name="OSRRefP22_14x_0" localSheetId="2">Summary!$P$255:$P$257</definedName>
    <definedName name="OSRRefP22_15x_0" localSheetId="41">'201'!$P$66</definedName>
    <definedName name="OSRRefP22_15x_0" localSheetId="42">'202'!$P$65</definedName>
    <definedName name="OSRRefP22_15x_0" localSheetId="43">'203'!$P$69</definedName>
    <definedName name="OSRRefP22_15x_0" localSheetId="48">'300'!$P$219</definedName>
    <definedName name="OSRRefP22_15x_0" localSheetId="49">'300 &amp; 317'!$P$245</definedName>
    <definedName name="OSRRefP22_15x_0" localSheetId="50">'301'!$P$69:$P$72</definedName>
    <definedName name="OSRRefP22_15x_0" localSheetId="65">'310'!$P$76</definedName>
    <definedName name="OSRRefP22_15x_0" localSheetId="74">'310 &amp; 491'!$P$86</definedName>
    <definedName name="OSRRefP22_15x_0" localSheetId="70">'325'!$P$74</definedName>
    <definedName name="OSRRefP22_15x_0" localSheetId="71">'326'!$P$111:$P$116</definedName>
    <definedName name="OSRRefP22_15x_0" localSheetId="58">'331'!$P$140:$P$142</definedName>
    <definedName name="OSRRefP22_15x_0" localSheetId="76">'405'!$P$75</definedName>
    <definedName name="OSRRefP22_15x_0" localSheetId="78">'411'!$P$73:$P$81</definedName>
    <definedName name="OSRRefP22_15x_0" localSheetId="81">'414'!$P$73</definedName>
    <definedName name="OSRRefP22_15x_0" localSheetId="82">'415'!$P$83</definedName>
    <definedName name="OSRRefP22_15x_0" localSheetId="83">'418'!$P$80</definedName>
    <definedName name="OSRRefP22_15x_0" localSheetId="91">'433'!$P$79</definedName>
    <definedName name="OSRRefP22_15x_0" localSheetId="93">'444'!$P$81</definedName>
    <definedName name="OSRRefP22_15x_0" localSheetId="94">'450'!$P$76</definedName>
    <definedName name="OSRRefP22_15x_0" localSheetId="75">'491'!$P$79</definedName>
    <definedName name="OSRRefP22_15x_0" localSheetId="89">'492'!$P$76:$P$84</definedName>
    <definedName name="OSRRefP22_15x_0" localSheetId="39">'Div 2'!$P$73</definedName>
    <definedName name="OSRRefP22_15x_0" localSheetId="47">'Div 3'!$P$224</definedName>
    <definedName name="OSRRefP22_15x_0" localSheetId="73">'Div 4'!$P$79</definedName>
    <definedName name="OSRRefP22_15x_0" localSheetId="2">Summary!$P$259</definedName>
    <definedName name="OSRRefP22_16x_0" localSheetId="48">'300'!$P$221:$P$224</definedName>
    <definedName name="OSRRefP22_16x_0" localSheetId="49">'300 &amp; 317'!$P$247:$P$250</definedName>
    <definedName name="OSRRefP22_16x_0" localSheetId="50">'301'!$P$74:$P$76</definedName>
    <definedName name="OSRRefP22_16x_0" localSheetId="65">'310'!$P$78:$P$81</definedName>
    <definedName name="OSRRefP22_16x_0" localSheetId="74">'310 &amp; 491'!$P$88:$P$91</definedName>
    <definedName name="OSRRefP22_16x_0" localSheetId="70">'325'!$P$76</definedName>
    <definedName name="OSRRefP22_16x_0" localSheetId="71">'326'!$P$118</definedName>
    <definedName name="OSRRefP22_16x_0" localSheetId="58">'331'!$P$144:$P$145</definedName>
    <definedName name="OSRRefP22_16x_0" localSheetId="76">'405'!$P$77</definedName>
    <definedName name="OSRRefP22_16x_0" localSheetId="78">'411'!$P$83</definedName>
    <definedName name="OSRRefP22_16x_0" localSheetId="82">'415'!$P$85</definedName>
    <definedName name="OSRRefP22_16x_0" localSheetId="83">'418'!$P$82</definedName>
    <definedName name="OSRRefP22_16x_0" localSheetId="91">'433'!$P$81</definedName>
    <definedName name="OSRRefP22_16x_0" localSheetId="93">'444'!$P$83</definedName>
    <definedName name="OSRRefP22_16x_0" localSheetId="94">'450'!$P$78</definedName>
    <definedName name="OSRRefP22_16x_0" localSheetId="75">'491'!$P$81:$P$84</definedName>
    <definedName name="OSRRefP22_16x_0" localSheetId="89">'492'!$P$86</definedName>
    <definedName name="OSRRefP22_16x_0" localSheetId="39">'Div 2'!$P$75:$P$79</definedName>
    <definedName name="OSRRefP22_16x_0" localSheetId="47">'Div 3'!$P$226</definedName>
    <definedName name="OSRRefP22_16x_0" localSheetId="73">'Div 4'!$P$81</definedName>
    <definedName name="OSRRefP22_16x_0" localSheetId="2">Summary!$P$261</definedName>
    <definedName name="OSRRefP22_17x_0" localSheetId="48">'300'!$P$226:$P$228</definedName>
    <definedName name="OSRRefP22_17x_0" localSheetId="49">'300 &amp; 317'!$P$252:$P$254</definedName>
    <definedName name="OSRRefP22_17x_0" localSheetId="50">'301'!$P$78:$P$79</definedName>
    <definedName name="OSRRefP22_17x_0" localSheetId="65">'310'!$P$83</definedName>
    <definedName name="OSRRefP22_17x_0" localSheetId="74">'310 &amp; 491'!$P$93:$P$94</definedName>
    <definedName name="OSRRefP22_17x_0" localSheetId="70">'325'!$P$78</definedName>
    <definedName name="OSRRefP22_17x_0" localSheetId="71">'326'!$P$120</definedName>
    <definedName name="OSRRefP22_17x_0" localSheetId="58">'331'!$P$147:$P$152</definedName>
    <definedName name="OSRRefP22_17x_0" localSheetId="76">'405'!$P$79</definedName>
    <definedName name="OSRRefP22_17x_0" localSheetId="78">'411'!$P$85</definedName>
    <definedName name="OSRRefP22_17x_0" localSheetId="82">'415'!$P$87</definedName>
    <definedName name="OSRRefP22_17x_0" localSheetId="93">'444'!$P$85</definedName>
    <definedName name="OSRRefP22_17x_0" localSheetId="94">'450'!$P$80</definedName>
    <definedName name="OSRRefP22_17x_0" localSheetId="75">'491'!$P$86:$P$87</definedName>
    <definedName name="OSRRefP22_17x_0" localSheetId="89">'492'!$P$88</definedName>
    <definedName name="OSRRefP22_17x_0" localSheetId="39">'Div 2'!$P$81:$P$82</definedName>
    <definedName name="OSRRefP22_17x_0" localSheetId="47">'Div 3'!$P$228:$P$231</definedName>
    <definedName name="OSRRefP22_17x_0" localSheetId="73">'Div 4'!$P$83:$P$86</definedName>
    <definedName name="OSRRefP22_17x_0" localSheetId="2">Summary!$P$263</definedName>
    <definedName name="OSRRefP22_18x_0" localSheetId="48">'300'!$P$230:$P$233</definedName>
    <definedName name="OSRRefP22_18x_0" localSheetId="49">'300 &amp; 317'!$P$256:$P$259</definedName>
    <definedName name="OSRRefP22_18x_0" localSheetId="50">'301'!$P$81:$P$86</definedName>
    <definedName name="OSRRefP22_18x_0" localSheetId="65">'310'!$P$85:$P$93</definedName>
    <definedName name="OSRRefP22_18x_0" localSheetId="74">'310 &amp; 491'!$P$96:$P$100</definedName>
    <definedName name="OSRRefP22_18x_0" localSheetId="71">'326'!$P$122</definedName>
    <definedName name="OSRRefP22_18x_0" localSheetId="58">'331'!$P$154</definedName>
    <definedName name="OSRRefP22_18x_0" localSheetId="78">'411'!$P$87:$P$89</definedName>
    <definedName name="OSRRefP22_18x_0" localSheetId="75">'491'!$P$89:$P$93</definedName>
    <definedName name="OSRRefP22_18x_0" localSheetId="89">'492'!$P$90</definedName>
    <definedName name="OSRRefP22_18x_0" localSheetId="39">'Div 2'!$P$84</definedName>
    <definedName name="OSRRefP22_18x_0" localSheetId="47">'Div 3'!$P$233:$P$235</definedName>
    <definedName name="OSRRefP22_18x_0" localSheetId="73">'Div 4'!$P$88:$P$89</definedName>
    <definedName name="OSRRefP22_18x_0" localSheetId="2">Summary!$P$265:$P$268</definedName>
    <definedName name="OSRRefP22_19x_0" localSheetId="48">'300'!$P$235:$P$236</definedName>
    <definedName name="OSRRefP22_19x_0" localSheetId="49">'300 &amp; 317'!$P$261:$P$262</definedName>
    <definedName name="OSRRefP22_19x_0" localSheetId="50">'301'!$P$88</definedName>
    <definedName name="OSRRefP22_19x_0" localSheetId="65">'310'!$P$95</definedName>
    <definedName name="OSRRefP22_19x_0" localSheetId="74">'310 &amp; 491'!$P$102:$P$103</definedName>
    <definedName name="OSRRefP22_19x_0" localSheetId="71">'326'!$P$124</definedName>
    <definedName name="OSRRefP22_19x_0" localSheetId="58">'331'!$P$156</definedName>
    <definedName name="OSRRefP22_19x_0" localSheetId="78">'411'!$P$91</definedName>
    <definedName name="OSRRefP22_19x_0" localSheetId="75">'491'!$P$95:$P$96</definedName>
    <definedName name="OSRRefP22_19x_0" localSheetId="39">'Div 2'!$P$86:$P$87</definedName>
    <definedName name="OSRRefP22_19x_0" localSheetId="47">'Div 3'!$P$237:$P$241</definedName>
    <definedName name="OSRRefP22_19x_0" localSheetId="73">'Div 4'!$P$91:$P$95</definedName>
    <definedName name="OSRRefP22_19x_0" localSheetId="2">Summary!$P$270:$P$272</definedName>
    <definedName name="OSRRefP22_1x_0" localSheetId="40">'200'!$P$22</definedName>
    <definedName name="OSRRefP22_1x_0" localSheetId="41">'201'!$P$29:$P$31</definedName>
    <definedName name="OSRRefP22_1x_0" localSheetId="42">'202'!$P$29:$P$32</definedName>
    <definedName name="OSRRefP22_1x_0" localSheetId="43">'203'!$P$31:$P$35</definedName>
    <definedName name="OSRRefP22_1x_0" localSheetId="44">'204'!$P$31:$P$35</definedName>
    <definedName name="OSRRefP22_1x_0" localSheetId="45">'205'!$P$29</definedName>
    <definedName name="OSRRefP22_1x_0" localSheetId="46">'206'!$P$29:$P$32</definedName>
    <definedName name="OSRRefP22_1x_0" localSheetId="48">'300'!$P$178:$P$184</definedName>
    <definedName name="OSRRefP22_1x_0" localSheetId="49">'300 &amp; 317'!$P$204:$P$210</definedName>
    <definedName name="OSRRefP22_1x_0" localSheetId="50">'301'!$P$31:$P$37</definedName>
    <definedName name="OSRRefP22_1x_0" localSheetId="51">'306'!$P$30:$P$35</definedName>
    <definedName name="OSRRefP22_1x_0" localSheetId="53">'307'!$P$87:$P$90</definedName>
    <definedName name="OSRRefP22_1x_0" localSheetId="55">'308'!$P$76:$P$82</definedName>
    <definedName name="OSRRefP22_1x_0" localSheetId="66">'309'!$P$33:$P$37</definedName>
    <definedName name="OSRRefP22_1x_0" localSheetId="65">'310'!$P$40:$P$45</definedName>
    <definedName name="OSRRefP22_1x_0" localSheetId="74">'310 &amp; 491'!$P$48:$P$54</definedName>
    <definedName name="OSRRefP22_1x_0" localSheetId="56">'311'!$P$75:$P$81</definedName>
    <definedName name="OSRRefP22_1x_0" localSheetId="67">'313'!$P$37:$P$41</definedName>
    <definedName name="OSRRefP22_1x_0" localSheetId="54">'314'!$P$66:$P$68</definedName>
    <definedName name="OSRRefP22_1x_0" localSheetId="59">'315'!$P$92:$P$97</definedName>
    <definedName name="OSRRefP22_1x_0" localSheetId="61">'316'!$P$46:$P$49</definedName>
    <definedName name="OSRRefP22_1x_0" localSheetId="64">'317'!$P$71:$P$75</definedName>
    <definedName name="OSRRefP22_1x_0" localSheetId="62">'320'!$P$36:$P$40</definedName>
    <definedName name="OSRRefP22_1x_0" localSheetId="68">'321'!$P$33:$P$37</definedName>
    <definedName name="OSRRefP22_1x_0" localSheetId="69">'322'!$P$33:$P$37</definedName>
    <definedName name="OSRRefP22_1x_0" localSheetId="70">'325'!$P$33:$P$37</definedName>
    <definedName name="OSRRefP22_1x_0" localSheetId="71">'326'!$P$72:$P$77</definedName>
    <definedName name="OSRRefP22_1x_0" localSheetId="72">'327'!$P$24</definedName>
    <definedName name="OSRRefP22_1x_0" localSheetId="52">'330'!$P$95:$P$99</definedName>
    <definedName name="OSRRefP22_1x_0" localSheetId="58">'331'!$P$101:$P$106</definedName>
    <definedName name="OSRRefP22_1x_0" localSheetId="60">'332'!$P$53:$P$57</definedName>
    <definedName name="OSRRefP22_1x_0" localSheetId="76">'405'!$P$33:$P$36</definedName>
    <definedName name="OSRRefP22_1x_0" localSheetId="77">'406'!$P$33:$P$38</definedName>
    <definedName name="OSRRefP22_1x_0" localSheetId="78">'411'!$P$30:$P$35</definedName>
    <definedName name="OSRRefP22_1x_0" localSheetId="79">'412'!$P$33:$P$38</definedName>
    <definedName name="OSRRefP22_1x_0" localSheetId="80">'413'!$P$33:$P$37</definedName>
    <definedName name="OSRRefP22_1x_0" localSheetId="81">'414'!$P$33:$P$38</definedName>
    <definedName name="OSRRefP22_1x_0" localSheetId="82">'415'!$P$33:$P$38</definedName>
    <definedName name="OSRRefP22_1x_0" localSheetId="83">'418'!$P$33:$P$38</definedName>
    <definedName name="OSRRefP22_1x_0" localSheetId="84">'420'!$P$33:$P$36</definedName>
    <definedName name="OSRRefP22_1x_0" localSheetId="85">'423'!$P$30:$P$31</definedName>
    <definedName name="OSRRefP22_1x_0" localSheetId="86">'424'!$P$27:$P$31</definedName>
    <definedName name="OSRRefP22_1x_0" localSheetId="88">'425'!$P$37:$P$42</definedName>
    <definedName name="OSRRefP22_1x_0" localSheetId="90">'430'!$P$29</definedName>
    <definedName name="OSRRefP22_1x_0" localSheetId="91">'433'!$P$35:$P$40</definedName>
    <definedName name="OSRRefP22_1x_0" localSheetId="92">'435'!$P$29:$P$31</definedName>
    <definedName name="OSRRefP22_1x_0" localSheetId="93">'444'!$P$35:$P$40</definedName>
    <definedName name="OSRRefP22_1x_0" localSheetId="94">'450'!$P$35:$P$40</definedName>
    <definedName name="OSRRefP22_1x_0" localSheetId="87">'455'!$P$28:$P$29</definedName>
    <definedName name="OSRRefP22_1x_0" localSheetId="75">'491'!$P$42:$P$48</definedName>
    <definedName name="OSRRefP22_1x_0" localSheetId="89">'492'!$P$37:$P$43</definedName>
    <definedName name="OSRRefP22_1x_0" localSheetId="96">'501'!$P$31:$P$35</definedName>
    <definedName name="OSRRefP22_1x_0" localSheetId="39">'Div 2'!$P$32:$P$38</definedName>
    <definedName name="OSRRefP22_1x_0" localSheetId="47">'Div 3'!$P$183:$P$189</definedName>
    <definedName name="OSRRefP22_1x_0" localSheetId="73">'Div 4'!$P$42:$P$48</definedName>
    <definedName name="OSRRefP22_1x_0" localSheetId="95">'Div 5'!$P$31:$P$35</definedName>
    <definedName name="OSRRefP22_1x_0" localSheetId="63">'Div 6'!$P$71:$P$75</definedName>
    <definedName name="OSRRefP22_1x_0" localSheetId="2">Summary!$P$216:$P$222</definedName>
    <definedName name="OSRRefP22_20x_0" localSheetId="48">'300'!$P$238:$P$244</definedName>
    <definedName name="OSRRefP22_20x_0" localSheetId="49">'300 &amp; 317'!$P$264:$P$270</definedName>
    <definedName name="OSRRefP22_20x_0" localSheetId="50">'301'!$P$90</definedName>
    <definedName name="OSRRefP22_20x_0" localSheetId="65">'310'!$P$97</definedName>
    <definedName name="OSRRefP22_20x_0" localSheetId="74">'310 &amp; 491'!$P$105:$P$114</definedName>
    <definedName name="OSRRefP22_20x_0" localSheetId="58">'331'!$P$158:$P$159</definedName>
    <definedName name="OSRRefP22_20x_0" localSheetId="75">'491'!$P$98:$P$107</definedName>
    <definedName name="OSRRefP22_20x_0" localSheetId="47">'Div 3'!$P$243:$P$244</definedName>
    <definedName name="OSRRefP22_20x_0" localSheetId="73">'Div 4'!$P$97:$P$98</definedName>
    <definedName name="OSRRefP22_20x_0" localSheetId="2">Summary!$P$274:$P$278</definedName>
    <definedName name="OSRRefP22_21x_0" localSheetId="48">'300'!$P$246:$P$247</definedName>
    <definedName name="OSRRefP22_21x_0" localSheetId="49">'300 &amp; 317'!$P$272:$P$273</definedName>
    <definedName name="OSRRefP22_21x_0" localSheetId="50">'301'!$P$92:$P$94</definedName>
    <definedName name="OSRRefP22_21x_0" localSheetId="65">'310'!$P$99</definedName>
    <definedName name="OSRRefP22_21x_0" localSheetId="74">'310 &amp; 491'!$P$116</definedName>
    <definedName name="OSRRefP22_21x_0" localSheetId="58">'331'!$P$161</definedName>
    <definedName name="OSRRefP22_21x_0" localSheetId="75">'491'!$P$109</definedName>
    <definedName name="OSRRefP22_21x_0" localSheetId="47">'Div 3'!$P$246:$P$254</definedName>
    <definedName name="OSRRefP22_21x_0" localSheetId="73">'Div 4'!$P$100:$P$109</definedName>
    <definedName name="OSRRefP22_21x_0" localSheetId="2">Summary!$P$280:$P$281</definedName>
    <definedName name="OSRRefP22_22x_0" localSheetId="48">'300'!$P$249</definedName>
    <definedName name="OSRRefP22_22x_0" localSheetId="49">'300 &amp; 317'!$P$275</definedName>
    <definedName name="OSRRefP22_22x_0" localSheetId="50">'301'!$P$96</definedName>
    <definedName name="OSRRefP22_22x_0" localSheetId="74">'310 &amp; 491'!$P$118</definedName>
    <definedName name="OSRRefP22_22x_0" localSheetId="75">'491'!$P$111</definedName>
    <definedName name="OSRRefP22_22x_0" localSheetId="47">'Div 3'!$P$256:$P$257</definedName>
    <definedName name="OSRRefP22_22x_0" localSheetId="73">'Div 4'!$P$111</definedName>
    <definedName name="OSRRefP22_22x_0" localSheetId="2">Summary!$P$283:$P$292</definedName>
    <definedName name="OSRRefP22_23x_0" localSheetId="48">'300'!$P$251:$P$253</definedName>
    <definedName name="OSRRefP22_23x_0" localSheetId="49">'300 &amp; 317'!$P$277:$P$279</definedName>
    <definedName name="OSRRefP22_23x_0" localSheetId="74">'310 &amp; 491'!$P$120:$P$122</definedName>
    <definedName name="OSRRefP22_23x_0" localSheetId="75">'491'!$P$113:$P$115</definedName>
    <definedName name="OSRRefP22_23x_0" localSheetId="47">'Div 3'!$P$259</definedName>
    <definedName name="OSRRefP22_23x_0" localSheetId="73">'Div 4'!$P$113</definedName>
    <definedName name="OSRRefP22_23x_0" localSheetId="2">Summary!$P$294:$P$295</definedName>
    <definedName name="OSRRefP22_24x_0" localSheetId="48">'300'!$P$255</definedName>
    <definedName name="OSRRefP22_24x_0" localSheetId="49">'300 &amp; 317'!$P$281</definedName>
    <definedName name="OSRRefP22_24x_0" localSheetId="74">'310 &amp; 491'!$P$124</definedName>
    <definedName name="OSRRefP22_24x_0" localSheetId="75">'491'!$P$117</definedName>
    <definedName name="OSRRefP22_24x_0" localSheetId="47">'Div 3'!$P$261:$P$263</definedName>
    <definedName name="OSRRefP22_24x_0" localSheetId="73">'Div 4'!$P$115:$P$117</definedName>
    <definedName name="OSRRefP22_24x_0" localSheetId="2">Summary!$P$297</definedName>
    <definedName name="OSRRefP22_25x_0" localSheetId="47">'Div 3'!$P$265</definedName>
    <definedName name="OSRRefP22_25x_0" localSheetId="73">'Div 4'!$P$119</definedName>
    <definedName name="OSRRefP22_25x_0" localSheetId="2">Summary!$P$299:$P$301</definedName>
    <definedName name="OSRRefP22_26x_0" localSheetId="2">Summary!$P$303</definedName>
    <definedName name="OSRRefP22_2x_0" localSheetId="40">'200'!$P$24</definedName>
    <definedName name="OSRRefP22_2x_0" localSheetId="41">'201'!$P$33</definedName>
    <definedName name="OSRRefP22_2x_0" localSheetId="42">'202'!$P$34</definedName>
    <definedName name="OSRRefP22_2x_0" localSheetId="43">'203'!$P$37</definedName>
    <definedName name="OSRRefP22_2x_0" localSheetId="44">'204'!$P$37</definedName>
    <definedName name="OSRRefP22_2x_0" localSheetId="45">'205'!$P$31</definedName>
    <definedName name="OSRRefP22_2x_0" localSheetId="46">'206'!$P$34</definedName>
    <definedName name="OSRRefP22_2x_0" localSheetId="48">'300'!$P$186</definedName>
    <definedName name="OSRRefP22_2x_0" localSheetId="49">'300 &amp; 317'!$P$212</definedName>
    <definedName name="OSRRefP22_2x_0" localSheetId="50">'301'!$P$39</definedName>
    <definedName name="OSRRefP22_2x_0" localSheetId="51">'306'!$P$37</definedName>
    <definedName name="OSRRefP22_2x_0" localSheetId="53">'307'!$P$92</definedName>
    <definedName name="OSRRefP22_2x_0" localSheetId="55">'308'!$P$84</definedName>
    <definedName name="OSRRefP22_2x_0" localSheetId="66">'309'!$P$39</definedName>
    <definedName name="OSRRefP22_2x_0" localSheetId="65">'310'!$P$47</definedName>
    <definedName name="OSRRefP22_2x_0" localSheetId="74">'310 &amp; 491'!$P$56</definedName>
    <definedName name="OSRRefP22_2x_0" localSheetId="56">'311'!$P$83</definedName>
    <definedName name="OSRRefP22_2x_0" localSheetId="67">'313'!$P$43</definedName>
    <definedName name="OSRRefP22_2x_0" localSheetId="54">'314'!$P$70</definedName>
    <definedName name="OSRRefP22_2x_0" localSheetId="59">'315'!$P$99</definedName>
    <definedName name="OSRRefP22_2x_0" localSheetId="61">'316'!$P$51</definedName>
    <definedName name="OSRRefP22_2x_0" localSheetId="64">'317'!$P$77</definedName>
    <definedName name="OSRRefP22_2x_0" localSheetId="62">'320'!$P$42</definedName>
    <definedName name="OSRRefP22_2x_0" localSheetId="68">'321'!$P$39</definedName>
    <definedName name="OSRRefP22_2x_0" localSheetId="69">'322'!$P$39</definedName>
    <definedName name="OSRRefP22_2x_0" localSheetId="70">'325'!$P$39</definedName>
    <definedName name="OSRRefP22_2x_0" localSheetId="71">'326'!$P$79</definedName>
    <definedName name="OSRRefP22_2x_0" localSheetId="72">'327'!$P$26</definedName>
    <definedName name="OSRRefP22_2x_0" localSheetId="52">'330'!$P$101</definedName>
    <definedName name="OSRRefP22_2x_0" localSheetId="58">'331'!$P$108</definedName>
    <definedName name="OSRRefP22_2x_0" localSheetId="60">'332'!$P$59</definedName>
    <definedName name="OSRRefP22_2x_0" localSheetId="76">'405'!$P$38</definedName>
    <definedName name="OSRRefP22_2x_0" localSheetId="77">'406'!$P$40</definedName>
    <definedName name="OSRRefP22_2x_0" localSheetId="78">'411'!$P$37</definedName>
    <definedName name="OSRRefP22_2x_0" localSheetId="79">'412'!$P$40</definedName>
    <definedName name="OSRRefP22_2x_0" localSheetId="80">'413'!$P$39</definedName>
    <definedName name="OSRRefP22_2x_0" localSheetId="81">'414'!$P$40</definedName>
    <definedName name="OSRRefP22_2x_0" localSheetId="82">'415'!$P$40</definedName>
    <definedName name="OSRRefP22_2x_0" localSheetId="83">'418'!$P$40</definedName>
    <definedName name="OSRRefP22_2x_0" localSheetId="84">'420'!$P$38</definedName>
    <definedName name="OSRRefP22_2x_0" localSheetId="85">'423'!$P$33</definedName>
    <definedName name="OSRRefP22_2x_0" localSheetId="86">'424'!$P$33</definedName>
    <definedName name="OSRRefP22_2x_0" localSheetId="88">'425'!$P$44</definedName>
    <definedName name="OSRRefP22_2x_0" localSheetId="90">'430'!$P$31</definedName>
    <definedName name="OSRRefP22_2x_0" localSheetId="91">'433'!$P$42</definedName>
    <definedName name="OSRRefP22_2x_0" localSheetId="92">'435'!$P$33</definedName>
    <definedName name="OSRRefP22_2x_0" localSheetId="93">'444'!$P$42</definedName>
    <definedName name="OSRRefP22_2x_0" localSheetId="94">'450'!$P$42</definedName>
    <definedName name="OSRRefP22_2x_0" localSheetId="75">'491'!$P$50</definedName>
    <definedName name="OSRRefP22_2x_0" localSheetId="89">'492'!$P$45</definedName>
    <definedName name="OSRRefP22_2x_0" localSheetId="96">'501'!$P$37</definedName>
    <definedName name="OSRRefP22_2x_0" localSheetId="39">'Div 2'!$P$40</definedName>
    <definedName name="OSRRefP22_2x_0" localSheetId="47">'Div 3'!$P$191</definedName>
    <definedName name="OSRRefP22_2x_0" localSheetId="73">'Div 4'!$P$50</definedName>
    <definedName name="OSRRefP22_2x_0" localSheetId="95">'Div 5'!$P$37</definedName>
    <definedName name="OSRRefP22_2x_0" localSheetId="63">'Div 6'!$P$77</definedName>
    <definedName name="OSRRefP22_2x_0" localSheetId="2">Summary!$P$224</definedName>
    <definedName name="OSRRefP22_3x_0" localSheetId="40">'200'!$P$26</definedName>
    <definedName name="OSRRefP22_3x_0" localSheetId="41">'201'!$P$35</definedName>
    <definedName name="OSRRefP22_3x_0" localSheetId="42">'202'!$P$36</definedName>
    <definedName name="OSRRefP22_3x_0" localSheetId="43">'203'!$P$39</definedName>
    <definedName name="OSRRefP22_3x_0" localSheetId="44">'204'!$P$39</definedName>
    <definedName name="OSRRefP22_3x_0" localSheetId="45">'205'!$P$33</definedName>
    <definedName name="OSRRefP22_3x_0" localSheetId="46">'206'!$P$36</definedName>
    <definedName name="OSRRefP22_3x_0" localSheetId="48">'300'!$P$188:$P$189</definedName>
    <definedName name="OSRRefP22_3x_0" localSheetId="49">'300 &amp; 317'!$P$214:$P$215</definedName>
    <definedName name="OSRRefP22_3x_0" localSheetId="50">'301'!$P$41:$P$42</definedName>
    <definedName name="OSRRefP22_3x_0" localSheetId="51">'306'!$P$39</definedName>
    <definedName name="OSRRefP22_3x_0" localSheetId="53">'307'!$P$94</definedName>
    <definedName name="OSRRefP22_3x_0" localSheetId="55">'308'!$P$86:$P$87</definedName>
    <definedName name="OSRRefP22_3x_0" localSheetId="66">'309'!$P$41</definedName>
    <definedName name="OSRRefP22_3x_0" localSheetId="65">'310'!$P$49</definedName>
    <definedName name="OSRRefP22_3x_0" localSheetId="74">'310 &amp; 491'!$P$58</definedName>
    <definedName name="OSRRefP22_3x_0" localSheetId="56">'311'!$P$85:$P$86</definedName>
    <definedName name="OSRRefP22_3x_0" localSheetId="67">'313'!$P$45</definedName>
    <definedName name="OSRRefP22_3x_0" localSheetId="54">'314'!$P$72:$P$73</definedName>
    <definedName name="OSRRefP22_3x_0" localSheetId="59">'315'!$P$101:$P$102</definedName>
    <definedName name="OSRRefP22_3x_0" localSheetId="61">'316'!$P$53</definedName>
    <definedName name="OSRRefP22_3x_0" localSheetId="64">'317'!$P$79</definedName>
    <definedName name="OSRRefP22_3x_0" localSheetId="62">'320'!$P$44</definedName>
    <definedName name="OSRRefP22_3x_0" localSheetId="68">'321'!$P$41</definedName>
    <definedName name="OSRRefP22_3x_0" localSheetId="69">'322'!$P$41</definedName>
    <definedName name="OSRRefP22_3x_0" localSheetId="70">'325'!$P$41</definedName>
    <definedName name="OSRRefP22_3x_0" localSheetId="71">'326'!$P$81</definedName>
    <definedName name="OSRRefP22_3x_0" localSheetId="52">'330'!$P$103</definedName>
    <definedName name="OSRRefP22_3x_0" localSheetId="58">'331'!$P$110</definedName>
    <definedName name="OSRRefP22_3x_0" localSheetId="60">'332'!$P$61</definedName>
    <definedName name="OSRRefP22_3x_0" localSheetId="76">'405'!$P$40</definedName>
    <definedName name="OSRRefP22_3x_0" localSheetId="77">'406'!$P$42</definedName>
    <definedName name="OSRRefP22_3x_0" localSheetId="78">'411'!$P$39</definedName>
    <definedName name="OSRRefP22_3x_0" localSheetId="79">'412'!$P$42</definedName>
    <definedName name="OSRRefP22_3x_0" localSheetId="80">'413'!$P$41</definedName>
    <definedName name="OSRRefP22_3x_0" localSheetId="81">'414'!$P$42</definedName>
    <definedName name="OSRRefP22_3x_0" localSheetId="82">'415'!$P$42</definedName>
    <definedName name="OSRRefP22_3x_0" localSheetId="83">'418'!$P$42</definedName>
    <definedName name="OSRRefP22_3x_0" localSheetId="84">'420'!$P$40</definedName>
    <definedName name="OSRRefP22_3x_0" localSheetId="85">'423'!$P$35</definedName>
    <definedName name="OSRRefP22_3x_0" localSheetId="86">'424'!$P$35</definedName>
    <definedName name="OSRRefP22_3x_0" localSheetId="88">'425'!$P$46</definedName>
    <definedName name="OSRRefP22_3x_0" localSheetId="90">'430'!$P$33</definedName>
    <definedName name="OSRRefP22_3x_0" localSheetId="91">'433'!$P$44</definedName>
    <definedName name="OSRRefP22_3x_0" localSheetId="92">'435'!$P$35</definedName>
    <definedName name="OSRRefP22_3x_0" localSheetId="93">'444'!$P$44</definedName>
    <definedName name="OSRRefP22_3x_0" localSheetId="94">'450'!$P$44</definedName>
    <definedName name="OSRRefP22_3x_0" localSheetId="75">'491'!$P$52</definedName>
    <definedName name="OSRRefP22_3x_0" localSheetId="89">'492'!$P$47</definedName>
    <definedName name="OSRRefP22_3x_0" localSheetId="96">'501'!$P$39</definedName>
    <definedName name="OSRRefP22_3x_0" localSheetId="39">'Div 2'!$P$42</definedName>
    <definedName name="OSRRefP22_3x_0" localSheetId="47">'Div 3'!$P$193:$P$194</definedName>
    <definedName name="OSRRefP22_3x_0" localSheetId="73">'Div 4'!$P$52</definedName>
    <definedName name="OSRRefP22_3x_0" localSheetId="95">'Div 5'!$P$39</definedName>
    <definedName name="OSRRefP22_3x_0" localSheetId="63">'Div 6'!$P$79</definedName>
    <definedName name="OSRRefP22_3x_0" localSheetId="2">Summary!$P$226:$P$227</definedName>
    <definedName name="OSRRefP22_4x_0" localSheetId="40">'200'!$P$28:$P$29</definedName>
    <definedName name="OSRRefP22_4x_0" localSheetId="41">'201'!$P$37</definedName>
    <definedName name="OSRRefP22_4x_0" localSheetId="42">'202'!$P$38</definedName>
    <definedName name="OSRRefP22_4x_0" localSheetId="43">'203'!$P$41</definedName>
    <definedName name="OSRRefP22_4x_0" localSheetId="44">'204'!$P$41</definedName>
    <definedName name="OSRRefP22_4x_0" localSheetId="45">'205'!$P$35:$P$36</definedName>
    <definedName name="OSRRefP22_4x_0" localSheetId="46">'206'!$P$38</definedName>
    <definedName name="OSRRefP22_4x_0" localSheetId="48">'300'!$P$191</definedName>
    <definedName name="OSRRefP22_4x_0" localSheetId="49">'300 &amp; 317'!$P$217</definedName>
    <definedName name="OSRRefP22_4x_0" localSheetId="50">'301'!$P$44</definedName>
    <definedName name="OSRRefP22_4x_0" localSheetId="51">'306'!$P$41</definedName>
    <definedName name="OSRRefP22_4x_0" localSheetId="53">'307'!$P$96:$P$97</definedName>
    <definedName name="OSRRefP22_4x_0" localSheetId="55">'308'!$P$89</definedName>
    <definedName name="OSRRefP22_4x_0" localSheetId="66">'309'!$P$43</definedName>
    <definedName name="OSRRefP22_4x_0" localSheetId="65">'310'!$P$51</definedName>
    <definedName name="OSRRefP22_4x_0" localSheetId="74">'310 &amp; 491'!$P$60</definedName>
    <definedName name="OSRRefP22_4x_0" localSheetId="56">'311'!$P$88</definedName>
    <definedName name="OSRRefP22_4x_0" localSheetId="67">'313'!$P$47</definedName>
    <definedName name="OSRRefP22_4x_0" localSheetId="54">'314'!$P$75</definedName>
    <definedName name="OSRRefP22_4x_0" localSheetId="59">'315'!$P$104</definedName>
    <definedName name="OSRRefP22_4x_0" localSheetId="61">'316'!$P$55</definedName>
    <definedName name="OSRRefP22_4x_0" localSheetId="64">'317'!$P$81</definedName>
    <definedName name="OSRRefP22_4x_0" localSheetId="62">'320'!$P$46:$P$47</definedName>
    <definedName name="OSRRefP22_4x_0" localSheetId="68">'321'!$P$43</definedName>
    <definedName name="OSRRefP22_4x_0" localSheetId="69">'322'!$P$43</definedName>
    <definedName name="OSRRefP22_4x_0" localSheetId="70">'325'!$P$43</definedName>
    <definedName name="OSRRefP22_4x_0" localSheetId="71">'326'!$P$83</definedName>
    <definedName name="OSRRefP22_4x_0" localSheetId="52">'330'!$P$105:$P$106</definedName>
    <definedName name="OSRRefP22_4x_0" localSheetId="58">'331'!$P$112</definedName>
    <definedName name="OSRRefP22_4x_0" localSheetId="60">'332'!$P$63</definedName>
    <definedName name="OSRRefP22_4x_0" localSheetId="76">'405'!$P$42</definedName>
    <definedName name="OSRRefP22_4x_0" localSheetId="77">'406'!$P$44</definedName>
    <definedName name="OSRRefP22_4x_0" localSheetId="78">'411'!$P$41:$P$43</definedName>
    <definedName name="OSRRefP22_4x_0" localSheetId="79">'412'!$P$44</definedName>
    <definedName name="OSRRefP22_4x_0" localSheetId="80">'413'!$P$43</definedName>
    <definedName name="OSRRefP22_4x_0" localSheetId="81">'414'!$P$44</definedName>
    <definedName name="OSRRefP22_4x_0" localSheetId="82">'415'!$P$44</definedName>
    <definedName name="OSRRefP22_4x_0" localSheetId="83">'418'!$P$44</definedName>
    <definedName name="OSRRefP22_4x_0" localSheetId="84">'420'!$P$42</definedName>
    <definedName name="OSRRefP22_4x_0" localSheetId="85">'423'!$P$37</definedName>
    <definedName name="OSRRefP22_4x_0" localSheetId="86">'424'!$P$37</definedName>
    <definedName name="OSRRefP22_4x_0" localSheetId="88">'425'!$P$48</definedName>
    <definedName name="OSRRefP22_4x_0" localSheetId="90">'430'!$P$35:$P$36</definedName>
    <definedName name="OSRRefP22_4x_0" localSheetId="91">'433'!$P$46</definedName>
    <definedName name="OSRRefP22_4x_0" localSheetId="92">'435'!$P$37</definedName>
    <definedName name="OSRRefP22_4x_0" localSheetId="93">'444'!$P$46</definedName>
    <definedName name="OSRRefP22_4x_0" localSheetId="94">'450'!$P$46</definedName>
    <definedName name="OSRRefP22_4x_0" localSheetId="75">'491'!$P$54</definedName>
    <definedName name="OSRRefP22_4x_0" localSheetId="89">'492'!$P$49</definedName>
    <definedName name="OSRRefP22_4x_0" localSheetId="96">'501'!$P$41</definedName>
    <definedName name="OSRRefP22_4x_0" localSheetId="39">'Div 2'!$P$44</definedName>
    <definedName name="OSRRefP22_4x_0" localSheetId="47">'Div 3'!$P$196</definedName>
    <definedName name="OSRRefP22_4x_0" localSheetId="73">'Div 4'!$P$54</definedName>
    <definedName name="OSRRefP22_4x_0" localSheetId="95">'Div 5'!$P$41</definedName>
    <definedName name="OSRRefP22_4x_0" localSheetId="63">'Div 6'!$P$81</definedName>
    <definedName name="OSRRefP22_4x_0" localSheetId="2">Summary!$P$229</definedName>
    <definedName name="OSRRefP22_5x_0" localSheetId="41">'201'!$P$39</definedName>
    <definedName name="OSRRefP22_5x_0" localSheetId="42">'202'!$P$40</definedName>
    <definedName name="OSRRefP22_5x_0" localSheetId="43">'203'!$P$43</definedName>
    <definedName name="OSRRefP22_5x_0" localSheetId="44">'204'!$P$43</definedName>
    <definedName name="OSRRefP22_5x_0" localSheetId="45">'205'!$P$38</definedName>
    <definedName name="OSRRefP22_5x_0" localSheetId="46">'206'!$P$40</definedName>
    <definedName name="OSRRefP22_5x_0" localSheetId="48">'300'!$P$193:$P$195</definedName>
    <definedName name="OSRRefP22_5x_0" localSheetId="49">'300 &amp; 317'!$P$219:$P$221</definedName>
    <definedName name="OSRRefP22_5x_0" localSheetId="50">'301'!$P$46:$P$48</definedName>
    <definedName name="OSRRefP22_5x_0" localSheetId="51">'306'!$P$43</definedName>
    <definedName name="OSRRefP22_5x_0" localSheetId="53">'307'!$P$99</definedName>
    <definedName name="OSRRefP22_5x_0" localSheetId="55">'308'!$P$91</definedName>
    <definedName name="OSRRefP22_5x_0" localSheetId="66">'309'!$P$45</definedName>
    <definedName name="OSRRefP22_5x_0" localSheetId="65">'310'!$P$53:$P$54</definedName>
    <definedName name="OSRRefP22_5x_0" localSheetId="74">'310 &amp; 491'!$P$62:$P$64</definedName>
    <definedName name="OSRRefP22_5x_0" localSheetId="56">'311'!$P$90</definedName>
    <definedName name="OSRRefP22_5x_0" localSheetId="67">'313'!$P$49</definedName>
    <definedName name="OSRRefP22_5x_0" localSheetId="54">'314'!$P$77</definedName>
    <definedName name="OSRRefP22_5x_0" localSheetId="59">'315'!$P$106:$P$107</definedName>
    <definedName name="OSRRefP22_5x_0" localSheetId="61">'316'!$P$57</definedName>
    <definedName name="OSRRefP22_5x_0" localSheetId="64">'317'!$P$83:$P$84</definedName>
    <definedName name="OSRRefP22_5x_0" localSheetId="62">'320'!$P$49</definedName>
    <definedName name="OSRRefP22_5x_0" localSheetId="68">'321'!$P$45</definedName>
    <definedName name="OSRRefP22_5x_0" localSheetId="69">'322'!$P$45</definedName>
    <definedName name="OSRRefP22_5x_0" localSheetId="70">'325'!$P$45:$P$46</definedName>
    <definedName name="OSRRefP22_5x_0" localSheetId="71">'326'!$P$85:$P$86</definedName>
    <definedName name="OSRRefP22_5x_0" localSheetId="52">'330'!$P$108</definedName>
    <definedName name="OSRRefP22_5x_0" localSheetId="58">'331'!$P$114:$P$115</definedName>
    <definedName name="OSRRefP22_5x_0" localSheetId="60">'332'!$P$65</definedName>
    <definedName name="OSRRefP22_5x_0" localSheetId="76">'405'!$P$44:$P$45</definedName>
    <definedName name="OSRRefP22_5x_0" localSheetId="77">'406'!$P$46</definedName>
    <definedName name="OSRRefP22_5x_0" localSheetId="78">'411'!$P$45</definedName>
    <definedName name="OSRRefP22_5x_0" localSheetId="79">'412'!$P$46</definedName>
    <definedName name="OSRRefP22_5x_0" localSheetId="80">'413'!$P$45</definedName>
    <definedName name="OSRRefP22_5x_0" localSheetId="81">'414'!$P$46</definedName>
    <definedName name="OSRRefP22_5x_0" localSheetId="82">'415'!$P$46:$P$47</definedName>
    <definedName name="OSRRefP22_5x_0" localSheetId="83">'418'!$P$46:$P$47</definedName>
    <definedName name="OSRRefP22_5x_0" localSheetId="84">'420'!$P$44</definedName>
    <definedName name="OSRRefP22_5x_0" localSheetId="85">'423'!$P$39</definedName>
    <definedName name="OSRRefP22_5x_0" localSheetId="86">'424'!$P$39</definedName>
    <definedName name="OSRRefP22_5x_0" localSheetId="88">'425'!$P$50</definedName>
    <definedName name="OSRRefP22_5x_0" localSheetId="90">'430'!$P$38</definedName>
    <definedName name="OSRRefP22_5x_0" localSheetId="91">'433'!$P$48</definedName>
    <definedName name="OSRRefP22_5x_0" localSheetId="92">'435'!$P$39</definedName>
    <definedName name="OSRRefP22_5x_0" localSheetId="93">'444'!$P$48</definedName>
    <definedName name="OSRRefP22_5x_0" localSheetId="94">'450'!$P$48</definedName>
    <definedName name="OSRRefP22_5x_0" localSheetId="75">'491'!$P$56:$P$58</definedName>
    <definedName name="OSRRefP22_5x_0" localSheetId="89">'492'!$P$51</definedName>
    <definedName name="OSRRefP22_5x_0" localSheetId="96">'501'!$P$43:$P$44</definedName>
    <definedName name="OSRRefP22_5x_0" localSheetId="39">'Div 2'!$P$46</definedName>
    <definedName name="OSRRefP22_5x_0" localSheetId="47">'Div 3'!$P$198:$P$200</definedName>
    <definedName name="OSRRefP22_5x_0" localSheetId="73">'Div 4'!$P$56:$P$58</definedName>
    <definedName name="OSRRefP22_5x_0" localSheetId="95">'Div 5'!$P$43:$P$44</definedName>
    <definedName name="OSRRefP22_5x_0" localSheetId="63">'Div 6'!$P$83:$P$84</definedName>
    <definedName name="OSRRefP22_5x_0" localSheetId="2">Summary!$P$231:$P$234</definedName>
    <definedName name="OSRRefP22_6x_0" localSheetId="41">'201'!$P$41</definedName>
    <definedName name="OSRRefP22_6x_0" localSheetId="42">'202'!$P$42:$P$43</definedName>
    <definedName name="OSRRefP22_6x_0" localSheetId="43">'203'!$P$45</definedName>
    <definedName name="OSRRefP22_6x_0" localSheetId="44">'204'!$P$45:$P$47</definedName>
    <definedName name="OSRRefP22_6x_0" localSheetId="45">'205'!$P$40:$P$42</definedName>
    <definedName name="OSRRefP22_6x_0" localSheetId="46">'206'!$P$42:$P$43</definedName>
    <definedName name="OSRRefP22_6x_0" localSheetId="48">'300'!$P$197:$P$198</definedName>
    <definedName name="OSRRefP22_6x_0" localSheetId="49">'300 &amp; 317'!$P$223:$P$224</definedName>
    <definedName name="OSRRefP22_6x_0" localSheetId="50">'301'!$P$50:$P$51</definedName>
    <definedName name="OSRRefP22_6x_0" localSheetId="51">'306'!$P$45:$P$46</definedName>
    <definedName name="OSRRefP22_6x_0" localSheetId="53">'307'!$P$101</definedName>
    <definedName name="OSRRefP22_6x_0" localSheetId="55">'308'!$P$93:$P$94</definedName>
    <definedName name="OSRRefP22_6x_0" localSheetId="66">'309'!$P$47</definedName>
    <definedName name="OSRRefP22_6x_0" localSheetId="65">'310'!$P$56</definedName>
    <definedName name="OSRRefP22_6x_0" localSheetId="74">'310 &amp; 491'!$P$66</definedName>
    <definedName name="OSRRefP22_6x_0" localSheetId="56">'311'!$P$92:$P$93</definedName>
    <definedName name="OSRRefP22_6x_0" localSheetId="67">'313'!$P$51</definedName>
    <definedName name="OSRRefP22_6x_0" localSheetId="54">'314'!$P$79</definedName>
    <definedName name="OSRRefP22_6x_0" localSheetId="59">'315'!$P$109:$P$110</definedName>
    <definedName name="OSRRefP22_6x_0" localSheetId="61">'316'!$P$59:$P$60</definedName>
    <definedName name="OSRRefP22_6x_0" localSheetId="64">'317'!$P$86</definedName>
    <definedName name="OSRRefP22_6x_0" localSheetId="62">'320'!$P$51</definedName>
    <definedName name="OSRRefP22_6x_0" localSheetId="68">'321'!$P$47</definedName>
    <definedName name="OSRRefP22_6x_0" localSheetId="69">'322'!$P$47</definedName>
    <definedName name="OSRRefP22_6x_0" localSheetId="70">'325'!$P$48</definedName>
    <definedName name="OSRRefP22_6x_0" localSheetId="71">'326'!$P$88</definedName>
    <definedName name="OSRRefP22_6x_0" localSheetId="52">'330'!$P$110</definedName>
    <definedName name="OSRRefP22_6x_0" localSheetId="58">'331'!$P$117</definedName>
    <definedName name="OSRRefP22_6x_0" localSheetId="60">'332'!$P$67:$P$68</definedName>
    <definedName name="OSRRefP22_6x_0" localSheetId="76">'405'!$P$47</definedName>
    <definedName name="OSRRefP22_6x_0" localSheetId="77">'406'!$P$48</definedName>
    <definedName name="OSRRefP22_6x_0" localSheetId="78">'411'!$P$47</definedName>
    <definedName name="OSRRefP22_6x_0" localSheetId="79">'412'!$P$48</definedName>
    <definedName name="OSRRefP22_6x_0" localSheetId="80">'413'!$P$47</definedName>
    <definedName name="OSRRefP22_6x_0" localSheetId="81">'414'!$P$48</definedName>
    <definedName name="OSRRefP22_6x_0" localSheetId="82">'415'!$P$49</definedName>
    <definedName name="OSRRefP22_6x_0" localSheetId="83">'418'!$P$49</definedName>
    <definedName name="OSRRefP22_6x_0" localSheetId="84">'420'!$P$46:$P$47</definedName>
    <definedName name="OSRRefP22_6x_0" localSheetId="85">'423'!$P$41</definedName>
    <definedName name="OSRRefP22_6x_0" localSheetId="86">'424'!$P$41</definedName>
    <definedName name="OSRRefP22_6x_0" localSheetId="88">'425'!$P$52</definedName>
    <definedName name="OSRRefP22_6x_0" localSheetId="90">'430'!$P$40</definedName>
    <definedName name="OSRRefP22_6x_0" localSheetId="91">'433'!$P$50</definedName>
    <definedName name="OSRRefP22_6x_0" localSheetId="92">'435'!$P$41</definedName>
    <definedName name="OSRRefP22_6x_0" localSheetId="93">'444'!$P$50</definedName>
    <definedName name="OSRRefP22_6x_0" localSheetId="94">'450'!$P$50</definedName>
    <definedName name="OSRRefP22_6x_0" localSheetId="75">'491'!$P$60</definedName>
    <definedName name="OSRRefP22_6x_0" localSheetId="89">'492'!$P$53</definedName>
    <definedName name="OSRRefP22_6x_0" localSheetId="96">'501'!$P$46</definedName>
    <definedName name="OSRRefP22_6x_0" localSheetId="39">'Div 2'!$P$48</definedName>
    <definedName name="OSRRefP22_6x_0" localSheetId="47">'Div 3'!$P$202:$P$203</definedName>
    <definedName name="OSRRefP22_6x_0" localSheetId="73">'Div 4'!$P$60</definedName>
    <definedName name="OSRRefP22_6x_0" localSheetId="95">'Div 5'!$P$46</definedName>
    <definedName name="OSRRefP22_6x_0" localSheetId="63">'Div 6'!$P$86</definedName>
    <definedName name="OSRRefP22_6x_0" localSheetId="2">Summary!$P$236:$P$237</definedName>
    <definedName name="OSRRefP22_7x_0" localSheetId="41">'201'!$P$43</definedName>
    <definedName name="OSRRefP22_7x_0" localSheetId="42">'202'!$P$45</definedName>
    <definedName name="OSRRefP22_7x_0" localSheetId="43">'203'!$P$47</definedName>
    <definedName name="OSRRefP22_7x_0" localSheetId="44">'204'!$P$49</definedName>
    <definedName name="OSRRefP22_7x_0" localSheetId="45">'205'!$P$44</definedName>
    <definedName name="OSRRefP22_7x_0" localSheetId="46">'206'!$P$45</definedName>
    <definedName name="OSRRefP22_7x_0" localSheetId="48">'300'!$P$200</definedName>
    <definedName name="OSRRefP22_7x_0" localSheetId="49">'300 &amp; 317'!$P$226</definedName>
    <definedName name="OSRRefP22_7x_0" localSheetId="50">'301'!$P$53</definedName>
    <definedName name="OSRRefP22_7x_0" localSheetId="51">'306'!$P$48:$P$50</definedName>
    <definedName name="OSRRefP22_7x_0" localSheetId="53">'307'!$P$103:$P$104</definedName>
    <definedName name="OSRRefP22_7x_0" localSheetId="55">'308'!$P$96</definedName>
    <definedName name="OSRRefP22_7x_0" localSheetId="66">'309'!$P$49</definedName>
    <definedName name="OSRRefP22_7x_0" localSheetId="65">'310'!$P$58</definedName>
    <definedName name="OSRRefP22_7x_0" localSheetId="74">'310 &amp; 491'!$P$68</definedName>
    <definedName name="OSRRefP22_7x_0" localSheetId="56">'311'!$P$95</definedName>
    <definedName name="OSRRefP22_7x_0" localSheetId="67">'313'!$P$53</definedName>
    <definedName name="OSRRefP22_7x_0" localSheetId="54">'314'!$P$81</definedName>
    <definedName name="OSRRefP22_7x_0" localSheetId="59">'315'!$P$112</definedName>
    <definedName name="OSRRefP22_7x_0" localSheetId="61">'316'!$P$62</definedName>
    <definedName name="OSRRefP22_7x_0" localSheetId="64">'317'!$P$88</definedName>
    <definedName name="OSRRefP22_7x_0" localSheetId="62">'320'!$P$53:$P$54</definedName>
    <definedName name="OSRRefP22_7x_0" localSheetId="68">'321'!$P$49:$P$51</definedName>
    <definedName name="OSRRefP22_7x_0" localSheetId="69">'322'!$P$49</definedName>
    <definedName name="OSRRefP22_7x_0" localSheetId="70">'325'!$P$50</definedName>
    <definedName name="OSRRefP22_7x_0" localSheetId="71">'326'!$P$90</definedName>
    <definedName name="OSRRefP22_7x_0" localSheetId="52">'330'!$P$112</definedName>
    <definedName name="OSRRefP22_7x_0" localSheetId="58">'331'!$P$119:$P$120</definedName>
    <definedName name="OSRRefP22_7x_0" localSheetId="60">'332'!$P$70</definedName>
    <definedName name="OSRRefP22_7x_0" localSheetId="76">'405'!$P$49</definedName>
    <definedName name="OSRRefP22_7x_0" localSheetId="77">'406'!$P$50</definedName>
    <definedName name="OSRRefP22_7x_0" localSheetId="78">'411'!$P$49</definedName>
    <definedName name="OSRRefP22_7x_0" localSheetId="79">'412'!$P$50</definedName>
    <definedName name="OSRRefP22_7x_0" localSheetId="80">'413'!$P$49:$P$51</definedName>
    <definedName name="OSRRefP22_7x_0" localSheetId="81">'414'!$P$50</definedName>
    <definedName name="OSRRefP22_7x_0" localSheetId="82">'415'!$P$51</definedName>
    <definedName name="OSRRefP22_7x_0" localSheetId="83">'418'!$P$51</definedName>
    <definedName name="OSRRefP22_7x_0" localSheetId="84">'420'!$P$49</definedName>
    <definedName name="OSRRefP22_7x_0" localSheetId="86">'424'!$P$43</definedName>
    <definedName name="OSRRefP22_7x_0" localSheetId="88">'425'!$P$54</definedName>
    <definedName name="OSRRefP22_7x_0" localSheetId="90">'430'!$P$42</definedName>
    <definedName name="OSRRefP22_7x_0" localSheetId="91">'433'!$P$52</definedName>
    <definedName name="OSRRefP22_7x_0" localSheetId="92">'435'!$P$43:$P$45</definedName>
    <definedName name="OSRRefP22_7x_0" localSheetId="93">'444'!$P$52</definedName>
    <definedName name="OSRRefP22_7x_0" localSheetId="94">'450'!$P$52</definedName>
    <definedName name="OSRRefP22_7x_0" localSheetId="75">'491'!$P$62</definedName>
    <definedName name="OSRRefP22_7x_0" localSheetId="89">'492'!$P$55</definedName>
    <definedName name="OSRRefP22_7x_0" localSheetId="96">'501'!$P$48</definedName>
    <definedName name="OSRRefP22_7x_0" localSheetId="39">'Div 2'!$P$50</definedName>
    <definedName name="OSRRefP22_7x_0" localSheetId="47">'Div 3'!$P$205</definedName>
    <definedName name="OSRRefP22_7x_0" localSheetId="73">'Div 4'!$P$62</definedName>
    <definedName name="OSRRefP22_7x_0" localSheetId="95">'Div 5'!$P$48</definedName>
    <definedName name="OSRRefP22_7x_0" localSheetId="63">'Div 6'!$P$88</definedName>
    <definedName name="OSRRefP22_7x_0" localSheetId="2">Summary!$P$239</definedName>
    <definedName name="OSRRefP22_8x_0" localSheetId="41">'201'!$P$45</definedName>
    <definedName name="OSRRefP22_8x_0" localSheetId="42">'202'!$P$47</definedName>
    <definedName name="OSRRefP22_8x_0" localSheetId="43">'203'!$P$49</definedName>
    <definedName name="OSRRefP22_8x_0" localSheetId="44">'204'!$P$51:$P$52</definedName>
    <definedName name="OSRRefP22_8x_0" localSheetId="45">'205'!$P$46</definedName>
    <definedName name="OSRRefP22_8x_0" localSheetId="46">'206'!$P$47</definedName>
    <definedName name="OSRRefP22_8x_0" localSheetId="48">'300'!$P$202</definedName>
    <definedName name="OSRRefP22_8x_0" localSheetId="49">'300 &amp; 317'!$P$228</definedName>
    <definedName name="OSRRefP22_8x_0" localSheetId="50">'301'!$P$55</definedName>
    <definedName name="OSRRefP22_8x_0" localSheetId="51">'306'!$P$52</definedName>
    <definedName name="OSRRefP22_8x_0" localSheetId="53">'307'!$P$106:$P$107</definedName>
    <definedName name="OSRRefP22_8x_0" localSheetId="55">'308'!$P$98:$P$99</definedName>
    <definedName name="OSRRefP22_8x_0" localSheetId="66">'309'!$P$51</definedName>
    <definedName name="OSRRefP22_8x_0" localSheetId="65">'310'!$P$60</definedName>
    <definedName name="OSRRefP22_8x_0" localSheetId="74">'310 &amp; 491'!$P$70</definedName>
    <definedName name="OSRRefP22_8x_0" localSheetId="56">'311'!$P$97:$P$98</definedName>
    <definedName name="OSRRefP22_8x_0" localSheetId="67">'313'!$P$55:$P$57</definedName>
    <definedName name="OSRRefP22_8x_0" localSheetId="54">'314'!$P$83</definedName>
    <definedName name="OSRRefP22_8x_0" localSheetId="59">'315'!$P$114:$P$115</definedName>
    <definedName name="OSRRefP22_8x_0" localSheetId="61">'316'!$P$64:$P$66</definedName>
    <definedName name="OSRRefP22_8x_0" localSheetId="64">'317'!$P$90:$P$91</definedName>
    <definedName name="OSRRefP22_8x_0" localSheetId="62">'320'!$P$56</definedName>
    <definedName name="OSRRefP22_8x_0" localSheetId="68">'321'!$P$53</definedName>
    <definedName name="OSRRefP22_8x_0" localSheetId="69">'322'!$P$51:$P$52</definedName>
    <definedName name="OSRRefP22_8x_0" localSheetId="70">'325'!$P$52</definedName>
    <definedName name="OSRRefP22_8x_0" localSheetId="71">'326'!$P$92</definedName>
    <definedName name="OSRRefP22_8x_0" localSheetId="52">'330'!$P$114:$P$115</definedName>
    <definedName name="OSRRefP22_8x_0" localSheetId="58">'331'!$P$122</definedName>
    <definedName name="OSRRefP22_8x_0" localSheetId="60">'332'!$P$72</definedName>
    <definedName name="OSRRefP22_8x_0" localSheetId="76">'405'!$P$51</definedName>
    <definedName name="OSRRefP22_8x_0" localSheetId="77">'406'!$P$52</definedName>
    <definedName name="OSRRefP22_8x_0" localSheetId="78">'411'!$P$51</definedName>
    <definedName name="OSRRefP22_8x_0" localSheetId="79">'412'!$P$52</definedName>
    <definedName name="OSRRefP22_8x_0" localSheetId="80">'413'!$P$53:$P$55</definedName>
    <definedName name="OSRRefP22_8x_0" localSheetId="81">'414'!$P$52</definedName>
    <definedName name="OSRRefP22_8x_0" localSheetId="82">'415'!$P$53</definedName>
    <definedName name="OSRRefP22_8x_0" localSheetId="83">'418'!$P$53</definedName>
    <definedName name="OSRRefP22_8x_0" localSheetId="86">'424'!$P$45:$P$46</definedName>
    <definedName name="OSRRefP22_8x_0" localSheetId="88">'425'!$P$56</definedName>
    <definedName name="OSRRefP22_8x_0" localSheetId="91">'433'!$P$54</definedName>
    <definedName name="OSRRefP22_8x_0" localSheetId="92">'435'!$P$47</definedName>
    <definedName name="OSRRefP22_8x_0" localSheetId="93">'444'!$P$54</definedName>
    <definedName name="OSRRefP22_8x_0" localSheetId="94">'450'!$P$54</definedName>
    <definedName name="OSRRefP22_8x_0" localSheetId="75">'491'!$P$64</definedName>
    <definedName name="OSRRefP22_8x_0" localSheetId="89">'492'!$P$57</definedName>
    <definedName name="OSRRefP22_8x_0" localSheetId="96">'501'!$P$50</definedName>
    <definedName name="OSRRefP22_8x_0" localSheetId="39">'Div 2'!$P$52</definedName>
    <definedName name="OSRRefP22_8x_0" localSheetId="47">'Div 3'!$P$207</definedName>
    <definedName name="OSRRefP22_8x_0" localSheetId="73">'Div 4'!$P$64</definedName>
    <definedName name="OSRRefP22_8x_0" localSheetId="95">'Div 5'!$P$50</definedName>
    <definedName name="OSRRefP22_8x_0" localSheetId="63">'Div 6'!$P$90:$P$91</definedName>
    <definedName name="OSRRefP22_8x_0" localSheetId="2">Summary!$P$241</definedName>
    <definedName name="OSRRefP22_9x_0" localSheetId="41">'201'!$P$47:$P$49</definedName>
    <definedName name="OSRRefP22_9x_0" localSheetId="42">'202'!$P$49:$P$51</definedName>
    <definedName name="OSRRefP22_9x_0" localSheetId="43">'203'!$P$51:$P$53</definedName>
    <definedName name="OSRRefP22_9x_0" localSheetId="44">'204'!$P$54</definedName>
    <definedName name="OSRRefP22_9x_0" localSheetId="48">'300'!$P$204</definedName>
    <definedName name="OSRRefP22_9x_0" localSheetId="49">'300 &amp; 317'!$P$230</definedName>
    <definedName name="OSRRefP22_9x_0" localSheetId="50">'301'!$P$57</definedName>
    <definedName name="OSRRefP22_9x_0" localSheetId="51">'306'!$P$54</definedName>
    <definedName name="OSRRefP22_9x_0" localSheetId="53">'307'!$P$109:$P$112</definedName>
    <definedName name="OSRRefP22_9x_0" localSheetId="55">'308'!$P$101:$P$102</definedName>
    <definedName name="OSRRefP22_9x_0" localSheetId="66">'309'!$P$53:$P$54</definedName>
    <definedName name="OSRRefP22_9x_0" localSheetId="65">'310'!$P$62</definedName>
    <definedName name="OSRRefP22_9x_0" localSheetId="74">'310 &amp; 491'!$P$72</definedName>
    <definedName name="OSRRefP22_9x_0" localSheetId="56">'311'!$P$100:$P$101</definedName>
    <definedName name="OSRRefP22_9x_0" localSheetId="67">'313'!$P$59</definedName>
    <definedName name="OSRRefP22_9x_0" localSheetId="59">'315'!$P$117:$P$118</definedName>
    <definedName name="OSRRefP22_9x_0" localSheetId="61">'316'!$P$68</definedName>
    <definedName name="OSRRefP22_9x_0" localSheetId="64">'317'!$P$93</definedName>
    <definedName name="OSRRefP22_9x_0" localSheetId="68">'321'!$P$55:$P$57</definedName>
    <definedName name="OSRRefP22_9x_0" localSheetId="69">'322'!$P$54:$P$56</definedName>
    <definedName name="OSRRefP22_9x_0" localSheetId="70">'325'!$P$54</definedName>
    <definedName name="OSRRefP22_9x_0" localSheetId="71">'326'!$P$94</definedName>
    <definedName name="OSRRefP22_9x_0" localSheetId="52">'330'!$P$117:$P$118</definedName>
    <definedName name="OSRRefP22_9x_0" localSheetId="58">'331'!$P$124</definedName>
    <definedName name="OSRRefP22_9x_0" localSheetId="60">'332'!$P$74:$P$76</definedName>
    <definedName name="OSRRefP22_9x_0" localSheetId="76">'405'!$P$53</definedName>
    <definedName name="OSRRefP22_9x_0" localSheetId="77">'406'!$P$54:$P$56</definedName>
    <definedName name="OSRRefP22_9x_0" localSheetId="78">'411'!$P$53</definedName>
    <definedName name="OSRRefP22_9x_0" localSheetId="79">'412'!$P$54:$P$56</definedName>
    <definedName name="OSRRefP22_9x_0" localSheetId="80">'413'!$P$57:$P$62</definedName>
    <definedName name="OSRRefP22_9x_0" localSheetId="81">'414'!$P$54:$P$55</definedName>
    <definedName name="OSRRefP22_9x_0" localSheetId="82">'415'!$P$55</definedName>
    <definedName name="OSRRefP22_9x_0" localSheetId="83">'418'!$P$55</definedName>
    <definedName name="OSRRefP22_9x_0" localSheetId="86">'424'!$P$48</definedName>
    <definedName name="OSRRefP22_9x_0" localSheetId="88">'425'!$P$58:$P$60</definedName>
    <definedName name="OSRRefP22_9x_0" localSheetId="91">'433'!$P$56</definedName>
    <definedName name="OSRRefP22_9x_0" localSheetId="93">'444'!$P$56</definedName>
    <definedName name="OSRRefP22_9x_0" localSheetId="94">'450'!$P$56</definedName>
    <definedName name="OSRRefP22_9x_0" localSheetId="75">'491'!$P$66</definedName>
    <definedName name="OSRRefP22_9x_0" localSheetId="89">'492'!$P$59</definedName>
    <definedName name="OSRRefP22_9x_0" localSheetId="96">'501'!$P$52:$P$54</definedName>
    <definedName name="OSRRefP22_9x_0" localSheetId="39">'Div 2'!$P$54:$P$55</definedName>
    <definedName name="OSRRefP22_9x_0" localSheetId="47">'Div 3'!$P$209</definedName>
    <definedName name="OSRRefP22_9x_0" localSheetId="73">'Div 4'!$P$66</definedName>
    <definedName name="OSRRefP22_9x_0" localSheetId="95">'Div 5'!$P$52:$P$54</definedName>
    <definedName name="OSRRefP22_9x_0" localSheetId="63">'Div 6'!$P$93</definedName>
    <definedName name="OSRRefP22_9x_0" localSheetId="2">Summary!$P$243</definedName>
    <definedName name="OSRRefP22x_0" localSheetId="40">'200'!$P$20,'200'!$P$22,'200'!$P$24,'200'!$P$26,'200'!$P$28:$P$29</definedName>
    <definedName name="OSRRefP22x_0" localSheetId="41">'201'!$P$20:$P$27,'201'!$P$29:$P$31,'201'!$P$33,'201'!$P$35,'201'!$P$37,'201'!$P$39,'201'!$P$41,'201'!$P$43,'201'!$P$45,'201'!$P$47:$P$49,'201'!$P$51:$P$53,'201'!$P$55,'201'!$P$57:$P$60,'201'!$P$62,'201'!$P$64,'201'!$P$66</definedName>
    <definedName name="OSRRefP22x_0" localSheetId="42">'202'!$P$20:$P$27,'202'!$P$29:$P$32,'202'!$P$34,'202'!$P$36,'202'!$P$38,'202'!$P$40,'202'!$P$42:$P$43,'202'!$P$45,'202'!$P$47,'202'!$P$49:$P$51,'202'!$P$53,'202'!$P$55,'202'!$P$57:$P$59,'202'!$P$61,'202'!$P$63,'202'!$P$65</definedName>
    <definedName name="OSRRefP22x_0" localSheetId="43">'203'!$P$20:$P$29,'203'!$P$31:$P$35,'203'!$P$37,'203'!$P$39,'203'!$P$41,'203'!$P$43,'203'!$P$45,'203'!$P$47,'203'!$P$49,'203'!$P$51:$P$53,'203'!$P$55:$P$56,'203'!$P$58,'203'!$P$60:$P$63,'203'!$P$65,'203'!$P$67,'203'!$P$69</definedName>
    <definedName name="OSRRefP22x_0" localSheetId="44">'204'!$P$20:$P$29,'204'!$P$31:$P$35,'204'!$P$37,'204'!$P$39,'204'!$P$41,'204'!$P$43,'204'!$P$45:$P$47,'204'!$P$49,'204'!$P$51:$P$52,'204'!$P$54,'204'!$P$56:$P$57</definedName>
    <definedName name="OSRRefP22x_0" localSheetId="45">'205'!$P$20:$P$27,'205'!$P$29,'205'!$P$31,'205'!$P$33,'205'!$P$35:$P$36,'205'!$P$38,'205'!$P$40:$P$42,'205'!$P$44,'205'!$P$46</definedName>
    <definedName name="OSRRefP22x_0" localSheetId="46">'206'!$P$20:$P$27,'206'!$P$29:$P$32,'206'!$P$34,'206'!$P$36,'206'!$P$38,'206'!$P$40,'206'!$P$42:$P$43,'206'!$P$45,'206'!$P$47</definedName>
    <definedName name="OSRRefP22x_0" localSheetId="48">'300'!$P$167:$P$176,'300'!$P$178:$P$184,'300'!$P$186,'300'!$P$188:$P$189,'300'!$P$191,'300'!$P$193:$P$195,'300'!$P$197:$P$198,'300'!$P$200,'300'!$P$202,'300'!$P$204,'300'!$P$206:$P$207,'300'!$P$209,'300'!$P$211,'300'!$P$213:$P$215,'300'!$P$217,'300'!$P$219,'300'!$P$221:$P$224,'300'!$P$226:$P$228,'300'!$P$230:$P$233,'300'!$P$235:$P$236,'300'!$P$238:$P$244,'300'!$P$246:$P$247,'300'!$P$249,'300'!$P$251:$P$253,'300'!$P$255</definedName>
    <definedName name="OSRRefP22x_0" localSheetId="49">'300 &amp; 317'!$P$193:$P$202,'300 &amp; 317'!$P$204:$P$210,'300 &amp; 317'!$P$212,'300 &amp; 317'!$P$214:$P$215,'300 &amp; 317'!$P$217,'300 &amp; 317'!$P$219:$P$221,'300 &amp; 317'!$P$223:$P$224,'300 &amp; 317'!$P$226,'300 &amp; 317'!$P$228,'300 &amp; 317'!$P$230,'300 &amp; 317'!$P$232:$P$233,'300 &amp; 317'!$P$235,'300 &amp; 317'!$P$237,'300 &amp; 317'!$P$239:$P$241,'300 &amp; 317'!$P$243,'300 &amp; 317'!$P$245,'300 &amp; 317'!$P$247:$P$250,'300 &amp; 317'!$P$252:$P$254,'300 &amp; 317'!$P$256:$P$259,'300 &amp; 317'!$P$261:$P$262,'300 &amp; 317'!$P$264:$P$270,'300 &amp; 317'!$P$272:$P$273,'300 &amp; 317'!$P$275,'300 &amp; 317'!$P$277:$P$279,'300 &amp; 317'!$P$281</definedName>
    <definedName name="OSRRefP22x_0" localSheetId="50">'301'!$P$20:$P$29,'301'!$P$31:$P$37,'301'!$P$39,'301'!$P$41:$P$42,'301'!$P$44,'301'!$P$46:$P$48,'301'!$P$50:$P$51,'301'!$P$53,'301'!$P$55,'301'!$P$57,'301'!$P$59,'301'!$P$61,'301'!$P$63,'301'!$P$65,'301'!$P$67,'301'!$P$69:$P$72,'301'!$P$74:$P$76,'301'!$P$78:$P$79,'301'!$P$81:$P$86,'301'!$P$88,'301'!$P$90,'301'!$P$92:$P$94,'301'!$P$96</definedName>
    <definedName name="OSRRefP22x_0" localSheetId="51">'306'!$P$20:$P$28,'306'!$P$30:$P$35,'306'!$P$37,'306'!$P$39,'306'!$P$41,'306'!$P$43,'306'!$P$45:$P$46,'306'!$P$48:$P$50,'306'!$P$52,'306'!$P$54</definedName>
    <definedName name="OSRRefP22x_0" localSheetId="53">'307'!$P$78:$P$85,'307'!$P$87:$P$90,'307'!$P$92,'307'!$P$94,'307'!$P$96:$P$97,'307'!$P$99,'307'!$P$101,'307'!$P$103:$P$104,'307'!$P$106:$P$107,'307'!$P$109:$P$112,'307'!$P$114,'307'!$P$116</definedName>
    <definedName name="OSRRefP22x_0" localSheetId="55">'308'!$P$66:$P$74,'308'!$P$76:$P$82,'308'!$P$84,'308'!$P$86:$P$87,'308'!$P$89,'308'!$P$91,'308'!$P$93:$P$94,'308'!$P$96,'308'!$P$98:$P$99,'308'!$P$101:$P$102,'308'!$P$104:$P$105,'308'!$P$107:$P$109,'308'!$P$111:$P$112,'308'!$P$114,'308'!$P$116</definedName>
    <definedName name="OSRRefP22x_0" localSheetId="66">'309'!$P$24:$P$31,'309'!$P$33:$P$37,'309'!$P$39,'309'!$P$41,'309'!$P$43,'309'!$P$45,'309'!$P$47,'309'!$P$49,'309'!$P$51,'309'!$P$53:$P$54,'309'!$P$56:$P$58,'309'!$P$60:$P$62,'309'!$P$64</definedName>
    <definedName name="OSRRefP22x_0" localSheetId="65">'310'!$P$31:$P$38,'310'!$P$40:$P$45,'310'!$P$47,'310'!$P$49,'310'!$P$51,'310'!$P$53:$P$54,'310'!$P$56,'310'!$P$58,'310'!$P$60,'310'!$P$62,'310'!$P$64,'310'!$P$66,'310'!$P$68,'310'!$P$70,'310'!$P$72:$P$74,'310'!$P$76,'310'!$P$78:$P$81,'310'!$P$83,'310'!$P$85:$P$93,'310'!$P$95,'310'!$P$97,'310'!$P$99</definedName>
    <definedName name="OSRRefP22x_0" localSheetId="74">'310 &amp; 491'!$P$38:$P$46,'310 &amp; 491'!$P$48:$P$54,'310 &amp; 491'!$P$56,'310 &amp; 491'!$P$58,'310 &amp; 491'!$P$60,'310 &amp; 491'!$P$62:$P$64,'310 &amp; 491'!$P$66,'310 &amp; 491'!$P$68,'310 &amp; 491'!$P$70,'310 &amp; 491'!$P$72,'310 &amp; 491'!$P$74:$P$75,'310 &amp; 491'!$P$77:$P$78,'310 &amp; 491'!$P$80,'310 &amp; 491'!$P$82,'310 &amp; 491'!$P$84,'310 &amp; 491'!$P$86,'310 &amp; 491'!$P$88:$P$91,'310 &amp; 491'!$P$93:$P$94,'310 &amp; 491'!$P$96:$P$100,'310 &amp; 491'!$P$102:$P$103,'310 &amp; 491'!$P$105:$P$114,'310 &amp; 491'!$P$116,'310 &amp; 491'!$P$118,'310 &amp; 491'!$P$120:$P$122,'310 &amp; 491'!$P$124</definedName>
    <definedName name="OSRRefP22x_0" localSheetId="56">'311'!$P$65:$P$73,'311'!$P$75:$P$81,'311'!$P$83,'311'!$P$85:$P$86,'311'!$P$88,'311'!$P$90,'311'!$P$92:$P$93,'311'!$P$95,'311'!$P$97:$P$98,'311'!$P$100:$P$101,'311'!$P$103:$P$104,'311'!$P$106:$P$108,'311'!$P$110:$P$111,'311'!$P$113,'311'!$P$115</definedName>
    <definedName name="OSRRefP22x_0" localSheetId="67">'313'!$P$28:$P$35,'313'!$P$37:$P$41,'313'!$P$43,'313'!$P$45,'313'!$P$47,'313'!$P$49,'313'!$P$51,'313'!$P$53,'313'!$P$55:$P$57,'313'!$P$59,'313'!$P$61:$P$66,'313'!$P$68,'313'!$P$70</definedName>
    <definedName name="OSRRefP22x_0" localSheetId="54">'314'!$P$56:$P$64,'314'!$P$66:$P$68,'314'!$P$70,'314'!$P$72:$P$73,'314'!$P$75,'314'!$P$77,'314'!$P$79,'314'!$P$81,'314'!$P$83</definedName>
    <definedName name="OSRRefP22x_0" localSheetId="59">'315'!$P$83:$P$90,'315'!$P$92:$P$97,'315'!$P$99,'315'!$P$101:$P$102,'315'!$P$104,'315'!$P$106:$P$107,'315'!$P$109:$P$110,'315'!$P$112,'315'!$P$114:$P$115,'315'!$P$117:$P$118,'315'!$P$120:$P$124,'315'!$P$126,'315'!$P$128,'315'!$P$130:$P$131</definedName>
    <definedName name="OSRRefP22x_0" localSheetId="61">'316'!$P$37:$P$44,'316'!$P$46:$P$49,'316'!$P$51,'316'!$P$53,'316'!$P$55,'316'!$P$57,'316'!$P$59:$P$60,'316'!$P$62,'316'!$P$64:$P$66,'316'!$P$68,'316'!$P$70:$P$75,'316'!$P$77,'316'!$P$79,'316'!$P$81</definedName>
    <definedName name="OSRRefP22x_0" localSheetId="64">'317'!$P$61:$P$69,'317'!$P$71:$P$75,'317'!$P$77,'317'!$P$79,'317'!$P$81,'317'!$P$83:$P$84,'317'!$P$86,'317'!$P$88,'317'!$P$90:$P$91,'317'!$P$93,'317'!$P$95:$P$99,'317'!$P$101,'317'!$P$103,'317'!$P$105</definedName>
    <definedName name="OSRRefP22x_0" localSheetId="62">'320'!$P$28:$P$34,'320'!$P$36:$P$40,'320'!$P$42,'320'!$P$44,'320'!$P$46:$P$47,'320'!$P$49,'320'!$P$51,'320'!$P$53:$P$54,'320'!$P$56</definedName>
    <definedName name="OSRRefP22x_0" localSheetId="68">'321'!$P$24:$P$31,'321'!$P$33:$P$37,'321'!$P$39,'321'!$P$41,'321'!$P$43,'321'!$P$45,'321'!$P$47,'321'!$P$49:$P$51,'321'!$P$53,'321'!$P$55:$P$57,'321'!$P$59:$P$63,'321'!$P$65,'321'!$P$67</definedName>
    <definedName name="OSRRefP22x_0" localSheetId="69">'322'!$P$24:$P$31,'322'!$P$33:$P$37,'322'!$P$39,'322'!$P$41,'322'!$P$43,'322'!$P$45,'322'!$P$47,'322'!$P$49,'322'!$P$51:$P$52,'322'!$P$54:$P$56,'322'!$P$58:$P$64,'322'!$P$66,'322'!$P$68</definedName>
    <definedName name="OSRRefP22x_0" localSheetId="70">'325'!$P$24:$P$31,'325'!$P$33:$P$37,'325'!$P$39,'325'!$P$41,'325'!$P$43,'325'!$P$45:$P$46,'325'!$P$48,'325'!$P$50,'325'!$P$52,'325'!$P$54,'325'!$P$56,'325'!$P$58:$P$60,'325'!$P$62:$P$64,'325'!$P$66,'325'!$P$68:$P$72,'325'!$P$74,'325'!$P$76,'325'!$P$78</definedName>
    <definedName name="OSRRefP22x_0" localSheetId="71">'326'!$P$63:$P$70,'326'!$P$72:$P$77,'326'!$P$79,'326'!$P$81,'326'!$P$83,'326'!$P$85:$P$86,'326'!$P$88,'326'!$P$90,'326'!$P$92,'326'!$P$94,'326'!$P$96,'326'!$P$98,'326'!$P$100:$P$102,'326'!$P$104:$P$106,'326'!$P$108:$P$109,'326'!$P$111:$P$116,'326'!$P$118,'326'!$P$120,'326'!$P$122,'326'!$P$124</definedName>
    <definedName name="OSRRefP22x_0" localSheetId="72">'327'!$P$22,'327'!$P$24,'327'!$P$26</definedName>
    <definedName name="OSRRefP22x_0" localSheetId="52">'330'!$P$85:$P$93,'330'!$P$95:$P$99,'330'!$P$101,'330'!$P$103,'330'!$P$105:$P$106,'330'!$P$108,'330'!$P$110,'330'!$P$112,'330'!$P$114:$P$115,'330'!$P$117:$P$118,'330'!$P$120,'330'!$P$122:$P$125,'330'!$P$127,'330'!$P$129,'330'!$P$131</definedName>
    <definedName name="OSRRefP22x_0" localSheetId="58">'331'!$P$92:$P$99,'331'!$P$101:$P$106,'331'!$P$108,'331'!$P$110,'331'!$P$112,'331'!$P$114:$P$115,'331'!$P$117,'331'!$P$119:$P$120,'331'!$P$122,'331'!$P$124,'331'!$P$126:$P$127,'331'!$P$129,'331'!$P$131,'331'!$P$133:$P$135,'331'!$P$137:$P$138,'331'!$P$140:$P$142,'331'!$P$144:$P$145,'331'!$P$147:$P$152,'331'!$P$154,'331'!$P$156,'331'!$P$158:$P$159,'331'!$P$161</definedName>
    <definedName name="OSRRefP22x_0" localSheetId="60">'332'!$P$44:$P$51,'332'!$P$53:$P$57,'332'!$P$59,'332'!$P$61,'332'!$P$63,'332'!$P$65,'332'!$P$67:$P$68,'332'!$P$70,'332'!$P$72,'332'!$P$74:$P$76,'332'!$P$78,'332'!$P$80:$P$85,'332'!$P$87,'332'!$P$89,'332'!$P$91</definedName>
    <definedName name="OSRRefP22x_0" localSheetId="76">'405'!$P$24:$P$31,'405'!$P$33:$P$36,'405'!$P$38,'405'!$P$40,'405'!$P$42,'405'!$P$44:$P$45,'405'!$P$47,'405'!$P$49,'405'!$P$51,'405'!$P$53,'405'!$P$55:$P$56,'405'!$P$58,'405'!$P$60:$P$62,'405'!$P$64:$P$65,'405'!$P$67:$P$73,'405'!$P$75,'405'!$P$77,'405'!$P$79</definedName>
    <definedName name="OSRRefP22x_0" localSheetId="77">'406'!$P$24:$P$31,'406'!$P$33:$P$38,'406'!$P$40,'406'!$P$42,'406'!$P$44,'406'!$P$46,'406'!$P$48,'406'!$P$50,'406'!$P$52,'406'!$P$54:$P$56,'406'!$P$58:$P$59,'406'!$P$61:$P$66,'406'!$P$68,'406'!$P$70,'406'!$P$72</definedName>
    <definedName name="OSRRefP22x_0" localSheetId="78">'411'!$P$20:$P$28,'411'!$P$30:$P$35,'411'!$P$37,'411'!$P$39,'411'!$P$41:$P$43,'411'!$P$45,'411'!$P$47,'411'!$P$49,'411'!$P$51,'411'!$P$53,'411'!$P$55,'411'!$P$57,'411'!$P$59:$P$62,'411'!$P$64:$P$68,'411'!$P$70:$P$71,'411'!$P$73:$P$81,'411'!$P$83,'411'!$P$85,'411'!$P$87:$P$89,'411'!$P$91</definedName>
    <definedName name="OSRRefP22x_0" localSheetId="79">'412'!$P$24:$P$31,'412'!$P$33:$P$38,'412'!$P$40,'412'!$P$42,'412'!$P$44,'412'!$P$46,'412'!$P$48,'412'!$P$50,'412'!$P$52,'412'!$P$54:$P$56,'412'!$P$58:$P$60,'412'!$P$62:$P$67,'412'!$P$69,'412'!$P$71</definedName>
    <definedName name="OSRRefP22x_0" localSheetId="80">'413'!$P$24:$P$31,'413'!$P$33:$P$37,'413'!$P$39,'413'!$P$41,'413'!$P$43,'413'!$P$45,'413'!$P$47,'413'!$P$49:$P$51,'413'!$P$53:$P$55,'413'!$P$57:$P$62,'413'!$P$64,'413'!$P$66</definedName>
    <definedName name="OSRRefP22x_0" localSheetId="81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2">'415'!$P$24:$P$31,'415'!$P$33:$P$38,'415'!$P$40,'415'!$P$42,'415'!$P$44,'415'!$P$46:$P$47,'415'!$P$49,'415'!$P$51,'415'!$P$53,'415'!$P$55,'415'!$P$57,'415'!$P$59:$P$62,'415'!$P$64:$P$68,'415'!$P$70:$P$71,'415'!$P$73:$P$81,'415'!$P$83,'415'!$P$85,'415'!$P$87</definedName>
    <definedName name="OSRRefP22x_0" localSheetId="83">'418'!$P$24:$P$31,'418'!$P$33:$P$38,'418'!$P$40,'418'!$P$42,'418'!$P$44,'418'!$P$46:$P$47,'418'!$P$49,'418'!$P$51,'418'!$P$53,'418'!$P$55,'418'!$P$57:$P$58,'418'!$P$60:$P$62,'418'!$P$64:$P$66,'418'!$P$68:$P$69,'418'!$P$71:$P$78,'418'!$P$80,'418'!$P$82</definedName>
    <definedName name="OSRRefP22x_0" localSheetId="84">'420'!$P$24:$P$31,'420'!$P$33:$P$36,'420'!$P$38,'420'!$P$40,'420'!$P$42,'420'!$P$44,'420'!$P$46:$P$47,'420'!$P$49</definedName>
    <definedName name="OSRRefP22x_0" localSheetId="85">'423'!$P$21:$P$28,'423'!$P$30:$P$31,'423'!$P$33,'423'!$P$35,'423'!$P$37,'423'!$P$39,'423'!$P$41</definedName>
    <definedName name="OSRRefP22x_0" localSheetId="86">'424'!$P$24:$P$25,'424'!$P$27:$P$31,'424'!$P$33,'424'!$P$35,'424'!$P$37,'424'!$P$39,'424'!$P$41,'424'!$P$43,'424'!$P$45:$P$46,'424'!$P$48,'424'!$P$50,'424'!$P$52:$P$56,'424'!$P$58</definedName>
    <definedName name="OSRRefP22x_0" localSheetId="88">'425'!$P$27:$P$35,'425'!$P$37:$P$42,'425'!$P$44,'425'!$P$46,'425'!$P$48,'425'!$P$50,'425'!$P$52,'425'!$P$54,'425'!$P$56,'425'!$P$58:$P$60,'425'!$P$62,'425'!$P$64:$P$66,'425'!$P$68:$P$74,'425'!$P$76,'425'!$P$78</definedName>
    <definedName name="OSRRefP22x_0" localSheetId="90">'430'!$P$20:$P$27,'430'!$P$29,'430'!$P$31,'430'!$P$33,'430'!$P$35:$P$36,'430'!$P$38,'430'!$P$40,'430'!$P$42</definedName>
    <definedName name="OSRRefP22x_0" localSheetId="91">'433'!$P$25:$P$33,'433'!$P$35:$P$40,'433'!$P$42,'433'!$P$44,'433'!$P$46,'433'!$P$48,'433'!$P$50,'433'!$P$52,'433'!$P$54,'433'!$P$56,'433'!$P$58,'433'!$P$60:$P$62,'433'!$P$64:$P$66,'433'!$P$68:$P$75,'433'!$P$77,'433'!$P$79,'433'!$P$81</definedName>
    <definedName name="OSRRefP22x_0" localSheetId="92">'435'!$P$25:$P$27,'435'!$P$29:$P$31,'435'!$P$33,'435'!$P$35,'435'!$P$37,'435'!$P$39,'435'!$P$41,'435'!$P$43:$P$45,'435'!$P$47</definedName>
    <definedName name="OSRRefP22x_0" localSheetId="93">'444'!$P$25:$P$33,'444'!$P$35:$P$40,'444'!$P$42,'444'!$P$44,'444'!$P$46,'444'!$P$48,'444'!$P$50,'444'!$P$52,'444'!$P$54,'444'!$P$56,'444'!$P$58,'444'!$P$60:$P$62,'444'!$P$64:$P$67,'444'!$P$69,'444'!$P$71:$P$79,'444'!$P$81,'444'!$P$83,'444'!$P$85</definedName>
    <definedName name="OSRRefP22x_0" localSheetId="94">'450'!$P$25:$P$33,'450'!$P$35:$P$40,'450'!$P$42,'450'!$P$44,'450'!$P$46,'450'!$P$48,'450'!$P$50,'450'!$P$52,'450'!$P$54,'450'!$P$56,'450'!$P$58,'450'!$P$60,'450'!$P$62:$P$63,'450'!$P$65:$P$67,'450'!$P$69:$P$74,'450'!$P$76,'450'!$P$78,'450'!$P$80</definedName>
    <definedName name="OSRRefP22x_0" localSheetId="87">'455'!$P$20:$P$26,'455'!$P$28:$P$29</definedName>
    <definedName name="OSRRefP22x_0" localSheetId="75">'491'!$P$32:$P$40,'491'!$P$42:$P$48,'491'!$P$50,'491'!$P$52,'491'!$P$54,'491'!$P$56:$P$58,'491'!$P$60,'491'!$P$62,'491'!$P$64,'491'!$P$66,'491'!$P$68,'491'!$P$70:$P$71,'491'!$P$73,'491'!$P$75,'491'!$P$77,'491'!$P$79,'491'!$P$81:$P$84,'491'!$P$86:$P$87,'491'!$P$89:$P$93,'491'!$P$95:$P$96,'491'!$P$98:$P$107,'491'!$P$109,'491'!$P$111,'491'!$P$113:$P$115,'491'!$P$117</definedName>
    <definedName name="OSRRefP22x_0" localSheetId="89">'492'!$P$27:$P$35,'492'!$P$37:$P$43,'492'!$P$45,'492'!$P$47,'492'!$P$49,'492'!$P$51,'492'!$P$53,'492'!$P$55,'492'!$P$57,'492'!$P$59,'492'!$P$61,'492'!$P$63,'492'!$P$65:$P$67,'492'!$P$69:$P$72,'492'!$P$74,'492'!$P$76:$P$84,'492'!$P$86,'492'!$P$88,'492'!$P$90</definedName>
    <definedName name="OSRRefP22x_0" localSheetId="96">'501'!$P$21:$P$29,'501'!$P$31:$P$35,'501'!$P$37,'501'!$P$39,'501'!$P$41,'501'!$P$43:$P$44,'501'!$P$46,'501'!$P$48,'501'!$P$50,'501'!$P$52:$P$54,'501'!$P$56,'501'!$P$58:$P$60,'501'!$P$62,'501'!$P$64</definedName>
    <definedName name="OSRRefP22x_0" localSheetId="39">'Div 2'!$P$20:$P$30,'Div 2'!$P$32:$P$38,'Div 2'!$P$40,'Div 2'!$P$42,'Div 2'!$P$44,'Div 2'!$P$46,'Div 2'!$P$48,'Div 2'!$P$50,'Div 2'!$P$52,'Div 2'!$P$54:$P$55,'Div 2'!$P$57,'Div 2'!$P$59,'Div 2'!$P$61:$P$64,'Div 2'!$P$66:$P$68,'Div 2'!$P$70:$P$71,'Div 2'!$P$73,'Div 2'!$P$75:$P$79,'Div 2'!$P$81:$P$82,'Div 2'!$P$84,'Div 2'!$P$86:$P$87</definedName>
    <definedName name="OSRRefP22x_0" localSheetId="47">'Div 3'!$P$172:$P$181,'Div 3'!$P$183:$P$189,'Div 3'!$P$191,'Div 3'!$P$193:$P$194,'Div 3'!$P$196,'Div 3'!$P$198:$P$200,'Div 3'!$P$202:$P$203,'Div 3'!$P$205,'Div 3'!$P$207,'Div 3'!$P$209,'Div 3'!$P$211:$P$212,'Div 3'!$P$214,'Div 3'!$P$216,'Div 3'!$P$218,'Div 3'!$P$220:$P$222,'Div 3'!$P$224,'Div 3'!$P$226,'Div 3'!$P$228:$P$231,'Div 3'!$P$233:$P$235,'Div 3'!$P$237:$P$241,'Div 3'!$P$243:$P$244,'Div 3'!$P$246:$P$254,'Div 3'!$P$256:$P$257,'Div 3'!$P$259,'Div 3'!$P$261:$P$263,'Div 3'!$P$265</definedName>
    <definedName name="OSRRefP22x_0" localSheetId="73">'Div 4'!$P$32:$P$40,'Div 4'!$P$42:$P$48,'Div 4'!$P$50,'Div 4'!$P$52,'Div 4'!$P$54,'Div 4'!$P$56:$P$58,'Div 4'!$P$60,'Div 4'!$P$62,'Div 4'!$P$64,'Div 4'!$P$66,'Div 4'!$P$68,'Div 4'!$P$70:$P$71,'Div 4'!$P$73,'Div 4'!$P$75,'Div 4'!$P$77,'Div 4'!$P$79,'Div 4'!$P$81,'Div 4'!$P$83:$P$86,'Div 4'!$P$88:$P$89,'Div 4'!$P$91:$P$95,'Div 4'!$P$97:$P$98,'Div 4'!$P$100:$P$109,'Div 4'!$P$111,'Div 4'!$P$113,'Div 4'!$P$115:$P$117,'Div 4'!$P$119</definedName>
    <definedName name="OSRRefP22x_0" localSheetId="95">'Div 5'!$P$21:$P$29,'Div 5'!$P$31:$P$35,'Div 5'!$P$37,'Div 5'!$P$39,'Div 5'!$P$41,'Div 5'!$P$43:$P$44,'Div 5'!$P$46,'Div 5'!$P$48,'Div 5'!$P$50,'Div 5'!$P$52:$P$54,'Div 5'!$P$56,'Div 5'!$P$58:$P$60,'Div 5'!$P$62,'Div 5'!$P$64</definedName>
    <definedName name="OSRRefP22x_0" localSheetId="63">'Div 6'!$P$61:$P$69,'Div 6'!$P$71:$P$75,'Div 6'!$P$77,'Div 6'!$P$79,'Div 6'!$P$81,'Div 6'!$P$83:$P$84,'Div 6'!$P$86,'Div 6'!$P$88,'Div 6'!$P$90:$P$91,'Div 6'!$P$93,'Div 6'!$P$95:$P$99,'Div 6'!$P$101,'Div 6'!$P$103,'Div 6'!$P$105</definedName>
    <definedName name="OSRRefP22x_0" localSheetId="2">Summary!$P$205:$P$214,Summary!$P$216:$P$222,Summary!$P$224,Summary!$P$226:$P$227,Summary!$P$229,Summary!$P$231:$P$234,Summary!$P$236:$P$237,Summary!$P$239,Summary!$P$241,Summary!$P$243,Summary!$P$245:$P$246,Summary!$P$248:$P$249,Summary!$P$251,Summary!$P$253,Summary!$P$255:$P$257,Summary!$P$259,Summary!$P$261,Summary!$P$263,Summary!$P$265:$P$268,Summary!$P$270:$P$272,Summary!$P$274:$P$278,Summary!$P$280:$P$281,Summary!$P$283:$P$292,Summary!$P$294:$P$295,Summary!$P$297,Summary!$P$299:$P$301,Summary!$P$303</definedName>
    <definedName name="OSRRefP25x_0" localSheetId="48">'300'!$P$258:$P$266</definedName>
    <definedName name="OSRRefP25x_0" localSheetId="49">'300 &amp; 317'!$P$284:$P$295</definedName>
    <definedName name="OSRRefP25x_0" localSheetId="50">'301'!$P$99:$P$101</definedName>
    <definedName name="OSRRefP25x_0" localSheetId="53">'307'!$P$119</definedName>
    <definedName name="OSRRefP25x_0" localSheetId="55">'308'!$P$119:$P$121</definedName>
    <definedName name="OSRRefP25x_0" localSheetId="74">'310 &amp; 491'!$P$127:$P$129</definedName>
    <definedName name="OSRRefP25x_0" localSheetId="56">'311'!$P$118:$P$120</definedName>
    <definedName name="OSRRefP25x_0" localSheetId="59">'315'!$P$134:$P$135</definedName>
    <definedName name="OSRRefP25x_0" localSheetId="61">'316'!$P$84</definedName>
    <definedName name="OSRRefP25x_0" localSheetId="64">'317'!$P$108:$P$111</definedName>
    <definedName name="OSRRefP25x_0" localSheetId="62">'320'!$P$59:$P$63</definedName>
    <definedName name="OSRRefP25x_0" localSheetId="52">'330'!$P$134</definedName>
    <definedName name="OSRRefP25x_0" localSheetId="58">'331'!$P$164:$P$165</definedName>
    <definedName name="OSRRefP25x_0" localSheetId="60">'332'!$P$94:$P$99</definedName>
    <definedName name="OSRRefP25x_0" localSheetId="78">'411'!$P$94:$P$95</definedName>
    <definedName name="OSRRefP25x_0" localSheetId="80">'413'!$P$69</definedName>
    <definedName name="OSRRefP25x_0" localSheetId="82">'415'!$P$90</definedName>
    <definedName name="OSRRefP25x_0" localSheetId="83">'418'!$P$85</definedName>
    <definedName name="OSRRefP25x_0" localSheetId="85">'423'!$P$44</definedName>
    <definedName name="OSRRefP25x_0" localSheetId="86">'424'!$P$61</definedName>
    <definedName name="OSRRefP25x_0" localSheetId="88">'425'!$P$81</definedName>
    <definedName name="OSRRefP25x_0" localSheetId="87">'455'!$P$32:$P$34</definedName>
    <definedName name="OSRRefP25x_0" localSheetId="75">'491'!$P$120:$P$122</definedName>
    <definedName name="OSRRefP25x_0" localSheetId="96">'501'!$P$67</definedName>
    <definedName name="OSRRefP25x_0" localSheetId="47">'Div 3'!$P$268:$P$276</definedName>
    <definedName name="OSRRefP25x_0" localSheetId="73">'Div 4'!$P$122:$P$124</definedName>
    <definedName name="OSRRefP25x_0" localSheetId="95">'Div 5'!$P$67</definedName>
    <definedName name="OSRRefP25x_0" localSheetId="63">'Div 6'!$P$108:$P$111</definedName>
    <definedName name="OSRRefP25x_0" localSheetId="2">Summary!$P$306:$P$318</definedName>
    <definedName name="OSRRefT13x_0" localSheetId="48">'300'!$T$13:$T$108</definedName>
    <definedName name="OSRRefT13x_0" localSheetId="49">'300 &amp; 317'!$T$13:$T$126</definedName>
    <definedName name="OSRRefT13x_0" localSheetId="53">'307'!$T$13:$T$49</definedName>
    <definedName name="OSRRefT13x_0" localSheetId="55">'308'!$T$13:$T$41</definedName>
    <definedName name="OSRRefT13x_0" localSheetId="66">'309'!$T$13:$T$14</definedName>
    <definedName name="OSRRefT13x_0" localSheetId="65">'310'!$T$13:$T$21</definedName>
    <definedName name="OSRRefT13x_0" localSheetId="74">'310 &amp; 491'!$T$13:$T$28</definedName>
    <definedName name="OSRRefT13x_0" localSheetId="56">'311'!$T$13:$T$40</definedName>
    <definedName name="OSRRefT13x_0" localSheetId="67">'313'!$T$13:$T$18</definedName>
    <definedName name="OSRRefT13x_0" localSheetId="54">'314'!$T$13:$T$33</definedName>
    <definedName name="OSRRefT13x_0" localSheetId="59">'315'!$T$13:$T$50</definedName>
    <definedName name="OSRRefT13x_0" localSheetId="61">'316'!$T$13:$T$29</definedName>
    <definedName name="OSRRefT13x_0" localSheetId="64">'317'!$T$13:$T$37</definedName>
    <definedName name="OSRRefT13x_0" localSheetId="62">'320'!$T$13:$T$15</definedName>
    <definedName name="OSRRefT13x_0" localSheetId="68">'321'!$T$13:$T$14</definedName>
    <definedName name="OSRRefT13x_0" localSheetId="69">'322'!$T$13:$T$14</definedName>
    <definedName name="OSRRefT13x_0" localSheetId="57">'324'!$T$13:$T$15</definedName>
    <definedName name="OSRRefT13x_0" localSheetId="70">'325'!$T$13:$T$14</definedName>
    <definedName name="OSRRefT13x_0" localSheetId="71">'326'!$T$13:$T$38</definedName>
    <definedName name="OSRRefT13x_0" localSheetId="72">'327'!$T$13</definedName>
    <definedName name="OSRRefT13x_0" localSheetId="52">'330'!$T$13:$T$53</definedName>
    <definedName name="OSRRefT13x_0" localSheetId="58">'331'!$T$13:$T$54</definedName>
    <definedName name="OSRRefT13x_0" localSheetId="60">'332'!$T$13:$T$31</definedName>
    <definedName name="OSRRefT13x_0" localSheetId="76">'405'!$T$13:$T$14</definedName>
    <definedName name="OSRRefT13x_0" localSheetId="77">'406'!$T$13:$T$14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4">'420'!$T$13:$T$14</definedName>
    <definedName name="OSRRefT13x_0" localSheetId="86">'424'!$T$13:$T$14</definedName>
    <definedName name="OSRRefT13x_0" localSheetId="88">'425'!$T$13:$T$17</definedName>
    <definedName name="OSRRefT13x_0" localSheetId="91">'433'!$T$13:$T$15</definedName>
    <definedName name="OSRRefT13x_0" localSheetId="92">'435'!$T$13:$T$15</definedName>
    <definedName name="OSRRefT13x_0" localSheetId="93">'444'!$T$13:$T$15</definedName>
    <definedName name="OSRRefT13x_0" localSheetId="94">'450'!$T$13:$T$15</definedName>
    <definedName name="OSRRefT13x_0" localSheetId="75">'491'!$T$13:$T$22</definedName>
    <definedName name="OSRRefT13x_0" localSheetId="89">'492'!$T$13:$T$17</definedName>
    <definedName name="OSRRefT13x_0" localSheetId="96">'501'!$T$13</definedName>
    <definedName name="OSRRefT13x_0" localSheetId="47">'Div 3'!$T$13:$T$111</definedName>
    <definedName name="OSRRefT13x_0" localSheetId="73">'Div 4'!$T$13:$T$22</definedName>
    <definedName name="OSRRefT13x_0" localSheetId="95">'Div 5'!$T$13</definedName>
    <definedName name="OSRRefT13x_0" localSheetId="63">'Div 6'!$T$13:$T$37</definedName>
    <definedName name="OSRRefT13x_0" localSheetId="2">Summary!$T$13:$T$136</definedName>
    <definedName name="OSRRefT16x_0" localSheetId="48">'300'!$T$111:$T$161</definedName>
    <definedName name="OSRRefT16x_0" localSheetId="49">'300 &amp; 317'!$T$129:$T$187</definedName>
    <definedName name="OSRRefT16x_0" localSheetId="53">'307'!$T$52:$T$72</definedName>
    <definedName name="OSRRefT16x_0" localSheetId="55">'308'!$T$44:$T$60</definedName>
    <definedName name="OSRRefT16x_0" localSheetId="66">'309'!$T$17:$T$18</definedName>
    <definedName name="OSRRefT16x_0" localSheetId="65">'310'!$T$24:$T$25</definedName>
    <definedName name="OSRRefT16x_0" localSheetId="74">'310 &amp; 491'!$T$31:$T$32</definedName>
    <definedName name="OSRRefT16x_0" localSheetId="56">'311'!$T$43:$T$59</definedName>
    <definedName name="OSRRefT16x_0" localSheetId="67">'313'!$T$21:$T$22</definedName>
    <definedName name="OSRRefT16x_0" localSheetId="54">'314'!$T$36:$T$50</definedName>
    <definedName name="OSRRefT16x_0" localSheetId="59">'315'!$T$53:$T$77</definedName>
    <definedName name="OSRRefT16x_0" localSheetId="64">'317'!$T$40:$T$55</definedName>
    <definedName name="OSRRefT16x_0" localSheetId="62">'320'!$T$18:$T$22</definedName>
    <definedName name="OSRRefT16x_0" localSheetId="68">'321'!$T$17:$T$18</definedName>
    <definedName name="OSRRefT16x_0" localSheetId="69">'322'!$T$17:$T$18</definedName>
    <definedName name="OSRRefT16x_0" localSheetId="57">'324'!$T$18:$T$19</definedName>
    <definedName name="OSRRefT16x_0" localSheetId="70">'325'!$T$17:$T$18</definedName>
    <definedName name="OSRRefT16x_0" localSheetId="71">'326'!$T$41:$T$57</definedName>
    <definedName name="OSRRefT16x_0" localSheetId="72">'327'!$T$16</definedName>
    <definedName name="OSRRefT16x_0" localSheetId="52">'330'!$T$56:$T$79</definedName>
    <definedName name="OSRRefT16x_0" localSheetId="58">'331'!$T$57:$T$86</definedName>
    <definedName name="OSRRefT16x_0" localSheetId="60">'332'!$T$34:$T$38</definedName>
    <definedName name="OSRRefT16x_0" localSheetId="76">'405'!$T$17:$T$18</definedName>
    <definedName name="OSRRefT16x_0" localSheetId="77">'406'!$T$17:$T$18</definedName>
    <definedName name="OSRRefT16x_0" localSheetId="79">'412'!$T$17:$T$18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4">'420'!$T$17:$T$18</definedName>
    <definedName name="OSRRefT16x_0" localSheetId="85">'423'!$T$15</definedName>
    <definedName name="OSRRefT16x_0" localSheetId="86">'424'!$T$17:$T$18</definedName>
    <definedName name="OSRRefT16x_0" localSheetId="88">'425'!$T$20:$T$21</definedName>
    <definedName name="OSRRefT16x_0" localSheetId="91">'433'!$T$18:$T$19</definedName>
    <definedName name="OSRRefT16x_0" localSheetId="92">'435'!$T$18:$T$19</definedName>
    <definedName name="OSRRefT16x_0" localSheetId="93">'444'!$T$18:$T$19</definedName>
    <definedName name="OSRRefT16x_0" localSheetId="94">'450'!$T$18:$T$19</definedName>
    <definedName name="OSRRefT16x_0" localSheetId="75">'491'!$T$25:$T$26</definedName>
    <definedName name="OSRRefT16x_0" localSheetId="89">'492'!$T$20:$T$21</definedName>
    <definedName name="OSRRefT16x_0" localSheetId="47">'Div 3'!$T$114:$T$166</definedName>
    <definedName name="OSRRefT16x_0" localSheetId="73">'Div 4'!$T$25:$T$26</definedName>
    <definedName name="OSRRefT16x_0" localSheetId="63">'Div 6'!$T$40:$T$55</definedName>
    <definedName name="OSRRefT16x_0" localSheetId="2">Summary!$T$139:$T$199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8">'300'!$T$167:$T$176</definedName>
    <definedName name="OSRRefT22_0x_0" localSheetId="49">'300 &amp; 317'!$T$193:$T$202</definedName>
    <definedName name="OSRRefT22_0x_0" localSheetId="50">'301'!$T$20:$T$29</definedName>
    <definedName name="OSRRefT22_0x_0" localSheetId="51">'306'!$T$20:$T$28</definedName>
    <definedName name="OSRRefT22_0x_0" localSheetId="53">'307'!$T$78:$T$85</definedName>
    <definedName name="OSRRefT22_0x_0" localSheetId="55">'308'!$T$66:$T$74</definedName>
    <definedName name="OSRRefT22_0x_0" localSheetId="66">'309'!$T$24:$T$31</definedName>
    <definedName name="OSRRefT22_0x_0" localSheetId="65">'310'!$T$31:$T$38</definedName>
    <definedName name="OSRRefT22_0x_0" localSheetId="74">'310 &amp; 491'!$T$38:$T$46</definedName>
    <definedName name="OSRRefT22_0x_0" localSheetId="56">'311'!$T$65:$T$73</definedName>
    <definedName name="OSRRefT22_0x_0" localSheetId="67">'313'!$T$28:$T$35</definedName>
    <definedName name="OSRRefT22_0x_0" localSheetId="54">'314'!$T$56:$T$64</definedName>
    <definedName name="OSRRefT22_0x_0" localSheetId="59">'315'!$T$83:$T$90</definedName>
    <definedName name="OSRRefT22_0x_0" localSheetId="61">'316'!$T$37:$T$44</definedName>
    <definedName name="OSRRefT22_0x_0" localSheetId="64">'317'!$T$61:$T$69</definedName>
    <definedName name="OSRRefT22_0x_0" localSheetId="62">'320'!$T$28:$T$34</definedName>
    <definedName name="OSRRefT22_0x_0" localSheetId="68">'321'!$T$24:$T$31</definedName>
    <definedName name="OSRRefT22_0x_0" localSheetId="69">'322'!$T$24:$T$31</definedName>
    <definedName name="OSRRefT22_0x_0" localSheetId="70">'325'!$T$24:$T$31</definedName>
    <definedName name="OSRRefT22_0x_0" localSheetId="71">'326'!$T$63:$T$70</definedName>
    <definedName name="OSRRefT22_0x_0" localSheetId="72">'327'!$T$22</definedName>
    <definedName name="OSRRefT22_0x_0" localSheetId="52">'330'!$T$85:$T$93</definedName>
    <definedName name="OSRRefT22_0x_0" localSheetId="58">'331'!$T$92:$T$99</definedName>
    <definedName name="OSRRefT22_0x_0" localSheetId="60">'332'!$T$44:$T$51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'412'!$T$24:$T$31</definedName>
    <definedName name="OSRRefT22_0x_0" localSheetId="80">'413'!$T$24:$T$31</definedName>
    <definedName name="OSRRefT22_0x_0" localSheetId="81">'414'!$T$24:$T$31</definedName>
    <definedName name="OSRRefT22_0x_0" localSheetId="82">'415'!$T$24:$T$31</definedName>
    <definedName name="OSRRefT22_0x_0" localSheetId="83">'418'!$T$24:$T$31</definedName>
    <definedName name="OSRRefT22_0x_0" localSheetId="84">'420'!$T$24:$T$31</definedName>
    <definedName name="OSRRefT22_0x_0" localSheetId="85">'423'!$T$21:$T$28</definedName>
    <definedName name="OSRRefT22_0x_0" localSheetId="86">'424'!$T$24:$T$25</definedName>
    <definedName name="OSRRefT22_0x_0" localSheetId="88">'425'!$T$27:$T$35</definedName>
    <definedName name="OSRRefT22_0x_0" localSheetId="90">'430'!$T$20:$T$27</definedName>
    <definedName name="OSRRefT22_0x_0" localSheetId="91">'433'!$T$25:$T$33</definedName>
    <definedName name="OSRRefT22_0x_0" localSheetId="92">'435'!$T$25:$T$27</definedName>
    <definedName name="OSRRefT22_0x_0" localSheetId="93">'444'!$T$25:$T$33</definedName>
    <definedName name="OSRRefT22_0x_0" localSheetId="94">'450'!$T$25:$T$33</definedName>
    <definedName name="OSRRefT22_0x_0" localSheetId="87">'455'!$T$20:$T$26</definedName>
    <definedName name="OSRRefT22_0x_0" localSheetId="75">'491'!$T$32:$T$40</definedName>
    <definedName name="OSRRefT22_0x_0" localSheetId="89">'492'!$T$27:$T$35</definedName>
    <definedName name="OSRRefT22_0x_0" localSheetId="96">'501'!$T$21:$T$29</definedName>
    <definedName name="OSRRefT22_0x_0" localSheetId="39">'Div 2'!$T$20:$T$30</definedName>
    <definedName name="OSRRefT22_0x_0" localSheetId="47">'Div 3'!$T$172:$T$181</definedName>
    <definedName name="OSRRefT22_0x_0" localSheetId="73">'Div 4'!$T$32:$T$40</definedName>
    <definedName name="OSRRefT22_0x_0" localSheetId="95">'Div 5'!$T$21:$T$29</definedName>
    <definedName name="OSRRefT22_0x_0" localSheetId="63">'Div 6'!$T$61:$T$69</definedName>
    <definedName name="OSRRefT22_0x_0" localSheetId="2">Summary!$T$205:$T$214</definedName>
    <definedName name="OSRRefT22_10x_0" localSheetId="41">'201'!$T$51:$T$53</definedName>
    <definedName name="OSRRefT22_10x_0" localSheetId="42">'202'!$T$53</definedName>
    <definedName name="OSRRefT22_10x_0" localSheetId="43">'203'!$T$55:$T$56</definedName>
    <definedName name="OSRRefT22_10x_0" localSheetId="44">'204'!$T$56:$T$57</definedName>
    <definedName name="OSRRefT22_10x_0" localSheetId="48">'300'!$T$206:$T$207</definedName>
    <definedName name="OSRRefT22_10x_0" localSheetId="49">'300 &amp; 317'!$T$232:$T$233</definedName>
    <definedName name="OSRRefT22_10x_0" localSheetId="50">'301'!$T$59</definedName>
    <definedName name="OSRRefT22_10x_0" localSheetId="53">'307'!$T$114</definedName>
    <definedName name="OSRRefT22_10x_0" localSheetId="55">'308'!$T$104:$T$105</definedName>
    <definedName name="OSRRefT22_10x_0" localSheetId="66">'309'!$T$56:$T$58</definedName>
    <definedName name="OSRRefT22_10x_0" localSheetId="65">'310'!$T$64</definedName>
    <definedName name="OSRRefT22_10x_0" localSheetId="74">'310 &amp; 491'!$T$74:$T$75</definedName>
    <definedName name="OSRRefT22_10x_0" localSheetId="56">'311'!$T$103:$T$104</definedName>
    <definedName name="OSRRefT22_10x_0" localSheetId="67">'313'!$T$61:$T$66</definedName>
    <definedName name="OSRRefT22_10x_0" localSheetId="59">'315'!$T$120:$T$124</definedName>
    <definedName name="OSRRefT22_10x_0" localSheetId="61">'316'!$T$70:$T$75</definedName>
    <definedName name="OSRRefT22_10x_0" localSheetId="64">'317'!$T$95:$T$99</definedName>
    <definedName name="OSRRefT22_10x_0" localSheetId="68">'321'!$T$59:$T$63</definedName>
    <definedName name="OSRRefT22_10x_0" localSheetId="69">'322'!$T$58:$T$64</definedName>
    <definedName name="OSRRefT22_10x_0" localSheetId="70">'325'!$T$56</definedName>
    <definedName name="OSRRefT22_10x_0" localSheetId="71">'326'!$T$96</definedName>
    <definedName name="OSRRefT22_10x_0" localSheetId="52">'330'!$T$120</definedName>
    <definedName name="OSRRefT22_10x_0" localSheetId="58">'331'!$T$126:$T$127</definedName>
    <definedName name="OSRRefT22_10x_0" localSheetId="60">'332'!$T$78</definedName>
    <definedName name="OSRRefT22_10x_0" localSheetId="76">'405'!$T$55:$T$56</definedName>
    <definedName name="OSRRefT22_10x_0" localSheetId="77">'406'!$T$58:$T$59</definedName>
    <definedName name="OSRRefT22_10x_0" localSheetId="78">'411'!$T$55</definedName>
    <definedName name="OSRRefT22_10x_0" localSheetId="79">'412'!$T$58:$T$60</definedName>
    <definedName name="OSRRefT22_10x_0" localSheetId="80">'413'!$T$64</definedName>
    <definedName name="OSRRefT22_10x_0" localSheetId="81">'414'!$T$57</definedName>
    <definedName name="OSRRefT22_10x_0" localSheetId="82">'415'!$T$57</definedName>
    <definedName name="OSRRefT22_10x_0" localSheetId="83">'418'!$T$57:$T$58</definedName>
    <definedName name="OSRRefT22_10x_0" localSheetId="86">'424'!$T$50</definedName>
    <definedName name="OSRRefT22_10x_0" localSheetId="88">'425'!$T$62</definedName>
    <definedName name="OSRRefT22_10x_0" localSheetId="91">'433'!$T$58</definedName>
    <definedName name="OSRRefT22_10x_0" localSheetId="93">'444'!$T$58</definedName>
    <definedName name="OSRRefT22_10x_0" localSheetId="94">'450'!$T$58</definedName>
    <definedName name="OSRRefT22_10x_0" localSheetId="75">'491'!$T$68</definedName>
    <definedName name="OSRRefT22_10x_0" localSheetId="89">'492'!$T$61</definedName>
    <definedName name="OSRRefT22_10x_0" localSheetId="96">'501'!$T$56</definedName>
    <definedName name="OSRRefT22_10x_0" localSheetId="39">'Div 2'!$T$57</definedName>
    <definedName name="OSRRefT22_10x_0" localSheetId="47">'Div 3'!$T$211:$T$212</definedName>
    <definedName name="OSRRefT22_10x_0" localSheetId="73">'Div 4'!$T$68</definedName>
    <definedName name="OSRRefT22_10x_0" localSheetId="95">'Div 5'!$T$56</definedName>
    <definedName name="OSRRefT22_10x_0" localSheetId="63">'Div 6'!$T$95:$T$99</definedName>
    <definedName name="OSRRefT22_10x_0" localSheetId="2">Summary!$T$245:$T$246</definedName>
    <definedName name="OSRRefT22_11x_0" localSheetId="41">'201'!$T$55</definedName>
    <definedName name="OSRRefT22_11x_0" localSheetId="42">'202'!$T$55</definedName>
    <definedName name="OSRRefT22_11x_0" localSheetId="43">'203'!$T$58</definedName>
    <definedName name="OSRRefT22_11x_0" localSheetId="48">'300'!$T$209</definedName>
    <definedName name="OSRRefT22_11x_0" localSheetId="49">'300 &amp; 317'!$T$235</definedName>
    <definedName name="OSRRefT22_11x_0" localSheetId="50">'301'!$T$61</definedName>
    <definedName name="OSRRefT22_11x_0" localSheetId="53">'307'!$T$116</definedName>
    <definedName name="OSRRefT22_11x_0" localSheetId="55">'308'!$T$107:$T$109</definedName>
    <definedName name="OSRRefT22_11x_0" localSheetId="66">'309'!$T$60:$T$62</definedName>
    <definedName name="OSRRefT22_11x_0" localSheetId="65">'310'!$T$66</definedName>
    <definedName name="OSRRefT22_11x_0" localSheetId="74">'310 &amp; 491'!$T$77:$T$78</definedName>
    <definedName name="OSRRefT22_11x_0" localSheetId="56">'311'!$T$106:$T$108</definedName>
    <definedName name="OSRRefT22_11x_0" localSheetId="67">'313'!$T$68</definedName>
    <definedName name="OSRRefT22_11x_0" localSheetId="59">'315'!$T$126</definedName>
    <definedName name="OSRRefT22_11x_0" localSheetId="61">'316'!$T$77</definedName>
    <definedName name="OSRRefT22_11x_0" localSheetId="64">'317'!$T$101</definedName>
    <definedName name="OSRRefT22_11x_0" localSheetId="68">'321'!$T$65</definedName>
    <definedName name="OSRRefT22_11x_0" localSheetId="69">'322'!$T$66</definedName>
    <definedName name="OSRRefT22_11x_0" localSheetId="70">'325'!$T$58:$T$60</definedName>
    <definedName name="OSRRefT22_11x_0" localSheetId="71">'326'!$T$98</definedName>
    <definedName name="OSRRefT22_11x_0" localSheetId="52">'330'!$T$122:$T$125</definedName>
    <definedName name="OSRRefT22_11x_0" localSheetId="58">'331'!$T$129</definedName>
    <definedName name="OSRRefT22_11x_0" localSheetId="60">'332'!$T$80:$T$85</definedName>
    <definedName name="OSRRefT22_11x_0" localSheetId="76">'405'!$T$58</definedName>
    <definedName name="OSRRefT22_11x_0" localSheetId="77">'406'!$T$61:$T$66</definedName>
    <definedName name="OSRRefT22_11x_0" localSheetId="78">'411'!$T$57</definedName>
    <definedName name="OSRRefT22_11x_0" localSheetId="79">'412'!$T$62:$T$67</definedName>
    <definedName name="OSRRefT22_11x_0" localSheetId="80">'413'!$T$66</definedName>
    <definedName name="OSRRefT22_11x_0" localSheetId="81">'414'!$T$59</definedName>
    <definedName name="OSRRefT22_11x_0" localSheetId="82">'415'!$T$59:$T$62</definedName>
    <definedName name="OSRRefT22_11x_0" localSheetId="83">'418'!$T$60:$T$62</definedName>
    <definedName name="OSRRefT22_11x_0" localSheetId="86">'424'!$T$52:$T$56</definedName>
    <definedName name="OSRRefT22_11x_0" localSheetId="88">'425'!$T$64:$T$66</definedName>
    <definedName name="OSRRefT22_11x_0" localSheetId="91">'433'!$T$60:$T$62</definedName>
    <definedName name="OSRRefT22_11x_0" localSheetId="93">'444'!$T$60:$T$62</definedName>
    <definedName name="OSRRefT22_11x_0" localSheetId="94">'450'!$T$60</definedName>
    <definedName name="OSRRefT22_11x_0" localSheetId="75">'491'!$T$70:$T$71</definedName>
    <definedName name="OSRRefT22_11x_0" localSheetId="89">'492'!$T$63</definedName>
    <definedName name="OSRRefT22_11x_0" localSheetId="96">'501'!$T$58:$T$60</definedName>
    <definedName name="OSRRefT22_11x_0" localSheetId="39">'Div 2'!$T$59</definedName>
    <definedName name="OSRRefT22_11x_0" localSheetId="47">'Div 3'!$T$214</definedName>
    <definedName name="OSRRefT22_11x_0" localSheetId="73">'Div 4'!$T$70:$T$71</definedName>
    <definedName name="OSRRefT22_11x_0" localSheetId="95">'Div 5'!$T$58:$T$60</definedName>
    <definedName name="OSRRefT22_11x_0" localSheetId="63">'Div 6'!$T$101</definedName>
    <definedName name="OSRRefT22_11x_0" localSheetId="2">Summary!$T$248:$T$249</definedName>
    <definedName name="OSRRefT22_12x_0" localSheetId="41">'201'!$T$57:$T$60</definedName>
    <definedName name="OSRRefT22_12x_0" localSheetId="42">'202'!$T$57:$T$59</definedName>
    <definedName name="OSRRefT22_12x_0" localSheetId="43">'203'!$T$60:$T$63</definedName>
    <definedName name="OSRRefT22_12x_0" localSheetId="48">'300'!$T$211</definedName>
    <definedName name="OSRRefT22_12x_0" localSheetId="49">'300 &amp; 317'!$T$237</definedName>
    <definedName name="OSRRefT22_12x_0" localSheetId="50">'301'!$T$63</definedName>
    <definedName name="OSRRefT22_12x_0" localSheetId="55">'308'!$T$111:$T$112</definedName>
    <definedName name="OSRRefT22_12x_0" localSheetId="66">'309'!$T$64</definedName>
    <definedName name="OSRRefT22_12x_0" localSheetId="65">'310'!$T$68</definedName>
    <definedName name="OSRRefT22_12x_0" localSheetId="74">'310 &amp; 491'!$T$80</definedName>
    <definedName name="OSRRefT22_12x_0" localSheetId="56">'311'!$T$110:$T$111</definedName>
    <definedName name="OSRRefT22_12x_0" localSheetId="67">'313'!$T$70</definedName>
    <definedName name="OSRRefT22_12x_0" localSheetId="59">'315'!$T$128</definedName>
    <definedName name="OSRRefT22_12x_0" localSheetId="61">'316'!$T$79</definedName>
    <definedName name="OSRRefT22_12x_0" localSheetId="64">'317'!$T$103</definedName>
    <definedName name="OSRRefT22_12x_0" localSheetId="68">'321'!$T$67</definedName>
    <definedName name="OSRRefT22_12x_0" localSheetId="69">'322'!$T$68</definedName>
    <definedName name="OSRRefT22_12x_0" localSheetId="70">'325'!$T$62:$T$64</definedName>
    <definedName name="OSRRefT22_12x_0" localSheetId="71">'326'!$T$100:$T$102</definedName>
    <definedName name="OSRRefT22_12x_0" localSheetId="52">'330'!$T$127</definedName>
    <definedName name="OSRRefT22_12x_0" localSheetId="58">'331'!$T$131</definedName>
    <definedName name="OSRRefT22_12x_0" localSheetId="60">'332'!$T$87</definedName>
    <definedName name="OSRRefT22_12x_0" localSheetId="76">'405'!$T$60:$T$62</definedName>
    <definedName name="OSRRefT22_12x_0" localSheetId="77">'406'!$T$68</definedName>
    <definedName name="OSRRefT22_12x_0" localSheetId="78">'411'!$T$59:$T$62</definedName>
    <definedName name="OSRRefT22_12x_0" localSheetId="79">'412'!$T$69</definedName>
    <definedName name="OSRRefT22_12x_0" localSheetId="81">'414'!$T$61</definedName>
    <definedName name="OSRRefT22_12x_0" localSheetId="82">'415'!$T$64:$T$68</definedName>
    <definedName name="OSRRefT22_12x_0" localSheetId="83">'418'!$T$64:$T$66</definedName>
    <definedName name="OSRRefT22_12x_0" localSheetId="86">'424'!$T$58</definedName>
    <definedName name="OSRRefT22_12x_0" localSheetId="88">'425'!$T$68:$T$74</definedName>
    <definedName name="OSRRefT22_12x_0" localSheetId="91">'433'!$T$64:$T$66</definedName>
    <definedName name="OSRRefT22_12x_0" localSheetId="93">'444'!$T$64:$T$67</definedName>
    <definedName name="OSRRefT22_12x_0" localSheetId="94">'450'!$T$62:$T$63</definedName>
    <definedName name="OSRRefT22_12x_0" localSheetId="75">'491'!$T$73</definedName>
    <definedName name="OSRRefT22_12x_0" localSheetId="89">'492'!$T$65:$T$67</definedName>
    <definedName name="OSRRefT22_12x_0" localSheetId="96">'501'!$T$62</definedName>
    <definedName name="OSRRefT22_12x_0" localSheetId="39">'Div 2'!$T$61:$T$64</definedName>
    <definedName name="OSRRefT22_12x_0" localSheetId="47">'Div 3'!$T$216</definedName>
    <definedName name="OSRRefT22_12x_0" localSheetId="73">'Div 4'!$T$73</definedName>
    <definedName name="OSRRefT22_12x_0" localSheetId="95">'Div 5'!$T$62</definedName>
    <definedName name="OSRRefT22_12x_0" localSheetId="63">'Div 6'!$T$103</definedName>
    <definedName name="OSRRefT22_12x_0" localSheetId="2">Summary!$T$251</definedName>
    <definedName name="OSRRefT22_13x_0" localSheetId="41">'201'!$T$62</definedName>
    <definedName name="OSRRefT22_13x_0" localSheetId="42">'202'!$T$61</definedName>
    <definedName name="OSRRefT22_13x_0" localSheetId="43">'203'!$T$65</definedName>
    <definedName name="OSRRefT22_13x_0" localSheetId="48">'300'!$T$213:$T$215</definedName>
    <definedName name="OSRRefT22_13x_0" localSheetId="49">'300 &amp; 317'!$T$239:$T$241</definedName>
    <definedName name="OSRRefT22_13x_0" localSheetId="50">'301'!$T$65</definedName>
    <definedName name="OSRRefT22_13x_0" localSheetId="55">'308'!$T$114</definedName>
    <definedName name="OSRRefT22_13x_0" localSheetId="65">'310'!$T$70</definedName>
    <definedName name="OSRRefT22_13x_0" localSheetId="74">'310 &amp; 491'!$T$82</definedName>
    <definedName name="OSRRefT22_13x_0" localSheetId="56">'311'!$T$113</definedName>
    <definedName name="OSRRefT22_13x_0" localSheetId="59">'315'!$T$130:$T$131</definedName>
    <definedName name="OSRRefT22_13x_0" localSheetId="61">'316'!$T$81</definedName>
    <definedName name="OSRRefT22_13x_0" localSheetId="64">'317'!$T$105</definedName>
    <definedName name="OSRRefT22_13x_0" localSheetId="70">'325'!$T$66</definedName>
    <definedName name="OSRRefT22_13x_0" localSheetId="71">'326'!$T$104:$T$106</definedName>
    <definedName name="OSRRefT22_13x_0" localSheetId="52">'330'!$T$129</definedName>
    <definedName name="OSRRefT22_13x_0" localSheetId="58">'331'!$T$133:$T$135</definedName>
    <definedName name="OSRRefT22_13x_0" localSheetId="60">'332'!$T$89</definedName>
    <definedName name="OSRRefT22_13x_0" localSheetId="76">'405'!$T$64:$T$65</definedName>
    <definedName name="OSRRefT22_13x_0" localSheetId="77">'406'!$T$70</definedName>
    <definedName name="OSRRefT22_13x_0" localSheetId="78">'411'!$T$64:$T$68</definedName>
    <definedName name="OSRRefT22_13x_0" localSheetId="79">'412'!$T$71</definedName>
    <definedName name="OSRRefT22_13x_0" localSheetId="81">'414'!$T$63:$T$69</definedName>
    <definedName name="OSRRefT22_13x_0" localSheetId="82">'415'!$T$70:$T$71</definedName>
    <definedName name="OSRRefT22_13x_0" localSheetId="83">'418'!$T$68:$T$69</definedName>
    <definedName name="OSRRefT22_13x_0" localSheetId="88">'425'!$T$76</definedName>
    <definedName name="OSRRefT22_13x_0" localSheetId="91">'433'!$T$68:$T$75</definedName>
    <definedName name="OSRRefT22_13x_0" localSheetId="93">'444'!$T$69</definedName>
    <definedName name="OSRRefT22_13x_0" localSheetId="94">'450'!$T$65:$T$67</definedName>
    <definedName name="OSRRefT22_13x_0" localSheetId="75">'491'!$T$75</definedName>
    <definedName name="OSRRefT22_13x_0" localSheetId="89">'492'!$T$69:$T$72</definedName>
    <definedName name="OSRRefT22_13x_0" localSheetId="96">'501'!$T$64</definedName>
    <definedName name="OSRRefT22_13x_0" localSheetId="39">'Div 2'!$T$66:$T$68</definedName>
    <definedName name="OSRRefT22_13x_0" localSheetId="47">'Div 3'!$T$218</definedName>
    <definedName name="OSRRefT22_13x_0" localSheetId="73">'Div 4'!$T$75</definedName>
    <definedName name="OSRRefT22_13x_0" localSheetId="95">'Div 5'!$T$64</definedName>
    <definedName name="OSRRefT22_13x_0" localSheetId="63">'Div 6'!$T$105</definedName>
    <definedName name="OSRRefT22_13x_0" localSheetId="2">Summary!$T$253</definedName>
    <definedName name="OSRRefT22_14x_0" localSheetId="41">'201'!$T$64</definedName>
    <definedName name="OSRRefT22_14x_0" localSheetId="42">'202'!$T$63</definedName>
    <definedName name="OSRRefT22_14x_0" localSheetId="43">'203'!$T$67</definedName>
    <definedName name="OSRRefT22_14x_0" localSheetId="48">'300'!$T$217</definedName>
    <definedName name="OSRRefT22_14x_0" localSheetId="49">'300 &amp; 317'!$T$243</definedName>
    <definedName name="OSRRefT22_14x_0" localSheetId="50">'301'!$T$67</definedName>
    <definedName name="OSRRefT22_14x_0" localSheetId="55">'308'!$T$116</definedName>
    <definedName name="OSRRefT22_14x_0" localSheetId="65">'310'!$T$72:$T$74</definedName>
    <definedName name="OSRRefT22_14x_0" localSheetId="74">'310 &amp; 491'!$T$84</definedName>
    <definedName name="OSRRefT22_14x_0" localSheetId="56">'311'!$T$115</definedName>
    <definedName name="OSRRefT22_14x_0" localSheetId="70">'325'!$T$68:$T$72</definedName>
    <definedName name="OSRRefT22_14x_0" localSheetId="71">'326'!$T$108:$T$109</definedName>
    <definedName name="OSRRefT22_14x_0" localSheetId="52">'330'!$T$131</definedName>
    <definedName name="OSRRefT22_14x_0" localSheetId="58">'331'!$T$137:$T$138</definedName>
    <definedName name="OSRRefT22_14x_0" localSheetId="60">'332'!$T$91</definedName>
    <definedName name="OSRRefT22_14x_0" localSheetId="76">'405'!$T$67:$T$73</definedName>
    <definedName name="OSRRefT22_14x_0" localSheetId="77">'406'!$T$72</definedName>
    <definedName name="OSRRefT22_14x_0" localSheetId="78">'411'!$T$70:$T$71</definedName>
    <definedName name="OSRRefT22_14x_0" localSheetId="81">'414'!$T$71</definedName>
    <definedName name="OSRRefT22_14x_0" localSheetId="82">'415'!$T$73:$T$81</definedName>
    <definedName name="OSRRefT22_14x_0" localSheetId="83">'418'!$T$71:$T$78</definedName>
    <definedName name="OSRRefT22_14x_0" localSheetId="88">'425'!$T$78</definedName>
    <definedName name="OSRRefT22_14x_0" localSheetId="91">'433'!$T$77</definedName>
    <definedName name="OSRRefT22_14x_0" localSheetId="93">'444'!$T$71:$T$79</definedName>
    <definedName name="OSRRefT22_14x_0" localSheetId="94">'450'!$T$69:$T$74</definedName>
    <definedName name="OSRRefT22_14x_0" localSheetId="75">'491'!$T$77</definedName>
    <definedName name="OSRRefT22_14x_0" localSheetId="89">'492'!$T$74</definedName>
    <definedName name="OSRRefT22_14x_0" localSheetId="39">'Div 2'!$T$70:$T$71</definedName>
    <definedName name="OSRRefT22_14x_0" localSheetId="47">'Div 3'!$T$220:$T$222</definedName>
    <definedName name="OSRRefT22_14x_0" localSheetId="73">'Div 4'!$T$77</definedName>
    <definedName name="OSRRefT22_14x_0" localSheetId="2">Summary!$T$255:$T$257</definedName>
    <definedName name="OSRRefT22_15x_0" localSheetId="41">'201'!$T$66</definedName>
    <definedName name="OSRRefT22_15x_0" localSheetId="42">'202'!$T$65</definedName>
    <definedName name="OSRRefT22_15x_0" localSheetId="43">'203'!$T$69</definedName>
    <definedName name="OSRRefT22_15x_0" localSheetId="48">'300'!$T$219</definedName>
    <definedName name="OSRRefT22_15x_0" localSheetId="49">'300 &amp; 317'!$T$245</definedName>
    <definedName name="OSRRefT22_15x_0" localSheetId="50">'301'!$T$69:$T$72</definedName>
    <definedName name="OSRRefT22_15x_0" localSheetId="65">'310'!$T$76</definedName>
    <definedName name="OSRRefT22_15x_0" localSheetId="74">'310 &amp; 491'!$T$86</definedName>
    <definedName name="OSRRefT22_15x_0" localSheetId="70">'325'!$T$74</definedName>
    <definedName name="OSRRefT22_15x_0" localSheetId="71">'326'!$T$111:$T$116</definedName>
    <definedName name="OSRRefT22_15x_0" localSheetId="58">'331'!$T$140:$T$142</definedName>
    <definedName name="OSRRefT22_15x_0" localSheetId="76">'405'!$T$75</definedName>
    <definedName name="OSRRefT22_15x_0" localSheetId="78">'411'!$T$73:$T$81</definedName>
    <definedName name="OSRRefT22_15x_0" localSheetId="81">'414'!$T$73</definedName>
    <definedName name="OSRRefT22_15x_0" localSheetId="82">'415'!$T$83</definedName>
    <definedName name="OSRRefT22_15x_0" localSheetId="83">'418'!$T$80</definedName>
    <definedName name="OSRRefT22_15x_0" localSheetId="91">'433'!$T$79</definedName>
    <definedName name="OSRRefT22_15x_0" localSheetId="93">'444'!$T$81</definedName>
    <definedName name="OSRRefT22_15x_0" localSheetId="94">'450'!$T$76</definedName>
    <definedName name="OSRRefT22_15x_0" localSheetId="75">'491'!$T$79</definedName>
    <definedName name="OSRRefT22_15x_0" localSheetId="89">'492'!$T$76:$T$84</definedName>
    <definedName name="OSRRefT22_15x_0" localSheetId="39">'Div 2'!$T$73</definedName>
    <definedName name="OSRRefT22_15x_0" localSheetId="47">'Div 3'!$T$224</definedName>
    <definedName name="OSRRefT22_15x_0" localSheetId="73">'Div 4'!$T$79</definedName>
    <definedName name="OSRRefT22_15x_0" localSheetId="2">Summary!$T$259</definedName>
    <definedName name="OSRRefT22_16x_0" localSheetId="48">'300'!$T$221:$T$224</definedName>
    <definedName name="OSRRefT22_16x_0" localSheetId="49">'300 &amp; 317'!$T$247:$T$250</definedName>
    <definedName name="OSRRefT22_16x_0" localSheetId="50">'301'!$T$74:$T$76</definedName>
    <definedName name="OSRRefT22_16x_0" localSheetId="65">'310'!$T$78:$T$81</definedName>
    <definedName name="OSRRefT22_16x_0" localSheetId="74">'310 &amp; 491'!$T$88:$T$91</definedName>
    <definedName name="OSRRefT22_16x_0" localSheetId="70">'325'!$T$76</definedName>
    <definedName name="OSRRefT22_16x_0" localSheetId="71">'326'!$T$118</definedName>
    <definedName name="OSRRefT22_16x_0" localSheetId="58">'331'!$T$144:$T$145</definedName>
    <definedName name="OSRRefT22_16x_0" localSheetId="76">'405'!$T$77</definedName>
    <definedName name="OSRRefT22_16x_0" localSheetId="78">'411'!$T$83</definedName>
    <definedName name="OSRRefT22_16x_0" localSheetId="82">'415'!$T$85</definedName>
    <definedName name="OSRRefT22_16x_0" localSheetId="83">'418'!$T$82</definedName>
    <definedName name="OSRRefT22_16x_0" localSheetId="91">'433'!$T$81</definedName>
    <definedName name="OSRRefT22_16x_0" localSheetId="93">'444'!$T$83</definedName>
    <definedName name="OSRRefT22_16x_0" localSheetId="94">'450'!$T$78</definedName>
    <definedName name="OSRRefT22_16x_0" localSheetId="75">'491'!$T$81:$T$84</definedName>
    <definedName name="OSRRefT22_16x_0" localSheetId="89">'492'!$T$86</definedName>
    <definedName name="OSRRefT22_16x_0" localSheetId="39">'Div 2'!$T$75:$T$79</definedName>
    <definedName name="OSRRefT22_16x_0" localSheetId="47">'Div 3'!$T$226</definedName>
    <definedName name="OSRRefT22_16x_0" localSheetId="73">'Div 4'!$T$81</definedName>
    <definedName name="OSRRefT22_16x_0" localSheetId="2">Summary!$T$261</definedName>
    <definedName name="OSRRefT22_17x_0" localSheetId="48">'300'!$T$226:$T$228</definedName>
    <definedName name="OSRRefT22_17x_0" localSheetId="49">'300 &amp; 317'!$T$252:$T$254</definedName>
    <definedName name="OSRRefT22_17x_0" localSheetId="50">'301'!$T$78:$T$79</definedName>
    <definedName name="OSRRefT22_17x_0" localSheetId="65">'310'!$T$83</definedName>
    <definedName name="OSRRefT22_17x_0" localSheetId="74">'310 &amp; 491'!$T$93:$T$94</definedName>
    <definedName name="OSRRefT22_17x_0" localSheetId="70">'325'!$T$78</definedName>
    <definedName name="OSRRefT22_17x_0" localSheetId="71">'326'!$T$120</definedName>
    <definedName name="OSRRefT22_17x_0" localSheetId="58">'331'!$T$147:$T$152</definedName>
    <definedName name="OSRRefT22_17x_0" localSheetId="76">'405'!$T$79</definedName>
    <definedName name="OSRRefT22_17x_0" localSheetId="78">'411'!$T$85</definedName>
    <definedName name="OSRRefT22_17x_0" localSheetId="82">'415'!$T$87</definedName>
    <definedName name="OSRRefT22_17x_0" localSheetId="93">'444'!$T$85</definedName>
    <definedName name="OSRRefT22_17x_0" localSheetId="94">'450'!$T$80</definedName>
    <definedName name="OSRRefT22_17x_0" localSheetId="75">'491'!$T$86:$T$87</definedName>
    <definedName name="OSRRefT22_17x_0" localSheetId="89">'492'!$T$88</definedName>
    <definedName name="OSRRefT22_17x_0" localSheetId="39">'Div 2'!$T$81:$T$82</definedName>
    <definedName name="OSRRefT22_17x_0" localSheetId="47">'Div 3'!$T$228:$T$231</definedName>
    <definedName name="OSRRefT22_17x_0" localSheetId="73">'Div 4'!$T$83:$T$86</definedName>
    <definedName name="OSRRefT22_17x_0" localSheetId="2">Summary!$T$263</definedName>
    <definedName name="OSRRefT22_18x_0" localSheetId="48">'300'!$T$230:$T$233</definedName>
    <definedName name="OSRRefT22_18x_0" localSheetId="49">'300 &amp; 317'!$T$256:$T$259</definedName>
    <definedName name="OSRRefT22_18x_0" localSheetId="50">'301'!$T$81:$T$86</definedName>
    <definedName name="OSRRefT22_18x_0" localSheetId="65">'310'!$T$85:$T$93</definedName>
    <definedName name="OSRRefT22_18x_0" localSheetId="74">'310 &amp; 491'!$T$96:$T$100</definedName>
    <definedName name="OSRRefT22_18x_0" localSheetId="71">'326'!$T$122</definedName>
    <definedName name="OSRRefT22_18x_0" localSheetId="58">'331'!$T$154</definedName>
    <definedName name="OSRRefT22_18x_0" localSheetId="78">'411'!$T$87:$T$89</definedName>
    <definedName name="OSRRefT22_18x_0" localSheetId="75">'491'!$T$89:$T$93</definedName>
    <definedName name="OSRRefT22_18x_0" localSheetId="89">'492'!$T$90</definedName>
    <definedName name="OSRRefT22_18x_0" localSheetId="39">'Div 2'!$T$84</definedName>
    <definedName name="OSRRefT22_18x_0" localSheetId="47">'Div 3'!$T$233:$T$235</definedName>
    <definedName name="OSRRefT22_18x_0" localSheetId="73">'Div 4'!$T$88:$T$89</definedName>
    <definedName name="OSRRefT22_18x_0" localSheetId="2">Summary!$T$265:$T$268</definedName>
    <definedName name="OSRRefT22_19x_0" localSheetId="48">'300'!$T$235:$T$236</definedName>
    <definedName name="OSRRefT22_19x_0" localSheetId="49">'300 &amp; 317'!$T$261:$T$262</definedName>
    <definedName name="OSRRefT22_19x_0" localSheetId="50">'301'!$T$88</definedName>
    <definedName name="OSRRefT22_19x_0" localSheetId="65">'310'!$T$95</definedName>
    <definedName name="OSRRefT22_19x_0" localSheetId="74">'310 &amp; 491'!$T$102:$T$103</definedName>
    <definedName name="OSRRefT22_19x_0" localSheetId="71">'326'!$T$124</definedName>
    <definedName name="OSRRefT22_19x_0" localSheetId="58">'331'!$T$156</definedName>
    <definedName name="OSRRefT22_19x_0" localSheetId="78">'411'!$T$91</definedName>
    <definedName name="OSRRefT22_19x_0" localSheetId="75">'491'!$T$95:$T$96</definedName>
    <definedName name="OSRRefT22_19x_0" localSheetId="39">'Div 2'!$T$86:$T$87</definedName>
    <definedName name="OSRRefT22_19x_0" localSheetId="47">'Div 3'!$T$237:$T$241</definedName>
    <definedName name="OSRRefT22_19x_0" localSheetId="73">'Div 4'!$T$91:$T$95</definedName>
    <definedName name="OSRRefT22_19x_0" localSheetId="2">Summary!$T$270:$T$272</definedName>
    <definedName name="OSRRefT22_1x_0" localSheetId="40">'200'!$T$22</definedName>
    <definedName name="OSRRefT22_1x_0" localSheetId="41">'201'!$T$29:$T$31</definedName>
    <definedName name="OSRRefT22_1x_0" localSheetId="42">'202'!$T$29:$T$32</definedName>
    <definedName name="OSRRefT22_1x_0" localSheetId="43">'203'!$T$31:$T$35</definedName>
    <definedName name="OSRRefT22_1x_0" localSheetId="44">'204'!$T$31:$T$35</definedName>
    <definedName name="OSRRefT22_1x_0" localSheetId="45">'205'!$T$29</definedName>
    <definedName name="OSRRefT22_1x_0" localSheetId="46">'206'!$T$29:$T$32</definedName>
    <definedName name="OSRRefT22_1x_0" localSheetId="48">'300'!$T$178:$T$184</definedName>
    <definedName name="OSRRefT22_1x_0" localSheetId="49">'300 &amp; 317'!$T$204:$T$210</definedName>
    <definedName name="OSRRefT22_1x_0" localSheetId="50">'301'!$T$31:$T$37</definedName>
    <definedName name="OSRRefT22_1x_0" localSheetId="51">'306'!$T$30:$T$35</definedName>
    <definedName name="OSRRefT22_1x_0" localSheetId="53">'307'!$T$87:$T$90</definedName>
    <definedName name="OSRRefT22_1x_0" localSheetId="55">'308'!$T$76:$T$82</definedName>
    <definedName name="OSRRefT22_1x_0" localSheetId="66">'309'!$T$33:$T$37</definedName>
    <definedName name="OSRRefT22_1x_0" localSheetId="65">'310'!$T$40:$T$45</definedName>
    <definedName name="OSRRefT22_1x_0" localSheetId="74">'310 &amp; 491'!$T$48:$T$54</definedName>
    <definedName name="OSRRefT22_1x_0" localSheetId="56">'311'!$T$75:$T$81</definedName>
    <definedName name="OSRRefT22_1x_0" localSheetId="67">'313'!$T$37:$T$41</definedName>
    <definedName name="OSRRefT22_1x_0" localSheetId="54">'314'!$T$66:$T$68</definedName>
    <definedName name="OSRRefT22_1x_0" localSheetId="59">'315'!$T$92:$T$97</definedName>
    <definedName name="OSRRefT22_1x_0" localSheetId="61">'316'!$T$46:$T$49</definedName>
    <definedName name="OSRRefT22_1x_0" localSheetId="64">'317'!$T$71:$T$75</definedName>
    <definedName name="OSRRefT22_1x_0" localSheetId="62">'320'!$T$36:$T$40</definedName>
    <definedName name="OSRRefT22_1x_0" localSheetId="68">'321'!$T$33:$T$37</definedName>
    <definedName name="OSRRefT22_1x_0" localSheetId="69">'322'!$T$33:$T$37</definedName>
    <definedName name="OSRRefT22_1x_0" localSheetId="70">'325'!$T$33:$T$37</definedName>
    <definedName name="OSRRefT22_1x_0" localSheetId="71">'326'!$T$72:$T$77</definedName>
    <definedName name="OSRRefT22_1x_0" localSheetId="72">'327'!$T$24</definedName>
    <definedName name="OSRRefT22_1x_0" localSheetId="52">'330'!$T$95:$T$99</definedName>
    <definedName name="OSRRefT22_1x_0" localSheetId="58">'331'!$T$101:$T$106</definedName>
    <definedName name="OSRRefT22_1x_0" localSheetId="60">'332'!$T$53:$T$57</definedName>
    <definedName name="OSRRefT22_1x_0" localSheetId="76">'405'!$T$33:$T$36</definedName>
    <definedName name="OSRRefT22_1x_0" localSheetId="77">'406'!$T$33:$T$38</definedName>
    <definedName name="OSRRefT22_1x_0" localSheetId="78">'411'!$T$30:$T$35</definedName>
    <definedName name="OSRRefT22_1x_0" localSheetId="79">'412'!$T$33:$T$38</definedName>
    <definedName name="OSRRefT22_1x_0" localSheetId="80">'413'!$T$33:$T$37</definedName>
    <definedName name="OSRRefT22_1x_0" localSheetId="81">'414'!$T$33:$T$38</definedName>
    <definedName name="OSRRefT22_1x_0" localSheetId="82">'415'!$T$33:$T$38</definedName>
    <definedName name="OSRRefT22_1x_0" localSheetId="83">'418'!$T$33:$T$38</definedName>
    <definedName name="OSRRefT22_1x_0" localSheetId="84">'420'!$T$33:$T$36</definedName>
    <definedName name="OSRRefT22_1x_0" localSheetId="85">'423'!$T$30:$T$31</definedName>
    <definedName name="OSRRefT22_1x_0" localSheetId="86">'424'!$T$27:$T$31</definedName>
    <definedName name="OSRRefT22_1x_0" localSheetId="88">'425'!$T$37:$T$42</definedName>
    <definedName name="OSRRefT22_1x_0" localSheetId="90">'430'!$T$29</definedName>
    <definedName name="OSRRefT22_1x_0" localSheetId="91">'433'!$T$35:$T$40</definedName>
    <definedName name="OSRRefT22_1x_0" localSheetId="92">'435'!$T$29:$T$31</definedName>
    <definedName name="OSRRefT22_1x_0" localSheetId="93">'444'!$T$35:$T$40</definedName>
    <definedName name="OSRRefT22_1x_0" localSheetId="94">'450'!$T$35:$T$40</definedName>
    <definedName name="OSRRefT22_1x_0" localSheetId="87">'455'!$T$28:$T$29</definedName>
    <definedName name="OSRRefT22_1x_0" localSheetId="75">'491'!$T$42:$T$48</definedName>
    <definedName name="OSRRefT22_1x_0" localSheetId="89">'492'!$T$37:$T$43</definedName>
    <definedName name="OSRRefT22_1x_0" localSheetId="96">'501'!$T$31:$T$35</definedName>
    <definedName name="OSRRefT22_1x_0" localSheetId="39">'Div 2'!$T$32:$T$38</definedName>
    <definedName name="OSRRefT22_1x_0" localSheetId="47">'Div 3'!$T$183:$T$189</definedName>
    <definedName name="OSRRefT22_1x_0" localSheetId="73">'Div 4'!$T$42:$T$48</definedName>
    <definedName name="OSRRefT22_1x_0" localSheetId="95">'Div 5'!$T$31:$T$35</definedName>
    <definedName name="OSRRefT22_1x_0" localSheetId="63">'Div 6'!$T$71:$T$75</definedName>
    <definedName name="OSRRefT22_1x_0" localSheetId="2">Summary!$T$216:$T$222</definedName>
    <definedName name="OSRRefT22_20x_0" localSheetId="48">'300'!$T$238:$T$244</definedName>
    <definedName name="OSRRefT22_20x_0" localSheetId="49">'300 &amp; 317'!$T$264:$T$270</definedName>
    <definedName name="OSRRefT22_20x_0" localSheetId="50">'301'!$T$90</definedName>
    <definedName name="OSRRefT22_20x_0" localSheetId="65">'310'!$T$97</definedName>
    <definedName name="OSRRefT22_20x_0" localSheetId="74">'310 &amp; 491'!$T$105:$T$114</definedName>
    <definedName name="OSRRefT22_20x_0" localSheetId="58">'331'!$T$158:$T$159</definedName>
    <definedName name="OSRRefT22_20x_0" localSheetId="75">'491'!$T$98:$T$107</definedName>
    <definedName name="OSRRefT22_20x_0" localSheetId="47">'Div 3'!$T$243:$T$244</definedName>
    <definedName name="OSRRefT22_20x_0" localSheetId="73">'Div 4'!$T$97:$T$98</definedName>
    <definedName name="OSRRefT22_20x_0" localSheetId="2">Summary!$T$274:$T$278</definedName>
    <definedName name="OSRRefT22_21x_0" localSheetId="48">'300'!$T$246:$T$247</definedName>
    <definedName name="OSRRefT22_21x_0" localSheetId="49">'300 &amp; 317'!$T$272:$T$273</definedName>
    <definedName name="OSRRefT22_21x_0" localSheetId="50">'301'!$T$92:$T$94</definedName>
    <definedName name="OSRRefT22_21x_0" localSheetId="65">'310'!$T$99</definedName>
    <definedName name="OSRRefT22_21x_0" localSheetId="74">'310 &amp; 491'!$T$116</definedName>
    <definedName name="OSRRefT22_21x_0" localSheetId="58">'331'!$T$161</definedName>
    <definedName name="OSRRefT22_21x_0" localSheetId="75">'491'!$T$109</definedName>
    <definedName name="OSRRefT22_21x_0" localSheetId="47">'Div 3'!$T$246:$T$254</definedName>
    <definedName name="OSRRefT22_21x_0" localSheetId="73">'Div 4'!$T$100:$T$109</definedName>
    <definedName name="OSRRefT22_21x_0" localSheetId="2">Summary!$T$280:$T$281</definedName>
    <definedName name="OSRRefT22_22x_0" localSheetId="48">'300'!$T$249</definedName>
    <definedName name="OSRRefT22_22x_0" localSheetId="49">'300 &amp; 317'!$T$275</definedName>
    <definedName name="OSRRefT22_22x_0" localSheetId="50">'301'!$T$96</definedName>
    <definedName name="OSRRefT22_22x_0" localSheetId="74">'310 &amp; 491'!$T$118</definedName>
    <definedName name="OSRRefT22_22x_0" localSheetId="75">'491'!$T$111</definedName>
    <definedName name="OSRRefT22_22x_0" localSheetId="47">'Div 3'!$T$256:$T$257</definedName>
    <definedName name="OSRRefT22_22x_0" localSheetId="73">'Div 4'!$T$111</definedName>
    <definedName name="OSRRefT22_22x_0" localSheetId="2">Summary!$T$283:$T$292</definedName>
    <definedName name="OSRRefT22_23x_0" localSheetId="48">'300'!$T$251:$T$253</definedName>
    <definedName name="OSRRefT22_23x_0" localSheetId="49">'300 &amp; 317'!$T$277:$T$279</definedName>
    <definedName name="OSRRefT22_23x_0" localSheetId="74">'310 &amp; 491'!$T$120:$T$122</definedName>
    <definedName name="OSRRefT22_23x_0" localSheetId="75">'491'!$T$113:$T$115</definedName>
    <definedName name="OSRRefT22_23x_0" localSheetId="47">'Div 3'!$T$259</definedName>
    <definedName name="OSRRefT22_23x_0" localSheetId="73">'Div 4'!$T$113</definedName>
    <definedName name="OSRRefT22_23x_0" localSheetId="2">Summary!$T$294:$T$295</definedName>
    <definedName name="OSRRefT22_24x_0" localSheetId="48">'300'!$T$255</definedName>
    <definedName name="OSRRefT22_24x_0" localSheetId="49">'300 &amp; 317'!$T$281</definedName>
    <definedName name="OSRRefT22_24x_0" localSheetId="74">'310 &amp; 491'!$T$124</definedName>
    <definedName name="OSRRefT22_24x_0" localSheetId="75">'491'!$T$117</definedName>
    <definedName name="OSRRefT22_24x_0" localSheetId="47">'Div 3'!$T$261:$T$263</definedName>
    <definedName name="OSRRefT22_24x_0" localSheetId="73">'Div 4'!$T$115:$T$117</definedName>
    <definedName name="OSRRefT22_24x_0" localSheetId="2">Summary!$T$297</definedName>
    <definedName name="OSRRefT22_25x_0" localSheetId="47">'Div 3'!$T$265</definedName>
    <definedName name="OSRRefT22_25x_0" localSheetId="73">'Div 4'!$T$119</definedName>
    <definedName name="OSRRefT22_25x_0" localSheetId="2">Summary!$T$299:$T$301</definedName>
    <definedName name="OSRRefT22_26x_0" localSheetId="2">Summary!$T$303</definedName>
    <definedName name="OSRRefT22_2x_0" localSheetId="40">'200'!$T$24</definedName>
    <definedName name="OSRRefT22_2x_0" localSheetId="41">'201'!$T$33</definedName>
    <definedName name="OSRRefT22_2x_0" localSheetId="42">'202'!$T$34</definedName>
    <definedName name="OSRRefT22_2x_0" localSheetId="43">'203'!$T$37</definedName>
    <definedName name="OSRRefT22_2x_0" localSheetId="44">'204'!$T$37</definedName>
    <definedName name="OSRRefT22_2x_0" localSheetId="45">'205'!$T$31</definedName>
    <definedName name="OSRRefT22_2x_0" localSheetId="46">'206'!$T$34</definedName>
    <definedName name="OSRRefT22_2x_0" localSheetId="48">'300'!$T$186</definedName>
    <definedName name="OSRRefT22_2x_0" localSheetId="49">'300 &amp; 317'!$T$212</definedName>
    <definedName name="OSRRefT22_2x_0" localSheetId="50">'301'!$T$39</definedName>
    <definedName name="OSRRefT22_2x_0" localSheetId="51">'306'!$T$37</definedName>
    <definedName name="OSRRefT22_2x_0" localSheetId="53">'307'!$T$92</definedName>
    <definedName name="OSRRefT22_2x_0" localSheetId="55">'308'!$T$84</definedName>
    <definedName name="OSRRefT22_2x_0" localSheetId="66">'309'!$T$39</definedName>
    <definedName name="OSRRefT22_2x_0" localSheetId="65">'310'!$T$47</definedName>
    <definedName name="OSRRefT22_2x_0" localSheetId="74">'310 &amp; 491'!$T$56</definedName>
    <definedName name="OSRRefT22_2x_0" localSheetId="56">'311'!$T$83</definedName>
    <definedName name="OSRRefT22_2x_0" localSheetId="67">'313'!$T$43</definedName>
    <definedName name="OSRRefT22_2x_0" localSheetId="54">'314'!$T$70</definedName>
    <definedName name="OSRRefT22_2x_0" localSheetId="59">'315'!$T$99</definedName>
    <definedName name="OSRRefT22_2x_0" localSheetId="61">'316'!$T$51</definedName>
    <definedName name="OSRRefT22_2x_0" localSheetId="64">'317'!$T$77</definedName>
    <definedName name="OSRRefT22_2x_0" localSheetId="62">'320'!$T$42</definedName>
    <definedName name="OSRRefT22_2x_0" localSheetId="68">'321'!$T$39</definedName>
    <definedName name="OSRRefT22_2x_0" localSheetId="69">'322'!$T$39</definedName>
    <definedName name="OSRRefT22_2x_0" localSheetId="70">'325'!$T$39</definedName>
    <definedName name="OSRRefT22_2x_0" localSheetId="71">'326'!$T$79</definedName>
    <definedName name="OSRRefT22_2x_0" localSheetId="72">'327'!$T$26</definedName>
    <definedName name="OSRRefT22_2x_0" localSheetId="52">'330'!$T$101</definedName>
    <definedName name="OSRRefT22_2x_0" localSheetId="58">'331'!$T$108</definedName>
    <definedName name="OSRRefT22_2x_0" localSheetId="60">'332'!$T$59</definedName>
    <definedName name="OSRRefT22_2x_0" localSheetId="76">'405'!$T$38</definedName>
    <definedName name="OSRRefT22_2x_0" localSheetId="77">'406'!$T$40</definedName>
    <definedName name="OSRRefT22_2x_0" localSheetId="78">'411'!$T$37</definedName>
    <definedName name="OSRRefT22_2x_0" localSheetId="79">'412'!$T$40</definedName>
    <definedName name="OSRRefT22_2x_0" localSheetId="80">'413'!$T$39</definedName>
    <definedName name="OSRRefT22_2x_0" localSheetId="81">'414'!$T$40</definedName>
    <definedName name="OSRRefT22_2x_0" localSheetId="82">'415'!$T$40</definedName>
    <definedName name="OSRRefT22_2x_0" localSheetId="83">'418'!$T$40</definedName>
    <definedName name="OSRRefT22_2x_0" localSheetId="84">'420'!$T$38</definedName>
    <definedName name="OSRRefT22_2x_0" localSheetId="85">'423'!$T$33</definedName>
    <definedName name="OSRRefT22_2x_0" localSheetId="86">'424'!$T$33</definedName>
    <definedName name="OSRRefT22_2x_0" localSheetId="88">'425'!$T$44</definedName>
    <definedName name="OSRRefT22_2x_0" localSheetId="90">'430'!$T$31</definedName>
    <definedName name="OSRRefT22_2x_0" localSheetId="91">'433'!$T$42</definedName>
    <definedName name="OSRRefT22_2x_0" localSheetId="92">'435'!$T$33</definedName>
    <definedName name="OSRRefT22_2x_0" localSheetId="93">'444'!$T$42</definedName>
    <definedName name="OSRRefT22_2x_0" localSheetId="94">'450'!$T$42</definedName>
    <definedName name="OSRRefT22_2x_0" localSheetId="75">'491'!$T$50</definedName>
    <definedName name="OSRRefT22_2x_0" localSheetId="89">'492'!$T$45</definedName>
    <definedName name="OSRRefT22_2x_0" localSheetId="96">'501'!$T$37</definedName>
    <definedName name="OSRRefT22_2x_0" localSheetId="39">'Div 2'!$T$40</definedName>
    <definedName name="OSRRefT22_2x_0" localSheetId="47">'Div 3'!$T$191</definedName>
    <definedName name="OSRRefT22_2x_0" localSheetId="73">'Div 4'!$T$50</definedName>
    <definedName name="OSRRefT22_2x_0" localSheetId="95">'Div 5'!$T$37</definedName>
    <definedName name="OSRRefT22_2x_0" localSheetId="63">'Div 6'!$T$77</definedName>
    <definedName name="OSRRefT22_2x_0" localSheetId="2">Summary!$T$224</definedName>
    <definedName name="OSRRefT22_3x_0" localSheetId="40">'200'!$T$26</definedName>
    <definedName name="OSRRefT22_3x_0" localSheetId="41">'201'!$T$35</definedName>
    <definedName name="OSRRefT22_3x_0" localSheetId="42">'202'!$T$36</definedName>
    <definedName name="OSRRefT22_3x_0" localSheetId="43">'203'!$T$39</definedName>
    <definedName name="OSRRefT22_3x_0" localSheetId="44">'204'!$T$39</definedName>
    <definedName name="OSRRefT22_3x_0" localSheetId="45">'205'!$T$33</definedName>
    <definedName name="OSRRefT22_3x_0" localSheetId="46">'206'!$T$36</definedName>
    <definedName name="OSRRefT22_3x_0" localSheetId="48">'300'!$T$188:$T$189</definedName>
    <definedName name="OSRRefT22_3x_0" localSheetId="49">'300 &amp; 317'!$T$214:$T$215</definedName>
    <definedName name="OSRRefT22_3x_0" localSheetId="50">'301'!$T$41:$T$42</definedName>
    <definedName name="OSRRefT22_3x_0" localSheetId="51">'306'!$T$39</definedName>
    <definedName name="OSRRefT22_3x_0" localSheetId="53">'307'!$T$94</definedName>
    <definedName name="OSRRefT22_3x_0" localSheetId="55">'308'!$T$86:$T$87</definedName>
    <definedName name="OSRRefT22_3x_0" localSheetId="66">'309'!$T$41</definedName>
    <definedName name="OSRRefT22_3x_0" localSheetId="65">'310'!$T$49</definedName>
    <definedName name="OSRRefT22_3x_0" localSheetId="74">'310 &amp; 491'!$T$58</definedName>
    <definedName name="OSRRefT22_3x_0" localSheetId="56">'311'!$T$85:$T$86</definedName>
    <definedName name="OSRRefT22_3x_0" localSheetId="67">'313'!$T$45</definedName>
    <definedName name="OSRRefT22_3x_0" localSheetId="54">'314'!$T$72:$T$73</definedName>
    <definedName name="OSRRefT22_3x_0" localSheetId="59">'315'!$T$101:$T$102</definedName>
    <definedName name="OSRRefT22_3x_0" localSheetId="61">'316'!$T$53</definedName>
    <definedName name="OSRRefT22_3x_0" localSheetId="64">'317'!$T$79</definedName>
    <definedName name="OSRRefT22_3x_0" localSheetId="62">'320'!$T$44</definedName>
    <definedName name="OSRRefT22_3x_0" localSheetId="68">'321'!$T$41</definedName>
    <definedName name="OSRRefT22_3x_0" localSheetId="69">'322'!$T$41</definedName>
    <definedName name="OSRRefT22_3x_0" localSheetId="70">'325'!$T$41</definedName>
    <definedName name="OSRRefT22_3x_0" localSheetId="71">'326'!$T$81</definedName>
    <definedName name="OSRRefT22_3x_0" localSheetId="52">'330'!$T$103</definedName>
    <definedName name="OSRRefT22_3x_0" localSheetId="58">'331'!$T$110</definedName>
    <definedName name="OSRRefT22_3x_0" localSheetId="60">'332'!$T$61</definedName>
    <definedName name="OSRRefT22_3x_0" localSheetId="76">'405'!$T$40</definedName>
    <definedName name="OSRRefT22_3x_0" localSheetId="77">'406'!$T$42</definedName>
    <definedName name="OSRRefT22_3x_0" localSheetId="78">'411'!$T$39</definedName>
    <definedName name="OSRRefT22_3x_0" localSheetId="79">'412'!$T$42</definedName>
    <definedName name="OSRRefT22_3x_0" localSheetId="80">'413'!$T$41</definedName>
    <definedName name="OSRRefT22_3x_0" localSheetId="81">'414'!$T$42</definedName>
    <definedName name="OSRRefT22_3x_0" localSheetId="82">'415'!$T$42</definedName>
    <definedName name="OSRRefT22_3x_0" localSheetId="83">'418'!$T$42</definedName>
    <definedName name="OSRRefT22_3x_0" localSheetId="84">'420'!$T$40</definedName>
    <definedName name="OSRRefT22_3x_0" localSheetId="85">'423'!$T$35</definedName>
    <definedName name="OSRRefT22_3x_0" localSheetId="86">'424'!$T$35</definedName>
    <definedName name="OSRRefT22_3x_0" localSheetId="88">'425'!$T$46</definedName>
    <definedName name="OSRRefT22_3x_0" localSheetId="90">'430'!$T$33</definedName>
    <definedName name="OSRRefT22_3x_0" localSheetId="91">'433'!$T$44</definedName>
    <definedName name="OSRRefT22_3x_0" localSheetId="92">'435'!$T$35</definedName>
    <definedName name="OSRRefT22_3x_0" localSheetId="93">'444'!$T$44</definedName>
    <definedName name="OSRRefT22_3x_0" localSheetId="94">'450'!$T$44</definedName>
    <definedName name="OSRRefT22_3x_0" localSheetId="75">'491'!$T$52</definedName>
    <definedName name="OSRRefT22_3x_0" localSheetId="89">'492'!$T$47</definedName>
    <definedName name="OSRRefT22_3x_0" localSheetId="96">'501'!$T$39</definedName>
    <definedName name="OSRRefT22_3x_0" localSheetId="39">'Div 2'!$T$42</definedName>
    <definedName name="OSRRefT22_3x_0" localSheetId="47">'Div 3'!$T$193:$T$194</definedName>
    <definedName name="OSRRefT22_3x_0" localSheetId="73">'Div 4'!$T$52</definedName>
    <definedName name="OSRRefT22_3x_0" localSheetId="95">'Div 5'!$T$39</definedName>
    <definedName name="OSRRefT22_3x_0" localSheetId="63">'Div 6'!$T$79</definedName>
    <definedName name="OSRRefT22_3x_0" localSheetId="2">Summary!$T$226:$T$227</definedName>
    <definedName name="OSRRefT22_4x_0" localSheetId="40">'200'!$T$28:$T$29</definedName>
    <definedName name="OSRRefT22_4x_0" localSheetId="41">'201'!$T$37</definedName>
    <definedName name="OSRRefT22_4x_0" localSheetId="42">'202'!$T$38</definedName>
    <definedName name="OSRRefT22_4x_0" localSheetId="43">'203'!$T$41</definedName>
    <definedName name="OSRRefT22_4x_0" localSheetId="44">'204'!$T$41</definedName>
    <definedName name="OSRRefT22_4x_0" localSheetId="45">'205'!$T$35:$T$36</definedName>
    <definedName name="OSRRefT22_4x_0" localSheetId="46">'206'!$T$38</definedName>
    <definedName name="OSRRefT22_4x_0" localSheetId="48">'300'!$T$191</definedName>
    <definedName name="OSRRefT22_4x_0" localSheetId="49">'300 &amp; 317'!$T$217</definedName>
    <definedName name="OSRRefT22_4x_0" localSheetId="50">'301'!$T$44</definedName>
    <definedName name="OSRRefT22_4x_0" localSheetId="51">'306'!$T$41</definedName>
    <definedName name="OSRRefT22_4x_0" localSheetId="53">'307'!$T$96:$T$97</definedName>
    <definedName name="OSRRefT22_4x_0" localSheetId="55">'308'!$T$89</definedName>
    <definedName name="OSRRefT22_4x_0" localSheetId="66">'309'!$T$43</definedName>
    <definedName name="OSRRefT22_4x_0" localSheetId="65">'310'!$T$51</definedName>
    <definedName name="OSRRefT22_4x_0" localSheetId="74">'310 &amp; 491'!$T$60</definedName>
    <definedName name="OSRRefT22_4x_0" localSheetId="56">'311'!$T$88</definedName>
    <definedName name="OSRRefT22_4x_0" localSheetId="67">'313'!$T$47</definedName>
    <definedName name="OSRRefT22_4x_0" localSheetId="54">'314'!$T$75</definedName>
    <definedName name="OSRRefT22_4x_0" localSheetId="59">'315'!$T$104</definedName>
    <definedName name="OSRRefT22_4x_0" localSheetId="61">'316'!$T$55</definedName>
    <definedName name="OSRRefT22_4x_0" localSheetId="64">'317'!$T$81</definedName>
    <definedName name="OSRRefT22_4x_0" localSheetId="62">'320'!$T$46:$T$47</definedName>
    <definedName name="OSRRefT22_4x_0" localSheetId="68">'321'!$T$43</definedName>
    <definedName name="OSRRefT22_4x_0" localSheetId="69">'322'!$T$43</definedName>
    <definedName name="OSRRefT22_4x_0" localSheetId="70">'325'!$T$43</definedName>
    <definedName name="OSRRefT22_4x_0" localSheetId="71">'326'!$T$83</definedName>
    <definedName name="OSRRefT22_4x_0" localSheetId="52">'330'!$T$105:$T$106</definedName>
    <definedName name="OSRRefT22_4x_0" localSheetId="58">'331'!$T$112</definedName>
    <definedName name="OSRRefT22_4x_0" localSheetId="60">'332'!$T$63</definedName>
    <definedName name="OSRRefT22_4x_0" localSheetId="76">'405'!$T$42</definedName>
    <definedName name="OSRRefT22_4x_0" localSheetId="77">'406'!$T$44</definedName>
    <definedName name="OSRRefT22_4x_0" localSheetId="78">'411'!$T$41:$T$43</definedName>
    <definedName name="OSRRefT22_4x_0" localSheetId="79">'412'!$T$44</definedName>
    <definedName name="OSRRefT22_4x_0" localSheetId="80">'413'!$T$43</definedName>
    <definedName name="OSRRefT22_4x_0" localSheetId="81">'414'!$T$44</definedName>
    <definedName name="OSRRefT22_4x_0" localSheetId="82">'415'!$T$44</definedName>
    <definedName name="OSRRefT22_4x_0" localSheetId="83">'418'!$T$44</definedName>
    <definedName name="OSRRefT22_4x_0" localSheetId="84">'420'!$T$42</definedName>
    <definedName name="OSRRefT22_4x_0" localSheetId="85">'423'!$T$37</definedName>
    <definedName name="OSRRefT22_4x_0" localSheetId="86">'424'!$T$37</definedName>
    <definedName name="OSRRefT22_4x_0" localSheetId="88">'425'!$T$48</definedName>
    <definedName name="OSRRefT22_4x_0" localSheetId="90">'430'!$T$35:$T$36</definedName>
    <definedName name="OSRRefT22_4x_0" localSheetId="91">'433'!$T$46</definedName>
    <definedName name="OSRRefT22_4x_0" localSheetId="92">'435'!$T$37</definedName>
    <definedName name="OSRRefT22_4x_0" localSheetId="93">'444'!$T$46</definedName>
    <definedName name="OSRRefT22_4x_0" localSheetId="94">'450'!$T$46</definedName>
    <definedName name="OSRRefT22_4x_0" localSheetId="75">'491'!$T$54</definedName>
    <definedName name="OSRRefT22_4x_0" localSheetId="89">'492'!$T$49</definedName>
    <definedName name="OSRRefT22_4x_0" localSheetId="96">'501'!$T$41</definedName>
    <definedName name="OSRRefT22_4x_0" localSheetId="39">'Div 2'!$T$44</definedName>
    <definedName name="OSRRefT22_4x_0" localSheetId="47">'Div 3'!$T$196</definedName>
    <definedName name="OSRRefT22_4x_0" localSheetId="73">'Div 4'!$T$54</definedName>
    <definedName name="OSRRefT22_4x_0" localSheetId="95">'Div 5'!$T$41</definedName>
    <definedName name="OSRRefT22_4x_0" localSheetId="63">'Div 6'!$T$81</definedName>
    <definedName name="OSRRefT22_4x_0" localSheetId="2">Summary!$T$229</definedName>
    <definedName name="OSRRefT22_5x_0" localSheetId="41">'201'!$T$39</definedName>
    <definedName name="OSRRefT22_5x_0" localSheetId="42">'202'!$T$40</definedName>
    <definedName name="OSRRefT22_5x_0" localSheetId="43">'203'!$T$43</definedName>
    <definedName name="OSRRefT22_5x_0" localSheetId="44">'204'!$T$43</definedName>
    <definedName name="OSRRefT22_5x_0" localSheetId="45">'205'!$T$38</definedName>
    <definedName name="OSRRefT22_5x_0" localSheetId="46">'206'!$T$40</definedName>
    <definedName name="OSRRefT22_5x_0" localSheetId="48">'300'!$T$193:$T$195</definedName>
    <definedName name="OSRRefT22_5x_0" localSheetId="49">'300 &amp; 317'!$T$219:$T$221</definedName>
    <definedName name="OSRRefT22_5x_0" localSheetId="50">'301'!$T$46:$T$48</definedName>
    <definedName name="OSRRefT22_5x_0" localSheetId="51">'306'!$T$43</definedName>
    <definedName name="OSRRefT22_5x_0" localSheetId="53">'307'!$T$99</definedName>
    <definedName name="OSRRefT22_5x_0" localSheetId="55">'308'!$T$91</definedName>
    <definedName name="OSRRefT22_5x_0" localSheetId="66">'309'!$T$45</definedName>
    <definedName name="OSRRefT22_5x_0" localSheetId="65">'310'!$T$53:$T$54</definedName>
    <definedName name="OSRRefT22_5x_0" localSheetId="74">'310 &amp; 491'!$T$62:$T$64</definedName>
    <definedName name="OSRRefT22_5x_0" localSheetId="56">'311'!$T$90</definedName>
    <definedName name="OSRRefT22_5x_0" localSheetId="67">'313'!$T$49</definedName>
    <definedName name="OSRRefT22_5x_0" localSheetId="54">'314'!$T$77</definedName>
    <definedName name="OSRRefT22_5x_0" localSheetId="59">'315'!$T$106:$T$107</definedName>
    <definedName name="OSRRefT22_5x_0" localSheetId="61">'316'!$T$57</definedName>
    <definedName name="OSRRefT22_5x_0" localSheetId="64">'317'!$T$83:$T$84</definedName>
    <definedName name="OSRRefT22_5x_0" localSheetId="62">'320'!$T$49</definedName>
    <definedName name="OSRRefT22_5x_0" localSheetId="68">'321'!$T$45</definedName>
    <definedName name="OSRRefT22_5x_0" localSheetId="69">'322'!$T$45</definedName>
    <definedName name="OSRRefT22_5x_0" localSheetId="70">'325'!$T$45:$T$46</definedName>
    <definedName name="OSRRefT22_5x_0" localSheetId="71">'326'!$T$85:$T$86</definedName>
    <definedName name="OSRRefT22_5x_0" localSheetId="52">'330'!$T$108</definedName>
    <definedName name="OSRRefT22_5x_0" localSheetId="58">'331'!$T$114:$T$115</definedName>
    <definedName name="OSRRefT22_5x_0" localSheetId="60">'332'!$T$65</definedName>
    <definedName name="OSRRefT22_5x_0" localSheetId="76">'405'!$T$44:$T$45</definedName>
    <definedName name="OSRRefT22_5x_0" localSheetId="77">'406'!$T$46</definedName>
    <definedName name="OSRRefT22_5x_0" localSheetId="78">'411'!$T$45</definedName>
    <definedName name="OSRRefT22_5x_0" localSheetId="79">'412'!$T$46</definedName>
    <definedName name="OSRRefT22_5x_0" localSheetId="80">'413'!$T$45</definedName>
    <definedName name="OSRRefT22_5x_0" localSheetId="81">'414'!$T$46</definedName>
    <definedName name="OSRRefT22_5x_0" localSheetId="82">'415'!$T$46:$T$47</definedName>
    <definedName name="OSRRefT22_5x_0" localSheetId="83">'418'!$T$46:$T$47</definedName>
    <definedName name="OSRRefT22_5x_0" localSheetId="84">'420'!$T$44</definedName>
    <definedName name="OSRRefT22_5x_0" localSheetId="85">'423'!$T$39</definedName>
    <definedName name="OSRRefT22_5x_0" localSheetId="86">'424'!$T$39</definedName>
    <definedName name="OSRRefT22_5x_0" localSheetId="88">'425'!$T$50</definedName>
    <definedName name="OSRRefT22_5x_0" localSheetId="90">'430'!$T$38</definedName>
    <definedName name="OSRRefT22_5x_0" localSheetId="91">'433'!$T$48</definedName>
    <definedName name="OSRRefT22_5x_0" localSheetId="92">'435'!$T$39</definedName>
    <definedName name="OSRRefT22_5x_0" localSheetId="93">'444'!$T$48</definedName>
    <definedName name="OSRRefT22_5x_0" localSheetId="94">'450'!$T$48</definedName>
    <definedName name="OSRRefT22_5x_0" localSheetId="75">'491'!$T$56:$T$58</definedName>
    <definedName name="OSRRefT22_5x_0" localSheetId="89">'492'!$T$51</definedName>
    <definedName name="OSRRefT22_5x_0" localSheetId="96">'501'!$T$43:$T$44</definedName>
    <definedName name="OSRRefT22_5x_0" localSheetId="39">'Div 2'!$T$46</definedName>
    <definedName name="OSRRefT22_5x_0" localSheetId="47">'Div 3'!$T$198:$T$200</definedName>
    <definedName name="OSRRefT22_5x_0" localSheetId="73">'Div 4'!$T$56:$T$58</definedName>
    <definedName name="OSRRefT22_5x_0" localSheetId="95">'Div 5'!$T$43:$T$44</definedName>
    <definedName name="OSRRefT22_5x_0" localSheetId="63">'Div 6'!$T$83:$T$84</definedName>
    <definedName name="OSRRefT22_5x_0" localSheetId="2">Summary!$T$231:$T$234</definedName>
    <definedName name="OSRRefT22_6x_0" localSheetId="41">'201'!$T$41</definedName>
    <definedName name="OSRRefT22_6x_0" localSheetId="42">'202'!$T$42:$T$43</definedName>
    <definedName name="OSRRefT22_6x_0" localSheetId="43">'203'!$T$45</definedName>
    <definedName name="OSRRefT22_6x_0" localSheetId="44">'204'!$T$45:$T$47</definedName>
    <definedName name="OSRRefT22_6x_0" localSheetId="45">'205'!$T$40:$T$42</definedName>
    <definedName name="OSRRefT22_6x_0" localSheetId="46">'206'!$T$42:$T$43</definedName>
    <definedName name="OSRRefT22_6x_0" localSheetId="48">'300'!$T$197:$T$198</definedName>
    <definedName name="OSRRefT22_6x_0" localSheetId="49">'300 &amp; 317'!$T$223:$T$224</definedName>
    <definedName name="OSRRefT22_6x_0" localSheetId="50">'301'!$T$50:$T$51</definedName>
    <definedName name="OSRRefT22_6x_0" localSheetId="51">'306'!$T$45:$T$46</definedName>
    <definedName name="OSRRefT22_6x_0" localSheetId="53">'307'!$T$101</definedName>
    <definedName name="OSRRefT22_6x_0" localSheetId="55">'308'!$T$93:$T$94</definedName>
    <definedName name="OSRRefT22_6x_0" localSheetId="66">'309'!$T$47</definedName>
    <definedName name="OSRRefT22_6x_0" localSheetId="65">'310'!$T$56</definedName>
    <definedName name="OSRRefT22_6x_0" localSheetId="74">'310 &amp; 491'!$T$66</definedName>
    <definedName name="OSRRefT22_6x_0" localSheetId="56">'311'!$T$92:$T$93</definedName>
    <definedName name="OSRRefT22_6x_0" localSheetId="67">'313'!$T$51</definedName>
    <definedName name="OSRRefT22_6x_0" localSheetId="54">'314'!$T$79</definedName>
    <definedName name="OSRRefT22_6x_0" localSheetId="59">'315'!$T$109:$T$110</definedName>
    <definedName name="OSRRefT22_6x_0" localSheetId="61">'316'!$T$59:$T$60</definedName>
    <definedName name="OSRRefT22_6x_0" localSheetId="64">'317'!$T$86</definedName>
    <definedName name="OSRRefT22_6x_0" localSheetId="62">'320'!$T$51</definedName>
    <definedName name="OSRRefT22_6x_0" localSheetId="68">'321'!$T$47</definedName>
    <definedName name="OSRRefT22_6x_0" localSheetId="69">'322'!$T$47</definedName>
    <definedName name="OSRRefT22_6x_0" localSheetId="70">'325'!$T$48</definedName>
    <definedName name="OSRRefT22_6x_0" localSheetId="71">'326'!$T$88</definedName>
    <definedName name="OSRRefT22_6x_0" localSheetId="52">'330'!$T$110</definedName>
    <definedName name="OSRRefT22_6x_0" localSheetId="58">'331'!$T$117</definedName>
    <definedName name="OSRRefT22_6x_0" localSheetId="60">'332'!$T$67:$T$68</definedName>
    <definedName name="OSRRefT22_6x_0" localSheetId="76">'405'!$T$47</definedName>
    <definedName name="OSRRefT22_6x_0" localSheetId="77">'406'!$T$48</definedName>
    <definedName name="OSRRefT22_6x_0" localSheetId="78">'411'!$T$47</definedName>
    <definedName name="OSRRefT22_6x_0" localSheetId="79">'412'!$T$48</definedName>
    <definedName name="OSRRefT22_6x_0" localSheetId="80">'413'!$T$47</definedName>
    <definedName name="OSRRefT22_6x_0" localSheetId="81">'414'!$T$48</definedName>
    <definedName name="OSRRefT22_6x_0" localSheetId="82">'415'!$T$49</definedName>
    <definedName name="OSRRefT22_6x_0" localSheetId="83">'418'!$T$49</definedName>
    <definedName name="OSRRefT22_6x_0" localSheetId="84">'420'!$T$46:$T$47</definedName>
    <definedName name="OSRRefT22_6x_0" localSheetId="85">'423'!$T$41</definedName>
    <definedName name="OSRRefT22_6x_0" localSheetId="86">'424'!$T$41</definedName>
    <definedName name="OSRRefT22_6x_0" localSheetId="88">'425'!$T$52</definedName>
    <definedName name="OSRRefT22_6x_0" localSheetId="90">'430'!$T$40</definedName>
    <definedName name="OSRRefT22_6x_0" localSheetId="91">'433'!$T$50</definedName>
    <definedName name="OSRRefT22_6x_0" localSheetId="92">'435'!$T$41</definedName>
    <definedName name="OSRRefT22_6x_0" localSheetId="93">'444'!$T$50</definedName>
    <definedName name="OSRRefT22_6x_0" localSheetId="94">'450'!$T$50</definedName>
    <definedName name="OSRRefT22_6x_0" localSheetId="75">'491'!$T$60</definedName>
    <definedName name="OSRRefT22_6x_0" localSheetId="89">'492'!$T$53</definedName>
    <definedName name="OSRRefT22_6x_0" localSheetId="96">'501'!$T$46</definedName>
    <definedName name="OSRRefT22_6x_0" localSheetId="39">'Div 2'!$T$48</definedName>
    <definedName name="OSRRefT22_6x_0" localSheetId="47">'Div 3'!$T$202:$T$203</definedName>
    <definedName name="OSRRefT22_6x_0" localSheetId="73">'Div 4'!$T$60</definedName>
    <definedName name="OSRRefT22_6x_0" localSheetId="95">'Div 5'!$T$46</definedName>
    <definedName name="OSRRefT22_6x_0" localSheetId="63">'Div 6'!$T$86</definedName>
    <definedName name="OSRRefT22_6x_0" localSheetId="2">Summary!$T$236:$T$237</definedName>
    <definedName name="OSRRefT22_7x_0" localSheetId="41">'201'!$T$43</definedName>
    <definedName name="OSRRefT22_7x_0" localSheetId="42">'202'!$T$45</definedName>
    <definedName name="OSRRefT22_7x_0" localSheetId="43">'203'!$T$47</definedName>
    <definedName name="OSRRefT22_7x_0" localSheetId="44">'204'!$T$49</definedName>
    <definedName name="OSRRefT22_7x_0" localSheetId="45">'205'!$T$44</definedName>
    <definedName name="OSRRefT22_7x_0" localSheetId="46">'206'!$T$45</definedName>
    <definedName name="OSRRefT22_7x_0" localSheetId="48">'300'!$T$200</definedName>
    <definedName name="OSRRefT22_7x_0" localSheetId="49">'300 &amp; 317'!$T$226</definedName>
    <definedName name="OSRRefT22_7x_0" localSheetId="50">'301'!$T$53</definedName>
    <definedName name="OSRRefT22_7x_0" localSheetId="51">'306'!$T$48:$T$50</definedName>
    <definedName name="OSRRefT22_7x_0" localSheetId="53">'307'!$T$103:$T$104</definedName>
    <definedName name="OSRRefT22_7x_0" localSheetId="55">'308'!$T$96</definedName>
    <definedName name="OSRRefT22_7x_0" localSheetId="66">'309'!$T$49</definedName>
    <definedName name="OSRRefT22_7x_0" localSheetId="65">'310'!$T$58</definedName>
    <definedName name="OSRRefT22_7x_0" localSheetId="74">'310 &amp; 491'!$T$68</definedName>
    <definedName name="OSRRefT22_7x_0" localSheetId="56">'311'!$T$95</definedName>
    <definedName name="OSRRefT22_7x_0" localSheetId="67">'313'!$T$53</definedName>
    <definedName name="OSRRefT22_7x_0" localSheetId="54">'314'!$T$81</definedName>
    <definedName name="OSRRefT22_7x_0" localSheetId="59">'315'!$T$112</definedName>
    <definedName name="OSRRefT22_7x_0" localSheetId="61">'316'!$T$62</definedName>
    <definedName name="OSRRefT22_7x_0" localSheetId="64">'317'!$T$88</definedName>
    <definedName name="OSRRefT22_7x_0" localSheetId="62">'320'!$T$53:$T$54</definedName>
    <definedName name="OSRRefT22_7x_0" localSheetId="68">'321'!$T$49:$T$51</definedName>
    <definedName name="OSRRefT22_7x_0" localSheetId="69">'322'!$T$49</definedName>
    <definedName name="OSRRefT22_7x_0" localSheetId="70">'325'!$T$50</definedName>
    <definedName name="OSRRefT22_7x_0" localSheetId="71">'326'!$T$90</definedName>
    <definedName name="OSRRefT22_7x_0" localSheetId="52">'330'!$T$112</definedName>
    <definedName name="OSRRefT22_7x_0" localSheetId="58">'331'!$T$119:$T$120</definedName>
    <definedName name="OSRRefT22_7x_0" localSheetId="60">'332'!$T$70</definedName>
    <definedName name="OSRRefT22_7x_0" localSheetId="76">'405'!$T$49</definedName>
    <definedName name="OSRRefT22_7x_0" localSheetId="77">'406'!$T$50</definedName>
    <definedName name="OSRRefT22_7x_0" localSheetId="78">'411'!$T$49</definedName>
    <definedName name="OSRRefT22_7x_0" localSheetId="79">'412'!$T$50</definedName>
    <definedName name="OSRRefT22_7x_0" localSheetId="80">'413'!$T$49:$T$51</definedName>
    <definedName name="OSRRefT22_7x_0" localSheetId="81">'414'!$T$50</definedName>
    <definedName name="OSRRefT22_7x_0" localSheetId="82">'415'!$T$51</definedName>
    <definedName name="OSRRefT22_7x_0" localSheetId="83">'418'!$T$51</definedName>
    <definedName name="OSRRefT22_7x_0" localSheetId="84">'420'!$T$49</definedName>
    <definedName name="OSRRefT22_7x_0" localSheetId="86">'424'!$T$43</definedName>
    <definedName name="OSRRefT22_7x_0" localSheetId="88">'425'!$T$54</definedName>
    <definedName name="OSRRefT22_7x_0" localSheetId="90">'430'!$T$42</definedName>
    <definedName name="OSRRefT22_7x_0" localSheetId="91">'433'!$T$52</definedName>
    <definedName name="OSRRefT22_7x_0" localSheetId="92">'435'!$T$43:$T$45</definedName>
    <definedName name="OSRRefT22_7x_0" localSheetId="93">'444'!$T$52</definedName>
    <definedName name="OSRRefT22_7x_0" localSheetId="94">'450'!$T$52</definedName>
    <definedName name="OSRRefT22_7x_0" localSheetId="75">'491'!$T$62</definedName>
    <definedName name="OSRRefT22_7x_0" localSheetId="89">'492'!$T$55</definedName>
    <definedName name="OSRRefT22_7x_0" localSheetId="96">'501'!$T$48</definedName>
    <definedName name="OSRRefT22_7x_0" localSheetId="39">'Div 2'!$T$50</definedName>
    <definedName name="OSRRefT22_7x_0" localSheetId="47">'Div 3'!$T$205</definedName>
    <definedName name="OSRRefT22_7x_0" localSheetId="73">'Div 4'!$T$62</definedName>
    <definedName name="OSRRefT22_7x_0" localSheetId="95">'Div 5'!$T$48</definedName>
    <definedName name="OSRRefT22_7x_0" localSheetId="63">'Div 6'!$T$88</definedName>
    <definedName name="OSRRefT22_7x_0" localSheetId="2">Summary!$T$239</definedName>
    <definedName name="OSRRefT22_8x_0" localSheetId="41">'201'!$T$45</definedName>
    <definedName name="OSRRefT22_8x_0" localSheetId="42">'202'!$T$47</definedName>
    <definedName name="OSRRefT22_8x_0" localSheetId="43">'203'!$T$49</definedName>
    <definedName name="OSRRefT22_8x_0" localSheetId="44">'204'!$T$51:$T$52</definedName>
    <definedName name="OSRRefT22_8x_0" localSheetId="45">'205'!$T$46</definedName>
    <definedName name="OSRRefT22_8x_0" localSheetId="46">'206'!$T$47</definedName>
    <definedName name="OSRRefT22_8x_0" localSheetId="48">'300'!$T$202</definedName>
    <definedName name="OSRRefT22_8x_0" localSheetId="49">'300 &amp; 317'!$T$228</definedName>
    <definedName name="OSRRefT22_8x_0" localSheetId="50">'301'!$T$55</definedName>
    <definedName name="OSRRefT22_8x_0" localSheetId="51">'306'!$T$52</definedName>
    <definedName name="OSRRefT22_8x_0" localSheetId="53">'307'!$T$106:$T$107</definedName>
    <definedName name="OSRRefT22_8x_0" localSheetId="55">'308'!$T$98:$T$99</definedName>
    <definedName name="OSRRefT22_8x_0" localSheetId="66">'309'!$T$51</definedName>
    <definedName name="OSRRefT22_8x_0" localSheetId="65">'310'!$T$60</definedName>
    <definedName name="OSRRefT22_8x_0" localSheetId="74">'310 &amp; 491'!$T$70</definedName>
    <definedName name="OSRRefT22_8x_0" localSheetId="56">'311'!$T$97:$T$98</definedName>
    <definedName name="OSRRefT22_8x_0" localSheetId="67">'313'!$T$55:$T$57</definedName>
    <definedName name="OSRRefT22_8x_0" localSheetId="54">'314'!$T$83</definedName>
    <definedName name="OSRRefT22_8x_0" localSheetId="59">'315'!$T$114:$T$115</definedName>
    <definedName name="OSRRefT22_8x_0" localSheetId="61">'316'!$T$64:$T$66</definedName>
    <definedName name="OSRRefT22_8x_0" localSheetId="64">'317'!$T$90:$T$91</definedName>
    <definedName name="OSRRefT22_8x_0" localSheetId="62">'320'!$T$56</definedName>
    <definedName name="OSRRefT22_8x_0" localSheetId="68">'321'!$T$53</definedName>
    <definedName name="OSRRefT22_8x_0" localSheetId="69">'322'!$T$51:$T$52</definedName>
    <definedName name="OSRRefT22_8x_0" localSheetId="70">'325'!$T$52</definedName>
    <definedName name="OSRRefT22_8x_0" localSheetId="71">'326'!$T$92</definedName>
    <definedName name="OSRRefT22_8x_0" localSheetId="52">'330'!$T$114:$T$115</definedName>
    <definedName name="OSRRefT22_8x_0" localSheetId="58">'331'!$T$122</definedName>
    <definedName name="OSRRefT22_8x_0" localSheetId="60">'332'!$T$72</definedName>
    <definedName name="OSRRefT22_8x_0" localSheetId="76">'405'!$T$51</definedName>
    <definedName name="OSRRefT22_8x_0" localSheetId="77">'406'!$T$52</definedName>
    <definedName name="OSRRefT22_8x_0" localSheetId="78">'411'!$T$51</definedName>
    <definedName name="OSRRefT22_8x_0" localSheetId="79">'412'!$T$52</definedName>
    <definedName name="OSRRefT22_8x_0" localSheetId="80">'413'!$T$53:$T$55</definedName>
    <definedName name="OSRRefT22_8x_0" localSheetId="81">'414'!$T$52</definedName>
    <definedName name="OSRRefT22_8x_0" localSheetId="82">'415'!$T$53</definedName>
    <definedName name="OSRRefT22_8x_0" localSheetId="83">'418'!$T$53</definedName>
    <definedName name="OSRRefT22_8x_0" localSheetId="86">'424'!$T$45:$T$46</definedName>
    <definedName name="OSRRefT22_8x_0" localSheetId="88">'425'!$T$56</definedName>
    <definedName name="OSRRefT22_8x_0" localSheetId="91">'433'!$T$54</definedName>
    <definedName name="OSRRefT22_8x_0" localSheetId="92">'435'!$T$47</definedName>
    <definedName name="OSRRefT22_8x_0" localSheetId="93">'444'!$T$54</definedName>
    <definedName name="OSRRefT22_8x_0" localSheetId="94">'450'!$T$54</definedName>
    <definedName name="OSRRefT22_8x_0" localSheetId="75">'491'!$T$64</definedName>
    <definedName name="OSRRefT22_8x_0" localSheetId="89">'492'!$T$57</definedName>
    <definedName name="OSRRefT22_8x_0" localSheetId="96">'501'!$T$50</definedName>
    <definedName name="OSRRefT22_8x_0" localSheetId="39">'Div 2'!$T$52</definedName>
    <definedName name="OSRRefT22_8x_0" localSheetId="47">'Div 3'!$T$207</definedName>
    <definedName name="OSRRefT22_8x_0" localSheetId="73">'Div 4'!$T$64</definedName>
    <definedName name="OSRRefT22_8x_0" localSheetId="95">'Div 5'!$T$50</definedName>
    <definedName name="OSRRefT22_8x_0" localSheetId="63">'Div 6'!$T$90:$T$91</definedName>
    <definedName name="OSRRefT22_8x_0" localSheetId="2">Summary!$T$241</definedName>
    <definedName name="OSRRefT22_9x_0" localSheetId="41">'201'!$T$47:$T$49</definedName>
    <definedName name="OSRRefT22_9x_0" localSheetId="42">'202'!$T$49:$T$51</definedName>
    <definedName name="OSRRefT22_9x_0" localSheetId="43">'203'!$T$51:$T$53</definedName>
    <definedName name="OSRRefT22_9x_0" localSheetId="44">'204'!$T$54</definedName>
    <definedName name="OSRRefT22_9x_0" localSheetId="48">'300'!$T$204</definedName>
    <definedName name="OSRRefT22_9x_0" localSheetId="49">'300 &amp; 317'!$T$230</definedName>
    <definedName name="OSRRefT22_9x_0" localSheetId="50">'301'!$T$57</definedName>
    <definedName name="OSRRefT22_9x_0" localSheetId="51">'306'!$T$54</definedName>
    <definedName name="OSRRefT22_9x_0" localSheetId="53">'307'!$T$109:$T$112</definedName>
    <definedName name="OSRRefT22_9x_0" localSheetId="55">'308'!$T$101:$T$102</definedName>
    <definedName name="OSRRefT22_9x_0" localSheetId="66">'309'!$T$53:$T$54</definedName>
    <definedName name="OSRRefT22_9x_0" localSheetId="65">'310'!$T$62</definedName>
    <definedName name="OSRRefT22_9x_0" localSheetId="74">'310 &amp; 491'!$T$72</definedName>
    <definedName name="OSRRefT22_9x_0" localSheetId="56">'311'!$T$100:$T$101</definedName>
    <definedName name="OSRRefT22_9x_0" localSheetId="67">'313'!$T$59</definedName>
    <definedName name="OSRRefT22_9x_0" localSheetId="59">'315'!$T$117:$T$118</definedName>
    <definedName name="OSRRefT22_9x_0" localSheetId="61">'316'!$T$68</definedName>
    <definedName name="OSRRefT22_9x_0" localSheetId="64">'317'!$T$93</definedName>
    <definedName name="OSRRefT22_9x_0" localSheetId="68">'321'!$T$55:$T$57</definedName>
    <definedName name="OSRRefT22_9x_0" localSheetId="69">'322'!$T$54:$T$56</definedName>
    <definedName name="OSRRefT22_9x_0" localSheetId="70">'325'!$T$54</definedName>
    <definedName name="OSRRefT22_9x_0" localSheetId="71">'326'!$T$94</definedName>
    <definedName name="OSRRefT22_9x_0" localSheetId="52">'330'!$T$117:$T$118</definedName>
    <definedName name="OSRRefT22_9x_0" localSheetId="58">'331'!$T$124</definedName>
    <definedName name="OSRRefT22_9x_0" localSheetId="60">'332'!$T$74:$T$76</definedName>
    <definedName name="OSRRefT22_9x_0" localSheetId="76">'405'!$T$53</definedName>
    <definedName name="OSRRefT22_9x_0" localSheetId="77">'406'!$T$54:$T$56</definedName>
    <definedName name="OSRRefT22_9x_0" localSheetId="78">'411'!$T$53</definedName>
    <definedName name="OSRRefT22_9x_0" localSheetId="79">'412'!$T$54:$T$56</definedName>
    <definedName name="OSRRefT22_9x_0" localSheetId="80">'413'!$T$57:$T$62</definedName>
    <definedName name="OSRRefT22_9x_0" localSheetId="81">'414'!$T$54:$T$55</definedName>
    <definedName name="OSRRefT22_9x_0" localSheetId="82">'415'!$T$55</definedName>
    <definedName name="OSRRefT22_9x_0" localSheetId="83">'418'!$T$55</definedName>
    <definedName name="OSRRefT22_9x_0" localSheetId="86">'424'!$T$48</definedName>
    <definedName name="OSRRefT22_9x_0" localSheetId="88">'425'!$T$58:$T$60</definedName>
    <definedName name="OSRRefT22_9x_0" localSheetId="91">'433'!$T$56</definedName>
    <definedName name="OSRRefT22_9x_0" localSheetId="93">'444'!$T$56</definedName>
    <definedName name="OSRRefT22_9x_0" localSheetId="94">'450'!$T$56</definedName>
    <definedName name="OSRRefT22_9x_0" localSheetId="75">'491'!$T$66</definedName>
    <definedName name="OSRRefT22_9x_0" localSheetId="89">'492'!$T$59</definedName>
    <definedName name="OSRRefT22_9x_0" localSheetId="96">'501'!$T$52:$T$54</definedName>
    <definedName name="OSRRefT22_9x_0" localSheetId="39">'Div 2'!$T$54:$T$55</definedName>
    <definedName name="OSRRefT22_9x_0" localSheetId="47">'Div 3'!$T$209</definedName>
    <definedName name="OSRRefT22_9x_0" localSheetId="73">'Div 4'!$T$66</definedName>
    <definedName name="OSRRefT22_9x_0" localSheetId="95">'Div 5'!$T$52:$T$54</definedName>
    <definedName name="OSRRefT22_9x_0" localSheetId="63">'Div 6'!$T$93</definedName>
    <definedName name="OSRRefT22_9x_0" localSheetId="2">Summary!$T$243</definedName>
    <definedName name="OSRRefT22x_0" localSheetId="40">'200'!$T$20,'200'!$T$22,'200'!$T$24,'200'!$T$26,'200'!$T$28:$T$29</definedName>
    <definedName name="OSRRefT22x_0" localSheetId="41">'201'!$T$20:$T$27,'201'!$T$29:$T$31,'201'!$T$33,'201'!$T$35,'201'!$T$37,'201'!$T$39,'201'!$T$41,'201'!$T$43,'201'!$T$45,'201'!$T$47:$T$49,'201'!$T$51:$T$53,'201'!$T$55,'201'!$T$57:$T$60,'201'!$T$62,'201'!$T$64,'201'!$T$66</definedName>
    <definedName name="OSRRefT22x_0" localSheetId="42">'202'!$T$20:$T$27,'202'!$T$29:$T$32,'202'!$T$34,'202'!$T$36,'202'!$T$38,'202'!$T$40,'202'!$T$42:$T$43,'202'!$T$45,'202'!$T$47,'202'!$T$49:$T$51,'202'!$T$53,'202'!$T$55,'202'!$T$57:$T$59,'202'!$T$61,'202'!$T$63,'202'!$T$65</definedName>
    <definedName name="OSRRefT22x_0" localSheetId="43">'203'!$T$20:$T$29,'203'!$T$31:$T$35,'203'!$T$37,'203'!$T$39,'203'!$T$41,'203'!$T$43,'203'!$T$45,'203'!$T$47,'203'!$T$49,'203'!$T$51:$T$53,'203'!$T$55:$T$56,'203'!$T$58,'203'!$T$60:$T$63,'203'!$T$65,'203'!$T$67,'203'!$T$69</definedName>
    <definedName name="OSRRefT22x_0" localSheetId="44">'204'!$T$20:$T$29,'204'!$T$31:$T$35,'204'!$T$37,'204'!$T$39,'204'!$T$41,'204'!$T$43,'204'!$T$45:$T$47,'204'!$T$49,'204'!$T$51:$T$52,'204'!$T$54,'204'!$T$56:$T$57</definedName>
    <definedName name="OSRRefT22x_0" localSheetId="45">'205'!$T$20:$T$27,'205'!$T$29,'205'!$T$31,'205'!$T$33,'205'!$T$35:$T$36,'205'!$T$38,'205'!$T$40:$T$42,'205'!$T$44,'205'!$T$46</definedName>
    <definedName name="OSRRefT22x_0" localSheetId="46">'206'!$T$20:$T$27,'206'!$T$29:$T$32,'206'!$T$34,'206'!$T$36,'206'!$T$38,'206'!$T$40,'206'!$T$42:$T$43,'206'!$T$45,'206'!$T$47</definedName>
    <definedName name="OSRRefT22x_0" localSheetId="48">'300'!$T$167:$T$176,'300'!$T$178:$T$184,'300'!$T$186,'300'!$T$188:$T$189,'300'!$T$191,'300'!$T$193:$T$195,'300'!$T$197:$T$198,'300'!$T$200,'300'!$T$202,'300'!$T$204,'300'!$T$206:$T$207,'300'!$T$209,'300'!$T$211,'300'!$T$213:$T$215,'300'!$T$217,'300'!$T$219,'300'!$T$221:$T$224,'300'!$T$226:$T$228,'300'!$T$230:$T$233,'300'!$T$235:$T$236,'300'!$T$238:$T$244,'300'!$T$246:$T$247,'300'!$T$249,'300'!$T$251:$T$253,'300'!$T$255</definedName>
    <definedName name="OSRRefT22x_0" localSheetId="49">'300 &amp; 317'!$T$193:$T$202,'300 &amp; 317'!$T$204:$T$210,'300 &amp; 317'!$T$212,'300 &amp; 317'!$T$214:$T$215,'300 &amp; 317'!$T$217,'300 &amp; 317'!$T$219:$T$221,'300 &amp; 317'!$T$223:$T$224,'300 &amp; 317'!$T$226,'300 &amp; 317'!$T$228,'300 &amp; 317'!$T$230,'300 &amp; 317'!$T$232:$T$233,'300 &amp; 317'!$T$235,'300 &amp; 317'!$T$237,'300 &amp; 317'!$T$239:$T$241,'300 &amp; 317'!$T$243,'300 &amp; 317'!$T$245,'300 &amp; 317'!$T$247:$T$250,'300 &amp; 317'!$T$252:$T$254,'300 &amp; 317'!$T$256:$T$259,'300 &amp; 317'!$T$261:$T$262,'300 &amp; 317'!$T$264:$T$270,'300 &amp; 317'!$T$272:$T$273,'300 &amp; 317'!$T$275,'300 &amp; 317'!$T$277:$T$279,'300 &amp; 317'!$T$281</definedName>
    <definedName name="OSRRefT22x_0" localSheetId="50">'301'!$T$20:$T$29,'301'!$T$31:$T$37,'301'!$T$39,'301'!$T$41:$T$42,'301'!$T$44,'301'!$T$46:$T$48,'301'!$T$50:$T$51,'301'!$T$53,'301'!$T$55,'301'!$T$57,'301'!$T$59,'301'!$T$61,'301'!$T$63,'301'!$T$65,'301'!$T$67,'301'!$T$69:$T$72,'301'!$T$74:$T$76,'301'!$T$78:$T$79,'301'!$T$81:$T$86,'301'!$T$88,'301'!$T$90,'301'!$T$92:$T$94,'301'!$T$96</definedName>
    <definedName name="OSRRefT22x_0" localSheetId="51">'306'!$T$20:$T$28,'306'!$T$30:$T$35,'306'!$T$37,'306'!$T$39,'306'!$T$41,'306'!$T$43,'306'!$T$45:$T$46,'306'!$T$48:$T$50,'306'!$T$52,'306'!$T$54</definedName>
    <definedName name="OSRRefT22x_0" localSheetId="53">'307'!$T$78:$T$85,'307'!$T$87:$T$90,'307'!$T$92,'307'!$T$94,'307'!$T$96:$T$97,'307'!$T$99,'307'!$T$101,'307'!$T$103:$T$104,'307'!$T$106:$T$107,'307'!$T$109:$T$112,'307'!$T$114,'307'!$T$116</definedName>
    <definedName name="OSRRefT22x_0" localSheetId="55">'308'!$T$66:$T$74,'308'!$T$76:$T$82,'308'!$T$84,'308'!$T$86:$T$87,'308'!$T$89,'308'!$T$91,'308'!$T$93:$T$94,'308'!$T$96,'308'!$T$98:$T$99,'308'!$T$101:$T$102,'308'!$T$104:$T$105,'308'!$T$107:$T$109,'308'!$T$111:$T$112,'308'!$T$114,'308'!$T$116</definedName>
    <definedName name="OSRRefT22x_0" localSheetId="66">'309'!$T$24:$T$31,'309'!$T$33:$T$37,'309'!$T$39,'309'!$T$41,'309'!$T$43,'309'!$T$45,'309'!$T$47,'309'!$T$49,'309'!$T$51,'309'!$T$53:$T$54,'309'!$T$56:$T$58,'309'!$T$60:$T$62,'309'!$T$64</definedName>
    <definedName name="OSRRefT22x_0" localSheetId="65">'310'!$T$31:$T$38,'310'!$T$40:$T$45,'310'!$T$47,'310'!$T$49,'310'!$T$51,'310'!$T$53:$T$54,'310'!$T$56,'310'!$T$58,'310'!$T$60,'310'!$T$62,'310'!$T$64,'310'!$T$66,'310'!$T$68,'310'!$T$70,'310'!$T$72:$T$74,'310'!$T$76,'310'!$T$78:$T$81,'310'!$T$83,'310'!$T$85:$T$93,'310'!$T$95,'310'!$T$97,'310'!$T$99</definedName>
    <definedName name="OSRRefT22x_0" localSheetId="74">'310 &amp; 491'!$T$38:$T$46,'310 &amp; 491'!$T$48:$T$54,'310 &amp; 491'!$T$56,'310 &amp; 491'!$T$58,'310 &amp; 491'!$T$60,'310 &amp; 491'!$T$62:$T$64,'310 &amp; 491'!$T$66,'310 &amp; 491'!$T$68,'310 &amp; 491'!$T$70,'310 &amp; 491'!$T$72,'310 &amp; 491'!$T$74:$T$75,'310 &amp; 491'!$T$77:$T$78,'310 &amp; 491'!$T$80,'310 &amp; 491'!$T$82,'310 &amp; 491'!$T$84,'310 &amp; 491'!$T$86,'310 &amp; 491'!$T$88:$T$91,'310 &amp; 491'!$T$93:$T$94,'310 &amp; 491'!$T$96:$T$100,'310 &amp; 491'!$T$102:$T$103,'310 &amp; 491'!$T$105:$T$114,'310 &amp; 491'!$T$116,'310 &amp; 491'!$T$118,'310 &amp; 491'!$T$120:$T$122,'310 &amp; 491'!$T$124</definedName>
    <definedName name="OSRRefT22x_0" localSheetId="56">'311'!$T$65:$T$73,'311'!$T$75:$T$81,'311'!$T$83,'311'!$T$85:$T$86,'311'!$T$88,'311'!$T$90,'311'!$T$92:$T$93,'311'!$T$95,'311'!$T$97:$T$98,'311'!$T$100:$T$101,'311'!$T$103:$T$104,'311'!$T$106:$T$108,'311'!$T$110:$T$111,'311'!$T$113,'311'!$T$115</definedName>
    <definedName name="OSRRefT22x_0" localSheetId="67">'313'!$T$28:$T$35,'313'!$T$37:$T$41,'313'!$T$43,'313'!$T$45,'313'!$T$47,'313'!$T$49,'313'!$T$51,'313'!$T$53,'313'!$T$55:$T$57,'313'!$T$59,'313'!$T$61:$T$66,'313'!$T$68,'313'!$T$70</definedName>
    <definedName name="OSRRefT22x_0" localSheetId="54">'314'!$T$56:$T$64,'314'!$T$66:$T$68,'314'!$T$70,'314'!$T$72:$T$73,'314'!$T$75,'314'!$T$77,'314'!$T$79,'314'!$T$81,'314'!$T$83</definedName>
    <definedName name="OSRRefT22x_0" localSheetId="59">'315'!$T$83:$T$90,'315'!$T$92:$T$97,'315'!$T$99,'315'!$T$101:$T$102,'315'!$T$104,'315'!$T$106:$T$107,'315'!$T$109:$T$110,'315'!$T$112,'315'!$T$114:$T$115,'315'!$T$117:$T$118,'315'!$T$120:$T$124,'315'!$T$126,'315'!$T$128,'315'!$T$130:$T$131</definedName>
    <definedName name="OSRRefT22x_0" localSheetId="61">'316'!$T$37:$T$44,'316'!$T$46:$T$49,'316'!$T$51,'316'!$T$53,'316'!$T$55,'316'!$T$57,'316'!$T$59:$T$60,'316'!$T$62,'316'!$T$64:$T$66,'316'!$T$68,'316'!$T$70:$T$75,'316'!$T$77,'316'!$T$79,'316'!$T$81</definedName>
    <definedName name="OSRRefT22x_0" localSheetId="64">'317'!$T$61:$T$69,'317'!$T$71:$T$75,'317'!$T$77,'317'!$T$79,'317'!$T$81,'317'!$T$83:$T$84,'317'!$T$86,'317'!$T$88,'317'!$T$90:$T$91,'317'!$T$93,'317'!$T$95:$T$99,'317'!$T$101,'317'!$T$103,'317'!$T$105</definedName>
    <definedName name="OSRRefT22x_0" localSheetId="62">'320'!$T$28:$T$34,'320'!$T$36:$T$40,'320'!$T$42,'320'!$T$44,'320'!$T$46:$T$47,'320'!$T$49,'320'!$T$51,'320'!$T$53:$T$54,'320'!$T$56</definedName>
    <definedName name="OSRRefT22x_0" localSheetId="68">'321'!$T$24:$T$31,'321'!$T$33:$T$37,'321'!$T$39,'321'!$T$41,'321'!$T$43,'321'!$T$45,'321'!$T$47,'321'!$T$49:$T$51,'321'!$T$53,'321'!$T$55:$T$57,'321'!$T$59:$T$63,'321'!$T$65,'321'!$T$67</definedName>
    <definedName name="OSRRefT22x_0" localSheetId="69">'322'!$T$24:$T$31,'322'!$T$33:$T$37,'322'!$T$39,'322'!$T$41,'322'!$T$43,'322'!$T$45,'322'!$T$47,'322'!$T$49,'322'!$T$51:$T$52,'322'!$T$54:$T$56,'322'!$T$58:$T$64,'322'!$T$66,'322'!$T$68</definedName>
    <definedName name="OSRRefT22x_0" localSheetId="70">'325'!$T$24:$T$31,'325'!$T$33:$T$37,'325'!$T$39,'325'!$T$41,'325'!$T$43,'325'!$T$45:$T$46,'325'!$T$48,'325'!$T$50,'325'!$T$52,'325'!$T$54,'325'!$T$56,'325'!$T$58:$T$60,'325'!$T$62:$T$64,'325'!$T$66,'325'!$T$68:$T$72,'325'!$T$74,'325'!$T$76,'325'!$T$78</definedName>
    <definedName name="OSRRefT22x_0" localSheetId="71">'326'!$T$63:$T$70,'326'!$T$72:$T$77,'326'!$T$79,'326'!$T$81,'326'!$T$83,'326'!$T$85:$T$86,'326'!$T$88,'326'!$T$90,'326'!$T$92,'326'!$T$94,'326'!$T$96,'326'!$T$98,'326'!$T$100:$T$102,'326'!$T$104:$T$106,'326'!$T$108:$T$109,'326'!$T$111:$T$116,'326'!$T$118,'326'!$T$120,'326'!$T$122,'326'!$T$124</definedName>
    <definedName name="OSRRefT22x_0" localSheetId="72">'327'!$T$22,'327'!$T$24,'327'!$T$26</definedName>
    <definedName name="OSRRefT22x_0" localSheetId="52">'330'!$T$85:$T$93,'330'!$T$95:$T$99,'330'!$T$101,'330'!$T$103,'330'!$T$105:$T$106,'330'!$T$108,'330'!$T$110,'330'!$T$112,'330'!$T$114:$T$115,'330'!$T$117:$T$118,'330'!$T$120,'330'!$T$122:$T$125,'330'!$T$127,'330'!$T$129,'330'!$T$131</definedName>
    <definedName name="OSRRefT22x_0" localSheetId="58">'331'!$T$92:$T$99,'331'!$T$101:$T$106,'331'!$T$108,'331'!$T$110,'331'!$T$112,'331'!$T$114:$T$115,'331'!$T$117,'331'!$T$119:$T$120,'331'!$T$122,'331'!$T$124,'331'!$T$126:$T$127,'331'!$T$129,'331'!$T$131,'331'!$T$133:$T$135,'331'!$T$137:$T$138,'331'!$T$140:$T$142,'331'!$T$144:$T$145,'331'!$T$147:$T$152,'331'!$T$154,'331'!$T$156,'331'!$T$158:$T$159,'331'!$T$161</definedName>
    <definedName name="OSRRefT22x_0" localSheetId="60">'332'!$T$44:$T$51,'332'!$T$53:$T$57,'332'!$T$59,'332'!$T$61,'332'!$T$63,'332'!$T$65,'332'!$T$67:$T$68,'332'!$T$70,'332'!$T$72,'332'!$T$74:$T$76,'332'!$T$78,'332'!$T$80:$T$85,'332'!$T$87,'332'!$T$89,'332'!$T$91</definedName>
    <definedName name="OSRRefT22x_0" localSheetId="76">'405'!$T$24:$T$31,'405'!$T$33:$T$36,'405'!$T$38,'405'!$T$40,'405'!$T$42,'405'!$T$44:$T$45,'405'!$T$47,'405'!$T$49,'405'!$T$51,'405'!$T$53,'405'!$T$55:$T$56,'405'!$T$58,'405'!$T$60:$T$62,'405'!$T$64:$T$65,'405'!$T$67:$T$73,'405'!$T$75,'405'!$T$77,'405'!$T$79</definedName>
    <definedName name="OSRRefT22x_0" localSheetId="77">'406'!$T$24:$T$31,'406'!$T$33:$T$38,'406'!$T$40,'406'!$T$42,'406'!$T$44,'406'!$T$46,'406'!$T$48,'406'!$T$50,'406'!$T$52,'406'!$T$54:$T$56,'406'!$T$58:$T$59,'406'!$T$61:$T$66,'406'!$T$68,'406'!$T$70,'406'!$T$72</definedName>
    <definedName name="OSRRefT22x_0" localSheetId="78">'411'!$T$20:$T$28,'411'!$T$30:$T$35,'411'!$T$37,'411'!$T$39,'411'!$T$41:$T$43,'411'!$T$45,'411'!$T$47,'411'!$T$49,'411'!$T$51,'411'!$T$53,'411'!$T$55,'411'!$T$57,'411'!$T$59:$T$62,'411'!$T$64:$T$68,'411'!$T$70:$T$71,'411'!$T$73:$T$81,'411'!$T$83,'411'!$T$85,'411'!$T$87:$T$89,'411'!$T$91</definedName>
    <definedName name="OSRRefT22x_0" localSheetId="79">'412'!$T$24:$T$31,'412'!$T$33:$T$38,'412'!$T$40,'412'!$T$42,'412'!$T$44,'412'!$T$46,'412'!$T$48,'412'!$T$50,'412'!$T$52,'412'!$T$54:$T$56,'412'!$T$58:$T$60,'412'!$T$62:$T$67,'412'!$T$69,'412'!$T$71</definedName>
    <definedName name="OSRRefT22x_0" localSheetId="80">'413'!$T$24:$T$31,'413'!$T$33:$T$37,'413'!$T$39,'413'!$T$41,'413'!$T$43,'413'!$T$45,'413'!$T$47,'413'!$T$49:$T$51,'413'!$T$53:$T$55,'413'!$T$57:$T$62,'413'!$T$64,'413'!$T$66</definedName>
    <definedName name="OSRRefT22x_0" localSheetId="81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2">'415'!$T$24:$T$31,'415'!$T$33:$T$38,'415'!$T$40,'415'!$T$42,'415'!$T$44,'415'!$T$46:$T$47,'415'!$T$49,'415'!$T$51,'415'!$T$53,'415'!$T$55,'415'!$T$57,'415'!$T$59:$T$62,'415'!$T$64:$T$68,'415'!$T$70:$T$71,'415'!$T$73:$T$81,'415'!$T$83,'415'!$T$85,'415'!$T$87</definedName>
    <definedName name="OSRRefT22x_0" localSheetId="83">'418'!$T$24:$T$31,'418'!$T$33:$T$38,'418'!$T$40,'418'!$T$42,'418'!$T$44,'418'!$T$46:$T$47,'418'!$T$49,'418'!$T$51,'418'!$T$53,'418'!$T$55,'418'!$T$57:$T$58,'418'!$T$60:$T$62,'418'!$T$64:$T$66,'418'!$T$68:$T$69,'418'!$T$71:$T$78,'418'!$T$80,'418'!$T$82</definedName>
    <definedName name="OSRRefT22x_0" localSheetId="84">'420'!$T$24:$T$31,'420'!$T$33:$T$36,'420'!$T$38,'420'!$T$40,'420'!$T$42,'420'!$T$44,'420'!$T$46:$T$47,'420'!$T$49</definedName>
    <definedName name="OSRRefT22x_0" localSheetId="85">'423'!$T$21:$T$28,'423'!$T$30:$T$31,'423'!$T$33,'423'!$T$35,'423'!$T$37,'423'!$T$39,'423'!$T$41</definedName>
    <definedName name="OSRRefT22x_0" localSheetId="86">'424'!$T$24:$T$25,'424'!$T$27:$T$31,'424'!$T$33,'424'!$T$35,'424'!$T$37,'424'!$T$39,'424'!$T$41,'424'!$T$43,'424'!$T$45:$T$46,'424'!$T$48,'424'!$T$50,'424'!$T$52:$T$56,'424'!$T$58</definedName>
    <definedName name="OSRRefT22x_0" localSheetId="88">'425'!$T$27:$T$35,'425'!$T$37:$T$42,'425'!$T$44,'425'!$T$46,'425'!$T$48,'425'!$T$50,'425'!$T$52,'425'!$T$54,'425'!$T$56,'425'!$T$58:$T$60,'425'!$T$62,'425'!$T$64:$T$66,'425'!$T$68:$T$74,'425'!$T$76,'425'!$T$78</definedName>
    <definedName name="OSRRefT22x_0" localSheetId="90">'430'!$T$20:$T$27,'430'!$T$29,'430'!$T$31,'430'!$T$33,'430'!$T$35:$T$36,'430'!$T$38,'430'!$T$40,'430'!$T$42</definedName>
    <definedName name="OSRRefT22x_0" localSheetId="91">'433'!$T$25:$T$33,'433'!$T$35:$T$40,'433'!$T$42,'433'!$T$44,'433'!$T$46,'433'!$T$48,'433'!$T$50,'433'!$T$52,'433'!$T$54,'433'!$T$56,'433'!$T$58,'433'!$T$60:$T$62,'433'!$T$64:$T$66,'433'!$T$68:$T$75,'433'!$T$77,'433'!$T$79,'433'!$T$81</definedName>
    <definedName name="OSRRefT22x_0" localSheetId="92">'435'!$T$25:$T$27,'435'!$T$29:$T$31,'435'!$T$33,'435'!$T$35,'435'!$T$37,'435'!$T$39,'435'!$T$41,'435'!$T$43:$T$45,'435'!$T$47</definedName>
    <definedName name="OSRRefT22x_0" localSheetId="93">'444'!$T$25:$T$33,'444'!$T$35:$T$40,'444'!$T$42,'444'!$T$44,'444'!$T$46,'444'!$T$48,'444'!$T$50,'444'!$T$52,'444'!$T$54,'444'!$T$56,'444'!$T$58,'444'!$T$60:$T$62,'444'!$T$64:$T$67,'444'!$T$69,'444'!$T$71:$T$79,'444'!$T$81,'444'!$T$83,'444'!$T$85</definedName>
    <definedName name="OSRRefT22x_0" localSheetId="94">'450'!$T$25:$T$33,'450'!$T$35:$T$40,'450'!$T$42,'450'!$T$44,'450'!$T$46,'450'!$T$48,'450'!$T$50,'450'!$T$52,'450'!$T$54,'450'!$T$56,'450'!$T$58,'450'!$T$60,'450'!$T$62:$T$63,'450'!$T$65:$T$67,'450'!$T$69:$T$74,'450'!$T$76,'450'!$T$78,'450'!$T$80</definedName>
    <definedName name="OSRRefT22x_0" localSheetId="87">'455'!$T$20:$T$26,'455'!$T$28:$T$29</definedName>
    <definedName name="OSRRefT22x_0" localSheetId="75">'491'!$T$32:$T$40,'491'!$T$42:$T$48,'491'!$T$50,'491'!$T$52,'491'!$T$54,'491'!$T$56:$T$58,'491'!$T$60,'491'!$T$62,'491'!$T$64,'491'!$T$66,'491'!$T$68,'491'!$T$70:$T$71,'491'!$T$73,'491'!$T$75,'491'!$T$77,'491'!$T$79,'491'!$T$81:$T$84,'491'!$T$86:$T$87,'491'!$T$89:$T$93,'491'!$T$95:$T$96,'491'!$T$98:$T$107,'491'!$T$109,'491'!$T$111,'491'!$T$113:$T$115,'491'!$T$117</definedName>
    <definedName name="OSRRefT22x_0" localSheetId="89">'492'!$T$27:$T$35,'492'!$T$37:$T$43,'492'!$T$45,'492'!$T$47,'492'!$T$49,'492'!$T$51,'492'!$T$53,'492'!$T$55,'492'!$T$57,'492'!$T$59,'492'!$T$61,'492'!$T$63,'492'!$T$65:$T$67,'492'!$T$69:$T$72,'492'!$T$74,'492'!$T$76:$T$84,'492'!$T$86,'492'!$T$88,'492'!$T$90</definedName>
    <definedName name="OSRRefT22x_0" localSheetId="96">'501'!$T$21:$T$29,'501'!$T$31:$T$35,'501'!$T$37,'501'!$T$39,'501'!$T$41,'501'!$T$43:$T$44,'501'!$T$46,'501'!$T$48,'501'!$T$50,'501'!$T$52:$T$54,'501'!$T$56,'501'!$T$58:$T$60,'501'!$T$62,'501'!$T$64</definedName>
    <definedName name="OSRRefT22x_0" localSheetId="39">'Div 2'!$T$20:$T$30,'Div 2'!$T$32:$T$38,'Div 2'!$T$40,'Div 2'!$T$42,'Div 2'!$T$44,'Div 2'!$T$46,'Div 2'!$T$48,'Div 2'!$T$50,'Div 2'!$T$52,'Div 2'!$T$54:$T$55,'Div 2'!$T$57,'Div 2'!$T$59,'Div 2'!$T$61:$T$64,'Div 2'!$T$66:$T$68,'Div 2'!$T$70:$T$71,'Div 2'!$T$73,'Div 2'!$T$75:$T$79,'Div 2'!$T$81:$T$82,'Div 2'!$T$84,'Div 2'!$T$86:$T$87</definedName>
    <definedName name="OSRRefT22x_0" localSheetId="47">'Div 3'!$T$172:$T$181,'Div 3'!$T$183:$T$189,'Div 3'!$T$191,'Div 3'!$T$193:$T$194,'Div 3'!$T$196,'Div 3'!$T$198:$T$200,'Div 3'!$T$202:$T$203,'Div 3'!$T$205,'Div 3'!$T$207,'Div 3'!$T$209,'Div 3'!$T$211:$T$212,'Div 3'!$T$214,'Div 3'!$T$216,'Div 3'!$T$218,'Div 3'!$T$220:$T$222,'Div 3'!$T$224,'Div 3'!$T$226,'Div 3'!$T$228:$T$231,'Div 3'!$T$233:$T$235,'Div 3'!$T$237:$T$241,'Div 3'!$T$243:$T$244,'Div 3'!$T$246:$T$254,'Div 3'!$T$256:$T$257,'Div 3'!$T$259,'Div 3'!$T$261:$T$263,'Div 3'!$T$265</definedName>
    <definedName name="OSRRefT22x_0" localSheetId="73">'Div 4'!$T$32:$T$40,'Div 4'!$T$42:$T$48,'Div 4'!$T$50,'Div 4'!$T$52,'Div 4'!$T$54,'Div 4'!$T$56:$T$58,'Div 4'!$T$60,'Div 4'!$T$62,'Div 4'!$T$64,'Div 4'!$T$66,'Div 4'!$T$68,'Div 4'!$T$70:$T$71,'Div 4'!$T$73,'Div 4'!$T$75,'Div 4'!$T$77,'Div 4'!$T$79,'Div 4'!$T$81,'Div 4'!$T$83:$T$86,'Div 4'!$T$88:$T$89,'Div 4'!$T$91:$T$95,'Div 4'!$T$97:$T$98,'Div 4'!$T$100:$T$109,'Div 4'!$T$111,'Div 4'!$T$113,'Div 4'!$T$115:$T$117,'Div 4'!$T$119</definedName>
    <definedName name="OSRRefT22x_0" localSheetId="95">'Div 5'!$T$21:$T$29,'Div 5'!$T$31:$T$35,'Div 5'!$T$37,'Div 5'!$T$39,'Div 5'!$T$41,'Div 5'!$T$43:$T$44,'Div 5'!$T$46,'Div 5'!$T$48,'Div 5'!$T$50,'Div 5'!$T$52:$T$54,'Div 5'!$T$56,'Div 5'!$T$58:$T$60,'Div 5'!$T$62,'Div 5'!$T$64</definedName>
    <definedName name="OSRRefT22x_0" localSheetId="63">'Div 6'!$T$61:$T$69,'Div 6'!$T$71:$T$75,'Div 6'!$T$77,'Div 6'!$T$79,'Div 6'!$T$81,'Div 6'!$T$83:$T$84,'Div 6'!$T$86,'Div 6'!$T$88,'Div 6'!$T$90:$T$91,'Div 6'!$T$93,'Div 6'!$T$95:$T$99,'Div 6'!$T$101,'Div 6'!$T$103,'Div 6'!$T$105</definedName>
    <definedName name="OSRRefT22x_0" localSheetId="2">Summary!$T$205:$T$214,Summary!$T$216:$T$222,Summary!$T$224,Summary!$T$226:$T$227,Summary!$T$229,Summary!$T$231:$T$234,Summary!$T$236:$T$237,Summary!$T$239,Summary!$T$241,Summary!$T$243,Summary!$T$245:$T$246,Summary!$T$248:$T$249,Summary!$T$251,Summary!$T$253,Summary!$T$255:$T$257,Summary!$T$259,Summary!$T$261,Summary!$T$263,Summary!$T$265:$T$268,Summary!$T$270:$T$272,Summary!$T$274:$T$278,Summary!$T$280:$T$281,Summary!$T$283:$T$292,Summary!$T$294:$T$295,Summary!$T$297,Summary!$T$299:$T$301,Summary!$T$303</definedName>
    <definedName name="OSRRefT25x_0" localSheetId="48">'300'!$T$258:$T$266</definedName>
    <definedName name="OSRRefT25x_0" localSheetId="49">'300 &amp; 317'!$T$284:$T$295</definedName>
    <definedName name="OSRRefT25x_0" localSheetId="50">'301'!$T$99:$T$101</definedName>
    <definedName name="OSRRefT25x_0" localSheetId="53">'307'!$T$119</definedName>
    <definedName name="OSRRefT25x_0" localSheetId="55">'308'!$T$119:$T$121</definedName>
    <definedName name="OSRRefT25x_0" localSheetId="74">'310 &amp; 491'!$T$127:$T$129</definedName>
    <definedName name="OSRRefT25x_0" localSheetId="56">'311'!$T$118:$T$120</definedName>
    <definedName name="OSRRefT25x_0" localSheetId="59">'315'!$T$134:$T$135</definedName>
    <definedName name="OSRRefT25x_0" localSheetId="61">'316'!$T$84</definedName>
    <definedName name="OSRRefT25x_0" localSheetId="64">'317'!$T$108:$T$111</definedName>
    <definedName name="OSRRefT25x_0" localSheetId="62">'320'!$T$59:$T$63</definedName>
    <definedName name="OSRRefT25x_0" localSheetId="52">'330'!$T$134</definedName>
    <definedName name="OSRRefT25x_0" localSheetId="58">'331'!$T$164:$T$165</definedName>
    <definedName name="OSRRefT25x_0" localSheetId="60">'332'!$T$94:$T$99</definedName>
    <definedName name="OSRRefT25x_0" localSheetId="78">'411'!$T$94:$T$95</definedName>
    <definedName name="OSRRefT25x_0" localSheetId="80">'413'!$T$69</definedName>
    <definedName name="OSRRefT25x_0" localSheetId="82">'415'!$T$90</definedName>
    <definedName name="OSRRefT25x_0" localSheetId="83">'418'!$T$85</definedName>
    <definedName name="OSRRefT25x_0" localSheetId="85">'423'!$T$44</definedName>
    <definedName name="OSRRefT25x_0" localSheetId="86">'424'!$T$61</definedName>
    <definedName name="OSRRefT25x_0" localSheetId="88">'425'!$T$81</definedName>
    <definedName name="OSRRefT25x_0" localSheetId="87">'455'!$T$32:$T$34</definedName>
    <definedName name="OSRRefT25x_0" localSheetId="75">'491'!$T$120:$T$122</definedName>
    <definedName name="OSRRefT25x_0" localSheetId="96">'501'!$T$67</definedName>
    <definedName name="OSRRefT25x_0" localSheetId="47">'Div 3'!$T$268:$T$276</definedName>
    <definedName name="OSRRefT25x_0" localSheetId="73">'Div 4'!$T$122:$T$124</definedName>
    <definedName name="OSRRefT25x_0" localSheetId="95">'Div 5'!$T$67</definedName>
    <definedName name="OSRRefT25x_0" localSheetId="63">'Div 6'!$T$108:$T$111</definedName>
    <definedName name="OSRRefT25x_0" localSheetId="2">Summary!$T$306:$T$318</definedName>
    <definedName name="_xlnm.Print_Area" localSheetId="38">'100'!$A$1:$Z$34</definedName>
    <definedName name="_xlnm.Print_Area" localSheetId="40">'200'!$A$1:$Z$43</definedName>
    <definedName name="_xlnm.Print_Area" localSheetId="41">'201'!$A$1:$Z$80</definedName>
    <definedName name="_xlnm.Print_Area" localSheetId="42">'202'!$A$1:$Z$79</definedName>
    <definedName name="_xlnm.Print_Area" localSheetId="43">'203'!$A$1:$Z$83</definedName>
    <definedName name="_xlnm.Print_Area" localSheetId="44">'204'!$A$1:$Z$71</definedName>
    <definedName name="_xlnm.Print_Area" localSheetId="45">'205'!$A$1:$Z$60</definedName>
    <definedName name="_xlnm.Print_Area" localSheetId="46">'206'!$A$1:$Z$61</definedName>
    <definedName name="_xlnm.Print_Area" localSheetId="48">'300'!$A$1:$Z$278</definedName>
    <definedName name="_xlnm.Print_Area" localSheetId="49">'300 &amp; 317'!$A$1:$Z$307</definedName>
    <definedName name="_xlnm.Print_Area" localSheetId="50">'301'!$A$1:$Z$113</definedName>
    <definedName name="_xlnm.Print_Area" localSheetId="51">'306'!$A$1:$Z$68</definedName>
    <definedName name="_xlnm.Print_Area" localSheetId="53">'307'!$A$1:$Z$131</definedName>
    <definedName name="_xlnm.Print_Area" localSheetId="55">'308'!$A$1:$Z$133</definedName>
    <definedName name="_xlnm.Print_Area" localSheetId="66">'309'!$A$1:$Z$78</definedName>
    <definedName name="_xlnm.Print_Area" localSheetId="65">'310'!$A$1:$Z$113</definedName>
    <definedName name="_xlnm.Print_Area" localSheetId="74">'310 &amp; 491'!$A$1:$Z$141</definedName>
    <definedName name="_xlnm.Print_Area" localSheetId="56">'311'!$A$1:$Z$132</definedName>
    <definedName name="_xlnm.Print_Area" localSheetId="67">'313'!$A$1:$Z$84</definedName>
    <definedName name="_xlnm.Print_Area" localSheetId="54">'314'!$A$1:$Z$97</definedName>
    <definedName name="_xlnm.Print_Area" localSheetId="59">'315'!$A$1:$Z$147</definedName>
    <definedName name="_xlnm.Print_Area" localSheetId="61">'316'!$A$1:$Z$96</definedName>
    <definedName name="_xlnm.Print_Area" localSheetId="64">'317'!$A$1:$Z$123</definedName>
    <definedName name="_xlnm.Print_Area" localSheetId="62">'320'!$A$1:$Z$75</definedName>
    <definedName name="_xlnm.Print_Area" localSheetId="68">'321'!$A$1:$Z$81</definedName>
    <definedName name="_xlnm.Print_Area" localSheetId="69">'322'!$A$1:$Z$82</definedName>
    <definedName name="_xlnm.Print_Area" localSheetId="57">'324'!$A$1:$Z$37</definedName>
    <definedName name="_xlnm.Print_Area" localSheetId="70">'325'!$A$1:$Z$92</definedName>
    <definedName name="_xlnm.Print_Area" localSheetId="71">'326'!$A$1:$Z$138</definedName>
    <definedName name="_xlnm.Print_Area" localSheetId="72">'327'!$A$1:$Z$40</definedName>
    <definedName name="_xlnm.Print_Area" localSheetId="52">'330'!$A$1:$Z$146</definedName>
    <definedName name="_xlnm.Print_Area" localSheetId="58">'331'!$A$1:$Z$177</definedName>
    <definedName name="_xlnm.Print_Area" localSheetId="60">'332'!$A$1:$Z$111</definedName>
    <definedName name="_xlnm.Print_Area" localSheetId="76">'405'!$A$1:$Z$93</definedName>
    <definedName name="_xlnm.Print_Area" localSheetId="77">'406'!$A$1:$Z$86</definedName>
    <definedName name="_xlnm.Print_Area" localSheetId="78">'411'!$A$1:$Z$107</definedName>
    <definedName name="_xlnm.Print_Area" localSheetId="79">'412'!$A$1:$Z$85</definedName>
    <definedName name="_xlnm.Print_Area" localSheetId="80">'413'!$A$1:$Z$81</definedName>
    <definedName name="_xlnm.Print_Area" localSheetId="81">'414'!$A$1:$Z$87</definedName>
    <definedName name="_xlnm.Print_Area" localSheetId="82">'415'!$A$1:$Z$102</definedName>
    <definedName name="_xlnm.Print_Area" localSheetId="83">'418'!$A$1:$Z$97</definedName>
    <definedName name="_xlnm.Print_Area" localSheetId="84">'420'!$A$1:$Z$63</definedName>
    <definedName name="_xlnm.Print_Area" localSheetId="85">'423'!$A$1:$Z$56</definedName>
    <definedName name="_xlnm.Print_Area" localSheetId="86">'424'!$A$1:$Z$73</definedName>
    <definedName name="_xlnm.Print_Area" localSheetId="88">'425'!$A$1:$Z$93</definedName>
    <definedName name="_xlnm.Print_Area" localSheetId="90">'430'!$A$1:$Z$56</definedName>
    <definedName name="_xlnm.Print_Area" localSheetId="91">'433'!$A$1:$Z$95</definedName>
    <definedName name="_xlnm.Print_Area" localSheetId="92">'435'!$A$1:$Z$61</definedName>
    <definedName name="_xlnm.Print_Area" localSheetId="93">'444'!$A$1:$Z$99</definedName>
    <definedName name="_xlnm.Print_Area" localSheetId="94">'450'!$A$1:$Z$94</definedName>
    <definedName name="_xlnm.Print_Area" localSheetId="87">'455'!$A$1:$Z$46</definedName>
    <definedName name="_xlnm.Print_Area" localSheetId="75">'491'!$A$1:$Z$134</definedName>
    <definedName name="_xlnm.Print_Area" localSheetId="89">'492'!$A$1:$Z$104</definedName>
    <definedName name="_xlnm.Print_Area" localSheetId="96">'501'!$A$1:$Z$79</definedName>
    <definedName name="_xlnm.Print_Area" localSheetId="97">Dept!$A$1:$Z$39</definedName>
    <definedName name="_xlnm.Print_Area" localSheetId="5">'Div 1'!$A$1:$Z$34</definedName>
    <definedName name="_xlnm.Print_Area" localSheetId="39">'Div 2'!$A$1:$Z$101</definedName>
    <definedName name="_xlnm.Print_Area" localSheetId="47">'Div 3'!$A$1:$Z$288</definedName>
    <definedName name="_xlnm.Print_Area" localSheetId="73">'Div 4'!$A$1:$Z$136</definedName>
    <definedName name="_xlnm.Print_Area" localSheetId="95">'Div 5'!$A$1:$Z$79</definedName>
    <definedName name="_xlnm.Print_Area" localSheetId="63">'Div 6'!$A$1:$Z$123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Summary!$A$1:$Z$332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6">'309'!$A:$C,'309'!$1:$10</definedName>
    <definedName name="_xlnm.Print_Titles" localSheetId="65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7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1">'316'!$A:$C,'316'!$1:$10</definedName>
    <definedName name="_xlnm.Print_Titles" localSheetId="64">'317'!$A:$C,'317'!$1:$10</definedName>
    <definedName name="_xlnm.Print_Titles" localSheetId="62">'320'!$A:$C,'320'!$1:$10</definedName>
    <definedName name="_xlnm.Print_Titles" localSheetId="68">'321'!$A:$C,'321'!$1:$10</definedName>
    <definedName name="_xlnm.Print_Titles" localSheetId="69">'322'!$A:$C,'322'!$1:$10</definedName>
    <definedName name="_xlnm.Print_Titles" localSheetId="57">'324'!$A:$C,'324'!$1:$10</definedName>
    <definedName name="_xlnm.Print_Titles" localSheetId="70">'325'!$A:$C,'325'!$1:$10</definedName>
    <definedName name="_xlnm.Print_Titles" localSheetId="71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0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8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7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3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1" i="97" l="1"/>
  <c r="X71" i="97"/>
  <c r="V71" i="97"/>
  <c r="L71" i="97"/>
  <c r="N71" i="97" s="1"/>
  <c r="X67" i="97"/>
  <c r="T67" i="97"/>
  <c r="Z67" i="97" s="1"/>
  <c r="P67" i="97"/>
  <c r="H67" i="97"/>
  <c r="H66" i="97" s="1"/>
  <c r="D67" i="97"/>
  <c r="B67" i="97"/>
  <c r="T66" i="97"/>
  <c r="P66" i="97"/>
  <c r="X66" i="97" s="1"/>
  <c r="Z66" i="97" s="1"/>
  <c r="D66" i="97"/>
  <c r="Z64" i="97"/>
  <c r="X64" i="97"/>
  <c r="L64" i="97"/>
  <c r="N64" i="97" s="1"/>
  <c r="B64" i="97"/>
  <c r="T63" i="97"/>
  <c r="P63" i="97"/>
  <c r="X63" i="97" s="1"/>
  <c r="H63" i="97"/>
  <c r="D63" i="97"/>
  <c r="B63" i="97"/>
  <c r="X62" i="97"/>
  <c r="Z62" i="97" s="1"/>
  <c r="L62" i="97"/>
  <c r="N62" i="97" s="1"/>
  <c r="B62" i="97"/>
  <c r="X61" i="97"/>
  <c r="T61" i="97"/>
  <c r="Z61" i="97" s="1"/>
  <c r="P61" i="97"/>
  <c r="H61" i="97"/>
  <c r="D61" i="97"/>
  <c r="L61" i="97" s="1"/>
  <c r="B61" i="97"/>
  <c r="Z60" i="97"/>
  <c r="X60" i="97"/>
  <c r="N60" i="97"/>
  <c r="L60" i="97"/>
  <c r="B60" i="97"/>
  <c r="X59" i="97"/>
  <c r="Z59" i="97" s="1"/>
  <c r="N59" i="97"/>
  <c r="L59" i="97"/>
  <c r="B59" i="97"/>
  <c r="X58" i="97"/>
  <c r="Z58" i="97" s="1"/>
  <c r="N58" i="97"/>
  <c r="L58" i="97"/>
  <c r="B58" i="97"/>
  <c r="X57" i="97"/>
  <c r="Z57" i="97" s="1"/>
  <c r="T57" i="97"/>
  <c r="P57" i="97"/>
  <c r="H57" i="97"/>
  <c r="L57" i="97" s="1"/>
  <c r="D57" i="97"/>
  <c r="B57" i="97"/>
  <c r="Z56" i="97"/>
  <c r="X56" i="97"/>
  <c r="N56" i="97"/>
  <c r="L56" i="97"/>
  <c r="B56" i="97"/>
  <c r="T55" i="97"/>
  <c r="P55" i="97"/>
  <c r="H55" i="97"/>
  <c r="N55" i="97" s="1"/>
  <c r="D55" i="97"/>
  <c r="B55" i="97"/>
  <c r="X54" i="97"/>
  <c r="Z54" i="97" s="1"/>
  <c r="N54" i="97"/>
  <c r="L54" i="97"/>
  <c r="B54" i="97"/>
  <c r="X53" i="97"/>
  <c r="Z53" i="97" s="1"/>
  <c r="N53" i="97"/>
  <c r="L53" i="97"/>
  <c r="B53" i="97"/>
  <c r="X52" i="97"/>
  <c r="Z52" i="97" s="1"/>
  <c r="N52" i="97"/>
  <c r="L52" i="97"/>
  <c r="B52" i="97"/>
  <c r="T51" i="97"/>
  <c r="P51" i="97"/>
  <c r="X51" i="97" s="1"/>
  <c r="L51" i="97"/>
  <c r="H51" i="97"/>
  <c r="N51" i="97" s="1"/>
  <c r="D51" i="97"/>
  <c r="B51" i="97"/>
  <c r="X50" i="97"/>
  <c r="Z50" i="97" s="1"/>
  <c r="N50" i="97"/>
  <c r="L50" i="97"/>
  <c r="B50" i="97"/>
  <c r="X49" i="97"/>
  <c r="Z49" i="97" s="1"/>
  <c r="T49" i="97"/>
  <c r="P49" i="97"/>
  <c r="L49" i="97"/>
  <c r="N49" i="97" s="1"/>
  <c r="H49" i="97"/>
  <c r="D49" i="97"/>
  <c r="B49" i="97"/>
  <c r="Z48" i="97"/>
  <c r="X48" i="97"/>
  <c r="L48" i="97"/>
  <c r="N48" i="97" s="1"/>
  <c r="B48" i="97"/>
  <c r="T47" i="97"/>
  <c r="P47" i="97"/>
  <c r="H47" i="97"/>
  <c r="D47" i="97"/>
  <c r="B47" i="97"/>
  <c r="X46" i="97"/>
  <c r="Z46" i="97" s="1"/>
  <c r="N46" i="97"/>
  <c r="L46" i="97"/>
  <c r="B46" i="97"/>
  <c r="X45" i="97"/>
  <c r="T45" i="97"/>
  <c r="P45" i="97"/>
  <c r="H45" i="97"/>
  <c r="N45" i="97" s="1"/>
  <c r="D45" i="97"/>
  <c r="L45" i="97" s="1"/>
  <c r="B45" i="97"/>
  <c r="Z44" i="97"/>
  <c r="X44" i="97"/>
  <c r="N44" i="97"/>
  <c r="L44" i="97"/>
  <c r="B44" i="97"/>
  <c r="Z43" i="97"/>
  <c r="X43" i="97"/>
  <c r="N43" i="97"/>
  <c r="L43" i="97"/>
  <c r="B43" i="97"/>
  <c r="T42" i="97"/>
  <c r="P42" i="97"/>
  <c r="N42" i="97"/>
  <c r="H42" i="97"/>
  <c r="L42" i="97" s="1"/>
  <c r="D42" i="97"/>
  <c r="B42" i="97"/>
  <c r="X41" i="97"/>
  <c r="Z41" i="97" s="1"/>
  <c r="N41" i="97"/>
  <c r="L41" i="97"/>
  <c r="B41" i="97"/>
  <c r="T40" i="97"/>
  <c r="P40" i="97"/>
  <c r="X40" i="97" s="1"/>
  <c r="Z40" i="97" s="1"/>
  <c r="N40" i="97"/>
  <c r="H40" i="97"/>
  <c r="D40" i="97"/>
  <c r="L40" i="97" s="1"/>
  <c r="B40" i="97"/>
  <c r="X39" i="97"/>
  <c r="Z39" i="97" s="1"/>
  <c r="N39" i="97"/>
  <c r="L39" i="97"/>
  <c r="B39" i="97"/>
  <c r="T38" i="97"/>
  <c r="P38" i="97"/>
  <c r="X38" i="97" s="1"/>
  <c r="Z38" i="97" s="1"/>
  <c r="L38" i="97"/>
  <c r="N38" i="97" s="1"/>
  <c r="H38" i="97"/>
  <c r="D38" i="97"/>
  <c r="B38" i="97"/>
  <c r="X37" i="97"/>
  <c r="Z37" i="97" s="1"/>
  <c r="N37" i="97"/>
  <c r="L37" i="97"/>
  <c r="B37" i="97"/>
  <c r="T36" i="97"/>
  <c r="X36" i="97" s="1"/>
  <c r="Z36" i="97" s="1"/>
  <c r="P36" i="97"/>
  <c r="H36" i="97"/>
  <c r="F36" i="97"/>
  <c r="D36" i="97"/>
  <c r="B36" i="97"/>
  <c r="Z35" i="97"/>
  <c r="X35" i="97"/>
  <c r="L35" i="97"/>
  <c r="N35" i="97" s="1"/>
  <c r="B35" i="97"/>
  <c r="Z34" i="97"/>
  <c r="X34" i="97"/>
  <c r="L34" i="97"/>
  <c r="N34" i="97" s="1"/>
  <c r="J34" i="97"/>
  <c r="B34" i="97"/>
  <c r="Z33" i="97"/>
  <c r="X33" i="97"/>
  <c r="L33" i="97"/>
  <c r="N33" i="97" s="1"/>
  <c r="B33" i="97"/>
  <c r="Z32" i="97"/>
  <c r="X32" i="97"/>
  <c r="L32" i="97"/>
  <c r="N32" i="97" s="1"/>
  <c r="B32" i="97"/>
  <c r="Z31" i="97"/>
  <c r="X31" i="97"/>
  <c r="N31" i="97"/>
  <c r="L31" i="97"/>
  <c r="B31" i="97"/>
  <c r="T30" i="97"/>
  <c r="P30" i="97"/>
  <c r="X30" i="97" s="1"/>
  <c r="Z30" i="97" s="1"/>
  <c r="H30" i="97"/>
  <c r="D30" i="97"/>
  <c r="L30" i="97" s="1"/>
  <c r="N30" i="97" s="1"/>
  <c r="B30" i="97"/>
  <c r="X29" i="97"/>
  <c r="Z29" i="97" s="1"/>
  <c r="L29" i="97"/>
  <c r="N29" i="97" s="1"/>
  <c r="B29" i="97"/>
  <c r="X28" i="97"/>
  <c r="Z28" i="97" s="1"/>
  <c r="N28" i="97"/>
  <c r="L28" i="97"/>
  <c r="B28" i="97"/>
  <c r="X27" i="97"/>
  <c r="Z27" i="97" s="1"/>
  <c r="L27" i="97"/>
  <c r="N27" i="97" s="1"/>
  <c r="B27" i="97"/>
  <c r="Z26" i="97"/>
  <c r="X26" i="97"/>
  <c r="N26" i="97"/>
  <c r="L26" i="97"/>
  <c r="B26" i="97"/>
  <c r="X25" i="97"/>
  <c r="Z25" i="97" s="1"/>
  <c r="L25" i="97"/>
  <c r="N25" i="97" s="1"/>
  <c r="B25" i="97"/>
  <c r="X24" i="97"/>
  <c r="Z24" i="97" s="1"/>
  <c r="V24" i="97"/>
  <c r="N24" i="97"/>
  <c r="L24" i="97"/>
  <c r="B24" i="97"/>
  <c r="X23" i="97"/>
  <c r="Z23" i="97" s="1"/>
  <c r="L23" i="97"/>
  <c r="N23" i="97" s="1"/>
  <c r="B23" i="97"/>
  <c r="X22" i="97"/>
  <c r="Z22" i="97" s="1"/>
  <c r="L22" i="97"/>
  <c r="N22" i="97" s="1"/>
  <c r="B22" i="97"/>
  <c r="X21" i="97"/>
  <c r="Z21" i="97" s="1"/>
  <c r="L21" i="97"/>
  <c r="N21" i="97" s="1"/>
  <c r="B21" i="97"/>
  <c r="T20" i="97"/>
  <c r="P20" i="97"/>
  <c r="X20" i="97" s="1"/>
  <c r="H20" i="97"/>
  <c r="D20" i="97"/>
  <c r="L20" i="97" s="1"/>
  <c r="N20" i="97" s="1"/>
  <c r="B20" i="97"/>
  <c r="T19" i="97"/>
  <c r="P19" i="97"/>
  <c r="L19" i="97"/>
  <c r="H19" i="97"/>
  <c r="N19" i="97" s="1"/>
  <c r="F19" i="97"/>
  <c r="D19" i="97"/>
  <c r="Z15" i="97"/>
  <c r="X15" i="97"/>
  <c r="T15" i="97"/>
  <c r="P15" i="97"/>
  <c r="H15" i="97"/>
  <c r="N15" i="97" s="1"/>
  <c r="D15" i="97"/>
  <c r="L15" i="97" s="1"/>
  <c r="T13" i="97"/>
  <c r="P13" i="97"/>
  <c r="N13" i="97"/>
  <c r="L13" i="97"/>
  <c r="H13" i="97"/>
  <c r="D13" i="97"/>
  <c r="B13" i="97"/>
  <c r="T12" i="97"/>
  <c r="V34" i="97" s="1"/>
  <c r="H12" i="97"/>
  <c r="J63" i="97" s="1"/>
  <c r="D12" i="97"/>
  <c r="F45" i="97" s="1"/>
  <c r="D6" i="97"/>
  <c r="D4" i="97"/>
  <c r="Z38" i="96"/>
  <c r="X38" i="96"/>
  <c r="V38" i="96"/>
  <c r="N38" i="96"/>
  <c r="L38" i="96"/>
  <c r="T34" i="96"/>
  <c r="R34" i="96"/>
  <c r="P34" i="96"/>
  <c r="X34" i="96" s="1"/>
  <c r="H34" i="96"/>
  <c r="D34" i="96"/>
  <c r="L34" i="96" s="1"/>
  <c r="B34" i="96"/>
  <c r="T33" i="96"/>
  <c r="Z33" i="96" s="1"/>
  <c r="P33" i="96"/>
  <c r="X33" i="96" s="1"/>
  <c r="L33" i="96"/>
  <c r="H33" i="96"/>
  <c r="N33" i="96" s="1"/>
  <c r="D33" i="96"/>
  <c r="B33" i="96"/>
  <c r="T32" i="96"/>
  <c r="Z32" i="96" s="1"/>
  <c r="P32" i="96"/>
  <c r="X32" i="96" s="1"/>
  <c r="H32" i="96"/>
  <c r="D32" i="96"/>
  <c r="D31" i="96" s="1"/>
  <c r="B32" i="96"/>
  <c r="P31" i="96"/>
  <c r="Z29" i="96"/>
  <c r="X29" i="96"/>
  <c r="N29" i="96"/>
  <c r="L29" i="96"/>
  <c r="J29" i="96"/>
  <c r="B29" i="96"/>
  <c r="X28" i="96"/>
  <c r="Z28" i="96" s="1"/>
  <c r="N28" i="96"/>
  <c r="L28" i="96"/>
  <c r="B28" i="96"/>
  <c r="Z27" i="96"/>
  <c r="X27" i="96"/>
  <c r="V27" i="96"/>
  <c r="T27" i="96"/>
  <c r="P27" i="96"/>
  <c r="H27" i="96"/>
  <c r="N27" i="96" s="1"/>
  <c r="D27" i="96"/>
  <c r="L27" i="96" s="1"/>
  <c r="B27" i="96"/>
  <c r="X26" i="96"/>
  <c r="Z26" i="96" s="1"/>
  <c r="N26" i="96"/>
  <c r="L26" i="96"/>
  <c r="B26" i="96"/>
  <c r="X25" i="96"/>
  <c r="Z25" i="96" s="1"/>
  <c r="V25" i="96"/>
  <c r="R25" i="96"/>
  <c r="N25" i="96"/>
  <c r="L25" i="96"/>
  <c r="B25" i="96"/>
  <c r="Z24" i="96"/>
  <c r="X24" i="96"/>
  <c r="N24" i="96"/>
  <c r="L24" i="96"/>
  <c r="B24" i="96"/>
  <c r="Z23" i="96"/>
  <c r="X23" i="96"/>
  <c r="R23" i="96"/>
  <c r="N23" i="96"/>
  <c r="L23" i="96"/>
  <c r="B23" i="96"/>
  <c r="X22" i="96"/>
  <c r="Z22" i="96" s="1"/>
  <c r="L22" i="96"/>
  <c r="N22" i="96" s="1"/>
  <c r="B22" i="96"/>
  <c r="X21" i="96"/>
  <c r="Z21" i="96" s="1"/>
  <c r="V21" i="96"/>
  <c r="R21" i="96"/>
  <c r="N21" i="96"/>
  <c r="L21" i="96"/>
  <c r="B21" i="96"/>
  <c r="Z20" i="96"/>
  <c r="X20" i="96"/>
  <c r="N20" i="96"/>
  <c r="L20" i="96"/>
  <c r="F20" i="96"/>
  <c r="B20" i="96"/>
  <c r="T19" i="96"/>
  <c r="P19" i="96"/>
  <c r="X19" i="96" s="1"/>
  <c r="L19" i="96"/>
  <c r="J19" i="96"/>
  <c r="H19" i="96"/>
  <c r="D19" i="96"/>
  <c r="B19" i="96"/>
  <c r="X18" i="96"/>
  <c r="T18" i="96"/>
  <c r="Z18" i="96" s="1"/>
  <c r="R18" i="96"/>
  <c r="P18" i="96"/>
  <c r="H18" i="96"/>
  <c r="D18" i="96"/>
  <c r="R16" i="96"/>
  <c r="X14" i="96"/>
  <c r="T14" i="96"/>
  <c r="Z14" i="96" s="1"/>
  <c r="R14" i="96"/>
  <c r="P14" i="96"/>
  <c r="H14" i="96"/>
  <c r="N14" i="96" s="1"/>
  <c r="D14" i="96"/>
  <c r="T12" i="96"/>
  <c r="V43" i="96" s="1"/>
  <c r="P12" i="96"/>
  <c r="R40" i="96" s="1"/>
  <c r="H12" i="96"/>
  <c r="D12" i="96"/>
  <c r="D6" i="96"/>
  <c r="D4" i="96"/>
  <c r="X86" i="95"/>
  <c r="Z86" i="95" s="1"/>
  <c r="N86" i="95"/>
  <c r="L86" i="95"/>
  <c r="Z82" i="95"/>
  <c r="X82" i="95"/>
  <c r="T82" i="95"/>
  <c r="P82" i="95"/>
  <c r="L82" i="95"/>
  <c r="H82" i="95"/>
  <c r="N82" i="95" s="1"/>
  <c r="D82" i="95"/>
  <c r="X80" i="95"/>
  <c r="Z80" i="95" s="1"/>
  <c r="N80" i="95"/>
  <c r="L80" i="95"/>
  <c r="B80" i="95"/>
  <c r="T79" i="95"/>
  <c r="P79" i="95"/>
  <c r="N79" i="95"/>
  <c r="H79" i="95"/>
  <c r="D79" i="95"/>
  <c r="L79" i="95" s="1"/>
  <c r="B79" i="95"/>
  <c r="Z78" i="95"/>
  <c r="X78" i="95"/>
  <c r="N78" i="95"/>
  <c r="L78" i="95"/>
  <c r="B78" i="95"/>
  <c r="T77" i="95"/>
  <c r="P77" i="95"/>
  <c r="X77" i="95" s="1"/>
  <c r="N77" i="95"/>
  <c r="L77" i="95"/>
  <c r="H77" i="95"/>
  <c r="D77" i="95"/>
  <c r="B77" i="95"/>
  <c r="Z76" i="95"/>
  <c r="X76" i="95"/>
  <c r="N76" i="95"/>
  <c r="L76" i="95"/>
  <c r="B76" i="95"/>
  <c r="T75" i="95"/>
  <c r="Z75" i="95" s="1"/>
  <c r="P75" i="95"/>
  <c r="X75" i="95" s="1"/>
  <c r="L75" i="95"/>
  <c r="H75" i="95"/>
  <c r="N75" i="95" s="1"/>
  <c r="D75" i="95"/>
  <c r="B75" i="95"/>
  <c r="X74" i="95"/>
  <c r="Z74" i="95" s="1"/>
  <c r="N74" i="95"/>
  <c r="L74" i="95"/>
  <c r="B74" i="95"/>
  <c r="Z73" i="95"/>
  <c r="X73" i="95"/>
  <c r="N73" i="95"/>
  <c r="L73" i="95"/>
  <c r="B73" i="95"/>
  <c r="Z72" i="95"/>
  <c r="X72" i="95"/>
  <c r="L72" i="95"/>
  <c r="N72" i="95" s="1"/>
  <c r="B72" i="95"/>
  <c r="Z71" i="95"/>
  <c r="X71" i="95"/>
  <c r="N71" i="95"/>
  <c r="L71" i="95"/>
  <c r="B71" i="95"/>
  <c r="X70" i="95"/>
  <c r="Z70" i="95" s="1"/>
  <c r="N70" i="95"/>
  <c r="L70" i="95"/>
  <c r="B70" i="95"/>
  <c r="Z69" i="95"/>
  <c r="X69" i="95"/>
  <c r="L69" i="95"/>
  <c r="N69" i="95" s="1"/>
  <c r="B69" i="95"/>
  <c r="X68" i="95"/>
  <c r="T68" i="95"/>
  <c r="P68" i="95"/>
  <c r="L68" i="95"/>
  <c r="H68" i="95"/>
  <c r="N68" i="95" s="1"/>
  <c r="D68" i="95"/>
  <c r="B68" i="95"/>
  <c r="Z67" i="95"/>
  <c r="X67" i="95"/>
  <c r="N67" i="95"/>
  <c r="L67" i="95"/>
  <c r="B67" i="95"/>
  <c r="X66" i="95"/>
  <c r="Z66" i="95" s="1"/>
  <c r="L66" i="95"/>
  <c r="N66" i="95" s="1"/>
  <c r="B66" i="95"/>
  <c r="X65" i="95"/>
  <c r="Z65" i="95" s="1"/>
  <c r="L65" i="95"/>
  <c r="N65" i="95" s="1"/>
  <c r="B65" i="95"/>
  <c r="T64" i="95"/>
  <c r="P64" i="95"/>
  <c r="X64" i="95" s="1"/>
  <c r="H64" i="95"/>
  <c r="D64" i="95"/>
  <c r="L64" i="95" s="1"/>
  <c r="B64" i="95"/>
  <c r="Z63" i="95"/>
  <c r="X63" i="95"/>
  <c r="N63" i="95"/>
  <c r="L63" i="95"/>
  <c r="B63" i="95"/>
  <c r="X62" i="95"/>
  <c r="Z62" i="95" s="1"/>
  <c r="L62" i="95"/>
  <c r="N62" i="95" s="1"/>
  <c r="B62" i="95"/>
  <c r="X61" i="95"/>
  <c r="V61" i="95"/>
  <c r="T61" i="95"/>
  <c r="P61" i="95"/>
  <c r="H61" i="95"/>
  <c r="N61" i="95" s="1"/>
  <c r="D61" i="95"/>
  <c r="L61" i="95" s="1"/>
  <c r="B61" i="95"/>
  <c r="Z60" i="95"/>
  <c r="X60" i="95"/>
  <c r="L60" i="95"/>
  <c r="N60" i="95" s="1"/>
  <c r="B60" i="95"/>
  <c r="T59" i="95"/>
  <c r="P59" i="95"/>
  <c r="N59" i="95"/>
  <c r="H59" i="95"/>
  <c r="D59" i="95"/>
  <c r="L59" i="95" s="1"/>
  <c r="B59" i="95"/>
  <c r="Z58" i="95"/>
  <c r="X58" i="95"/>
  <c r="L58" i="95"/>
  <c r="N58" i="95" s="1"/>
  <c r="B58" i="95"/>
  <c r="T57" i="95"/>
  <c r="P57" i="95"/>
  <c r="X57" i="95" s="1"/>
  <c r="Z57" i="95" s="1"/>
  <c r="N57" i="95"/>
  <c r="L57" i="95"/>
  <c r="H57" i="95"/>
  <c r="D57" i="95"/>
  <c r="B57" i="95"/>
  <c r="Z56" i="95"/>
  <c r="X56" i="95"/>
  <c r="N56" i="95"/>
  <c r="L56" i="95"/>
  <c r="B56" i="95"/>
  <c r="T55" i="95"/>
  <c r="P55" i="95"/>
  <c r="L55" i="95"/>
  <c r="H55" i="95"/>
  <c r="N55" i="95" s="1"/>
  <c r="D55" i="95"/>
  <c r="B55" i="95"/>
  <c r="X54" i="95"/>
  <c r="Z54" i="95" s="1"/>
  <c r="N54" i="95"/>
  <c r="L54" i="95"/>
  <c r="B54" i="95"/>
  <c r="T53" i="95"/>
  <c r="P53" i="95"/>
  <c r="X53" i="95" s="1"/>
  <c r="Z53" i="95" s="1"/>
  <c r="H53" i="95"/>
  <c r="N53" i="95" s="1"/>
  <c r="D53" i="95"/>
  <c r="B53" i="95"/>
  <c r="X52" i="95"/>
  <c r="Z52" i="95" s="1"/>
  <c r="N52" i="95"/>
  <c r="L52" i="95"/>
  <c r="B52" i="95"/>
  <c r="Z51" i="95"/>
  <c r="X51" i="95"/>
  <c r="T51" i="95"/>
  <c r="P51" i="95"/>
  <c r="N51" i="95"/>
  <c r="L51" i="95"/>
  <c r="H51" i="95"/>
  <c r="D51" i="95"/>
  <c r="B51" i="95"/>
  <c r="X50" i="95"/>
  <c r="Z50" i="95" s="1"/>
  <c r="L50" i="95"/>
  <c r="N50" i="95" s="1"/>
  <c r="B50" i="95"/>
  <c r="X49" i="95"/>
  <c r="T49" i="95"/>
  <c r="Z49" i="95" s="1"/>
  <c r="P49" i="95"/>
  <c r="H49" i="95"/>
  <c r="D49" i="95"/>
  <c r="L49" i="95" s="1"/>
  <c r="B49" i="95"/>
  <c r="Z48" i="95"/>
  <c r="X48" i="95"/>
  <c r="L48" i="95"/>
  <c r="N48" i="95" s="1"/>
  <c r="B48" i="95"/>
  <c r="T47" i="95"/>
  <c r="P47" i="95"/>
  <c r="X47" i="95" s="1"/>
  <c r="N47" i="95"/>
  <c r="H47" i="95"/>
  <c r="D47" i="95"/>
  <c r="L47" i="95" s="1"/>
  <c r="B47" i="95"/>
  <c r="Z46" i="95"/>
  <c r="X46" i="95"/>
  <c r="L46" i="95"/>
  <c r="N46" i="95" s="1"/>
  <c r="B46" i="95"/>
  <c r="T45" i="95"/>
  <c r="P45" i="95"/>
  <c r="X45" i="95" s="1"/>
  <c r="Z45" i="95" s="1"/>
  <c r="N45" i="95"/>
  <c r="L45" i="95"/>
  <c r="H45" i="95"/>
  <c r="D45" i="95"/>
  <c r="B45" i="95"/>
  <c r="Z44" i="95"/>
  <c r="X44" i="95"/>
  <c r="L44" i="95"/>
  <c r="N44" i="95" s="1"/>
  <c r="B44" i="95"/>
  <c r="T43" i="95"/>
  <c r="P43" i="95"/>
  <c r="X43" i="95" s="1"/>
  <c r="L43" i="95"/>
  <c r="H43" i="95"/>
  <c r="D43" i="95"/>
  <c r="B43" i="95"/>
  <c r="X42" i="95"/>
  <c r="Z42" i="95" s="1"/>
  <c r="N42" i="95"/>
  <c r="L42" i="95"/>
  <c r="B42" i="95"/>
  <c r="Z41" i="95"/>
  <c r="T41" i="95"/>
  <c r="P41" i="95"/>
  <c r="X41" i="95" s="1"/>
  <c r="H41" i="95"/>
  <c r="N41" i="95" s="1"/>
  <c r="D41" i="95"/>
  <c r="L41" i="95" s="1"/>
  <c r="B41" i="95"/>
  <c r="X40" i="95"/>
  <c r="Z40" i="95" s="1"/>
  <c r="N40" i="95"/>
  <c r="L40" i="95"/>
  <c r="B40" i="95"/>
  <c r="Z39" i="95"/>
  <c r="X39" i="95"/>
  <c r="N39" i="95"/>
  <c r="L39" i="95"/>
  <c r="B39" i="95"/>
  <c r="Z38" i="95"/>
  <c r="X38" i="95"/>
  <c r="N38" i="95"/>
  <c r="L38" i="95"/>
  <c r="B38" i="95"/>
  <c r="X37" i="95"/>
  <c r="Z37" i="95" s="1"/>
  <c r="L37" i="95"/>
  <c r="N37" i="95" s="1"/>
  <c r="B37" i="95"/>
  <c r="X36" i="95"/>
  <c r="Z36" i="95" s="1"/>
  <c r="N36" i="95"/>
  <c r="L36" i="95"/>
  <c r="B36" i="95"/>
  <c r="Z35" i="95"/>
  <c r="X35" i="95"/>
  <c r="N35" i="95"/>
  <c r="L35" i="95"/>
  <c r="B35" i="95"/>
  <c r="T34" i="95"/>
  <c r="P34" i="95"/>
  <c r="X34" i="95" s="1"/>
  <c r="H34" i="95"/>
  <c r="N34" i="95" s="1"/>
  <c r="D34" i="95"/>
  <c r="L34" i="95" s="1"/>
  <c r="B34" i="95"/>
  <c r="X33" i="95"/>
  <c r="Z33" i="95" s="1"/>
  <c r="N33" i="95"/>
  <c r="L33" i="95"/>
  <c r="B33" i="95"/>
  <c r="Z32" i="95"/>
  <c r="X32" i="95"/>
  <c r="L32" i="95"/>
  <c r="N32" i="95" s="1"/>
  <c r="B32" i="95"/>
  <c r="Z31" i="95"/>
  <c r="X31" i="95"/>
  <c r="N31" i="95"/>
  <c r="L31" i="95"/>
  <c r="B31" i="95"/>
  <c r="X30" i="95"/>
  <c r="Z30" i="95" s="1"/>
  <c r="L30" i="95"/>
  <c r="N30" i="95" s="1"/>
  <c r="B30" i="95"/>
  <c r="X29" i="95"/>
  <c r="Z29" i="95" s="1"/>
  <c r="N29" i="95"/>
  <c r="L29" i="95"/>
  <c r="B29" i="95"/>
  <c r="Z28" i="95"/>
  <c r="X28" i="95"/>
  <c r="L28" i="95"/>
  <c r="N28" i="95" s="1"/>
  <c r="B28" i="95"/>
  <c r="Z27" i="95"/>
  <c r="X27" i="95"/>
  <c r="N27" i="95"/>
  <c r="L27" i="95"/>
  <c r="B27" i="95"/>
  <c r="X26" i="95"/>
  <c r="Z26" i="95" s="1"/>
  <c r="L26" i="95"/>
  <c r="N26" i="95" s="1"/>
  <c r="B26" i="95"/>
  <c r="X25" i="95"/>
  <c r="Z25" i="95" s="1"/>
  <c r="N25" i="95"/>
  <c r="L25" i="95"/>
  <c r="B25" i="95"/>
  <c r="Z24" i="95"/>
  <c r="T24" i="95"/>
  <c r="P24" i="95"/>
  <c r="X24" i="95" s="1"/>
  <c r="L24" i="95"/>
  <c r="N24" i="95" s="1"/>
  <c r="H24" i="95"/>
  <c r="D24" i="95"/>
  <c r="B24" i="95"/>
  <c r="T23" i="95"/>
  <c r="P23" i="95"/>
  <c r="H23" i="95"/>
  <c r="D23" i="95"/>
  <c r="L23" i="95" s="1"/>
  <c r="N23" i="95" s="1"/>
  <c r="Z19" i="95"/>
  <c r="X19" i="95"/>
  <c r="N19" i="95"/>
  <c r="L19" i="95"/>
  <c r="B19" i="95"/>
  <c r="X18" i="95"/>
  <c r="Z18" i="95" s="1"/>
  <c r="N18" i="95"/>
  <c r="L18" i="95"/>
  <c r="B18" i="95"/>
  <c r="T17" i="95"/>
  <c r="P17" i="95"/>
  <c r="X17" i="95" s="1"/>
  <c r="Z17" i="95" s="1"/>
  <c r="H17" i="95"/>
  <c r="D17" i="95"/>
  <c r="L17" i="95" s="1"/>
  <c r="T15" i="95"/>
  <c r="P15" i="95"/>
  <c r="X15" i="95" s="1"/>
  <c r="Z15" i="95" s="1"/>
  <c r="L15" i="95"/>
  <c r="N15" i="95" s="1"/>
  <c r="H15" i="95"/>
  <c r="D15" i="95"/>
  <c r="B15" i="95"/>
  <c r="T14" i="95"/>
  <c r="P14" i="95"/>
  <c r="X14" i="95" s="1"/>
  <c r="Z14" i="95" s="1"/>
  <c r="H14" i="95"/>
  <c r="D14" i="95"/>
  <c r="B14" i="95"/>
  <c r="T13" i="95"/>
  <c r="P13" i="95"/>
  <c r="N13" i="95"/>
  <c r="L13" i="95"/>
  <c r="H13" i="95"/>
  <c r="D13" i="95"/>
  <c r="B13" i="95"/>
  <c r="T12" i="95"/>
  <c r="V42" i="95" s="1"/>
  <c r="D6" i="95"/>
  <c r="D4" i="95"/>
  <c r="X91" i="94"/>
  <c r="Z91" i="94" s="1"/>
  <c r="N91" i="94"/>
  <c r="L91" i="94"/>
  <c r="X87" i="94"/>
  <c r="T87" i="94"/>
  <c r="Z87" i="94" s="1"/>
  <c r="P87" i="94"/>
  <c r="N87" i="94"/>
  <c r="L87" i="94"/>
  <c r="H87" i="94"/>
  <c r="D87" i="94"/>
  <c r="Z85" i="94"/>
  <c r="X85" i="94"/>
  <c r="N85" i="94"/>
  <c r="L85" i="94"/>
  <c r="B85" i="94"/>
  <c r="T84" i="94"/>
  <c r="P84" i="94"/>
  <c r="N84" i="94"/>
  <c r="H84" i="94"/>
  <c r="D84" i="94"/>
  <c r="L84" i="94" s="1"/>
  <c r="B84" i="94"/>
  <c r="X83" i="94"/>
  <c r="Z83" i="94" s="1"/>
  <c r="N83" i="94"/>
  <c r="L83" i="94"/>
  <c r="B83" i="94"/>
  <c r="T82" i="94"/>
  <c r="P82" i="94"/>
  <c r="X82" i="94" s="1"/>
  <c r="Z82" i="94" s="1"/>
  <c r="N82" i="94"/>
  <c r="H82" i="94"/>
  <c r="D82" i="94"/>
  <c r="L82" i="94" s="1"/>
  <c r="B82" i="94"/>
  <c r="X81" i="94"/>
  <c r="Z81" i="94" s="1"/>
  <c r="N81" i="94"/>
  <c r="L81" i="94"/>
  <c r="B81" i="94"/>
  <c r="T80" i="94"/>
  <c r="P80" i="94"/>
  <c r="H80" i="94"/>
  <c r="D80" i="94"/>
  <c r="B80" i="94"/>
  <c r="X79" i="94"/>
  <c r="Z79" i="94" s="1"/>
  <c r="N79" i="94"/>
  <c r="L79" i="94"/>
  <c r="B79" i="94"/>
  <c r="Z78" i="94"/>
  <c r="X78" i="94"/>
  <c r="N78" i="94"/>
  <c r="L78" i="94"/>
  <c r="B78" i="94"/>
  <c r="X77" i="94"/>
  <c r="Z77" i="94" s="1"/>
  <c r="N77" i="94"/>
  <c r="L77" i="94"/>
  <c r="B77" i="94"/>
  <c r="Z76" i="94"/>
  <c r="X76" i="94"/>
  <c r="L76" i="94"/>
  <c r="N76" i="94" s="1"/>
  <c r="B76" i="94"/>
  <c r="Z75" i="94"/>
  <c r="X75" i="94"/>
  <c r="L75" i="94"/>
  <c r="N75" i="94" s="1"/>
  <c r="B75" i="94"/>
  <c r="Z74" i="94"/>
  <c r="X74" i="94"/>
  <c r="L74" i="94"/>
  <c r="N74" i="94" s="1"/>
  <c r="B74" i="94"/>
  <c r="Z73" i="94"/>
  <c r="X73" i="94"/>
  <c r="L73" i="94"/>
  <c r="N73" i="94" s="1"/>
  <c r="J73" i="94"/>
  <c r="F73" i="94"/>
  <c r="B73" i="94"/>
  <c r="Z72" i="94"/>
  <c r="X72" i="94"/>
  <c r="N72" i="94"/>
  <c r="L72" i="94"/>
  <c r="B72" i="94"/>
  <c r="Z71" i="94"/>
  <c r="X71" i="94"/>
  <c r="N71" i="94"/>
  <c r="L71" i="94"/>
  <c r="B71" i="94"/>
  <c r="T70" i="94"/>
  <c r="P70" i="94"/>
  <c r="X70" i="94" s="1"/>
  <c r="N70" i="94"/>
  <c r="H70" i="94"/>
  <c r="D70" i="94"/>
  <c r="L70" i="94" s="1"/>
  <c r="B70" i="94"/>
  <c r="Z69" i="94"/>
  <c r="X69" i="94"/>
  <c r="N69" i="94"/>
  <c r="L69" i="94"/>
  <c r="J69" i="94"/>
  <c r="B69" i="94"/>
  <c r="T68" i="94"/>
  <c r="Z68" i="94" s="1"/>
  <c r="P68" i="94"/>
  <c r="L68" i="94"/>
  <c r="H68" i="94"/>
  <c r="N68" i="94" s="1"/>
  <c r="D68" i="94"/>
  <c r="B68" i="94"/>
  <c r="Z67" i="94"/>
  <c r="X67" i="94"/>
  <c r="L67" i="94"/>
  <c r="N67" i="94" s="1"/>
  <c r="J67" i="94"/>
  <c r="B67" i="94"/>
  <c r="X66" i="94"/>
  <c r="Z66" i="94" s="1"/>
  <c r="L66" i="94"/>
  <c r="N66" i="94" s="1"/>
  <c r="B66" i="94"/>
  <c r="Z65" i="94"/>
  <c r="X65" i="94"/>
  <c r="N65" i="94"/>
  <c r="L65" i="94"/>
  <c r="B65" i="94"/>
  <c r="Z64" i="94"/>
  <c r="X64" i="94"/>
  <c r="N64" i="94"/>
  <c r="L64" i="94"/>
  <c r="B64" i="94"/>
  <c r="T63" i="94"/>
  <c r="P63" i="94"/>
  <c r="X63" i="94" s="1"/>
  <c r="Z63" i="94" s="1"/>
  <c r="L63" i="94"/>
  <c r="N63" i="94" s="1"/>
  <c r="J63" i="94"/>
  <c r="H63" i="94"/>
  <c r="D63" i="94"/>
  <c r="B63" i="94"/>
  <c r="X62" i="94"/>
  <c r="Z62" i="94" s="1"/>
  <c r="N62" i="94"/>
  <c r="L62" i="94"/>
  <c r="B62" i="94"/>
  <c r="X61" i="94"/>
  <c r="Z61" i="94" s="1"/>
  <c r="N61" i="94"/>
  <c r="L61" i="94"/>
  <c r="B61" i="94"/>
  <c r="Z60" i="94"/>
  <c r="X60" i="94"/>
  <c r="N60" i="94"/>
  <c r="L60" i="94"/>
  <c r="B60" i="94"/>
  <c r="T59" i="94"/>
  <c r="P59" i="94"/>
  <c r="L59" i="94"/>
  <c r="N59" i="94" s="1"/>
  <c r="H59" i="94"/>
  <c r="D59" i="94"/>
  <c r="B59" i="94"/>
  <c r="X58" i="94"/>
  <c r="Z58" i="94" s="1"/>
  <c r="L58" i="94"/>
  <c r="N58" i="94" s="1"/>
  <c r="B58" i="94"/>
  <c r="T57" i="94"/>
  <c r="P57" i="94"/>
  <c r="X57" i="94" s="1"/>
  <c r="Z57" i="94" s="1"/>
  <c r="H57" i="94"/>
  <c r="L57" i="94" s="1"/>
  <c r="N57" i="94" s="1"/>
  <c r="D57" i="94"/>
  <c r="B57" i="94"/>
  <c r="Z56" i="94"/>
  <c r="X56" i="94"/>
  <c r="N56" i="94"/>
  <c r="L56" i="94"/>
  <c r="B56" i="94"/>
  <c r="T55" i="94"/>
  <c r="P55" i="94"/>
  <c r="X55" i="94" s="1"/>
  <c r="Z55" i="94" s="1"/>
  <c r="N55" i="94"/>
  <c r="L55" i="94"/>
  <c r="J55" i="94"/>
  <c r="H55" i="94"/>
  <c r="D55" i="94"/>
  <c r="B55" i="94"/>
  <c r="X54" i="94"/>
  <c r="Z54" i="94" s="1"/>
  <c r="L54" i="94"/>
  <c r="N54" i="94" s="1"/>
  <c r="B54" i="94"/>
  <c r="X53" i="94"/>
  <c r="Z53" i="94" s="1"/>
  <c r="T53" i="94"/>
  <c r="P53" i="94"/>
  <c r="J53" i="94"/>
  <c r="H53" i="94"/>
  <c r="D53" i="94"/>
  <c r="B53" i="94"/>
  <c r="Z52" i="94"/>
  <c r="X52" i="94"/>
  <c r="N52" i="94"/>
  <c r="L52" i="94"/>
  <c r="B52" i="94"/>
  <c r="T51" i="94"/>
  <c r="X51" i="94" s="1"/>
  <c r="Z51" i="94" s="1"/>
  <c r="P51" i="94"/>
  <c r="N51" i="94"/>
  <c r="H51" i="94"/>
  <c r="D51" i="94"/>
  <c r="L51" i="94" s="1"/>
  <c r="B51" i="94"/>
  <c r="X50" i="94"/>
  <c r="Z50" i="94" s="1"/>
  <c r="L50" i="94"/>
  <c r="N50" i="94" s="1"/>
  <c r="B50" i="94"/>
  <c r="X49" i="94"/>
  <c r="Z49" i="94" s="1"/>
  <c r="T49" i="94"/>
  <c r="P49" i="94"/>
  <c r="H49" i="94"/>
  <c r="D49" i="94"/>
  <c r="L49" i="94" s="1"/>
  <c r="N49" i="94" s="1"/>
  <c r="B49" i="94"/>
  <c r="Z48" i="94"/>
  <c r="X48" i="94"/>
  <c r="N48" i="94"/>
  <c r="L48" i="94"/>
  <c r="B48" i="94"/>
  <c r="T47" i="94"/>
  <c r="P47" i="94"/>
  <c r="N47" i="94"/>
  <c r="L47" i="94"/>
  <c r="H47" i="94"/>
  <c r="D47" i="94"/>
  <c r="B47" i="94"/>
  <c r="X46" i="94"/>
  <c r="Z46" i="94" s="1"/>
  <c r="L46" i="94"/>
  <c r="N46" i="94" s="1"/>
  <c r="B46" i="94"/>
  <c r="T45" i="94"/>
  <c r="P45" i="94"/>
  <c r="X45" i="94" s="1"/>
  <c r="Z45" i="94" s="1"/>
  <c r="N45" i="94"/>
  <c r="H45" i="94"/>
  <c r="L45" i="94" s="1"/>
  <c r="D45" i="94"/>
  <c r="B45" i="94"/>
  <c r="Z44" i="94"/>
  <c r="X44" i="94"/>
  <c r="L44" i="94"/>
  <c r="N44" i="94" s="1"/>
  <c r="B44" i="94"/>
  <c r="T43" i="94"/>
  <c r="P43" i="94"/>
  <c r="X43" i="94" s="1"/>
  <c r="Z43" i="94" s="1"/>
  <c r="N43" i="94"/>
  <c r="L43" i="94"/>
  <c r="H43" i="94"/>
  <c r="D43" i="94"/>
  <c r="B43" i="94"/>
  <c r="X42" i="94"/>
  <c r="Z42" i="94" s="1"/>
  <c r="L42" i="94"/>
  <c r="N42" i="94" s="1"/>
  <c r="J42" i="94"/>
  <c r="F42" i="94"/>
  <c r="B42" i="94"/>
  <c r="X41" i="94"/>
  <c r="Z41" i="94" s="1"/>
  <c r="T41" i="94"/>
  <c r="P41" i="94"/>
  <c r="H41" i="94"/>
  <c r="D41" i="94"/>
  <c r="B41" i="94"/>
  <c r="Z40" i="94"/>
  <c r="X40" i="94"/>
  <c r="N40" i="94"/>
  <c r="L40" i="94"/>
  <c r="F40" i="94"/>
  <c r="B40" i="94"/>
  <c r="Z39" i="94"/>
  <c r="X39" i="94"/>
  <c r="N39" i="94"/>
  <c r="L39" i="94"/>
  <c r="B39" i="94"/>
  <c r="X38" i="94"/>
  <c r="Z38" i="94" s="1"/>
  <c r="L38" i="94"/>
  <c r="N38" i="94" s="1"/>
  <c r="B38" i="94"/>
  <c r="Z37" i="94"/>
  <c r="X37" i="94"/>
  <c r="N37" i="94"/>
  <c r="L37" i="94"/>
  <c r="B37" i="94"/>
  <c r="Z36" i="94"/>
  <c r="X36" i="94"/>
  <c r="N36" i="94"/>
  <c r="L36" i="94"/>
  <c r="F36" i="94"/>
  <c r="B36" i="94"/>
  <c r="Z35" i="94"/>
  <c r="X35" i="94"/>
  <c r="N35" i="94"/>
  <c r="L35" i="94"/>
  <c r="B35" i="94"/>
  <c r="T34" i="94"/>
  <c r="P34" i="94"/>
  <c r="H34" i="94"/>
  <c r="L34" i="94" s="1"/>
  <c r="N34" i="94" s="1"/>
  <c r="D34" i="94"/>
  <c r="B34" i="94"/>
  <c r="Z33" i="94"/>
  <c r="X33" i="94"/>
  <c r="L33" i="94"/>
  <c r="N33" i="94" s="1"/>
  <c r="B33" i="94"/>
  <c r="Z32" i="94"/>
  <c r="X32" i="94"/>
  <c r="L32" i="94"/>
  <c r="N32" i="94" s="1"/>
  <c r="B32" i="94"/>
  <c r="Z31" i="94"/>
  <c r="X31" i="94"/>
  <c r="L31" i="94"/>
  <c r="N31" i="94" s="1"/>
  <c r="J31" i="94"/>
  <c r="B31" i="94"/>
  <c r="X30" i="94"/>
  <c r="Z30" i="94" s="1"/>
  <c r="L30" i="94"/>
  <c r="N30" i="94" s="1"/>
  <c r="B30" i="94"/>
  <c r="X29" i="94"/>
  <c r="Z29" i="94" s="1"/>
  <c r="L29" i="94"/>
  <c r="N29" i="94" s="1"/>
  <c r="B29" i="94"/>
  <c r="Z28" i="94"/>
  <c r="X28" i="94"/>
  <c r="L28" i="94"/>
  <c r="N28" i="94" s="1"/>
  <c r="B28" i="94"/>
  <c r="Z27" i="94"/>
  <c r="X27" i="94"/>
  <c r="L27" i="94"/>
  <c r="N27" i="94" s="1"/>
  <c r="J27" i="94"/>
  <c r="B27" i="94"/>
  <c r="X26" i="94"/>
  <c r="Z26" i="94" s="1"/>
  <c r="L26" i="94"/>
  <c r="N26" i="94" s="1"/>
  <c r="B26" i="94"/>
  <c r="X25" i="94"/>
  <c r="Z25" i="94" s="1"/>
  <c r="L25" i="94"/>
  <c r="N25" i="94" s="1"/>
  <c r="B25" i="94"/>
  <c r="T24" i="94"/>
  <c r="P24" i="94"/>
  <c r="H24" i="94"/>
  <c r="N24" i="94" s="1"/>
  <c r="D24" i="94"/>
  <c r="L24" i="94" s="1"/>
  <c r="B24" i="94"/>
  <c r="T23" i="94"/>
  <c r="P23" i="94"/>
  <c r="L23" i="94"/>
  <c r="N23" i="94" s="1"/>
  <c r="H23" i="94"/>
  <c r="D23" i="94"/>
  <c r="X19" i="94"/>
  <c r="Z19" i="94" s="1"/>
  <c r="N19" i="94"/>
  <c r="L19" i="94"/>
  <c r="B19" i="94"/>
  <c r="X18" i="94"/>
  <c r="Z18" i="94" s="1"/>
  <c r="L18" i="94"/>
  <c r="N18" i="94" s="1"/>
  <c r="J18" i="94"/>
  <c r="F18" i="94"/>
  <c r="B18" i="94"/>
  <c r="X17" i="94"/>
  <c r="Z17" i="94" s="1"/>
  <c r="T17" i="94"/>
  <c r="P17" i="94"/>
  <c r="H17" i="94"/>
  <c r="D17" i="94"/>
  <c r="X15" i="94"/>
  <c r="T15" i="94"/>
  <c r="Z15" i="94" s="1"/>
  <c r="P15" i="94"/>
  <c r="N15" i="94"/>
  <c r="L15" i="94"/>
  <c r="H15" i="94"/>
  <c r="D15" i="94"/>
  <c r="B15" i="94"/>
  <c r="X14" i="94"/>
  <c r="Z14" i="94" s="1"/>
  <c r="T14" i="94"/>
  <c r="P14" i="94"/>
  <c r="H14" i="94"/>
  <c r="D14" i="94"/>
  <c r="L14" i="94" s="1"/>
  <c r="N14" i="94" s="1"/>
  <c r="B14" i="94"/>
  <c r="T13" i="94"/>
  <c r="P13" i="94"/>
  <c r="N13" i="94"/>
  <c r="H13" i="94"/>
  <c r="D13" i="94"/>
  <c r="L13" i="94" s="1"/>
  <c r="B13" i="94"/>
  <c r="H12" i="94"/>
  <c r="D12" i="94"/>
  <c r="F85" i="94" s="1"/>
  <c r="D6" i="94"/>
  <c r="D4" i="94"/>
  <c r="Z53" i="93"/>
  <c r="X53" i="93"/>
  <c r="N53" i="93"/>
  <c r="L53" i="93"/>
  <c r="Z49" i="93"/>
  <c r="X49" i="93"/>
  <c r="T49" i="93"/>
  <c r="P49" i="93"/>
  <c r="H49" i="93"/>
  <c r="N49" i="93" s="1"/>
  <c r="D49" i="93"/>
  <c r="L49" i="93" s="1"/>
  <c r="Z47" i="93"/>
  <c r="X47" i="93"/>
  <c r="N47" i="93"/>
  <c r="L47" i="93"/>
  <c r="B47" i="93"/>
  <c r="T46" i="93"/>
  <c r="P46" i="93"/>
  <c r="L46" i="93"/>
  <c r="N46" i="93" s="1"/>
  <c r="H46" i="93"/>
  <c r="D46" i="93"/>
  <c r="B46" i="93"/>
  <c r="X45" i="93"/>
  <c r="Z45" i="93" s="1"/>
  <c r="V45" i="93"/>
  <c r="N45" i="93"/>
  <c r="L45" i="93"/>
  <c r="B45" i="93"/>
  <c r="X44" i="93"/>
  <c r="Z44" i="93" s="1"/>
  <c r="N44" i="93"/>
  <c r="L44" i="93"/>
  <c r="B44" i="93"/>
  <c r="Z43" i="93"/>
  <c r="X43" i="93"/>
  <c r="N43" i="93"/>
  <c r="L43" i="93"/>
  <c r="B43" i="93"/>
  <c r="Z42" i="93"/>
  <c r="T42" i="93"/>
  <c r="X42" i="93" s="1"/>
  <c r="P42" i="93"/>
  <c r="N42" i="93"/>
  <c r="H42" i="93"/>
  <c r="D42" i="93"/>
  <c r="L42" i="93" s="1"/>
  <c r="B42" i="93"/>
  <c r="X41" i="93"/>
  <c r="Z41" i="93" s="1"/>
  <c r="N41" i="93"/>
  <c r="L41" i="93"/>
  <c r="B41" i="93"/>
  <c r="T40" i="93"/>
  <c r="P40" i="93"/>
  <c r="X40" i="93" s="1"/>
  <c r="Z40" i="93" s="1"/>
  <c r="H40" i="93"/>
  <c r="N40" i="93" s="1"/>
  <c r="D40" i="93"/>
  <c r="L40" i="93" s="1"/>
  <c r="B40" i="93"/>
  <c r="Z39" i="93"/>
  <c r="X39" i="93"/>
  <c r="N39" i="93"/>
  <c r="L39" i="93"/>
  <c r="B39" i="93"/>
  <c r="T38" i="93"/>
  <c r="R38" i="93"/>
  <c r="P38" i="93"/>
  <c r="N38" i="93"/>
  <c r="L38" i="93"/>
  <c r="H38" i="93"/>
  <c r="D38" i="93"/>
  <c r="B38" i="93"/>
  <c r="X37" i="93"/>
  <c r="Z37" i="93" s="1"/>
  <c r="N37" i="93"/>
  <c r="L37" i="93"/>
  <c r="B37" i="93"/>
  <c r="X36" i="93"/>
  <c r="Z36" i="93" s="1"/>
  <c r="T36" i="93"/>
  <c r="R36" i="93"/>
  <c r="P36" i="93"/>
  <c r="H36" i="93"/>
  <c r="N36" i="93" s="1"/>
  <c r="D36" i="93"/>
  <c r="B36" i="93"/>
  <c r="Z35" i="93"/>
  <c r="X35" i="93"/>
  <c r="R35" i="93"/>
  <c r="N35" i="93"/>
  <c r="L35" i="93"/>
  <c r="B35" i="93"/>
  <c r="T34" i="93"/>
  <c r="P34" i="93"/>
  <c r="N34" i="93"/>
  <c r="H34" i="93"/>
  <c r="D34" i="93"/>
  <c r="L34" i="93" s="1"/>
  <c r="B34" i="93"/>
  <c r="X33" i="93"/>
  <c r="Z33" i="93" s="1"/>
  <c r="N33" i="93"/>
  <c r="L33" i="93"/>
  <c r="B33" i="93"/>
  <c r="T32" i="93"/>
  <c r="R32" i="93"/>
  <c r="P32" i="93"/>
  <c r="X32" i="93" s="1"/>
  <c r="Z32" i="93" s="1"/>
  <c r="H32" i="93"/>
  <c r="F32" i="93"/>
  <c r="D32" i="93"/>
  <c r="B32" i="93"/>
  <c r="X31" i="93"/>
  <c r="Z31" i="93" s="1"/>
  <c r="N31" i="93"/>
  <c r="L31" i="93"/>
  <c r="B31" i="93"/>
  <c r="Z30" i="93"/>
  <c r="X30" i="93"/>
  <c r="R30" i="93"/>
  <c r="N30" i="93"/>
  <c r="L30" i="93"/>
  <c r="B30" i="93"/>
  <c r="X29" i="93"/>
  <c r="Z29" i="93" s="1"/>
  <c r="R29" i="93"/>
  <c r="N29" i="93"/>
  <c r="L29" i="93"/>
  <c r="F29" i="93"/>
  <c r="B29" i="93"/>
  <c r="T28" i="93"/>
  <c r="P28" i="93"/>
  <c r="X28" i="93" s="1"/>
  <c r="Z28" i="93" s="1"/>
  <c r="H28" i="93"/>
  <c r="N28" i="93" s="1"/>
  <c r="F28" i="93"/>
  <c r="D28" i="93"/>
  <c r="L28" i="93" s="1"/>
  <c r="B28" i="93"/>
  <c r="Z27" i="93"/>
  <c r="X27" i="93"/>
  <c r="N27" i="93"/>
  <c r="L27" i="93"/>
  <c r="B27" i="93"/>
  <c r="Z26" i="93"/>
  <c r="X26" i="93"/>
  <c r="R26" i="93"/>
  <c r="N26" i="93"/>
  <c r="L26" i="93"/>
  <c r="B26" i="93"/>
  <c r="X25" i="93"/>
  <c r="Z25" i="93" s="1"/>
  <c r="N25" i="93"/>
  <c r="L25" i="93"/>
  <c r="B25" i="93"/>
  <c r="Z24" i="93"/>
  <c r="X24" i="93"/>
  <c r="V24" i="93"/>
  <c r="T24" i="93"/>
  <c r="P24" i="93"/>
  <c r="H24" i="93"/>
  <c r="N24" i="93" s="1"/>
  <c r="D24" i="93"/>
  <c r="B24" i="93"/>
  <c r="T23" i="93"/>
  <c r="P23" i="93"/>
  <c r="X23" i="93" s="1"/>
  <c r="Z23" i="93" s="1"/>
  <c r="H23" i="93"/>
  <c r="D23" i="93"/>
  <c r="L23" i="93" s="1"/>
  <c r="R21" i="93"/>
  <c r="Z19" i="93"/>
  <c r="X19" i="93"/>
  <c r="N19" i="93"/>
  <c r="L19" i="93"/>
  <c r="B19" i="93"/>
  <c r="X18" i="93"/>
  <c r="Z18" i="93" s="1"/>
  <c r="R18" i="93"/>
  <c r="N18" i="93"/>
  <c r="L18" i="93"/>
  <c r="B18" i="93"/>
  <c r="T17" i="93"/>
  <c r="P17" i="93"/>
  <c r="X17" i="93" s="1"/>
  <c r="N17" i="93"/>
  <c r="H17" i="93"/>
  <c r="D17" i="93"/>
  <c r="L17" i="93" s="1"/>
  <c r="X15" i="93"/>
  <c r="T15" i="93"/>
  <c r="P15" i="93"/>
  <c r="L15" i="93"/>
  <c r="H15" i="93"/>
  <c r="D15" i="93"/>
  <c r="B15" i="93"/>
  <c r="X14" i="93"/>
  <c r="T14" i="93"/>
  <c r="P14" i="93"/>
  <c r="N14" i="93"/>
  <c r="L14" i="93"/>
  <c r="H14" i="93"/>
  <c r="D14" i="93"/>
  <c r="B14" i="93"/>
  <c r="Z13" i="93"/>
  <c r="X13" i="93"/>
  <c r="T13" i="93"/>
  <c r="P13" i="93"/>
  <c r="N13" i="93"/>
  <c r="H13" i="93"/>
  <c r="D13" i="93"/>
  <c r="D12" i="93" s="1"/>
  <c r="F53" i="93" s="1"/>
  <c r="B13" i="93"/>
  <c r="T12" i="93"/>
  <c r="P12" i="93"/>
  <c r="D6" i="93"/>
  <c r="D4" i="93"/>
  <c r="X87" i="92"/>
  <c r="Z87" i="92" s="1"/>
  <c r="L87" i="92"/>
  <c r="N87" i="92" s="1"/>
  <c r="Z83" i="92"/>
  <c r="X83" i="92"/>
  <c r="T83" i="92"/>
  <c r="P83" i="92"/>
  <c r="H83" i="92"/>
  <c r="D83" i="92"/>
  <c r="X81" i="92"/>
  <c r="Z81" i="92" s="1"/>
  <c r="N81" i="92"/>
  <c r="L81" i="92"/>
  <c r="B81" i="92"/>
  <c r="Z80" i="92"/>
  <c r="X80" i="92"/>
  <c r="T80" i="92"/>
  <c r="P80" i="92"/>
  <c r="H80" i="92"/>
  <c r="N80" i="92" s="1"/>
  <c r="D80" i="92"/>
  <c r="L80" i="92" s="1"/>
  <c r="B80" i="92"/>
  <c r="Z79" i="92"/>
  <c r="X79" i="92"/>
  <c r="N79" i="92"/>
  <c r="L79" i="92"/>
  <c r="B79" i="92"/>
  <c r="T78" i="92"/>
  <c r="P78" i="92"/>
  <c r="L78" i="92"/>
  <c r="H78" i="92"/>
  <c r="N78" i="92" s="1"/>
  <c r="D78" i="92"/>
  <c r="B78" i="92"/>
  <c r="Z77" i="92"/>
  <c r="X77" i="92"/>
  <c r="L77" i="92"/>
  <c r="N77" i="92" s="1"/>
  <c r="B77" i="92"/>
  <c r="Z76" i="92"/>
  <c r="X76" i="92"/>
  <c r="T76" i="92"/>
  <c r="P76" i="92"/>
  <c r="H76" i="92"/>
  <c r="D76" i="92"/>
  <c r="L76" i="92" s="1"/>
  <c r="B76" i="92"/>
  <c r="X75" i="92"/>
  <c r="Z75" i="92" s="1"/>
  <c r="N75" i="92"/>
  <c r="L75" i="92"/>
  <c r="B75" i="92"/>
  <c r="X74" i="92"/>
  <c r="Z74" i="92" s="1"/>
  <c r="N74" i="92"/>
  <c r="L74" i="92"/>
  <c r="B74" i="92"/>
  <c r="Z73" i="92"/>
  <c r="X73" i="92"/>
  <c r="N73" i="92"/>
  <c r="L73" i="92"/>
  <c r="B73" i="92"/>
  <c r="Z72" i="92"/>
  <c r="X72" i="92"/>
  <c r="L72" i="92"/>
  <c r="N72" i="92" s="1"/>
  <c r="B72" i="92"/>
  <c r="X71" i="92"/>
  <c r="Z71" i="92" s="1"/>
  <c r="N71" i="92"/>
  <c r="L71" i="92"/>
  <c r="B71" i="92"/>
  <c r="X70" i="92"/>
  <c r="Z70" i="92" s="1"/>
  <c r="L70" i="92"/>
  <c r="N70" i="92" s="1"/>
  <c r="B70" i="92"/>
  <c r="Z69" i="92"/>
  <c r="X69" i="92"/>
  <c r="L69" i="92"/>
  <c r="N69" i="92" s="1"/>
  <c r="B69" i="92"/>
  <c r="Z68" i="92"/>
  <c r="X68" i="92"/>
  <c r="N68" i="92"/>
  <c r="L68" i="92"/>
  <c r="B68" i="92"/>
  <c r="X67" i="92"/>
  <c r="T67" i="92"/>
  <c r="Z67" i="92" s="1"/>
  <c r="P67" i="92"/>
  <c r="N67" i="92"/>
  <c r="L67" i="92"/>
  <c r="H67" i="92"/>
  <c r="D67" i="92"/>
  <c r="B67" i="92"/>
  <c r="Z66" i="92"/>
  <c r="X66" i="92"/>
  <c r="L66" i="92"/>
  <c r="N66" i="92" s="1"/>
  <c r="B66" i="92"/>
  <c r="Z65" i="92"/>
  <c r="X65" i="92"/>
  <c r="N65" i="92"/>
  <c r="L65" i="92"/>
  <c r="B65" i="92"/>
  <c r="Z64" i="92"/>
  <c r="X64" i="92"/>
  <c r="V64" i="92"/>
  <c r="N64" i="92"/>
  <c r="L64" i="92"/>
  <c r="B64" i="92"/>
  <c r="T63" i="92"/>
  <c r="P63" i="92"/>
  <c r="X63" i="92" s="1"/>
  <c r="H63" i="92"/>
  <c r="D63" i="92"/>
  <c r="B63" i="92"/>
  <c r="X62" i="92"/>
  <c r="Z62" i="92" s="1"/>
  <c r="N62" i="92"/>
  <c r="L62" i="92"/>
  <c r="B62" i="92"/>
  <c r="Z61" i="92"/>
  <c r="X61" i="92"/>
  <c r="L61" i="92"/>
  <c r="N61" i="92" s="1"/>
  <c r="B61" i="92"/>
  <c r="Z60" i="92"/>
  <c r="X60" i="92"/>
  <c r="N60" i="92"/>
  <c r="L60" i="92"/>
  <c r="B60" i="92"/>
  <c r="X59" i="92"/>
  <c r="Z59" i="92" s="1"/>
  <c r="T59" i="92"/>
  <c r="P59" i="92"/>
  <c r="H59" i="92"/>
  <c r="N59" i="92" s="1"/>
  <c r="D59" i="92"/>
  <c r="L59" i="92" s="1"/>
  <c r="B59" i="92"/>
  <c r="Z58" i="92"/>
  <c r="X58" i="92"/>
  <c r="N58" i="92"/>
  <c r="L58" i="92"/>
  <c r="B58" i="92"/>
  <c r="X57" i="92"/>
  <c r="T57" i="92"/>
  <c r="Z57" i="92" s="1"/>
  <c r="P57" i="92"/>
  <c r="L57" i="92"/>
  <c r="H57" i="92"/>
  <c r="N57" i="92" s="1"/>
  <c r="D57" i="92"/>
  <c r="B57" i="92"/>
  <c r="Z56" i="92"/>
  <c r="X56" i="92"/>
  <c r="N56" i="92"/>
  <c r="L56" i="92"/>
  <c r="B56" i="92"/>
  <c r="T55" i="92"/>
  <c r="P55" i="92"/>
  <c r="H55" i="92"/>
  <c r="N55" i="92" s="1"/>
  <c r="D55" i="92"/>
  <c r="L55" i="92" s="1"/>
  <c r="B55" i="92"/>
  <c r="X54" i="92"/>
  <c r="Z54" i="92" s="1"/>
  <c r="N54" i="92"/>
  <c r="L54" i="92"/>
  <c r="B54" i="92"/>
  <c r="T53" i="92"/>
  <c r="P53" i="92"/>
  <c r="X53" i="92" s="1"/>
  <c r="L53" i="92"/>
  <c r="N53" i="92" s="1"/>
  <c r="H53" i="92"/>
  <c r="D53" i="92"/>
  <c r="B53" i="92"/>
  <c r="X52" i="92"/>
  <c r="Z52" i="92" s="1"/>
  <c r="N52" i="92"/>
  <c r="L52" i="92"/>
  <c r="B52" i="92"/>
  <c r="T51" i="92"/>
  <c r="P51" i="92"/>
  <c r="X51" i="92" s="1"/>
  <c r="N51" i="92"/>
  <c r="H51" i="92"/>
  <c r="L51" i="92" s="1"/>
  <c r="D51" i="92"/>
  <c r="B51" i="92"/>
  <c r="Z50" i="92"/>
  <c r="X50" i="92"/>
  <c r="L50" i="92"/>
  <c r="N50" i="92" s="1"/>
  <c r="B50" i="92"/>
  <c r="T49" i="92"/>
  <c r="P49" i="92"/>
  <c r="H49" i="92"/>
  <c r="D49" i="92"/>
  <c r="L49" i="92" s="1"/>
  <c r="N49" i="92" s="1"/>
  <c r="B49" i="92"/>
  <c r="Z48" i="92"/>
  <c r="X48" i="92"/>
  <c r="V48" i="92"/>
  <c r="N48" i="92"/>
  <c r="L48" i="92"/>
  <c r="B48" i="92"/>
  <c r="Z47" i="92"/>
  <c r="T47" i="92"/>
  <c r="P47" i="92"/>
  <c r="X47" i="92" s="1"/>
  <c r="H47" i="92"/>
  <c r="N47" i="92" s="1"/>
  <c r="D47" i="92"/>
  <c r="B47" i="92"/>
  <c r="Z46" i="92"/>
  <c r="X46" i="92"/>
  <c r="N46" i="92"/>
  <c r="L46" i="92"/>
  <c r="B46" i="92"/>
  <c r="T45" i="92"/>
  <c r="X45" i="92" s="1"/>
  <c r="Z45" i="92" s="1"/>
  <c r="P45" i="92"/>
  <c r="H45" i="92"/>
  <c r="D45" i="92"/>
  <c r="L45" i="92" s="1"/>
  <c r="B45" i="92"/>
  <c r="Z44" i="92"/>
  <c r="X44" i="92"/>
  <c r="N44" i="92"/>
  <c r="L44" i="92"/>
  <c r="B44" i="92"/>
  <c r="X43" i="92"/>
  <c r="T43" i="92"/>
  <c r="P43" i="92"/>
  <c r="H43" i="92"/>
  <c r="D43" i="92"/>
  <c r="B43" i="92"/>
  <c r="Z42" i="92"/>
  <c r="X42" i="92"/>
  <c r="N42" i="92"/>
  <c r="L42" i="92"/>
  <c r="B42" i="92"/>
  <c r="T41" i="92"/>
  <c r="P41" i="92"/>
  <c r="N41" i="92"/>
  <c r="L41" i="92"/>
  <c r="H41" i="92"/>
  <c r="D41" i="92"/>
  <c r="B41" i="92"/>
  <c r="X40" i="92"/>
  <c r="Z40" i="92" s="1"/>
  <c r="N40" i="92"/>
  <c r="L40" i="92"/>
  <c r="B40" i="92"/>
  <c r="X39" i="92"/>
  <c r="Z39" i="92" s="1"/>
  <c r="L39" i="92"/>
  <c r="N39" i="92" s="1"/>
  <c r="B39" i="92"/>
  <c r="Z38" i="92"/>
  <c r="X38" i="92"/>
  <c r="N38" i="92"/>
  <c r="L38" i="92"/>
  <c r="B38" i="92"/>
  <c r="X37" i="92"/>
  <c r="Z37" i="92" s="1"/>
  <c r="N37" i="92"/>
  <c r="L37" i="92"/>
  <c r="B37" i="92"/>
  <c r="X36" i="92"/>
  <c r="Z36" i="92" s="1"/>
  <c r="N36" i="92"/>
  <c r="L36" i="92"/>
  <c r="B36" i="92"/>
  <c r="X35" i="92"/>
  <c r="Z35" i="92" s="1"/>
  <c r="L35" i="92"/>
  <c r="N35" i="92" s="1"/>
  <c r="B35" i="92"/>
  <c r="Z34" i="92"/>
  <c r="X34" i="92"/>
  <c r="T34" i="92"/>
  <c r="P34" i="92"/>
  <c r="L34" i="92"/>
  <c r="H34" i="92"/>
  <c r="D34" i="92"/>
  <c r="B34" i="92"/>
  <c r="Z33" i="92"/>
  <c r="X33" i="92"/>
  <c r="N33" i="92"/>
  <c r="L33" i="92"/>
  <c r="B33" i="92"/>
  <c r="Z32" i="92"/>
  <c r="X32" i="92"/>
  <c r="V32" i="92"/>
  <c r="N32" i="92"/>
  <c r="L32" i="92"/>
  <c r="B32" i="92"/>
  <c r="X31" i="92"/>
  <c r="Z31" i="92" s="1"/>
  <c r="L31" i="92"/>
  <c r="N31" i="92" s="1"/>
  <c r="B31" i="92"/>
  <c r="Z30" i="92"/>
  <c r="X30" i="92"/>
  <c r="N30" i="92"/>
  <c r="L30" i="92"/>
  <c r="B30" i="92"/>
  <c r="Z29" i="92"/>
  <c r="X29" i="92"/>
  <c r="N29" i="92"/>
  <c r="L29" i="92"/>
  <c r="B29" i="92"/>
  <c r="Z28" i="92"/>
  <c r="X28" i="92"/>
  <c r="N28" i="92"/>
  <c r="L28" i="92"/>
  <c r="B28" i="92"/>
  <c r="Z27" i="92"/>
  <c r="X27" i="92"/>
  <c r="L27" i="92"/>
  <c r="N27" i="92" s="1"/>
  <c r="B27" i="92"/>
  <c r="Z26" i="92"/>
  <c r="X26" i="92"/>
  <c r="N26" i="92"/>
  <c r="L26" i="92"/>
  <c r="B26" i="92"/>
  <c r="Z25" i="92"/>
  <c r="X25" i="92"/>
  <c r="N25" i="92"/>
  <c r="L25" i="92"/>
  <c r="B25" i="92"/>
  <c r="Z24" i="92"/>
  <c r="T24" i="92"/>
  <c r="X24" i="92" s="1"/>
  <c r="P24" i="92"/>
  <c r="H24" i="92"/>
  <c r="D24" i="92"/>
  <c r="B24" i="92"/>
  <c r="T23" i="92"/>
  <c r="P23" i="92"/>
  <c r="X23" i="92" s="1"/>
  <c r="H23" i="92"/>
  <c r="D23" i="92"/>
  <c r="L23" i="92" s="1"/>
  <c r="X19" i="92"/>
  <c r="Z19" i="92" s="1"/>
  <c r="L19" i="92"/>
  <c r="N19" i="92" s="1"/>
  <c r="B19" i="92"/>
  <c r="Z18" i="92"/>
  <c r="X18" i="92"/>
  <c r="V18" i="92"/>
  <c r="N18" i="92"/>
  <c r="L18" i="92"/>
  <c r="B18" i="92"/>
  <c r="T17" i="92"/>
  <c r="P17" i="92"/>
  <c r="H17" i="92"/>
  <c r="D17" i="92"/>
  <c r="L17" i="92" s="1"/>
  <c r="T15" i="92"/>
  <c r="P15" i="92"/>
  <c r="X15" i="92" s="1"/>
  <c r="H15" i="92"/>
  <c r="D15" i="92"/>
  <c r="L15" i="92" s="1"/>
  <c r="N15" i="92" s="1"/>
  <c r="B15" i="92"/>
  <c r="T14" i="92"/>
  <c r="P14" i="92"/>
  <c r="X14" i="92" s="1"/>
  <c r="H14" i="92"/>
  <c r="D14" i="92"/>
  <c r="L14" i="92" s="1"/>
  <c r="B14" i="92"/>
  <c r="X13" i="92"/>
  <c r="T13" i="92"/>
  <c r="P13" i="92"/>
  <c r="L13" i="92"/>
  <c r="H13" i="92"/>
  <c r="D13" i="92"/>
  <c r="D12" i="92" s="1"/>
  <c r="F21" i="92" s="1"/>
  <c r="B13" i="92"/>
  <c r="T12" i="92"/>
  <c r="V53" i="92" s="1"/>
  <c r="D6" i="92"/>
  <c r="D4" i="92"/>
  <c r="Z48" i="91"/>
  <c r="X48" i="91"/>
  <c r="V48" i="91"/>
  <c r="N48" i="91"/>
  <c r="L48" i="91"/>
  <c r="J48" i="91"/>
  <c r="J46" i="91"/>
  <c r="Z44" i="91"/>
  <c r="V44" i="91"/>
  <c r="T44" i="91"/>
  <c r="P44" i="91"/>
  <c r="X44" i="91" s="1"/>
  <c r="N44" i="91"/>
  <c r="L44" i="91"/>
  <c r="H44" i="91"/>
  <c r="D44" i="91"/>
  <c r="Z42" i="91"/>
  <c r="X42" i="91"/>
  <c r="N42" i="91"/>
  <c r="L42" i="91"/>
  <c r="J42" i="91"/>
  <c r="B42" i="91"/>
  <c r="T41" i="91"/>
  <c r="P41" i="91"/>
  <c r="X41" i="91" s="1"/>
  <c r="N41" i="91"/>
  <c r="J41" i="91"/>
  <c r="H41" i="91"/>
  <c r="D41" i="91"/>
  <c r="L41" i="91" s="1"/>
  <c r="B41" i="91"/>
  <c r="Z40" i="91"/>
  <c r="X40" i="91"/>
  <c r="N40" i="91"/>
  <c r="L40" i="91"/>
  <c r="B40" i="91"/>
  <c r="T39" i="91"/>
  <c r="R39" i="91"/>
  <c r="P39" i="91"/>
  <c r="X39" i="91" s="1"/>
  <c r="Z39" i="91" s="1"/>
  <c r="L39" i="91"/>
  <c r="H39" i="91"/>
  <c r="N39" i="91" s="1"/>
  <c r="D39" i="91"/>
  <c r="B39" i="91"/>
  <c r="Z38" i="91"/>
  <c r="X38" i="91"/>
  <c r="N38" i="91"/>
  <c r="L38" i="91"/>
  <c r="J38" i="91"/>
  <c r="B38" i="91"/>
  <c r="T37" i="91"/>
  <c r="P37" i="91"/>
  <c r="X37" i="91" s="1"/>
  <c r="Z37" i="91" s="1"/>
  <c r="H37" i="91"/>
  <c r="D37" i="91"/>
  <c r="B37" i="91"/>
  <c r="Z36" i="91"/>
  <c r="X36" i="91"/>
  <c r="N36" i="91"/>
  <c r="L36" i="91"/>
  <c r="J36" i="91"/>
  <c r="B36" i="91"/>
  <c r="Z35" i="91"/>
  <c r="X35" i="91"/>
  <c r="R35" i="91"/>
  <c r="N35" i="91"/>
  <c r="L35" i="91"/>
  <c r="B35" i="91"/>
  <c r="T34" i="91"/>
  <c r="P34" i="91"/>
  <c r="H34" i="91"/>
  <c r="D34" i="91"/>
  <c r="B34" i="91"/>
  <c r="X33" i="91"/>
  <c r="Z33" i="91" s="1"/>
  <c r="N33" i="91"/>
  <c r="L33" i="91"/>
  <c r="B33" i="91"/>
  <c r="X32" i="91"/>
  <c r="Z32" i="91" s="1"/>
  <c r="T32" i="91"/>
  <c r="P32" i="91"/>
  <c r="H32" i="91"/>
  <c r="N32" i="91" s="1"/>
  <c r="D32" i="91"/>
  <c r="L32" i="91" s="1"/>
  <c r="B32" i="91"/>
  <c r="X31" i="91"/>
  <c r="Z31" i="91" s="1"/>
  <c r="N31" i="91"/>
  <c r="L31" i="91"/>
  <c r="J31" i="91"/>
  <c r="B31" i="91"/>
  <c r="T30" i="91"/>
  <c r="P30" i="91"/>
  <c r="H30" i="91"/>
  <c r="N30" i="91" s="1"/>
  <c r="D30" i="91"/>
  <c r="B30" i="91"/>
  <c r="X29" i="91"/>
  <c r="Z29" i="91" s="1"/>
  <c r="V29" i="91"/>
  <c r="L29" i="91"/>
  <c r="N29" i="91" s="1"/>
  <c r="B29" i="91"/>
  <c r="T28" i="91"/>
  <c r="Z28" i="91" s="1"/>
  <c r="P28" i="91"/>
  <c r="X28" i="91" s="1"/>
  <c r="H28" i="91"/>
  <c r="D28" i="91"/>
  <c r="B28" i="91"/>
  <c r="Z27" i="91"/>
  <c r="X27" i="91"/>
  <c r="R27" i="91"/>
  <c r="L27" i="91"/>
  <c r="N27" i="91" s="1"/>
  <c r="F27" i="91"/>
  <c r="B27" i="91"/>
  <c r="Z26" i="91"/>
  <c r="X26" i="91"/>
  <c r="N26" i="91"/>
  <c r="L26" i="91"/>
  <c r="B26" i="91"/>
  <c r="X25" i="91"/>
  <c r="Z25" i="91" s="1"/>
  <c r="V25" i="91"/>
  <c r="N25" i="91"/>
  <c r="L25" i="91"/>
  <c r="J25" i="91"/>
  <c r="B25" i="91"/>
  <c r="Z24" i="91"/>
  <c r="X24" i="91"/>
  <c r="V24" i="91"/>
  <c r="N24" i="91"/>
  <c r="L24" i="91"/>
  <c r="J24" i="91"/>
  <c r="B24" i="91"/>
  <c r="X23" i="91"/>
  <c r="Z23" i="91" s="1"/>
  <c r="R23" i="91"/>
  <c r="N23" i="91"/>
  <c r="L23" i="91"/>
  <c r="B23" i="91"/>
  <c r="X22" i="91"/>
  <c r="Z22" i="91" s="1"/>
  <c r="R22" i="91"/>
  <c r="L22" i="91"/>
  <c r="N22" i="91" s="1"/>
  <c r="B22" i="91"/>
  <c r="X21" i="91"/>
  <c r="Z21" i="91" s="1"/>
  <c r="V21" i="91"/>
  <c r="R21" i="91"/>
  <c r="L21" i="91"/>
  <c r="N21" i="91" s="1"/>
  <c r="F21" i="91"/>
  <c r="B21" i="91"/>
  <c r="Z20" i="91"/>
  <c r="X20" i="91"/>
  <c r="V20" i="91"/>
  <c r="L20" i="91"/>
  <c r="N20" i="91" s="1"/>
  <c r="J20" i="91"/>
  <c r="B20" i="91"/>
  <c r="X19" i="91"/>
  <c r="T19" i="91"/>
  <c r="Z19" i="91" s="1"/>
  <c r="P19" i="91"/>
  <c r="J19" i="91"/>
  <c r="H19" i="91"/>
  <c r="D19" i="91"/>
  <c r="L19" i="91" s="1"/>
  <c r="B19" i="91"/>
  <c r="Z18" i="91"/>
  <c r="T18" i="91"/>
  <c r="R18" i="91"/>
  <c r="P18" i="91"/>
  <c r="X18" i="91" s="1"/>
  <c r="L18" i="91"/>
  <c r="J18" i="91"/>
  <c r="H18" i="91"/>
  <c r="N18" i="91" s="1"/>
  <c r="F18" i="91"/>
  <c r="D18" i="91"/>
  <c r="R16" i="91"/>
  <c r="J16" i="91"/>
  <c r="F16" i="91"/>
  <c r="Z14" i="91"/>
  <c r="T14" i="91"/>
  <c r="R14" i="91"/>
  <c r="P14" i="91"/>
  <c r="X14" i="91" s="1"/>
  <c r="L14" i="91"/>
  <c r="J14" i="91"/>
  <c r="H14" i="91"/>
  <c r="N14" i="91" s="1"/>
  <c r="F14" i="91"/>
  <c r="D14" i="91"/>
  <c r="Z12" i="91"/>
  <c r="T12" i="91"/>
  <c r="V50" i="91" s="1"/>
  <c r="P12" i="91"/>
  <c r="R50" i="91" s="1"/>
  <c r="N12" i="91"/>
  <c r="H12" i="91"/>
  <c r="J33" i="91" s="1"/>
  <c r="D12" i="91"/>
  <c r="F46" i="91" s="1"/>
  <c r="D6" i="91"/>
  <c r="D4" i="91"/>
  <c r="Z85" i="90"/>
  <c r="X85" i="90"/>
  <c r="N85" i="90"/>
  <c r="L85" i="90"/>
  <c r="X81" i="90"/>
  <c r="T81" i="90"/>
  <c r="Z81" i="90" s="1"/>
  <c r="P81" i="90"/>
  <c r="N81" i="90"/>
  <c r="H81" i="90"/>
  <c r="D81" i="90"/>
  <c r="L81" i="90" s="1"/>
  <c r="B81" i="90"/>
  <c r="T80" i="90"/>
  <c r="P80" i="90"/>
  <c r="X80" i="90" s="1"/>
  <c r="H80" i="90"/>
  <c r="N80" i="90" s="1"/>
  <c r="D80" i="90"/>
  <c r="Z78" i="90"/>
  <c r="X78" i="90"/>
  <c r="L78" i="90"/>
  <c r="N78" i="90" s="1"/>
  <c r="B78" i="90"/>
  <c r="T77" i="90"/>
  <c r="Z77" i="90" s="1"/>
  <c r="P77" i="90"/>
  <c r="X77" i="90" s="1"/>
  <c r="N77" i="90"/>
  <c r="L77" i="90"/>
  <c r="H77" i="90"/>
  <c r="D77" i="90"/>
  <c r="B77" i="90"/>
  <c r="X76" i="90"/>
  <c r="Z76" i="90" s="1"/>
  <c r="L76" i="90"/>
  <c r="N76" i="90" s="1"/>
  <c r="B76" i="90"/>
  <c r="T75" i="90"/>
  <c r="P75" i="90"/>
  <c r="X75" i="90" s="1"/>
  <c r="Z75" i="90" s="1"/>
  <c r="N75" i="90"/>
  <c r="L75" i="90"/>
  <c r="H75" i="90"/>
  <c r="D75" i="90"/>
  <c r="B75" i="90"/>
  <c r="X74" i="90"/>
  <c r="Z74" i="90" s="1"/>
  <c r="N74" i="90"/>
  <c r="L74" i="90"/>
  <c r="B74" i="90"/>
  <c r="Z73" i="90"/>
  <c r="X73" i="90"/>
  <c r="N73" i="90"/>
  <c r="L73" i="90"/>
  <c r="B73" i="90"/>
  <c r="X72" i="90"/>
  <c r="Z72" i="90" s="1"/>
  <c r="R72" i="90"/>
  <c r="L72" i="90"/>
  <c r="N72" i="90" s="1"/>
  <c r="B72" i="90"/>
  <c r="X71" i="90"/>
  <c r="Z71" i="90" s="1"/>
  <c r="N71" i="90"/>
  <c r="L71" i="90"/>
  <c r="B71" i="90"/>
  <c r="X70" i="90"/>
  <c r="Z70" i="90" s="1"/>
  <c r="N70" i="90"/>
  <c r="L70" i="90"/>
  <c r="B70" i="90"/>
  <c r="Z69" i="90"/>
  <c r="X69" i="90"/>
  <c r="N69" i="90"/>
  <c r="L69" i="90"/>
  <c r="B69" i="90"/>
  <c r="X68" i="90"/>
  <c r="Z68" i="90" s="1"/>
  <c r="N68" i="90"/>
  <c r="L68" i="90"/>
  <c r="B68" i="90"/>
  <c r="X67" i="90"/>
  <c r="T67" i="90"/>
  <c r="Z67" i="90" s="1"/>
  <c r="P67" i="90"/>
  <c r="N67" i="90"/>
  <c r="H67" i="90"/>
  <c r="D67" i="90"/>
  <c r="L67" i="90" s="1"/>
  <c r="B67" i="90"/>
  <c r="Z66" i="90"/>
  <c r="X66" i="90"/>
  <c r="L66" i="90"/>
  <c r="N66" i="90" s="1"/>
  <c r="B66" i="90"/>
  <c r="Z65" i="90"/>
  <c r="X65" i="90"/>
  <c r="N65" i="90"/>
  <c r="L65" i="90"/>
  <c r="B65" i="90"/>
  <c r="X64" i="90"/>
  <c r="Z64" i="90" s="1"/>
  <c r="L64" i="90"/>
  <c r="N64" i="90" s="1"/>
  <c r="B64" i="90"/>
  <c r="Z63" i="90"/>
  <c r="X63" i="90"/>
  <c r="T63" i="90"/>
  <c r="P63" i="90"/>
  <c r="H63" i="90"/>
  <c r="N63" i="90" s="1"/>
  <c r="D63" i="90"/>
  <c r="L63" i="90" s="1"/>
  <c r="B63" i="90"/>
  <c r="X62" i="90"/>
  <c r="Z62" i="90" s="1"/>
  <c r="L62" i="90"/>
  <c r="N62" i="90" s="1"/>
  <c r="B62" i="90"/>
  <c r="Z61" i="90"/>
  <c r="X61" i="90"/>
  <c r="T61" i="90"/>
  <c r="R61" i="90"/>
  <c r="P61" i="90"/>
  <c r="H61" i="90"/>
  <c r="D61" i="90"/>
  <c r="L61" i="90" s="1"/>
  <c r="N61" i="90" s="1"/>
  <c r="B61" i="90"/>
  <c r="X60" i="90"/>
  <c r="Z60" i="90" s="1"/>
  <c r="N60" i="90"/>
  <c r="L60" i="90"/>
  <c r="B60" i="90"/>
  <c r="X59" i="90"/>
  <c r="Z59" i="90" s="1"/>
  <c r="N59" i="90"/>
  <c r="L59" i="90"/>
  <c r="B59" i="90"/>
  <c r="X58" i="90"/>
  <c r="Z58" i="90" s="1"/>
  <c r="N58" i="90"/>
  <c r="L58" i="90"/>
  <c r="B58" i="90"/>
  <c r="Z57" i="90"/>
  <c r="T57" i="90"/>
  <c r="P57" i="90"/>
  <c r="X57" i="90" s="1"/>
  <c r="L57" i="90"/>
  <c r="H57" i="90"/>
  <c r="N57" i="90" s="1"/>
  <c r="D57" i="90"/>
  <c r="B57" i="90"/>
  <c r="X56" i="90"/>
  <c r="Z56" i="90" s="1"/>
  <c r="L56" i="90"/>
  <c r="N56" i="90" s="1"/>
  <c r="B56" i="90"/>
  <c r="Z55" i="90"/>
  <c r="X55" i="90"/>
  <c r="T55" i="90"/>
  <c r="P55" i="90"/>
  <c r="H55" i="90"/>
  <c r="N55" i="90" s="1"/>
  <c r="D55" i="90"/>
  <c r="L55" i="90" s="1"/>
  <c r="B55" i="90"/>
  <c r="X54" i="90"/>
  <c r="Z54" i="90" s="1"/>
  <c r="N54" i="90"/>
  <c r="L54" i="90"/>
  <c r="B54" i="90"/>
  <c r="Z53" i="90"/>
  <c r="X53" i="90"/>
  <c r="T53" i="90"/>
  <c r="P53" i="90"/>
  <c r="N53" i="90"/>
  <c r="H53" i="90"/>
  <c r="D53" i="90"/>
  <c r="L53" i="90" s="1"/>
  <c r="B53" i="90"/>
  <c r="X52" i="90"/>
  <c r="Z52" i="90" s="1"/>
  <c r="N52" i="90"/>
  <c r="L52" i="90"/>
  <c r="B52" i="90"/>
  <c r="X51" i="90"/>
  <c r="T51" i="90"/>
  <c r="R51" i="90"/>
  <c r="P51" i="90"/>
  <c r="N51" i="90"/>
  <c r="H51" i="90"/>
  <c r="D51" i="90"/>
  <c r="L51" i="90" s="1"/>
  <c r="B51" i="90"/>
  <c r="Z50" i="90"/>
  <c r="X50" i="90"/>
  <c r="L50" i="90"/>
  <c r="N50" i="90" s="1"/>
  <c r="B50" i="90"/>
  <c r="T49" i="90"/>
  <c r="P49" i="90"/>
  <c r="X49" i="90" s="1"/>
  <c r="N49" i="90"/>
  <c r="L49" i="90"/>
  <c r="H49" i="90"/>
  <c r="D49" i="90"/>
  <c r="B49" i="90"/>
  <c r="X48" i="90"/>
  <c r="Z48" i="90" s="1"/>
  <c r="L48" i="90"/>
  <c r="N48" i="90" s="1"/>
  <c r="B48" i="90"/>
  <c r="T47" i="90"/>
  <c r="P47" i="90"/>
  <c r="X47" i="90" s="1"/>
  <c r="Z47" i="90" s="1"/>
  <c r="N47" i="90"/>
  <c r="L47" i="90"/>
  <c r="H47" i="90"/>
  <c r="D47" i="90"/>
  <c r="B47" i="90"/>
  <c r="X46" i="90"/>
  <c r="Z46" i="90" s="1"/>
  <c r="N46" i="90"/>
  <c r="L46" i="90"/>
  <c r="B46" i="90"/>
  <c r="Z45" i="90"/>
  <c r="X45" i="90"/>
  <c r="T45" i="90"/>
  <c r="P45" i="90"/>
  <c r="L45" i="90"/>
  <c r="H45" i="90"/>
  <c r="D45" i="90"/>
  <c r="B45" i="90"/>
  <c r="X44" i="90"/>
  <c r="Z44" i="90" s="1"/>
  <c r="N44" i="90"/>
  <c r="L44" i="90"/>
  <c r="B44" i="90"/>
  <c r="Z43" i="90"/>
  <c r="X43" i="90"/>
  <c r="T43" i="90"/>
  <c r="P43" i="90"/>
  <c r="H43" i="90"/>
  <c r="N43" i="90" s="1"/>
  <c r="D43" i="90"/>
  <c r="L43" i="90" s="1"/>
  <c r="B43" i="90"/>
  <c r="X42" i="90"/>
  <c r="Z42" i="90" s="1"/>
  <c r="L42" i="90"/>
  <c r="N42" i="90" s="1"/>
  <c r="B42" i="90"/>
  <c r="Z41" i="90"/>
  <c r="X41" i="90"/>
  <c r="N41" i="90"/>
  <c r="L41" i="90"/>
  <c r="B41" i="90"/>
  <c r="X40" i="90"/>
  <c r="Z40" i="90" s="1"/>
  <c r="N40" i="90"/>
  <c r="L40" i="90"/>
  <c r="B40" i="90"/>
  <c r="Z39" i="90"/>
  <c r="X39" i="90"/>
  <c r="L39" i="90"/>
  <c r="N39" i="90" s="1"/>
  <c r="B39" i="90"/>
  <c r="X38" i="90"/>
  <c r="Z38" i="90" s="1"/>
  <c r="L38" i="90"/>
  <c r="N38" i="90" s="1"/>
  <c r="B38" i="90"/>
  <c r="Z37" i="90"/>
  <c r="X37" i="90"/>
  <c r="N37" i="90"/>
  <c r="L37" i="90"/>
  <c r="B37" i="90"/>
  <c r="T36" i="90"/>
  <c r="P36" i="90"/>
  <c r="X36" i="90" s="1"/>
  <c r="L36" i="90"/>
  <c r="H36" i="90"/>
  <c r="N36" i="90" s="1"/>
  <c r="D36" i="90"/>
  <c r="B36" i="90"/>
  <c r="X35" i="90"/>
  <c r="Z35" i="90" s="1"/>
  <c r="N35" i="90"/>
  <c r="L35" i="90"/>
  <c r="J35" i="90"/>
  <c r="B35" i="90"/>
  <c r="X34" i="90"/>
  <c r="Z34" i="90" s="1"/>
  <c r="N34" i="90"/>
  <c r="L34" i="90"/>
  <c r="B34" i="90"/>
  <c r="Z33" i="90"/>
  <c r="X33" i="90"/>
  <c r="N33" i="90"/>
  <c r="L33" i="90"/>
  <c r="B33" i="90"/>
  <c r="X32" i="90"/>
  <c r="Z32" i="90" s="1"/>
  <c r="L32" i="90"/>
  <c r="N32" i="90" s="1"/>
  <c r="B32" i="90"/>
  <c r="X31" i="90"/>
  <c r="Z31" i="90" s="1"/>
  <c r="N31" i="90"/>
  <c r="L31" i="90"/>
  <c r="B31" i="90"/>
  <c r="X30" i="90"/>
  <c r="Z30" i="90" s="1"/>
  <c r="N30" i="90"/>
  <c r="L30" i="90"/>
  <c r="B30" i="90"/>
  <c r="Z29" i="90"/>
  <c r="X29" i="90"/>
  <c r="N29" i="90"/>
  <c r="L29" i="90"/>
  <c r="B29" i="90"/>
  <c r="X28" i="90"/>
  <c r="Z28" i="90" s="1"/>
  <c r="R28" i="90"/>
  <c r="L28" i="90"/>
  <c r="N28" i="90" s="1"/>
  <c r="B28" i="90"/>
  <c r="X27" i="90"/>
  <c r="Z27" i="90" s="1"/>
  <c r="N27" i="90"/>
  <c r="L27" i="90"/>
  <c r="B27" i="90"/>
  <c r="T26" i="90"/>
  <c r="P26" i="90"/>
  <c r="X26" i="90" s="1"/>
  <c r="H26" i="90"/>
  <c r="D26" i="90"/>
  <c r="B26" i="90"/>
  <c r="T25" i="90"/>
  <c r="P25" i="90"/>
  <c r="H25" i="90"/>
  <c r="D25" i="90"/>
  <c r="L25" i="90" s="1"/>
  <c r="N25" i="90" s="1"/>
  <c r="Z21" i="90"/>
  <c r="X21" i="90"/>
  <c r="R21" i="90"/>
  <c r="N21" i="90"/>
  <c r="L21" i="90"/>
  <c r="B21" i="90"/>
  <c r="X20" i="90"/>
  <c r="Z20" i="90" s="1"/>
  <c r="N20" i="90"/>
  <c r="L20" i="90"/>
  <c r="B20" i="90"/>
  <c r="Z19" i="90"/>
  <c r="T19" i="90"/>
  <c r="P19" i="90"/>
  <c r="X19" i="90" s="1"/>
  <c r="H19" i="90"/>
  <c r="D19" i="90"/>
  <c r="Z17" i="90"/>
  <c r="T17" i="90"/>
  <c r="P17" i="90"/>
  <c r="X17" i="90" s="1"/>
  <c r="L17" i="90"/>
  <c r="H17" i="90"/>
  <c r="N17" i="90" s="1"/>
  <c r="D17" i="90"/>
  <c r="B17" i="90"/>
  <c r="X16" i="90"/>
  <c r="Z16" i="90" s="1"/>
  <c r="T16" i="90"/>
  <c r="P16" i="90"/>
  <c r="L16" i="90"/>
  <c r="H16" i="90"/>
  <c r="N16" i="90" s="1"/>
  <c r="D16" i="90"/>
  <c r="B16" i="90"/>
  <c r="T15" i="90"/>
  <c r="P15" i="90"/>
  <c r="X15" i="90" s="1"/>
  <c r="Z15" i="90" s="1"/>
  <c r="H15" i="90"/>
  <c r="D15" i="90"/>
  <c r="B15" i="90"/>
  <c r="T14" i="90"/>
  <c r="Z14" i="90" s="1"/>
  <c r="P14" i="90"/>
  <c r="X14" i="90" s="1"/>
  <c r="H14" i="90"/>
  <c r="D14" i="90"/>
  <c r="B14" i="90"/>
  <c r="Z13" i="90"/>
  <c r="T13" i="90"/>
  <c r="T12" i="90" s="1"/>
  <c r="P13" i="90"/>
  <c r="X13" i="90" s="1"/>
  <c r="L13" i="90"/>
  <c r="H13" i="90"/>
  <c r="H12" i="90" s="1"/>
  <c r="J44" i="90" s="1"/>
  <c r="D13" i="90"/>
  <c r="B13" i="90"/>
  <c r="P12" i="90"/>
  <c r="R68" i="90" s="1"/>
  <c r="D6" i="90"/>
  <c r="D4" i="90"/>
  <c r="R70" i="89"/>
  <c r="X65" i="89"/>
  <c r="Z65" i="89" s="1"/>
  <c r="R65" i="89"/>
  <c r="N65" i="89"/>
  <c r="L65" i="89"/>
  <c r="T61" i="89"/>
  <c r="P61" i="89"/>
  <c r="H61" i="89"/>
  <c r="H60" i="89" s="1"/>
  <c r="D61" i="89"/>
  <c r="L61" i="89" s="1"/>
  <c r="N61" i="89" s="1"/>
  <c r="B61" i="89"/>
  <c r="P60" i="89"/>
  <c r="X58" i="89"/>
  <c r="Z58" i="89" s="1"/>
  <c r="L58" i="89"/>
  <c r="N58" i="89" s="1"/>
  <c r="B58" i="89"/>
  <c r="X57" i="89"/>
  <c r="T57" i="89"/>
  <c r="P57" i="89"/>
  <c r="H57" i="89"/>
  <c r="D57" i="89"/>
  <c r="B57" i="89"/>
  <c r="Z56" i="89"/>
  <c r="X56" i="89"/>
  <c r="R56" i="89"/>
  <c r="N56" i="89"/>
  <c r="L56" i="89"/>
  <c r="B56" i="89"/>
  <c r="X55" i="89"/>
  <c r="Z55" i="89" s="1"/>
  <c r="N55" i="89"/>
  <c r="L55" i="89"/>
  <c r="B55" i="89"/>
  <c r="X54" i="89"/>
  <c r="Z54" i="89" s="1"/>
  <c r="N54" i="89"/>
  <c r="L54" i="89"/>
  <c r="B54" i="89"/>
  <c r="X53" i="89"/>
  <c r="Z53" i="89" s="1"/>
  <c r="L53" i="89"/>
  <c r="N53" i="89" s="1"/>
  <c r="F53" i="89"/>
  <c r="B53" i="89"/>
  <c r="Z52" i="89"/>
  <c r="X52" i="89"/>
  <c r="N52" i="89"/>
  <c r="L52" i="89"/>
  <c r="B52" i="89"/>
  <c r="T51" i="89"/>
  <c r="Z51" i="89" s="1"/>
  <c r="P51" i="89"/>
  <c r="X51" i="89" s="1"/>
  <c r="L51" i="89"/>
  <c r="N51" i="89" s="1"/>
  <c r="H51" i="89"/>
  <c r="D51" i="89"/>
  <c r="B51" i="89"/>
  <c r="Z50" i="89"/>
  <c r="X50" i="89"/>
  <c r="R50" i="89"/>
  <c r="L50" i="89"/>
  <c r="N50" i="89" s="1"/>
  <c r="B50" i="89"/>
  <c r="T49" i="89"/>
  <c r="P49" i="89"/>
  <c r="H49" i="89"/>
  <c r="L49" i="89" s="1"/>
  <c r="N49" i="89" s="1"/>
  <c r="D49" i="89"/>
  <c r="B49" i="89"/>
  <c r="Z48" i="89"/>
  <c r="X48" i="89"/>
  <c r="L48" i="89"/>
  <c r="N48" i="89" s="1"/>
  <c r="F48" i="89"/>
  <c r="B48" i="89"/>
  <c r="T47" i="89"/>
  <c r="P47" i="89"/>
  <c r="L47" i="89"/>
  <c r="H47" i="89"/>
  <c r="D47" i="89"/>
  <c r="B47" i="89"/>
  <c r="X46" i="89"/>
  <c r="Z46" i="89" s="1"/>
  <c r="R46" i="89"/>
  <c r="N46" i="89"/>
  <c r="L46" i="89"/>
  <c r="B46" i="89"/>
  <c r="Z45" i="89"/>
  <c r="X45" i="89"/>
  <c r="N45" i="89"/>
  <c r="L45" i="89"/>
  <c r="B45" i="89"/>
  <c r="T44" i="89"/>
  <c r="P44" i="89"/>
  <c r="H44" i="89"/>
  <c r="D44" i="89"/>
  <c r="B44" i="89"/>
  <c r="Z43" i="89"/>
  <c r="X43" i="89"/>
  <c r="L43" i="89"/>
  <c r="N43" i="89" s="1"/>
  <c r="B43" i="89"/>
  <c r="T42" i="89"/>
  <c r="X42" i="89" s="1"/>
  <c r="Z42" i="89" s="1"/>
  <c r="P42" i="89"/>
  <c r="N42" i="89"/>
  <c r="H42" i="89"/>
  <c r="D42" i="89"/>
  <c r="L42" i="89" s="1"/>
  <c r="B42" i="89"/>
  <c r="Z41" i="89"/>
  <c r="X41" i="89"/>
  <c r="N41" i="89"/>
  <c r="L41" i="89"/>
  <c r="B41" i="89"/>
  <c r="T40" i="89"/>
  <c r="P40" i="89"/>
  <c r="X40" i="89" s="1"/>
  <c r="H40" i="89"/>
  <c r="N40" i="89" s="1"/>
  <c r="D40" i="89"/>
  <c r="B40" i="89"/>
  <c r="Z39" i="89"/>
  <c r="X39" i="89"/>
  <c r="N39" i="89"/>
  <c r="L39" i="89"/>
  <c r="B39" i="89"/>
  <c r="T38" i="89"/>
  <c r="Z38" i="89" s="1"/>
  <c r="P38" i="89"/>
  <c r="X38" i="89" s="1"/>
  <c r="L38" i="89"/>
  <c r="H38" i="89"/>
  <c r="D38" i="89"/>
  <c r="B38" i="89"/>
  <c r="Z37" i="89"/>
  <c r="X37" i="89"/>
  <c r="N37" i="89"/>
  <c r="L37" i="89"/>
  <c r="B37" i="89"/>
  <c r="X36" i="89"/>
  <c r="T36" i="89"/>
  <c r="Z36" i="89" s="1"/>
  <c r="P36" i="89"/>
  <c r="H36" i="89"/>
  <c r="D36" i="89"/>
  <c r="B36" i="89"/>
  <c r="Z35" i="89"/>
  <c r="X35" i="89"/>
  <c r="N35" i="89"/>
  <c r="L35" i="89"/>
  <c r="B35" i="89"/>
  <c r="T34" i="89"/>
  <c r="P34" i="89"/>
  <c r="H34" i="89"/>
  <c r="D34" i="89"/>
  <c r="L34" i="89" s="1"/>
  <c r="B34" i="89"/>
  <c r="Z33" i="89"/>
  <c r="X33" i="89"/>
  <c r="N33" i="89"/>
  <c r="L33" i="89"/>
  <c r="B33" i="89"/>
  <c r="X32" i="89"/>
  <c r="T32" i="89"/>
  <c r="Z32" i="89" s="1"/>
  <c r="P32" i="89"/>
  <c r="H32" i="89"/>
  <c r="N32" i="89" s="1"/>
  <c r="D32" i="89"/>
  <c r="L32" i="89" s="1"/>
  <c r="B32" i="89"/>
  <c r="Z31" i="89"/>
  <c r="X31" i="89"/>
  <c r="N31" i="89"/>
  <c r="L31" i="89"/>
  <c r="B31" i="89"/>
  <c r="X30" i="89"/>
  <c r="Z30" i="89" s="1"/>
  <c r="R30" i="89"/>
  <c r="L30" i="89"/>
  <c r="N30" i="89" s="1"/>
  <c r="B30" i="89"/>
  <c r="Z29" i="89"/>
  <c r="X29" i="89"/>
  <c r="N29" i="89"/>
  <c r="L29" i="89"/>
  <c r="B29" i="89"/>
  <c r="X28" i="89"/>
  <c r="Z28" i="89" s="1"/>
  <c r="L28" i="89"/>
  <c r="N28" i="89" s="1"/>
  <c r="F28" i="89"/>
  <c r="B28" i="89"/>
  <c r="Z27" i="89"/>
  <c r="X27" i="89"/>
  <c r="N27" i="89"/>
  <c r="L27" i="89"/>
  <c r="B27" i="89"/>
  <c r="T26" i="89"/>
  <c r="P26" i="89"/>
  <c r="L26" i="89"/>
  <c r="H26" i="89"/>
  <c r="N26" i="89" s="1"/>
  <c r="D26" i="89"/>
  <c r="B26" i="89"/>
  <c r="Z25" i="89"/>
  <c r="X25" i="89"/>
  <c r="N25" i="89"/>
  <c r="L25" i="89"/>
  <c r="B25" i="89"/>
  <c r="X24" i="89"/>
  <c r="Z24" i="89" s="1"/>
  <c r="R24" i="89"/>
  <c r="L24" i="89"/>
  <c r="N24" i="89" s="1"/>
  <c r="B24" i="89"/>
  <c r="T23" i="89"/>
  <c r="P23" i="89"/>
  <c r="X23" i="89" s="1"/>
  <c r="Z23" i="89" s="1"/>
  <c r="N23" i="89"/>
  <c r="H23" i="89"/>
  <c r="L23" i="89" s="1"/>
  <c r="D23" i="89"/>
  <c r="B23" i="89"/>
  <c r="T22" i="89"/>
  <c r="P22" i="89"/>
  <c r="X22" i="89" s="1"/>
  <c r="L22" i="89"/>
  <c r="H22" i="89"/>
  <c r="N22" i="89" s="1"/>
  <c r="D22" i="89"/>
  <c r="P20" i="89"/>
  <c r="X18" i="89"/>
  <c r="Z18" i="89" s="1"/>
  <c r="L18" i="89"/>
  <c r="N18" i="89" s="1"/>
  <c r="F18" i="89"/>
  <c r="B18" i="89"/>
  <c r="Z17" i="89"/>
  <c r="X17" i="89"/>
  <c r="N17" i="89"/>
  <c r="L17" i="89"/>
  <c r="B17" i="89"/>
  <c r="X16" i="89"/>
  <c r="T16" i="89"/>
  <c r="Z16" i="89" s="1"/>
  <c r="P16" i="89"/>
  <c r="H16" i="89"/>
  <c r="N16" i="89" s="1"/>
  <c r="D16" i="89"/>
  <c r="L16" i="89" s="1"/>
  <c r="X14" i="89"/>
  <c r="T14" i="89"/>
  <c r="P14" i="89"/>
  <c r="L14" i="89"/>
  <c r="N14" i="89" s="1"/>
  <c r="H14" i="89"/>
  <c r="D14" i="89"/>
  <c r="B14" i="89"/>
  <c r="T13" i="89"/>
  <c r="P13" i="89"/>
  <c r="H13" i="89"/>
  <c r="L13" i="89" s="1"/>
  <c r="N13" i="89" s="1"/>
  <c r="D13" i="89"/>
  <c r="B13" i="89"/>
  <c r="P12" i="89"/>
  <c r="R38" i="89" s="1"/>
  <c r="D12" i="89"/>
  <c r="D6" i="89"/>
  <c r="D4" i="89"/>
  <c r="Z48" i="88"/>
  <c r="X48" i="88"/>
  <c r="N48" i="88"/>
  <c r="L48" i="88"/>
  <c r="F48" i="88"/>
  <c r="X44" i="88"/>
  <c r="T44" i="88"/>
  <c r="T43" i="88" s="1"/>
  <c r="P44" i="88"/>
  <c r="P43" i="88" s="1"/>
  <c r="X43" i="88" s="1"/>
  <c r="H44" i="88"/>
  <c r="D44" i="88"/>
  <c r="B44" i="88"/>
  <c r="Z43" i="88"/>
  <c r="V43" i="88"/>
  <c r="J43" i="88"/>
  <c r="F43" i="88"/>
  <c r="Z41" i="88"/>
  <c r="X41" i="88"/>
  <c r="V41" i="88"/>
  <c r="N41" i="88"/>
  <c r="L41" i="88"/>
  <c r="B41" i="88"/>
  <c r="T40" i="88"/>
  <c r="P40" i="88"/>
  <c r="H40" i="88"/>
  <c r="N40" i="88" s="1"/>
  <c r="D40" i="88"/>
  <c r="L40" i="88" s="1"/>
  <c r="B40" i="88"/>
  <c r="Z39" i="88"/>
  <c r="X39" i="88"/>
  <c r="V39" i="88"/>
  <c r="N39" i="88"/>
  <c r="L39" i="88"/>
  <c r="J39" i="88"/>
  <c r="B39" i="88"/>
  <c r="T38" i="88"/>
  <c r="P38" i="88"/>
  <c r="H38" i="88"/>
  <c r="D38" i="88"/>
  <c r="B38" i="88"/>
  <c r="Z37" i="88"/>
  <c r="X37" i="88"/>
  <c r="V37" i="88"/>
  <c r="N37" i="88"/>
  <c r="L37" i="88"/>
  <c r="J37" i="88"/>
  <c r="B37" i="88"/>
  <c r="T36" i="88"/>
  <c r="Z36" i="88" s="1"/>
  <c r="P36" i="88"/>
  <c r="X36" i="88" s="1"/>
  <c r="L36" i="88"/>
  <c r="H36" i="88"/>
  <c r="D36" i="88"/>
  <c r="B36" i="88"/>
  <c r="Z35" i="88"/>
  <c r="X35" i="88"/>
  <c r="V35" i="88"/>
  <c r="N35" i="88"/>
  <c r="L35" i="88"/>
  <c r="J35" i="88"/>
  <c r="B35" i="88"/>
  <c r="T34" i="88"/>
  <c r="P34" i="88"/>
  <c r="X34" i="88" s="1"/>
  <c r="H34" i="88"/>
  <c r="N34" i="88" s="1"/>
  <c r="D34" i="88"/>
  <c r="B34" i="88"/>
  <c r="Z33" i="88"/>
  <c r="X33" i="88"/>
  <c r="N33" i="88"/>
  <c r="L33" i="88"/>
  <c r="J33" i="88"/>
  <c r="B33" i="88"/>
  <c r="T32" i="88"/>
  <c r="P32" i="88"/>
  <c r="H32" i="88"/>
  <c r="N32" i="88" s="1"/>
  <c r="D32" i="88"/>
  <c r="L32" i="88" s="1"/>
  <c r="B32" i="88"/>
  <c r="Z31" i="88"/>
  <c r="X31" i="88"/>
  <c r="V31" i="88"/>
  <c r="N31" i="88"/>
  <c r="L31" i="88"/>
  <c r="J31" i="88"/>
  <c r="B31" i="88"/>
  <c r="X30" i="88"/>
  <c r="Z30" i="88" s="1"/>
  <c r="L30" i="88"/>
  <c r="N30" i="88" s="1"/>
  <c r="B30" i="88"/>
  <c r="V29" i="88"/>
  <c r="T29" i="88"/>
  <c r="R29" i="88"/>
  <c r="P29" i="88"/>
  <c r="X29" i="88" s="1"/>
  <c r="Z29" i="88" s="1"/>
  <c r="J29" i="88"/>
  <c r="H29" i="88"/>
  <c r="D29" i="88"/>
  <c r="L29" i="88" s="1"/>
  <c r="N29" i="88" s="1"/>
  <c r="B29" i="88"/>
  <c r="X28" i="88"/>
  <c r="Z28" i="88" s="1"/>
  <c r="R28" i="88"/>
  <c r="L28" i="88"/>
  <c r="N28" i="88" s="1"/>
  <c r="B28" i="88"/>
  <c r="X27" i="88"/>
  <c r="Z27" i="88" s="1"/>
  <c r="V27" i="88"/>
  <c r="N27" i="88"/>
  <c r="L27" i="88"/>
  <c r="J27" i="88"/>
  <c r="B27" i="88"/>
  <c r="X26" i="88"/>
  <c r="Z26" i="88" s="1"/>
  <c r="L26" i="88"/>
  <c r="N26" i="88" s="1"/>
  <c r="F26" i="88"/>
  <c r="B26" i="88"/>
  <c r="Z25" i="88"/>
  <c r="X25" i="88"/>
  <c r="V25" i="88"/>
  <c r="N25" i="88"/>
  <c r="L25" i="88"/>
  <c r="B25" i="88"/>
  <c r="X24" i="88"/>
  <c r="Z24" i="88" s="1"/>
  <c r="R24" i="88"/>
  <c r="L24" i="88"/>
  <c r="N24" i="88" s="1"/>
  <c r="B24" i="88"/>
  <c r="X23" i="88"/>
  <c r="Z23" i="88" s="1"/>
  <c r="V23" i="88"/>
  <c r="N23" i="88"/>
  <c r="L23" i="88"/>
  <c r="J23" i="88"/>
  <c r="B23" i="88"/>
  <c r="X22" i="88"/>
  <c r="Z22" i="88" s="1"/>
  <c r="L22" i="88"/>
  <c r="N22" i="88" s="1"/>
  <c r="F22" i="88"/>
  <c r="B22" i="88"/>
  <c r="Z21" i="88"/>
  <c r="X21" i="88"/>
  <c r="V21" i="88"/>
  <c r="N21" i="88"/>
  <c r="L21" i="88"/>
  <c r="B21" i="88"/>
  <c r="X20" i="88"/>
  <c r="T20" i="88"/>
  <c r="P20" i="88"/>
  <c r="H20" i="88"/>
  <c r="D20" i="88"/>
  <c r="L20" i="88" s="1"/>
  <c r="B20" i="88"/>
  <c r="V19" i="88"/>
  <c r="T19" i="88"/>
  <c r="X19" i="88" s="1"/>
  <c r="Z19" i="88" s="1"/>
  <c r="P19" i="88"/>
  <c r="H19" i="88"/>
  <c r="F19" i="88"/>
  <c r="D19" i="88"/>
  <c r="L19" i="88" s="1"/>
  <c r="N19" i="88" s="1"/>
  <c r="V17" i="88"/>
  <c r="F17" i="88"/>
  <c r="Z15" i="88"/>
  <c r="X15" i="88"/>
  <c r="V15" i="88"/>
  <c r="N15" i="88"/>
  <c r="L15" i="88"/>
  <c r="J15" i="88"/>
  <c r="B15" i="88"/>
  <c r="T14" i="88"/>
  <c r="P14" i="88"/>
  <c r="X14" i="88" s="1"/>
  <c r="L14" i="88"/>
  <c r="H14" i="88"/>
  <c r="N14" i="88" s="1"/>
  <c r="D14" i="88"/>
  <c r="Z12" i="88"/>
  <c r="X12" i="88"/>
  <c r="T12" i="88"/>
  <c r="V46" i="88" s="1"/>
  <c r="P12" i="88"/>
  <c r="L12" i="88"/>
  <c r="H12" i="88"/>
  <c r="J36" i="88" s="1"/>
  <c r="D12" i="88"/>
  <c r="F53" i="88" s="1"/>
  <c r="D6" i="88"/>
  <c r="D4" i="88"/>
  <c r="X55" i="87"/>
  <c r="Z55" i="87" s="1"/>
  <c r="R55" i="87"/>
  <c r="L55" i="87"/>
  <c r="N55" i="87" s="1"/>
  <c r="T51" i="87"/>
  <c r="Z51" i="87" s="1"/>
  <c r="P51" i="87"/>
  <c r="H51" i="87"/>
  <c r="N51" i="87" s="1"/>
  <c r="D51" i="87"/>
  <c r="L51" i="87" s="1"/>
  <c r="X49" i="87"/>
  <c r="Z49" i="87" s="1"/>
  <c r="N49" i="87"/>
  <c r="L49" i="87"/>
  <c r="B49" i="87"/>
  <c r="T48" i="87"/>
  <c r="X48" i="87" s="1"/>
  <c r="Z48" i="87" s="1"/>
  <c r="P48" i="87"/>
  <c r="N48" i="87"/>
  <c r="H48" i="87"/>
  <c r="D48" i="87"/>
  <c r="L48" i="87" s="1"/>
  <c r="B48" i="87"/>
  <c r="X47" i="87"/>
  <c r="Z47" i="87" s="1"/>
  <c r="N47" i="87"/>
  <c r="L47" i="87"/>
  <c r="B47" i="87"/>
  <c r="Z46" i="87"/>
  <c r="X46" i="87"/>
  <c r="N46" i="87"/>
  <c r="L46" i="87"/>
  <c r="B46" i="87"/>
  <c r="T45" i="87"/>
  <c r="P45" i="87"/>
  <c r="X45" i="87" s="1"/>
  <c r="L45" i="87"/>
  <c r="H45" i="87"/>
  <c r="N45" i="87" s="1"/>
  <c r="D45" i="87"/>
  <c r="B45" i="87"/>
  <c r="X44" i="87"/>
  <c r="Z44" i="87" s="1"/>
  <c r="N44" i="87"/>
  <c r="L44" i="87"/>
  <c r="B44" i="87"/>
  <c r="T43" i="87"/>
  <c r="P43" i="87"/>
  <c r="X43" i="87" s="1"/>
  <c r="H43" i="87"/>
  <c r="D43" i="87"/>
  <c r="B43" i="87"/>
  <c r="Z42" i="87"/>
  <c r="X42" i="87"/>
  <c r="N42" i="87"/>
  <c r="L42" i="87"/>
  <c r="B42" i="87"/>
  <c r="T41" i="87"/>
  <c r="P41" i="87"/>
  <c r="H41" i="87"/>
  <c r="D41" i="87"/>
  <c r="B41" i="87"/>
  <c r="Z40" i="87"/>
  <c r="X40" i="87"/>
  <c r="L40" i="87"/>
  <c r="N40" i="87" s="1"/>
  <c r="B40" i="87"/>
  <c r="X39" i="87"/>
  <c r="T39" i="87"/>
  <c r="P39" i="87"/>
  <c r="H39" i="87"/>
  <c r="D39" i="87"/>
  <c r="L39" i="87" s="1"/>
  <c r="B39" i="87"/>
  <c r="Z38" i="87"/>
  <c r="X38" i="87"/>
  <c r="N38" i="87"/>
  <c r="L38" i="87"/>
  <c r="B38" i="87"/>
  <c r="T37" i="87"/>
  <c r="P37" i="87"/>
  <c r="L37" i="87"/>
  <c r="H37" i="87"/>
  <c r="N37" i="87" s="1"/>
  <c r="D37" i="87"/>
  <c r="B37" i="87"/>
  <c r="Z36" i="87"/>
  <c r="X36" i="87"/>
  <c r="N36" i="87"/>
  <c r="L36" i="87"/>
  <c r="B36" i="87"/>
  <c r="X35" i="87"/>
  <c r="Z35" i="87" s="1"/>
  <c r="R35" i="87"/>
  <c r="L35" i="87"/>
  <c r="N35" i="87" s="1"/>
  <c r="B35" i="87"/>
  <c r="Z34" i="87"/>
  <c r="X34" i="87"/>
  <c r="N34" i="87"/>
  <c r="L34" i="87"/>
  <c r="B34" i="87"/>
  <c r="X33" i="87"/>
  <c r="Z33" i="87" s="1"/>
  <c r="L33" i="87"/>
  <c r="N33" i="87" s="1"/>
  <c r="B33" i="87"/>
  <c r="Z32" i="87"/>
  <c r="T32" i="87"/>
  <c r="X32" i="87" s="1"/>
  <c r="P32" i="87"/>
  <c r="N32" i="87"/>
  <c r="H32" i="87"/>
  <c r="D32" i="87"/>
  <c r="L32" i="87" s="1"/>
  <c r="B32" i="87"/>
  <c r="X31" i="87"/>
  <c r="Z31" i="87" s="1"/>
  <c r="L31" i="87"/>
  <c r="N31" i="87" s="1"/>
  <c r="B31" i="87"/>
  <c r="Z30" i="87"/>
  <c r="X30" i="87"/>
  <c r="N30" i="87"/>
  <c r="L30" i="87"/>
  <c r="B30" i="87"/>
  <c r="X29" i="87"/>
  <c r="Z29" i="87" s="1"/>
  <c r="L29" i="87"/>
  <c r="N29" i="87" s="1"/>
  <c r="B29" i="87"/>
  <c r="Z28" i="87"/>
  <c r="X28" i="87"/>
  <c r="L28" i="87"/>
  <c r="N28" i="87" s="1"/>
  <c r="B28" i="87"/>
  <c r="X27" i="87"/>
  <c r="Z27" i="87" s="1"/>
  <c r="L27" i="87"/>
  <c r="N27" i="87" s="1"/>
  <c r="B27" i="87"/>
  <c r="Z26" i="87"/>
  <c r="X26" i="87"/>
  <c r="N26" i="87"/>
  <c r="L26" i="87"/>
  <c r="B26" i="87"/>
  <c r="X25" i="87"/>
  <c r="Z25" i="87" s="1"/>
  <c r="L25" i="87"/>
  <c r="N25" i="87" s="1"/>
  <c r="B25" i="87"/>
  <c r="Z24" i="87"/>
  <c r="X24" i="87"/>
  <c r="V24" i="87"/>
  <c r="L24" i="87"/>
  <c r="N24" i="87" s="1"/>
  <c r="B24" i="87"/>
  <c r="X23" i="87"/>
  <c r="T23" i="87"/>
  <c r="P23" i="87"/>
  <c r="H23" i="87"/>
  <c r="D23" i="87"/>
  <c r="B23" i="87"/>
  <c r="Z22" i="87"/>
  <c r="X22" i="87"/>
  <c r="T22" i="87"/>
  <c r="P22" i="87"/>
  <c r="L22" i="87"/>
  <c r="H22" i="87"/>
  <c r="N22" i="87" s="1"/>
  <c r="D22" i="87"/>
  <c r="Z18" i="87"/>
  <c r="X18" i="87"/>
  <c r="N18" i="87"/>
  <c r="L18" i="87"/>
  <c r="B18" i="87"/>
  <c r="X17" i="87"/>
  <c r="Z17" i="87" s="1"/>
  <c r="R17" i="87"/>
  <c r="L17" i="87"/>
  <c r="N17" i="87" s="1"/>
  <c r="B17" i="87"/>
  <c r="X16" i="87"/>
  <c r="T16" i="87"/>
  <c r="P16" i="87"/>
  <c r="N16" i="87"/>
  <c r="L16" i="87"/>
  <c r="H16" i="87"/>
  <c r="D16" i="87"/>
  <c r="T14" i="87"/>
  <c r="T12" i="87" s="1"/>
  <c r="P14" i="87"/>
  <c r="H14" i="87"/>
  <c r="N14" i="87" s="1"/>
  <c r="D14" i="87"/>
  <c r="L14" i="87" s="1"/>
  <c r="B14" i="87"/>
  <c r="X13" i="87"/>
  <c r="Z13" i="87" s="1"/>
  <c r="T13" i="87"/>
  <c r="P13" i="87"/>
  <c r="P12" i="87" s="1"/>
  <c r="H13" i="87"/>
  <c r="D13" i="87"/>
  <c r="L13" i="87" s="1"/>
  <c r="N13" i="87" s="1"/>
  <c r="B13" i="87"/>
  <c r="D6" i="87"/>
  <c r="D4" i="87"/>
  <c r="F91" i="86"/>
  <c r="Z89" i="86"/>
  <c r="X89" i="86"/>
  <c r="N89" i="86"/>
  <c r="L89" i="86"/>
  <c r="T85" i="86"/>
  <c r="Z85" i="86" s="1"/>
  <c r="P85" i="86"/>
  <c r="N85" i="86"/>
  <c r="L85" i="86"/>
  <c r="H85" i="86"/>
  <c r="F85" i="86"/>
  <c r="D85" i="86"/>
  <c r="B85" i="86"/>
  <c r="X84" i="86"/>
  <c r="T84" i="86"/>
  <c r="Z84" i="86" s="1"/>
  <c r="P84" i="86"/>
  <c r="L84" i="86"/>
  <c r="H84" i="86"/>
  <c r="N84" i="86" s="1"/>
  <c r="D84" i="86"/>
  <c r="X82" i="86"/>
  <c r="Z82" i="86" s="1"/>
  <c r="N82" i="86"/>
  <c r="L82" i="86"/>
  <c r="B82" i="86"/>
  <c r="T81" i="86"/>
  <c r="P81" i="86"/>
  <c r="X81" i="86" s="1"/>
  <c r="N81" i="86"/>
  <c r="H81" i="86"/>
  <c r="L81" i="86" s="1"/>
  <c r="D81" i="86"/>
  <c r="B81" i="86"/>
  <c r="X80" i="86"/>
  <c r="Z80" i="86" s="1"/>
  <c r="N80" i="86"/>
  <c r="L80" i="86"/>
  <c r="F80" i="86"/>
  <c r="B80" i="86"/>
  <c r="Z79" i="86"/>
  <c r="T79" i="86"/>
  <c r="P79" i="86"/>
  <c r="X79" i="86" s="1"/>
  <c r="N79" i="86"/>
  <c r="L79" i="86"/>
  <c r="H79" i="86"/>
  <c r="D79" i="86"/>
  <c r="B79" i="86"/>
  <c r="X78" i="86"/>
  <c r="Z78" i="86" s="1"/>
  <c r="N78" i="86"/>
  <c r="L78" i="86"/>
  <c r="B78" i="86"/>
  <c r="Z77" i="86"/>
  <c r="X77" i="86"/>
  <c r="N77" i="86"/>
  <c r="L77" i="86"/>
  <c r="F77" i="86"/>
  <c r="B77" i="86"/>
  <c r="Z76" i="86"/>
  <c r="X76" i="86"/>
  <c r="N76" i="86"/>
  <c r="L76" i="86"/>
  <c r="B76" i="86"/>
  <c r="X75" i="86"/>
  <c r="Z75" i="86" s="1"/>
  <c r="N75" i="86"/>
  <c r="L75" i="86"/>
  <c r="B75" i="86"/>
  <c r="X74" i="86"/>
  <c r="Z74" i="86" s="1"/>
  <c r="L74" i="86"/>
  <c r="N74" i="86" s="1"/>
  <c r="B74" i="86"/>
  <c r="Z73" i="86"/>
  <c r="X73" i="86"/>
  <c r="N73" i="86"/>
  <c r="L73" i="86"/>
  <c r="B73" i="86"/>
  <c r="X72" i="86"/>
  <c r="Z72" i="86" s="1"/>
  <c r="N72" i="86"/>
  <c r="L72" i="86"/>
  <c r="B72" i="86"/>
  <c r="X71" i="86"/>
  <c r="Z71" i="86" s="1"/>
  <c r="N71" i="86"/>
  <c r="L71" i="86"/>
  <c r="B71" i="86"/>
  <c r="T70" i="86"/>
  <c r="P70" i="86"/>
  <c r="X70" i="86" s="1"/>
  <c r="L70" i="86"/>
  <c r="H70" i="86"/>
  <c r="N70" i="86" s="1"/>
  <c r="D70" i="86"/>
  <c r="B70" i="86"/>
  <c r="Z69" i="86"/>
  <c r="X69" i="86"/>
  <c r="L69" i="86"/>
  <c r="N69" i="86" s="1"/>
  <c r="B69" i="86"/>
  <c r="X68" i="86"/>
  <c r="Z68" i="86" s="1"/>
  <c r="N68" i="86"/>
  <c r="L68" i="86"/>
  <c r="B68" i="86"/>
  <c r="Z67" i="86"/>
  <c r="T67" i="86"/>
  <c r="X67" i="86" s="1"/>
  <c r="P67" i="86"/>
  <c r="H67" i="86"/>
  <c r="D67" i="86"/>
  <c r="L67" i="86" s="1"/>
  <c r="B67" i="86"/>
  <c r="X66" i="86"/>
  <c r="Z66" i="86" s="1"/>
  <c r="L66" i="86"/>
  <c r="N66" i="86" s="1"/>
  <c r="B66" i="86"/>
  <c r="X65" i="86"/>
  <c r="Z65" i="86" s="1"/>
  <c r="N65" i="86"/>
  <c r="L65" i="86"/>
  <c r="B65" i="86"/>
  <c r="X64" i="86"/>
  <c r="Z64" i="86" s="1"/>
  <c r="N64" i="86"/>
  <c r="L64" i="86"/>
  <c r="B64" i="86"/>
  <c r="Z63" i="86"/>
  <c r="T63" i="86"/>
  <c r="P63" i="86"/>
  <c r="X63" i="86" s="1"/>
  <c r="N63" i="86"/>
  <c r="L63" i="86"/>
  <c r="H63" i="86"/>
  <c r="D63" i="86"/>
  <c r="B63" i="86"/>
  <c r="X62" i="86"/>
  <c r="Z62" i="86" s="1"/>
  <c r="N62" i="86"/>
  <c r="L62" i="86"/>
  <c r="B62" i="86"/>
  <c r="X61" i="86"/>
  <c r="Z61" i="86" s="1"/>
  <c r="N61" i="86"/>
  <c r="L61" i="86"/>
  <c r="B61" i="86"/>
  <c r="Z60" i="86"/>
  <c r="X60" i="86"/>
  <c r="N60" i="86"/>
  <c r="L60" i="86"/>
  <c r="B60" i="86"/>
  <c r="T59" i="86"/>
  <c r="P59" i="86"/>
  <c r="X59" i="86" s="1"/>
  <c r="N59" i="86"/>
  <c r="L59" i="86"/>
  <c r="H59" i="86"/>
  <c r="D59" i="86"/>
  <c r="B59" i="86"/>
  <c r="X58" i="86"/>
  <c r="Z58" i="86" s="1"/>
  <c r="L58" i="86"/>
  <c r="N58" i="86" s="1"/>
  <c r="F58" i="86"/>
  <c r="B58" i="86"/>
  <c r="Z57" i="86"/>
  <c r="X57" i="86"/>
  <c r="N57" i="86"/>
  <c r="L57" i="86"/>
  <c r="B57" i="86"/>
  <c r="X56" i="86"/>
  <c r="Z56" i="86" s="1"/>
  <c r="T56" i="86"/>
  <c r="P56" i="86"/>
  <c r="H56" i="86"/>
  <c r="N56" i="86" s="1"/>
  <c r="D56" i="86"/>
  <c r="L56" i="86" s="1"/>
  <c r="B56" i="86"/>
  <c r="Z55" i="86"/>
  <c r="X55" i="86"/>
  <c r="N55" i="86"/>
  <c r="L55" i="86"/>
  <c r="B55" i="86"/>
  <c r="X54" i="86"/>
  <c r="T54" i="86"/>
  <c r="P54" i="86"/>
  <c r="H54" i="86"/>
  <c r="D54" i="86"/>
  <c r="L54" i="86" s="1"/>
  <c r="B54" i="86"/>
  <c r="Z53" i="86"/>
  <c r="X53" i="86"/>
  <c r="N53" i="86"/>
  <c r="L53" i="86"/>
  <c r="B53" i="86"/>
  <c r="T52" i="86"/>
  <c r="P52" i="86"/>
  <c r="H52" i="86"/>
  <c r="N52" i="86" s="1"/>
  <c r="D52" i="86"/>
  <c r="B52" i="86"/>
  <c r="Z51" i="86"/>
  <c r="X51" i="86"/>
  <c r="N51" i="86"/>
  <c r="L51" i="86"/>
  <c r="B51" i="86"/>
  <c r="T50" i="86"/>
  <c r="P50" i="86"/>
  <c r="X50" i="86" s="1"/>
  <c r="N50" i="86"/>
  <c r="L50" i="86"/>
  <c r="H50" i="86"/>
  <c r="D50" i="86"/>
  <c r="B50" i="86"/>
  <c r="X49" i="86"/>
  <c r="Z49" i="86" s="1"/>
  <c r="N49" i="86"/>
  <c r="L49" i="86"/>
  <c r="B49" i="86"/>
  <c r="T48" i="86"/>
  <c r="P48" i="86"/>
  <c r="X48" i="86" s="1"/>
  <c r="H48" i="86"/>
  <c r="D48" i="86"/>
  <c r="B48" i="86"/>
  <c r="Z47" i="86"/>
  <c r="X47" i="86"/>
  <c r="N47" i="86"/>
  <c r="L47" i="86"/>
  <c r="B47" i="86"/>
  <c r="X46" i="86"/>
  <c r="Z46" i="86" s="1"/>
  <c r="L46" i="86"/>
  <c r="N46" i="86" s="1"/>
  <c r="B46" i="86"/>
  <c r="Z45" i="86"/>
  <c r="X45" i="86"/>
  <c r="T45" i="86"/>
  <c r="P45" i="86"/>
  <c r="H45" i="86"/>
  <c r="D45" i="86"/>
  <c r="L45" i="86" s="1"/>
  <c r="N45" i="86" s="1"/>
  <c r="B45" i="86"/>
  <c r="X44" i="86"/>
  <c r="Z44" i="86" s="1"/>
  <c r="L44" i="86"/>
  <c r="N44" i="86" s="1"/>
  <c r="B44" i="86"/>
  <c r="T43" i="86"/>
  <c r="X43" i="86" s="1"/>
  <c r="Z43" i="86" s="1"/>
  <c r="P43" i="86"/>
  <c r="H43" i="86"/>
  <c r="D43" i="86"/>
  <c r="L43" i="86" s="1"/>
  <c r="N43" i="86" s="1"/>
  <c r="B43" i="86"/>
  <c r="X42" i="86"/>
  <c r="Z42" i="86" s="1"/>
  <c r="L42" i="86"/>
  <c r="N42" i="86" s="1"/>
  <c r="B42" i="86"/>
  <c r="X41" i="86"/>
  <c r="T41" i="86"/>
  <c r="Z41" i="86" s="1"/>
  <c r="P41" i="86"/>
  <c r="N41" i="86"/>
  <c r="H41" i="86"/>
  <c r="D41" i="86"/>
  <c r="L41" i="86" s="1"/>
  <c r="B41" i="86"/>
  <c r="X40" i="86"/>
  <c r="Z40" i="86" s="1"/>
  <c r="L40" i="86"/>
  <c r="N40" i="86" s="1"/>
  <c r="B40" i="86"/>
  <c r="T39" i="86"/>
  <c r="Z39" i="86" s="1"/>
  <c r="P39" i="86"/>
  <c r="X39" i="86" s="1"/>
  <c r="N39" i="86"/>
  <c r="L39" i="86"/>
  <c r="H39" i="86"/>
  <c r="D39" i="86"/>
  <c r="B39" i="86"/>
  <c r="X38" i="86"/>
  <c r="Z38" i="86" s="1"/>
  <c r="N38" i="86"/>
  <c r="L38" i="86"/>
  <c r="F38" i="86"/>
  <c r="B38" i="86"/>
  <c r="Z37" i="86"/>
  <c r="X37" i="86"/>
  <c r="L37" i="86"/>
  <c r="N37" i="86" s="1"/>
  <c r="B37" i="86"/>
  <c r="X36" i="86"/>
  <c r="Z36" i="86" s="1"/>
  <c r="N36" i="86"/>
  <c r="L36" i="86"/>
  <c r="B36" i="86"/>
  <c r="Z35" i="86"/>
  <c r="X35" i="86"/>
  <c r="N35" i="86"/>
  <c r="L35" i="86"/>
  <c r="B35" i="86"/>
  <c r="X34" i="86"/>
  <c r="Z34" i="86" s="1"/>
  <c r="L34" i="86"/>
  <c r="N34" i="86" s="1"/>
  <c r="F34" i="86"/>
  <c r="B34" i="86"/>
  <c r="Z33" i="86"/>
  <c r="X33" i="86"/>
  <c r="L33" i="86"/>
  <c r="N33" i="86" s="1"/>
  <c r="B33" i="86"/>
  <c r="X32" i="86"/>
  <c r="Z32" i="86" s="1"/>
  <c r="T32" i="86"/>
  <c r="P32" i="86"/>
  <c r="H32" i="86"/>
  <c r="N32" i="86" s="1"/>
  <c r="D32" i="86"/>
  <c r="L32" i="86" s="1"/>
  <c r="B32" i="86"/>
  <c r="Z31" i="86"/>
  <c r="X31" i="86"/>
  <c r="N31" i="86"/>
  <c r="L31" i="86"/>
  <c r="B31" i="86"/>
  <c r="X30" i="86"/>
  <c r="Z30" i="86" s="1"/>
  <c r="L30" i="86"/>
  <c r="N30" i="86" s="1"/>
  <c r="B30" i="86"/>
  <c r="X29" i="86"/>
  <c r="Z29" i="86" s="1"/>
  <c r="N29" i="86"/>
  <c r="L29" i="86"/>
  <c r="B29" i="86"/>
  <c r="X28" i="86"/>
  <c r="Z28" i="86" s="1"/>
  <c r="L28" i="86"/>
  <c r="N28" i="86" s="1"/>
  <c r="F28" i="86"/>
  <c r="B28" i="86"/>
  <c r="Z27" i="86"/>
  <c r="X27" i="86"/>
  <c r="N27" i="86"/>
  <c r="L27" i="86"/>
  <c r="B27" i="86"/>
  <c r="X26" i="86"/>
  <c r="Z26" i="86" s="1"/>
  <c r="L26" i="86"/>
  <c r="N26" i="86" s="1"/>
  <c r="B26" i="86"/>
  <c r="X25" i="86"/>
  <c r="Z25" i="86" s="1"/>
  <c r="N25" i="86"/>
  <c r="L25" i="86"/>
  <c r="B25" i="86"/>
  <c r="X24" i="86"/>
  <c r="Z24" i="86" s="1"/>
  <c r="L24" i="86"/>
  <c r="N24" i="86" s="1"/>
  <c r="F24" i="86"/>
  <c r="B24" i="86"/>
  <c r="T23" i="86"/>
  <c r="P23" i="86"/>
  <c r="X23" i="86" s="1"/>
  <c r="Z23" i="86" s="1"/>
  <c r="L23" i="86"/>
  <c r="H23" i="86"/>
  <c r="N23" i="86" s="1"/>
  <c r="F23" i="86"/>
  <c r="D23" i="86"/>
  <c r="B23" i="86"/>
  <c r="T22" i="86"/>
  <c r="P22" i="86"/>
  <c r="H22" i="86"/>
  <c r="D22" i="86"/>
  <c r="L22" i="86" s="1"/>
  <c r="D20" i="86"/>
  <c r="X18" i="86"/>
  <c r="Z18" i="86" s="1"/>
  <c r="L18" i="86"/>
  <c r="N18" i="86" s="1"/>
  <c r="B18" i="86"/>
  <c r="Z17" i="86"/>
  <c r="X17" i="86"/>
  <c r="V17" i="86"/>
  <c r="N17" i="86"/>
  <c r="L17" i="86"/>
  <c r="B17" i="86"/>
  <c r="T16" i="86"/>
  <c r="P16" i="86"/>
  <c r="H16" i="86"/>
  <c r="D16" i="86"/>
  <c r="T14" i="86"/>
  <c r="P14" i="86"/>
  <c r="L14" i="86"/>
  <c r="N14" i="86" s="1"/>
  <c r="H14" i="86"/>
  <c r="D14" i="86"/>
  <c r="B14" i="86"/>
  <c r="T13" i="86"/>
  <c r="T12" i="86" s="1"/>
  <c r="V73" i="86" s="1"/>
  <c r="P13" i="86"/>
  <c r="X13" i="86" s="1"/>
  <c r="Z13" i="86" s="1"/>
  <c r="H13" i="86"/>
  <c r="D13" i="86"/>
  <c r="B13" i="86"/>
  <c r="D12" i="86"/>
  <c r="F57" i="86" s="1"/>
  <c r="D6" i="86"/>
  <c r="D4" i="86"/>
  <c r="X94" i="85"/>
  <c r="Z94" i="85" s="1"/>
  <c r="L94" i="85"/>
  <c r="N94" i="85" s="1"/>
  <c r="T90" i="85"/>
  <c r="P90" i="85"/>
  <c r="H90" i="85"/>
  <c r="N90" i="85" s="1"/>
  <c r="D90" i="85"/>
  <c r="B90" i="85"/>
  <c r="D89" i="85"/>
  <c r="Z87" i="85"/>
  <c r="X87" i="85"/>
  <c r="N87" i="85"/>
  <c r="L87" i="85"/>
  <c r="B87" i="85"/>
  <c r="T86" i="85"/>
  <c r="P86" i="85"/>
  <c r="X86" i="85" s="1"/>
  <c r="L86" i="85"/>
  <c r="N86" i="85" s="1"/>
  <c r="H86" i="85"/>
  <c r="D86" i="85"/>
  <c r="B86" i="85"/>
  <c r="X85" i="85"/>
  <c r="Z85" i="85" s="1"/>
  <c r="N85" i="85"/>
  <c r="L85" i="85"/>
  <c r="B85" i="85"/>
  <c r="T84" i="85"/>
  <c r="P84" i="85"/>
  <c r="X84" i="85" s="1"/>
  <c r="L84" i="85"/>
  <c r="H84" i="85"/>
  <c r="N84" i="85" s="1"/>
  <c r="D84" i="85"/>
  <c r="B84" i="85"/>
  <c r="Z83" i="85"/>
  <c r="X83" i="85"/>
  <c r="N83" i="85"/>
  <c r="L83" i="85"/>
  <c r="B83" i="85"/>
  <c r="T82" i="85"/>
  <c r="P82" i="85"/>
  <c r="H82" i="85"/>
  <c r="D82" i="85"/>
  <c r="B82" i="85"/>
  <c r="Z81" i="85"/>
  <c r="X81" i="85"/>
  <c r="N81" i="85"/>
  <c r="L81" i="85"/>
  <c r="B81" i="85"/>
  <c r="X80" i="85"/>
  <c r="Z80" i="85" s="1"/>
  <c r="L80" i="85"/>
  <c r="N80" i="85" s="1"/>
  <c r="B80" i="85"/>
  <c r="Z79" i="85"/>
  <c r="X79" i="85"/>
  <c r="N79" i="85"/>
  <c r="L79" i="85"/>
  <c r="B79" i="85"/>
  <c r="X78" i="85"/>
  <c r="Z78" i="85" s="1"/>
  <c r="L78" i="85"/>
  <c r="N78" i="85" s="1"/>
  <c r="B78" i="85"/>
  <c r="Z77" i="85"/>
  <c r="X77" i="85"/>
  <c r="L77" i="85"/>
  <c r="N77" i="85" s="1"/>
  <c r="B77" i="85"/>
  <c r="X76" i="85"/>
  <c r="Z76" i="85" s="1"/>
  <c r="L76" i="85"/>
  <c r="N76" i="85" s="1"/>
  <c r="B76" i="85"/>
  <c r="Z75" i="85"/>
  <c r="X75" i="85"/>
  <c r="N75" i="85"/>
  <c r="L75" i="85"/>
  <c r="B75" i="85"/>
  <c r="Z74" i="85"/>
  <c r="X74" i="85"/>
  <c r="N74" i="85"/>
  <c r="L74" i="85"/>
  <c r="B74" i="85"/>
  <c r="Z73" i="85"/>
  <c r="X73" i="85"/>
  <c r="L73" i="85"/>
  <c r="N73" i="85" s="1"/>
  <c r="B73" i="85"/>
  <c r="X72" i="85"/>
  <c r="Z72" i="85" s="1"/>
  <c r="T72" i="85"/>
  <c r="P72" i="85"/>
  <c r="H72" i="85"/>
  <c r="D72" i="85"/>
  <c r="L72" i="85" s="1"/>
  <c r="B72" i="85"/>
  <c r="Z71" i="85"/>
  <c r="X71" i="85"/>
  <c r="N71" i="85"/>
  <c r="L71" i="85"/>
  <c r="B71" i="85"/>
  <c r="X70" i="85"/>
  <c r="Z70" i="85" s="1"/>
  <c r="N70" i="85"/>
  <c r="L70" i="85"/>
  <c r="B70" i="85"/>
  <c r="X69" i="85"/>
  <c r="Z69" i="85" s="1"/>
  <c r="T69" i="85"/>
  <c r="P69" i="85"/>
  <c r="N69" i="85"/>
  <c r="L69" i="85"/>
  <c r="H69" i="85"/>
  <c r="D69" i="85"/>
  <c r="B69" i="85"/>
  <c r="X68" i="85"/>
  <c r="Z68" i="85" s="1"/>
  <c r="N68" i="85"/>
  <c r="L68" i="85"/>
  <c r="B68" i="85"/>
  <c r="Z67" i="85"/>
  <c r="X67" i="85"/>
  <c r="N67" i="85"/>
  <c r="L67" i="85"/>
  <c r="B67" i="85"/>
  <c r="X66" i="85"/>
  <c r="Z66" i="85" s="1"/>
  <c r="L66" i="85"/>
  <c r="N66" i="85" s="1"/>
  <c r="B66" i="85"/>
  <c r="Z65" i="85"/>
  <c r="X65" i="85"/>
  <c r="N65" i="85"/>
  <c r="L65" i="85"/>
  <c r="B65" i="85"/>
  <c r="X64" i="85"/>
  <c r="Z64" i="85" s="1"/>
  <c r="L64" i="85"/>
  <c r="N64" i="85" s="1"/>
  <c r="B64" i="85"/>
  <c r="T63" i="85"/>
  <c r="P63" i="85"/>
  <c r="X63" i="85" s="1"/>
  <c r="Z63" i="85" s="1"/>
  <c r="N63" i="85"/>
  <c r="L63" i="85"/>
  <c r="H63" i="85"/>
  <c r="D63" i="85"/>
  <c r="B63" i="85"/>
  <c r="X62" i="85"/>
  <c r="Z62" i="85" s="1"/>
  <c r="L62" i="85"/>
  <c r="N62" i="85" s="1"/>
  <c r="B62" i="85"/>
  <c r="Z61" i="85"/>
  <c r="X61" i="85"/>
  <c r="L61" i="85"/>
  <c r="N61" i="85" s="1"/>
  <c r="B61" i="85"/>
  <c r="X60" i="85"/>
  <c r="Z60" i="85" s="1"/>
  <c r="N60" i="85"/>
  <c r="L60" i="85"/>
  <c r="B60" i="85"/>
  <c r="Z59" i="85"/>
  <c r="X59" i="85"/>
  <c r="N59" i="85"/>
  <c r="L59" i="85"/>
  <c r="B59" i="85"/>
  <c r="T58" i="85"/>
  <c r="P58" i="85"/>
  <c r="X58" i="85" s="1"/>
  <c r="L58" i="85"/>
  <c r="N58" i="85" s="1"/>
  <c r="H58" i="85"/>
  <c r="D58" i="85"/>
  <c r="B58" i="85"/>
  <c r="X57" i="85"/>
  <c r="Z57" i="85" s="1"/>
  <c r="N57" i="85"/>
  <c r="L57" i="85"/>
  <c r="B57" i="85"/>
  <c r="T56" i="85"/>
  <c r="P56" i="85"/>
  <c r="X56" i="85" s="1"/>
  <c r="L56" i="85"/>
  <c r="H56" i="85"/>
  <c r="D56" i="85"/>
  <c r="B56" i="85"/>
  <c r="Z55" i="85"/>
  <c r="X55" i="85"/>
  <c r="N55" i="85"/>
  <c r="L55" i="85"/>
  <c r="B55" i="85"/>
  <c r="T54" i="85"/>
  <c r="P54" i="85"/>
  <c r="H54" i="85"/>
  <c r="D54" i="85"/>
  <c r="B54" i="85"/>
  <c r="Z53" i="85"/>
  <c r="X53" i="85"/>
  <c r="L53" i="85"/>
  <c r="N53" i="85" s="1"/>
  <c r="B53" i="85"/>
  <c r="X52" i="85"/>
  <c r="Z52" i="85" s="1"/>
  <c r="T52" i="85"/>
  <c r="P52" i="85"/>
  <c r="H52" i="85"/>
  <c r="D52" i="85"/>
  <c r="L52" i="85" s="1"/>
  <c r="B52" i="85"/>
  <c r="Z51" i="85"/>
  <c r="X51" i="85"/>
  <c r="N51" i="85"/>
  <c r="L51" i="85"/>
  <c r="B51" i="85"/>
  <c r="T50" i="85"/>
  <c r="P50" i="85"/>
  <c r="H50" i="85"/>
  <c r="N50" i="85" s="1"/>
  <c r="D50" i="85"/>
  <c r="L50" i="85" s="1"/>
  <c r="B50" i="85"/>
  <c r="Z49" i="85"/>
  <c r="X49" i="85"/>
  <c r="N49" i="85"/>
  <c r="L49" i="85"/>
  <c r="B49" i="85"/>
  <c r="T48" i="85"/>
  <c r="P48" i="85"/>
  <c r="X48" i="85" s="1"/>
  <c r="H48" i="85"/>
  <c r="D48" i="85"/>
  <c r="L48" i="85" s="1"/>
  <c r="B48" i="85"/>
  <c r="Z47" i="85"/>
  <c r="X47" i="85"/>
  <c r="N47" i="85"/>
  <c r="L47" i="85"/>
  <c r="B47" i="85"/>
  <c r="X46" i="85"/>
  <c r="Z46" i="85" s="1"/>
  <c r="L46" i="85"/>
  <c r="N46" i="85" s="1"/>
  <c r="B46" i="85"/>
  <c r="T45" i="85"/>
  <c r="P45" i="85"/>
  <c r="X45" i="85" s="1"/>
  <c r="Z45" i="85" s="1"/>
  <c r="H45" i="85"/>
  <c r="L45" i="85" s="1"/>
  <c r="N45" i="85" s="1"/>
  <c r="D45" i="85"/>
  <c r="B45" i="85"/>
  <c r="X44" i="85"/>
  <c r="Z44" i="85" s="1"/>
  <c r="L44" i="85"/>
  <c r="N44" i="85" s="1"/>
  <c r="B44" i="85"/>
  <c r="Z43" i="85"/>
  <c r="X43" i="85"/>
  <c r="T43" i="85"/>
  <c r="P43" i="85"/>
  <c r="L43" i="85"/>
  <c r="N43" i="85" s="1"/>
  <c r="H43" i="85"/>
  <c r="D43" i="85"/>
  <c r="B43" i="85"/>
  <c r="X42" i="85"/>
  <c r="Z42" i="85" s="1"/>
  <c r="L42" i="85"/>
  <c r="N42" i="85" s="1"/>
  <c r="B42" i="85"/>
  <c r="Z41" i="85"/>
  <c r="X41" i="85"/>
  <c r="T41" i="85"/>
  <c r="P41" i="85"/>
  <c r="H41" i="85"/>
  <c r="N41" i="85" s="1"/>
  <c r="D41" i="85"/>
  <c r="L41" i="85" s="1"/>
  <c r="B41" i="85"/>
  <c r="X40" i="85"/>
  <c r="Z40" i="85" s="1"/>
  <c r="L40" i="85"/>
  <c r="N40" i="85" s="1"/>
  <c r="B40" i="85"/>
  <c r="T39" i="85"/>
  <c r="X39" i="85" s="1"/>
  <c r="Z39" i="85" s="1"/>
  <c r="P39" i="85"/>
  <c r="H39" i="85"/>
  <c r="D39" i="85"/>
  <c r="L39" i="85" s="1"/>
  <c r="N39" i="85" s="1"/>
  <c r="B39" i="85"/>
  <c r="X38" i="85"/>
  <c r="Z38" i="85" s="1"/>
  <c r="R38" i="85"/>
  <c r="L38" i="85"/>
  <c r="N38" i="85" s="1"/>
  <c r="B38" i="85"/>
  <c r="X37" i="85"/>
  <c r="Z37" i="85" s="1"/>
  <c r="N37" i="85"/>
  <c r="L37" i="85"/>
  <c r="B37" i="85"/>
  <c r="X36" i="85"/>
  <c r="Z36" i="85" s="1"/>
  <c r="N36" i="85"/>
  <c r="L36" i="85"/>
  <c r="F36" i="85"/>
  <c r="B36" i="85"/>
  <c r="Z35" i="85"/>
  <c r="X35" i="85"/>
  <c r="N35" i="85"/>
  <c r="L35" i="85"/>
  <c r="B35" i="85"/>
  <c r="X34" i="85"/>
  <c r="Z34" i="85" s="1"/>
  <c r="R34" i="85"/>
  <c r="L34" i="85"/>
  <c r="N34" i="85" s="1"/>
  <c r="B34" i="85"/>
  <c r="X33" i="85"/>
  <c r="Z33" i="85" s="1"/>
  <c r="N33" i="85"/>
  <c r="L33" i="85"/>
  <c r="B33" i="85"/>
  <c r="T32" i="85"/>
  <c r="Z32" i="85" s="1"/>
  <c r="P32" i="85"/>
  <c r="X32" i="85" s="1"/>
  <c r="L32" i="85"/>
  <c r="H32" i="85"/>
  <c r="D32" i="85"/>
  <c r="B32" i="85"/>
  <c r="Z31" i="85"/>
  <c r="X31" i="85"/>
  <c r="R31" i="85"/>
  <c r="N31" i="85"/>
  <c r="L31" i="85"/>
  <c r="B31" i="85"/>
  <c r="X30" i="85"/>
  <c r="Z30" i="85" s="1"/>
  <c r="L30" i="85"/>
  <c r="N30" i="85" s="1"/>
  <c r="B30" i="85"/>
  <c r="Z29" i="85"/>
  <c r="X29" i="85"/>
  <c r="N29" i="85"/>
  <c r="L29" i="85"/>
  <c r="B29" i="85"/>
  <c r="X28" i="85"/>
  <c r="Z28" i="85" s="1"/>
  <c r="R28" i="85"/>
  <c r="L28" i="85"/>
  <c r="N28" i="85" s="1"/>
  <c r="B28" i="85"/>
  <c r="Z27" i="85"/>
  <c r="X27" i="85"/>
  <c r="R27" i="85"/>
  <c r="N27" i="85"/>
  <c r="L27" i="85"/>
  <c r="B27" i="85"/>
  <c r="X26" i="85"/>
  <c r="Z26" i="85" s="1"/>
  <c r="R26" i="85"/>
  <c r="L26" i="85"/>
  <c r="N26" i="85" s="1"/>
  <c r="F26" i="85"/>
  <c r="B26" i="85"/>
  <c r="Z25" i="85"/>
  <c r="X25" i="85"/>
  <c r="N25" i="85"/>
  <c r="L25" i="85"/>
  <c r="B25" i="85"/>
  <c r="X24" i="85"/>
  <c r="Z24" i="85" s="1"/>
  <c r="L24" i="85"/>
  <c r="N24" i="85" s="1"/>
  <c r="B24" i="85"/>
  <c r="T23" i="85"/>
  <c r="R23" i="85"/>
  <c r="P23" i="85"/>
  <c r="N23" i="85"/>
  <c r="L23" i="85"/>
  <c r="H23" i="85"/>
  <c r="D23" i="85"/>
  <c r="B23" i="85"/>
  <c r="T22" i="85"/>
  <c r="P22" i="85"/>
  <c r="X22" i="85" s="1"/>
  <c r="L22" i="85"/>
  <c r="H22" i="85"/>
  <c r="N22" i="85" s="1"/>
  <c r="D22" i="85"/>
  <c r="X18" i="85"/>
  <c r="Z18" i="85" s="1"/>
  <c r="R18" i="85"/>
  <c r="L18" i="85"/>
  <c r="N18" i="85" s="1"/>
  <c r="B18" i="85"/>
  <c r="Z17" i="85"/>
  <c r="X17" i="85"/>
  <c r="L17" i="85"/>
  <c r="N17" i="85" s="1"/>
  <c r="B17" i="85"/>
  <c r="T16" i="85"/>
  <c r="P16" i="85"/>
  <c r="X16" i="85" s="1"/>
  <c r="H16" i="85"/>
  <c r="D16" i="85"/>
  <c r="L16" i="85" s="1"/>
  <c r="X14" i="85"/>
  <c r="Z14" i="85" s="1"/>
  <c r="T14" i="85"/>
  <c r="P14" i="85"/>
  <c r="L14" i="85"/>
  <c r="H14" i="85"/>
  <c r="N14" i="85" s="1"/>
  <c r="D14" i="85"/>
  <c r="B14" i="85"/>
  <c r="Z13" i="85"/>
  <c r="T13" i="85"/>
  <c r="T12" i="85" s="1"/>
  <c r="P13" i="85"/>
  <c r="X13" i="85" s="1"/>
  <c r="H13" i="85"/>
  <c r="L13" i="85" s="1"/>
  <c r="N13" i="85" s="1"/>
  <c r="D13" i="85"/>
  <c r="B13" i="85"/>
  <c r="P12" i="85"/>
  <c r="R69" i="85" s="1"/>
  <c r="D12" i="85"/>
  <c r="F74" i="85" s="1"/>
  <c r="D6" i="85"/>
  <c r="D4" i="85"/>
  <c r="X79" i="84"/>
  <c r="Z79" i="84" s="1"/>
  <c r="N79" i="84"/>
  <c r="L79" i="84"/>
  <c r="F79" i="84"/>
  <c r="T75" i="84"/>
  <c r="Z75" i="84" s="1"/>
  <c r="P75" i="84"/>
  <c r="X75" i="84" s="1"/>
  <c r="H75" i="84"/>
  <c r="N75" i="84" s="1"/>
  <c r="D75" i="84"/>
  <c r="X73" i="84"/>
  <c r="Z73" i="84" s="1"/>
  <c r="N73" i="84"/>
  <c r="L73" i="84"/>
  <c r="B73" i="84"/>
  <c r="Z72" i="84"/>
  <c r="T72" i="84"/>
  <c r="X72" i="84" s="1"/>
  <c r="P72" i="84"/>
  <c r="N72" i="84"/>
  <c r="H72" i="84"/>
  <c r="D72" i="84"/>
  <c r="L72" i="84" s="1"/>
  <c r="B72" i="84"/>
  <c r="X71" i="84"/>
  <c r="Z71" i="84" s="1"/>
  <c r="N71" i="84"/>
  <c r="L71" i="84"/>
  <c r="B71" i="84"/>
  <c r="X70" i="84"/>
  <c r="T70" i="84"/>
  <c r="Z70" i="84" s="1"/>
  <c r="P70" i="84"/>
  <c r="N70" i="84"/>
  <c r="H70" i="84"/>
  <c r="D70" i="84"/>
  <c r="L70" i="84" s="1"/>
  <c r="B70" i="84"/>
  <c r="X69" i="84"/>
  <c r="Z69" i="84" s="1"/>
  <c r="L69" i="84"/>
  <c r="N69" i="84" s="1"/>
  <c r="B69" i="84"/>
  <c r="Z68" i="84"/>
  <c r="X68" i="84"/>
  <c r="N68" i="84"/>
  <c r="L68" i="84"/>
  <c r="B68" i="84"/>
  <c r="X67" i="84"/>
  <c r="Z67" i="84" s="1"/>
  <c r="N67" i="84"/>
  <c r="L67" i="84"/>
  <c r="B67" i="84"/>
  <c r="Z66" i="84"/>
  <c r="X66" i="84"/>
  <c r="N66" i="84"/>
  <c r="L66" i="84"/>
  <c r="B66" i="84"/>
  <c r="Z65" i="84"/>
  <c r="X65" i="84"/>
  <c r="N65" i="84"/>
  <c r="L65" i="84"/>
  <c r="B65" i="84"/>
  <c r="Z64" i="84"/>
  <c r="X64" i="84"/>
  <c r="N64" i="84"/>
  <c r="L64" i="84"/>
  <c r="B64" i="84"/>
  <c r="X63" i="84"/>
  <c r="Z63" i="84" s="1"/>
  <c r="N63" i="84"/>
  <c r="L63" i="84"/>
  <c r="B63" i="84"/>
  <c r="Z62" i="84"/>
  <c r="X62" i="84"/>
  <c r="T62" i="84"/>
  <c r="P62" i="84"/>
  <c r="H62" i="84"/>
  <c r="D62" i="84"/>
  <c r="L62" i="84" s="1"/>
  <c r="B62" i="84"/>
  <c r="X61" i="84"/>
  <c r="Z61" i="84" s="1"/>
  <c r="N61" i="84"/>
  <c r="L61" i="84"/>
  <c r="B61" i="84"/>
  <c r="T60" i="84"/>
  <c r="X60" i="84" s="1"/>
  <c r="Z60" i="84" s="1"/>
  <c r="P60" i="84"/>
  <c r="N60" i="84"/>
  <c r="H60" i="84"/>
  <c r="D60" i="84"/>
  <c r="L60" i="84" s="1"/>
  <c r="B60" i="84"/>
  <c r="X59" i="84"/>
  <c r="Z59" i="84" s="1"/>
  <c r="L59" i="84"/>
  <c r="N59" i="84" s="1"/>
  <c r="B59" i="84"/>
  <c r="X58" i="84"/>
  <c r="T58" i="84"/>
  <c r="Z58" i="84" s="1"/>
  <c r="P58" i="84"/>
  <c r="N58" i="84"/>
  <c r="H58" i="84"/>
  <c r="D58" i="84"/>
  <c r="L58" i="84" s="1"/>
  <c r="B58" i="84"/>
  <c r="X57" i="84"/>
  <c r="Z57" i="84" s="1"/>
  <c r="L57" i="84"/>
  <c r="N57" i="84" s="1"/>
  <c r="B57" i="84"/>
  <c r="T56" i="84"/>
  <c r="P56" i="84"/>
  <c r="N56" i="84"/>
  <c r="L56" i="84"/>
  <c r="H56" i="84"/>
  <c r="D56" i="84"/>
  <c r="B56" i="84"/>
  <c r="X55" i="84"/>
  <c r="Z55" i="84" s="1"/>
  <c r="V55" i="84"/>
  <c r="L55" i="84"/>
  <c r="N55" i="84" s="1"/>
  <c r="B55" i="84"/>
  <c r="Z54" i="84"/>
  <c r="X54" i="84"/>
  <c r="L54" i="84"/>
  <c r="N54" i="84" s="1"/>
  <c r="B54" i="84"/>
  <c r="T53" i="84"/>
  <c r="P53" i="84"/>
  <c r="X53" i="84" s="1"/>
  <c r="H53" i="84"/>
  <c r="D53" i="84"/>
  <c r="L53" i="84" s="1"/>
  <c r="B53" i="84"/>
  <c r="Z52" i="84"/>
  <c r="X52" i="84"/>
  <c r="N52" i="84"/>
  <c r="L52" i="84"/>
  <c r="B52" i="84"/>
  <c r="X51" i="84"/>
  <c r="T51" i="84"/>
  <c r="P51" i="84"/>
  <c r="H51" i="84"/>
  <c r="D51" i="84"/>
  <c r="L51" i="84" s="1"/>
  <c r="B51" i="84"/>
  <c r="Z50" i="84"/>
  <c r="X50" i="84"/>
  <c r="V50" i="84"/>
  <c r="N50" i="84"/>
  <c r="L50" i="84"/>
  <c r="B50" i="84"/>
  <c r="T49" i="84"/>
  <c r="P49" i="84"/>
  <c r="L49" i="84"/>
  <c r="H49" i="84"/>
  <c r="N49" i="84" s="1"/>
  <c r="D49" i="84"/>
  <c r="B49" i="84"/>
  <c r="Z48" i="84"/>
  <c r="X48" i="84"/>
  <c r="N48" i="84"/>
  <c r="L48" i="84"/>
  <c r="B48" i="84"/>
  <c r="V47" i="84"/>
  <c r="T47" i="84"/>
  <c r="P47" i="84"/>
  <c r="X47" i="84" s="1"/>
  <c r="N47" i="84"/>
  <c r="L47" i="84"/>
  <c r="H47" i="84"/>
  <c r="D47" i="84"/>
  <c r="B47" i="84"/>
  <c r="X46" i="84"/>
  <c r="Z46" i="84" s="1"/>
  <c r="N46" i="84"/>
  <c r="L46" i="84"/>
  <c r="B46" i="84"/>
  <c r="X45" i="84"/>
  <c r="T45" i="84"/>
  <c r="P45" i="84"/>
  <c r="H45" i="84"/>
  <c r="D45" i="84"/>
  <c r="L45" i="84" s="1"/>
  <c r="B45" i="84"/>
  <c r="Z44" i="84"/>
  <c r="X44" i="84"/>
  <c r="N44" i="84"/>
  <c r="L44" i="84"/>
  <c r="B44" i="84"/>
  <c r="T43" i="84"/>
  <c r="P43" i="84"/>
  <c r="H43" i="84"/>
  <c r="D43" i="84"/>
  <c r="L43" i="84" s="1"/>
  <c r="B43" i="84"/>
  <c r="Z42" i="84"/>
  <c r="X42" i="84"/>
  <c r="L42" i="84"/>
  <c r="N42" i="84" s="1"/>
  <c r="B42" i="84"/>
  <c r="T41" i="84"/>
  <c r="P41" i="84"/>
  <c r="H41" i="84"/>
  <c r="D41" i="84"/>
  <c r="L41" i="84" s="1"/>
  <c r="B41" i="84"/>
  <c r="Z40" i="84"/>
  <c r="X40" i="84"/>
  <c r="N40" i="84"/>
  <c r="L40" i="84"/>
  <c r="B40" i="84"/>
  <c r="V39" i="84"/>
  <c r="T39" i="84"/>
  <c r="P39" i="84"/>
  <c r="X39" i="84" s="1"/>
  <c r="H39" i="84"/>
  <c r="D39" i="84"/>
  <c r="L39" i="84" s="1"/>
  <c r="B39" i="84"/>
  <c r="Z38" i="84"/>
  <c r="X38" i="84"/>
  <c r="V38" i="84"/>
  <c r="N38" i="84"/>
  <c r="L38" i="84"/>
  <c r="B38" i="84"/>
  <c r="X37" i="84"/>
  <c r="Z37" i="84" s="1"/>
  <c r="L37" i="84"/>
  <c r="N37" i="84" s="1"/>
  <c r="B37" i="84"/>
  <c r="Z36" i="84"/>
  <c r="X36" i="84"/>
  <c r="N36" i="84"/>
  <c r="L36" i="84"/>
  <c r="B36" i="84"/>
  <c r="X35" i="84"/>
  <c r="Z35" i="84" s="1"/>
  <c r="N35" i="84"/>
  <c r="L35" i="84"/>
  <c r="F35" i="84"/>
  <c r="B35" i="84"/>
  <c r="Z34" i="84"/>
  <c r="X34" i="84"/>
  <c r="N34" i="84"/>
  <c r="L34" i="84"/>
  <c r="B34" i="84"/>
  <c r="X33" i="84"/>
  <c r="Z33" i="84" s="1"/>
  <c r="R33" i="84"/>
  <c r="L33" i="84"/>
  <c r="N33" i="84" s="1"/>
  <c r="B33" i="84"/>
  <c r="T32" i="84"/>
  <c r="P32" i="84"/>
  <c r="N32" i="84"/>
  <c r="L32" i="84"/>
  <c r="H32" i="84"/>
  <c r="D32" i="84"/>
  <c r="B32" i="84"/>
  <c r="X31" i="84"/>
  <c r="Z31" i="84" s="1"/>
  <c r="N31" i="84"/>
  <c r="L31" i="84"/>
  <c r="B31" i="84"/>
  <c r="Z30" i="84"/>
  <c r="X30" i="84"/>
  <c r="N30" i="84"/>
  <c r="L30" i="84"/>
  <c r="B30" i="84"/>
  <c r="X29" i="84"/>
  <c r="Z29" i="84" s="1"/>
  <c r="L29" i="84"/>
  <c r="N29" i="84" s="1"/>
  <c r="B29" i="84"/>
  <c r="X28" i="84"/>
  <c r="Z28" i="84" s="1"/>
  <c r="N28" i="84"/>
  <c r="L28" i="84"/>
  <c r="B28" i="84"/>
  <c r="X27" i="84"/>
  <c r="Z27" i="84" s="1"/>
  <c r="V27" i="84"/>
  <c r="N27" i="84"/>
  <c r="L27" i="84"/>
  <c r="B27" i="84"/>
  <c r="Z26" i="84"/>
  <c r="X26" i="84"/>
  <c r="N26" i="84"/>
  <c r="L26" i="84"/>
  <c r="B26" i="84"/>
  <c r="X25" i="84"/>
  <c r="Z25" i="84" s="1"/>
  <c r="L25" i="84"/>
  <c r="N25" i="84" s="1"/>
  <c r="B25" i="84"/>
  <c r="Z24" i="84"/>
  <c r="X24" i="84"/>
  <c r="V24" i="84"/>
  <c r="N24" i="84"/>
  <c r="L24" i="84"/>
  <c r="B24" i="84"/>
  <c r="X23" i="84"/>
  <c r="T23" i="84"/>
  <c r="P23" i="84"/>
  <c r="N23" i="84"/>
  <c r="L23" i="84"/>
  <c r="H23" i="84"/>
  <c r="D23" i="84"/>
  <c r="B23" i="84"/>
  <c r="T22" i="84"/>
  <c r="P22" i="84"/>
  <c r="X22" i="84" s="1"/>
  <c r="L22" i="84"/>
  <c r="N22" i="84" s="1"/>
  <c r="H22" i="84"/>
  <c r="D22" i="84"/>
  <c r="P20" i="84"/>
  <c r="X18" i="84"/>
  <c r="Z18" i="84" s="1"/>
  <c r="L18" i="84"/>
  <c r="N18" i="84" s="1"/>
  <c r="B18" i="84"/>
  <c r="Z17" i="84"/>
  <c r="X17" i="84"/>
  <c r="N17" i="84"/>
  <c r="L17" i="84"/>
  <c r="B17" i="84"/>
  <c r="X16" i="84"/>
  <c r="T16" i="84"/>
  <c r="Z16" i="84" s="1"/>
  <c r="P16" i="84"/>
  <c r="H16" i="84"/>
  <c r="D16" i="84"/>
  <c r="L16" i="84" s="1"/>
  <c r="X14" i="84"/>
  <c r="Z14" i="84" s="1"/>
  <c r="T14" i="84"/>
  <c r="P14" i="84"/>
  <c r="H14" i="84"/>
  <c r="H12" i="84" s="1"/>
  <c r="J72" i="84" s="1"/>
  <c r="D14" i="84"/>
  <c r="L14" i="84" s="1"/>
  <c r="B14" i="84"/>
  <c r="T13" i="84"/>
  <c r="T12" i="84" s="1"/>
  <c r="V58" i="84" s="1"/>
  <c r="P13" i="84"/>
  <c r="X13" i="84" s="1"/>
  <c r="Z13" i="84" s="1"/>
  <c r="H13" i="84"/>
  <c r="L13" i="84" s="1"/>
  <c r="N13" i="84" s="1"/>
  <c r="D13" i="84"/>
  <c r="B13" i="84"/>
  <c r="P12" i="84"/>
  <c r="R65" i="84" s="1"/>
  <c r="D12" i="84"/>
  <c r="F70" i="84" s="1"/>
  <c r="D6" i="84"/>
  <c r="D4" i="84"/>
  <c r="X73" i="83"/>
  <c r="Z73" i="83" s="1"/>
  <c r="L73" i="83"/>
  <c r="N73" i="83" s="1"/>
  <c r="F73" i="83"/>
  <c r="X69" i="83"/>
  <c r="T69" i="83"/>
  <c r="Z69" i="83" s="1"/>
  <c r="P69" i="83"/>
  <c r="H69" i="83"/>
  <c r="D69" i="83"/>
  <c r="B69" i="83"/>
  <c r="P68" i="83"/>
  <c r="Z66" i="83"/>
  <c r="X66" i="83"/>
  <c r="N66" i="83"/>
  <c r="L66" i="83"/>
  <c r="B66" i="83"/>
  <c r="X65" i="83"/>
  <c r="T65" i="83"/>
  <c r="Z65" i="83" s="1"/>
  <c r="P65" i="83"/>
  <c r="H65" i="83"/>
  <c r="N65" i="83" s="1"/>
  <c r="D65" i="83"/>
  <c r="L65" i="83" s="1"/>
  <c r="B65" i="83"/>
  <c r="Z64" i="83"/>
  <c r="X64" i="83"/>
  <c r="N64" i="83"/>
  <c r="L64" i="83"/>
  <c r="B64" i="83"/>
  <c r="X63" i="83"/>
  <c r="T63" i="83"/>
  <c r="P63" i="83"/>
  <c r="H63" i="83"/>
  <c r="N63" i="83" s="1"/>
  <c r="D63" i="83"/>
  <c r="L63" i="83" s="1"/>
  <c r="B63" i="83"/>
  <c r="Z62" i="83"/>
  <c r="X62" i="83"/>
  <c r="N62" i="83"/>
  <c r="L62" i="83"/>
  <c r="B62" i="83"/>
  <c r="X61" i="83"/>
  <c r="Z61" i="83" s="1"/>
  <c r="N61" i="83"/>
  <c r="L61" i="83"/>
  <c r="B61" i="83"/>
  <c r="Z60" i="83"/>
  <c r="X60" i="83"/>
  <c r="N60" i="83"/>
  <c r="L60" i="83"/>
  <c r="J60" i="83"/>
  <c r="B60" i="83"/>
  <c r="X59" i="83"/>
  <c r="Z59" i="83" s="1"/>
  <c r="L59" i="83"/>
  <c r="N59" i="83" s="1"/>
  <c r="B59" i="83"/>
  <c r="Z58" i="83"/>
  <c r="X58" i="83"/>
  <c r="N58" i="83"/>
  <c r="L58" i="83"/>
  <c r="B58" i="83"/>
  <c r="X57" i="83"/>
  <c r="Z57" i="83" s="1"/>
  <c r="N57" i="83"/>
  <c r="L57" i="83"/>
  <c r="B57" i="83"/>
  <c r="T56" i="83"/>
  <c r="P56" i="83"/>
  <c r="X56" i="83" s="1"/>
  <c r="Z56" i="83" s="1"/>
  <c r="J56" i="83"/>
  <c r="H56" i="83"/>
  <c r="L56" i="83" s="1"/>
  <c r="N56" i="83" s="1"/>
  <c r="D56" i="83"/>
  <c r="B56" i="83"/>
  <c r="X55" i="83"/>
  <c r="Z55" i="83" s="1"/>
  <c r="L55" i="83"/>
  <c r="N55" i="83" s="1"/>
  <c r="F55" i="83"/>
  <c r="B55" i="83"/>
  <c r="Z54" i="83"/>
  <c r="X54" i="83"/>
  <c r="L54" i="83"/>
  <c r="N54" i="83" s="1"/>
  <c r="B54" i="83"/>
  <c r="Z53" i="83"/>
  <c r="X53" i="83"/>
  <c r="N53" i="83"/>
  <c r="L53" i="83"/>
  <c r="B53" i="83"/>
  <c r="T52" i="83"/>
  <c r="P52" i="83"/>
  <c r="X52" i="83" s="1"/>
  <c r="Z52" i="83" s="1"/>
  <c r="H52" i="83"/>
  <c r="D52" i="83"/>
  <c r="L52" i="83" s="1"/>
  <c r="N52" i="83" s="1"/>
  <c r="B52" i="83"/>
  <c r="X51" i="83"/>
  <c r="Z51" i="83" s="1"/>
  <c r="N51" i="83"/>
  <c r="L51" i="83"/>
  <c r="B51" i="83"/>
  <c r="X50" i="83"/>
  <c r="Z50" i="83" s="1"/>
  <c r="N50" i="83"/>
  <c r="L50" i="83"/>
  <c r="J50" i="83"/>
  <c r="B50" i="83"/>
  <c r="X49" i="83"/>
  <c r="Z49" i="83" s="1"/>
  <c r="N49" i="83"/>
  <c r="L49" i="83"/>
  <c r="F49" i="83"/>
  <c r="B49" i="83"/>
  <c r="Z48" i="83"/>
  <c r="X48" i="83"/>
  <c r="T48" i="83"/>
  <c r="P48" i="83"/>
  <c r="L48" i="83"/>
  <c r="N48" i="83" s="1"/>
  <c r="H48" i="83"/>
  <c r="F48" i="83"/>
  <c r="D48" i="83"/>
  <c r="B48" i="83"/>
  <c r="X47" i="83"/>
  <c r="Z47" i="83" s="1"/>
  <c r="L47" i="83"/>
  <c r="N47" i="83" s="1"/>
  <c r="B47" i="83"/>
  <c r="T46" i="83"/>
  <c r="X46" i="83" s="1"/>
  <c r="Z46" i="83" s="1"/>
  <c r="P46" i="83"/>
  <c r="H46" i="83"/>
  <c r="D46" i="83"/>
  <c r="L46" i="83" s="1"/>
  <c r="N46" i="83" s="1"/>
  <c r="B46" i="83"/>
  <c r="X45" i="83"/>
  <c r="Z45" i="83" s="1"/>
  <c r="L45" i="83"/>
  <c r="N45" i="83" s="1"/>
  <c r="B45" i="83"/>
  <c r="T44" i="83"/>
  <c r="P44" i="83"/>
  <c r="X44" i="83" s="1"/>
  <c r="Z44" i="83" s="1"/>
  <c r="H44" i="83"/>
  <c r="D44" i="83"/>
  <c r="L44" i="83" s="1"/>
  <c r="N44" i="83" s="1"/>
  <c r="B44" i="83"/>
  <c r="X43" i="83"/>
  <c r="Z43" i="83" s="1"/>
  <c r="L43" i="83"/>
  <c r="N43" i="83" s="1"/>
  <c r="B43" i="83"/>
  <c r="X42" i="83"/>
  <c r="Z42" i="83" s="1"/>
  <c r="T42" i="83"/>
  <c r="P42" i="83"/>
  <c r="N42" i="83"/>
  <c r="L42" i="83"/>
  <c r="H42" i="83"/>
  <c r="D42" i="83"/>
  <c r="B42" i="83"/>
  <c r="X41" i="83"/>
  <c r="Z41" i="83" s="1"/>
  <c r="L41" i="83"/>
  <c r="N41" i="83" s="1"/>
  <c r="B41" i="83"/>
  <c r="T40" i="83"/>
  <c r="P40" i="83"/>
  <c r="X40" i="83" s="1"/>
  <c r="Z40" i="83" s="1"/>
  <c r="J40" i="83"/>
  <c r="H40" i="83"/>
  <c r="L40" i="83" s="1"/>
  <c r="N40" i="83" s="1"/>
  <c r="D40" i="83"/>
  <c r="B40" i="83"/>
  <c r="X39" i="83"/>
  <c r="Z39" i="83" s="1"/>
  <c r="N39" i="83"/>
  <c r="L39" i="83"/>
  <c r="F39" i="83"/>
  <c r="B39" i="83"/>
  <c r="T38" i="83"/>
  <c r="P38" i="83"/>
  <c r="X38" i="83" s="1"/>
  <c r="Z38" i="83" s="1"/>
  <c r="N38" i="83"/>
  <c r="J38" i="83"/>
  <c r="H38" i="83"/>
  <c r="F38" i="83"/>
  <c r="D38" i="83"/>
  <c r="L38" i="83" s="1"/>
  <c r="B38" i="83"/>
  <c r="X37" i="83"/>
  <c r="Z37" i="83" s="1"/>
  <c r="L37" i="83"/>
  <c r="N37" i="83" s="1"/>
  <c r="F37" i="83"/>
  <c r="B37" i="83"/>
  <c r="Z36" i="83"/>
  <c r="X36" i="83"/>
  <c r="N36" i="83"/>
  <c r="L36" i="83"/>
  <c r="B36" i="83"/>
  <c r="X35" i="83"/>
  <c r="Z35" i="83" s="1"/>
  <c r="L35" i="83"/>
  <c r="N35" i="83" s="1"/>
  <c r="B35" i="83"/>
  <c r="X34" i="83"/>
  <c r="Z34" i="83" s="1"/>
  <c r="N34" i="83"/>
  <c r="L34" i="83"/>
  <c r="J34" i="83"/>
  <c r="B34" i="83"/>
  <c r="X33" i="83"/>
  <c r="Z33" i="83" s="1"/>
  <c r="L33" i="83"/>
  <c r="N33" i="83" s="1"/>
  <c r="F33" i="83"/>
  <c r="B33" i="83"/>
  <c r="Z32" i="83"/>
  <c r="X32" i="83"/>
  <c r="T32" i="83"/>
  <c r="P32" i="83"/>
  <c r="L32" i="83"/>
  <c r="N32" i="83" s="1"/>
  <c r="H32" i="83"/>
  <c r="F32" i="83"/>
  <c r="D32" i="83"/>
  <c r="B32" i="83"/>
  <c r="X31" i="83"/>
  <c r="Z31" i="83" s="1"/>
  <c r="L31" i="83"/>
  <c r="N31" i="83" s="1"/>
  <c r="B31" i="83"/>
  <c r="Z30" i="83"/>
  <c r="X30" i="83"/>
  <c r="N30" i="83"/>
  <c r="L30" i="83"/>
  <c r="B30" i="83"/>
  <c r="X29" i="83"/>
  <c r="Z29" i="83" s="1"/>
  <c r="R29" i="83"/>
  <c r="L29" i="83"/>
  <c r="N29" i="83" s="1"/>
  <c r="B29" i="83"/>
  <c r="Z28" i="83"/>
  <c r="X28" i="83"/>
  <c r="N28" i="83"/>
  <c r="L28" i="83"/>
  <c r="J28" i="83"/>
  <c r="B28" i="83"/>
  <c r="X27" i="83"/>
  <c r="Z27" i="83" s="1"/>
  <c r="L27" i="83"/>
  <c r="N27" i="83" s="1"/>
  <c r="B27" i="83"/>
  <c r="Z26" i="83"/>
  <c r="X26" i="83"/>
  <c r="N26" i="83"/>
  <c r="L26" i="83"/>
  <c r="B26" i="83"/>
  <c r="X25" i="83"/>
  <c r="Z25" i="83" s="1"/>
  <c r="L25" i="83"/>
  <c r="N25" i="83" s="1"/>
  <c r="B25" i="83"/>
  <c r="Z24" i="83"/>
  <c r="X24" i="83"/>
  <c r="N24" i="83"/>
  <c r="L24" i="83"/>
  <c r="J24" i="83"/>
  <c r="B24" i="83"/>
  <c r="T23" i="83"/>
  <c r="P23" i="83"/>
  <c r="H23" i="83"/>
  <c r="D23" i="83"/>
  <c r="B23" i="83"/>
  <c r="T22" i="83"/>
  <c r="P22" i="83"/>
  <c r="X22" i="83" s="1"/>
  <c r="Z22" i="83" s="1"/>
  <c r="J22" i="83"/>
  <c r="H22" i="83"/>
  <c r="F22" i="83"/>
  <c r="D22" i="83"/>
  <c r="L22" i="83" s="1"/>
  <c r="N22" i="83" s="1"/>
  <c r="F20" i="83"/>
  <c r="Z18" i="83"/>
  <c r="X18" i="83"/>
  <c r="L18" i="83"/>
  <c r="N18" i="83" s="1"/>
  <c r="B18" i="83"/>
  <c r="X17" i="83"/>
  <c r="Z17" i="83" s="1"/>
  <c r="L17" i="83"/>
  <c r="N17" i="83" s="1"/>
  <c r="B17" i="83"/>
  <c r="T16" i="83"/>
  <c r="P16" i="83"/>
  <c r="X16" i="83" s="1"/>
  <c r="Z16" i="83" s="1"/>
  <c r="H16" i="83"/>
  <c r="D16" i="83"/>
  <c r="L16" i="83" s="1"/>
  <c r="N16" i="83" s="1"/>
  <c r="T14" i="83"/>
  <c r="P14" i="83"/>
  <c r="N14" i="83"/>
  <c r="L14" i="83"/>
  <c r="H14" i="83"/>
  <c r="D14" i="83"/>
  <c r="B14" i="83"/>
  <c r="T13" i="83"/>
  <c r="P13" i="83"/>
  <c r="P12" i="83" s="1"/>
  <c r="R57" i="83" s="1"/>
  <c r="L13" i="83"/>
  <c r="H13" i="83"/>
  <c r="N13" i="83" s="1"/>
  <c r="D13" i="83"/>
  <c r="D12" i="83" s="1"/>
  <c r="B13" i="83"/>
  <c r="H12" i="83"/>
  <c r="D6" i="83"/>
  <c r="D4" i="83"/>
  <c r="Z77" i="82"/>
  <c r="X77" i="82"/>
  <c r="N77" i="82"/>
  <c r="L77" i="82"/>
  <c r="Z73" i="82"/>
  <c r="T73" i="82"/>
  <c r="P73" i="82"/>
  <c r="X73" i="82" s="1"/>
  <c r="N73" i="82"/>
  <c r="H73" i="82"/>
  <c r="D73" i="82"/>
  <c r="L73" i="82" s="1"/>
  <c r="Z71" i="82"/>
  <c r="X71" i="82"/>
  <c r="V71" i="82"/>
  <c r="N71" i="82"/>
  <c r="L71" i="82"/>
  <c r="B71" i="82"/>
  <c r="T70" i="82"/>
  <c r="P70" i="82"/>
  <c r="X70" i="82" s="1"/>
  <c r="N70" i="82"/>
  <c r="L70" i="82"/>
  <c r="H70" i="82"/>
  <c r="D70" i="82"/>
  <c r="B70" i="82"/>
  <c r="X69" i="82"/>
  <c r="Z69" i="82" s="1"/>
  <c r="N69" i="82"/>
  <c r="L69" i="82"/>
  <c r="B69" i="82"/>
  <c r="T68" i="82"/>
  <c r="P68" i="82"/>
  <c r="X68" i="82" s="1"/>
  <c r="L68" i="82"/>
  <c r="H68" i="82"/>
  <c r="D68" i="82"/>
  <c r="B68" i="82"/>
  <c r="Z67" i="82"/>
  <c r="X67" i="82"/>
  <c r="N67" i="82"/>
  <c r="L67" i="82"/>
  <c r="B67" i="82"/>
  <c r="Z66" i="82"/>
  <c r="X66" i="82"/>
  <c r="L66" i="82"/>
  <c r="N66" i="82" s="1"/>
  <c r="B66" i="82"/>
  <c r="Z65" i="82"/>
  <c r="X65" i="82"/>
  <c r="V65" i="82"/>
  <c r="N65" i="82"/>
  <c r="L65" i="82"/>
  <c r="B65" i="82"/>
  <c r="X64" i="82"/>
  <c r="Z64" i="82" s="1"/>
  <c r="L64" i="82"/>
  <c r="N64" i="82" s="1"/>
  <c r="B64" i="82"/>
  <c r="Z63" i="82"/>
  <c r="X63" i="82"/>
  <c r="N63" i="82"/>
  <c r="L63" i="82"/>
  <c r="B63" i="82"/>
  <c r="Z62" i="82"/>
  <c r="X62" i="82"/>
  <c r="L62" i="82"/>
  <c r="N62" i="82" s="1"/>
  <c r="B62" i="82"/>
  <c r="T61" i="82"/>
  <c r="X61" i="82" s="1"/>
  <c r="Z61" i="82" s="1"/>
  <c r="P61" i="82"/>
  <c r="H61" i="82"/>
  <c r="D61" i="82"/>
  <c r="B61" i="82"/>
  <c r="X60" i="82"/>
  <c r="Z60" i="82" s="1"/>
  <c r="L60" i="82"/>
  <c r="N60" i="82" s="1"/>
  <c r="B60" i="82"/>
  <c r="Z59" i="82"/>
  <c r="X59" i="82"/>
  <c r="N59" i="82"/>
  <c r="L59" i="82"/>
  <c r="B59" i="82"/>
  <c r="X58" i="82"/>
  <c r="Z58" i="82" s="1"/>
  <c r="L58" i="82"/>
  <c r="N58" i="82" s="1"/>
  <c r="B58" i="82"/>
  <c r="T57" i="82"/>
  <c r="P57" i="82"/>
  <c r="X57" i="82" s="1"/>
  <c r="Z57" i="82" s="1"/>
  <c r="H57" i="82"/>
  <c r="D57" i="82"/>
  <c r="L57" i="82" s="1"/>
  <c r="N57" i="82" s="1"/>
  <c r="B57" i="82"/>
  <c r="X56" i="82"/>
  <c r="Z56" i="82" s="1"/>
  <c r="L56" i="82"/>
  <c r="N56" i="82" s="1"/>
  <c r="B56" i="82"/>
  <c r="Z55" i="82"/>
  <c r="X55" i="82"/>
  <c r="N55" i="82"/>
  <c r="L55" i="82"/>
  <c r="B55" i="82"/>
  <c r="Z54" i="82"/>
  <c r="X54" i="82"/>
  <c r="N54" i="82"/>
  <c r="L54" i="82"/>
  <c r="B54" i="82"/>
  <c r="X53" i="82"/>
  <c r="Z53" i="82" s="1"/>
  <c r="T53" i="82"/>
  <c r="R53" i="82"/>
  <c r="P53" i="82"/>
  <c r="N53" i="82"/>
  <c r="L53" i="82"/>
  <c r="H53" i="82"/>
  <c r="D53" i="82"/>
  <c r="B53" i="82"/>
  <c r="X52" i="82"/>
  <c r="Z52" i="82" s="1"/>
  <c r="N52" i="82"/>
  <c r="L52" i="82"/>
  <c r="B52" i="82"/>
  <c r="T51" i="82"/>
  <c r="P51" i="82"/>
  <c r="N51" i="82"/>
  <c r="H51" i="82"/>
  <c r="L51" i="82" s="1"/>
  <c r="D51" i="82"/>
  <c r="B51" i="82"/>
  <c r="X50" i="82"/>
  <c r="Z50" i="82" s="1"/>
  <c r="L50" i="82"/>
  <c r="N50" i="82" s="1"/>
  <c r="B50" i="82"/>
  <c r="T49" i="82"/>
  <c r="P49" i="82"/>
  <c r="X49" i="82" s="1"/>
  <c r="Z49" i="82" s="1"/>
  <c r="H49" i="82"/>
  <c r="D49" i="82"/>
  <c r="L49" i="82" s="1"/>
  <c r="N49" i="82" s="1"/>
  <c r="B49" i="82"/>
  <c r="X48" i="82"/>
  <c r="Z48" i="82" s="1"/>
  <c r="N48" i="82"/>
  <c r="L48" i="82"/>
  <c r="B48" i="82"/>
  <c r="Z47" i="82"/>
  <c r="X47" i="82"/>
  <c r="T47" i="82"/>
  <c r="P47" i="82"/>
  <c r="N47" i="82"/>
  <c r="L47" i="82"/>
  <c r="H47" i="82"/>
  <c r="D47" i="82"/>
  <c r="B47" i="82"/>
  <c r="X46" i="82"/>
  <c r="Z46" i="82" s="1"/>
  <c r="L46" i="82"/>
  <c r="N46" i="82" s="1"/>
  <c r="B46" i="82"/>
  <c r="T45" i="82"/>
  <c r="X45" i="82" s="1"/>
  <c r="Z45" i="82" s="1"/>
  <c r="P45" i="82"/>
  <c r="H45" i="82"/>
  <c r="D45" i="82"/>
  <c r="B45" i="82"/>
  <c r="X44" i="82"/>
  <c r="Z44" i="82" s="1"/>
  <c r="L44" i="82"/>
  <c r="N44" i="82" s="1"/>
  <c r="B44" i="82"/>
  <c r="T43" i="82"/>
  <c r="P43" i="82"/>
  <c r="X43" i="82" s="1"/>
  <c r="Z43" i="82" s="1"/>
  <c r="N43" i="82"/>
  <c r="H43" i="82"/>
  <c r="D43" i="82"/>
  <c r="L43" i="82" s="1"/>
  <c r="B43" i="82"/>
  <c r="X42" i="82"/>
  <c r="Z42" i="82" s="1"/>
  <c r="L42" i="82"/>
  <c r="N42" i="82" s="1"/>
  <c r="B42" i="82"/>
  <c r="X41" i="82"/>
  <c r="Z41" i="82" s="1"/>
  <c r="T41" i="82"/>
  <c r="P41" i="82"/>
  <c r="N41" i="82"/>
  <c r="L41" i="82"/>
  <c r="H41" i="82"/>
  <c r="D41" i="82"/>
  <c r="B41" i="82"/>
  <c r="X40" i="82"/>
  <c r="Z40" i="82" s="1"/>
  <c r="L40" i="82"/>
  <c r="N40" i="82" s="1"/>
  <c r="B40" i="82"/>
  <c r="T39" i="82"/>
  <c r="P39" i="82"/>
  <c r="H39" i="82"/>
  <c r="L39" i="82" s="1"/>
  <c r="N39" i="82" s="1"/>
  <c r="D39" i="82"/>
  <c r="B39" i="82"/>
  <c r="X38" i="82"/>
  <c r="Z38" i="82" s="1"/>
  <c r="N38" i="82"/>
  <c r="L38" i="82"/>
  <c r="B38" i="82"/>
  <c r="Z37" i="82"/>
  <c r="X37" i="82"/>
  <c r="L37" i="82"/>
  <c r="N37" i="82" s="1"/>
  <c r="B37" i="82"/>
  <c r="X36" i="82"/>
  <c r="Z36" i="82" s="1"/>
  <c r="N36" i="82"/>
  <c r="L36" i="82"/>
  <c r="B36" i="82"/>
  <c r="Z35" i="82"/>
  <c r="X35" i="82"/>
  <c r="N35" i="82"/>
  <c r="L35" i="82"/>
  <c r="B35" i="82"/>
  <c r="X34" i="82"/>
  <c r="Z34" i="82" s="1"/>
  <c r="L34" i="82"/>
  <c r="N34" i="82" s="1"/>
  <c r="B34" i="82"/>
  <c r="Z33" i="82"/>
  <c r="X33" i="82"/>
  <c r="L33" i="82"/>
  <c r="N33" i="82" s="1"/>
  <c r="B33" i="82"/>
  <c r="T32" i="82"/>
  <c r="P32" i="82"/>
  <c r="H32" i="82"/>
  <c r="D32" i="82"/>
  <c r="L32" i="82" s="1"/>
  <c r="B32" i="82"/>
  <c r="Z31" i="82"/>
  <c r="X31" i="82"/>
  <c r="N31" i="82"/>
  <c r="L31" i="82"/>
  <c r="B31" i="82"/>
  <c r="X30" i="82"/>
  <c r="Z30" i="82" s="1"/>
  <c r="R30" i="82"/>
  <c r="L30" i="82"/>
  <c r="N30" i="82" s="1"/>
  <c r="B30" i="82"/>
  <c r="X29" i="82"/>
  <c r="Z29" i="82" s="1"/>
  <c r="N29" i="82"/>
  <c r="L29" i="82"/>
  <c r="B29" i="82"/>
  <c r="X28" i="82"/>
  <c r="Z28" i="82" s="1"/>
  <c r="L28" i="82"/>
  <c r="N28" i="82" s="1"/>
  <c r="B28" i="82"/>
  <c r="Z27" i="82"/>
  <c r="X27" i="82"/>
  <c r="N27" i="82"/>
  <c r="L27" i="82"/>
  <c r="B27" i="82"/>
  <c r="X26" i="82"/>
  <c r="Z26" i="82" s="1"/>
  <c r="L26" i="82"/>
  <c r="N26" i="82" s="1"/>
  <c r="B26" i="82"/>
  <c r="X25" i="82"/>
  <c r="Z25" i="82" s="1"/>
  <c r="N25" i="82"/>
  <c r="L25" i="82"/>
  <c r="B25" i="82"/>
  <c r="X24" i="82"/>
  <c r="Z24" i="82" s="1"/>
  <c r="N24" i="82"/>
  <c r="L24" i="82"/>
  <c r="B24" i="82"/>
  <c r="Z23" i="82"/>
  <c r="X23" i="82"/>
  <c r="T23" i="82"/>
  <c r="P23" i="82"/>
  <c r="L23" i="82"/>
  <c r="N23" i="82" s="1"/>
  <c r="H23" i="82"/>
  <c r="D23" i="82"/>
  <c r="B23" i="82"/>
  <c r="X22" i="82"/>
  <c r="Z22" i="82" s="1"/>
  <c r="T22" i="82"/>
  <c r="P22" i="82"/>
  <c r="H22" i="82"/>
  <c r="D22" i="82"/>
  <c r="L22" i="82" s="1"/>
  <c r="T20" i="82"/>
  <c r="X18" i="82"/>
  <c r="Z18" i="82" s="1"/>
  <c r="L18" i="82"/>
  <c r="N18" i="82" s="1"/>
  <c r="B18" i="82"/>
  <c r="X17" i="82"/>
  <c r="Z17" i="82" s="1"/>
  <c r="N17" i="82"/>
  <c r="L17" i="82"/>
  <c r="B17" i="82"/>
  <c r="X16" i="82"/>
  <c r="T16" i="82"/>
  <c r="Z16" i="82" s="1"/>
  <c r="R16" i="82"/>
  <c r="P16" i="82"/>
  <c r="H16" i="82"/>
  <c r="D16" i="82"/>
  <c r="L16" i="82" s="1"/>
  <c r="N16" i="82" s="1"/>
  <c r="X14" i="82"/>
  <c r="Z14" i="82" s="1"/>
  <c r="T14" i="82"/>
  <c r="P14" i="82"/>
  <c r="H14" i="82"/>
  <c r="D14" i="82"/>
  <c r="B14" i="82"/>
  <c r="T13" i="82"/>
  <c r="T12" i="82" s="1"/>
  <c r="V73" i="82" s="1"/>
  <c r="P13" i="82"/>
  <c r="X13" i="82" s="1"/>
  <c r="H13" i="82"/>
  <c r="D13" i="82"/>
  <c r="B13" i="82"/>
  <c r="P12" i="82"/>
  <c r="R44" i="82" s="1"/>
  <c r="H12" i="82"/>
  <c r="D6" i="82"/>
  <c r="D4" i="82"/>
  <c r="J104" i="81"/>
  <c r="Z99" i="81"/>
  <c r="X99" i="81"/>
  <c r="N99" i="81"/>
  <c r="L99" i="81"/>
  <c r="T95" i="81"/>
  <c r="R95" i="81"/>
  <c r="P95" i="81"/>
  <c r="X95" i="81" s="1"/>
  <c r="Z95" i="81" s="1"/>
  <c r="H95" i="81"/>
  <c r="N95" i="81" s="1"/>
  <c r="D95" i="81"/>
  <c r="L95" i="81" s="1"/>
  <c r="B95" i="81"/>
  <c r="T94" i="81"/>
  <c r="T93" i="81" s="1"/>
  <c r="P94" i="81"/>
  <c r="N94" i="81"/>
  <c r="H94" i="81"/>
  <c r="D94" i="81"/>
  <c r="L94" i="81" s="1"/>
  <c r="B94" i="81"/>
  <c r="V93" i="81"/>
  <c r="P93" i="81"/>
  <c r="X93" i="81" s="1"/>
  <c r="H93" i="81"/>
  <c r="X91" i="81"/>
  <c r="Z91" i="81" s="1"/>
  <c r="R91" i="81"/>
  <c r="L91" i="81"/>
  <c r="N91" i="81" s="1"/>
  <c r="B91" i="81"/>
  <c r="T90" i="81"/>
  <c r="P90" i="81"/>
  <c r="X90" i="81" s="1"/>
  <c r="Z90" i="81" s="1"/>
  <c r="L90" i="81"/>
  <c r="N90" i="81" s="1"/>
  <c r="H90" i="81"/>
  <c r="D90" i="81"/>
  <c r="B90" i="81"/>
  <c r="X89" i="81"/>
  <c r="Z89" i="81" s="1"/>
  <c r="L89" i="81"/>
  <c r="N89" i="81" s="1"/>
  <c r="F89" i="81"/>
  <c r="B89" i="81"/>
  <c r="Z88" i="81"/>
  <c r="X88" i="81"/>
  <c r="R88" i="81"/>
  <c r="N88" i="81"/>
  <c r="L88" i="81"/>
  <c r="B88" i="81"/>
  <c r="X87" i="81"/>
  <c r="Z87" i="81" s="1"/>
  <c r="N87" i="81"/>
  <c r="L87" i="81"/>
  <c r="B87" i="81"/>
  <c r="T86" i="81"/>
  <c r="P86" i="81"/>
  <c r="J86" i="81"/>
  <c r="H86" i="81"/>
  <c r="N86" i="81" s="1"/>
  <c r="D86" i="81"/>
  <c r="L86" i="81" s="1"/>
  <c r="B86" i="81"/>
  <c r="Z85" i="81"/>
  <c r="X85" i="81"/>
  <c r="R85" i="81"/>
  <c r="N85" i="81"/>
  <c r="L85" i="81"/>
  <c r="B85" i="81"/>
  <c r="T84" i="81"/>
  <c r="Z84" i="81" s="1"/>
  <c r="P84" i="81"/>
  <c r="X84" i="81" s="1"/>
  <c r="N84" i="81"/>
  <c r="H84" i="81"/>
  <c r="D84" i="81"/>
  <c r="L84" i="81" s="1"/>
  <c r="B84" i="81"/>
  <c r="X83" i="81"/>
  <c r="Z83" i="81" s="1"/>
  <c r="N83" i="81"/>
  <c r="L83" i="81"/>
  <c r="B83" i="81"/>
  <c r="T82" i="81"/>
  <c r="P82" i="81"/>
  <c r="X82" i="81" s="1"/>
  <c r="Z82" i="81" s="1"/>
  <c r="L82" i="81"/>
  <c r="N82" i="81" s="1"/>
  <c r="H82" i="81"/>
  <c r="D82" i="81"/>
  <c r="B82" i="81"/>
  <c r="Z81" i="81"/>
  <c r="X81" i="81"/>
  <c r="R81" i="81"/>
  <c r="L81" i="81"/>
  <c r="N81" i="81" s="1"/>
  <c r="B81" i="81"/>
  <c r="Z80" i="81"/>
  <c r="X80" i="81"/>
  <c r="N80" i="81"/>
  <c r="L80" i="81"/>
  <c r="J80" i="81"/>
  <c r="B80" i="81"/>
  <c r="X79" i="81"/>
  <c r="Z79" i="81" s="1"/>
  <c r="R79" i="81"/>
  <c r="N79" i="81"/>
  <c r="L79" i="81"/>
  <c r="B79" i="81"/>
  <c r="X78" i="81"/>
  <c r="Z78" i="81" s="1"/>
  <c r="R78" i="81"/>
  <c r="N78" i="81"/>
  <c r="L78" i="81"/>
  <c r="B78" i="81"/>
  <c r="Z77" i="81"/>
  <c r="X77" i="81"/>
  <c r="N77" i="81"/>
  <c r="L77" i="81"/>
  <c r="J77" i="81"/>
  <c r="B77" i="81"/>
  <c r="Z76" i="81"/>
  <c r="X76" i="81"/>
  <c r="R76" i="81"/>
  <c r="L76" i="81"/>
  <c r="N76" i="81" s="1"/>
  <c r="B76" i="81"/>
  <c r="Z75" i="81"/>
  <c r="X75" i="81"/>
  <c r="R75" i="81"/>
  <c r="L75" i="81"/>
  <c r="N75" i="81" s="1"/>
  <c r="B75" i="81"/>
  <c r="Z74" i="81"/>
  <c r="X74" i="81"/>
  <c r="R74" i="81"/>
  <c r="N74" i="81"/>
  <c r="L74" i="81"/>
  <c r="B74" i="81"/>
  <c r="Z73" i="81"/>
  <c r="X73" i="81"/>
  <c r="N73" i="81"/>
  <c r="L73" i="81"/>
  <c r="J73" i="81"/>
  <c r="B73" i="81"/>
  <c r="T72" i="81"/>
  <c r="P72" i="81"/>
  <c r="X72" i="81" s="1"/>
  <c r="Z72" i="81" s="1"/>
  <c r="H72" i="81"/>
  <c r="D72" i="81"/>
  <c r="B72" i="81"/>
  <c r="Z71" i="81"/>
  <c r="X71" i="81"/>
  <c r="N71" i="81"/>
  <c r="L71" i="81"/>
  <c r="J71" i="81"/>
  <c r="B71" i="81"/>
  <c r="X70" i="81"/>
  <c r="Z70" i="81" s="1"/>
  <c r="N70" i="81"/>
  <c r="L70" i="81"/>
  <c r="B70" i="81"/>
  <c r="Z69" i="81"/>
  <c r="T69" i="81"/>
  <c r="R69" i="81"/>
  <c r="P69" i="81"/>
  <c r="X69" i="81" s="1"/>
  <c r="L69" i="81"/>
  <c r="H69" i="81"/>
  <c r="N69" i="81" s="1"/>
  <c r="D69" i="81"/>
  <c r="B69" i="81"/>
  <c r="X68" i="81"/>
  <c r="Z68" i="81" s="1"/>
  <c r="R68" i="81"/>
  <c r="N68" i="81"/>
  <c r="L68" i="81"/>
  <c r="J68" i="81"/>
  <c r="B68" i="81"/>
  <c r="Z67" i="81"/>
  <c r="X67" i="81"/>
  <c r="N67" i="81"/>
  <c r="L67" i="81"/>
  <c r="B67" i="81"/>
  <c r="Z66" i="81"/>
  <c r="X66" i="81"/>
  <c r="R66" i="81"/>
  <c r="L66" i="81"/>
  <c r="N66" i="81" s="1"/>
  <c r="B66" i="81"/>
  <c r="X65" i="81"/>
  <c r="Z65" i="81" s="1"/>
  <c r="R65" i="81"/>
  <c r="N65" i="81"/>
  <c r="L65" i="81"/>
  <c r="J65" i="81"/>
  <c r="B65" i="81"/>
  <c r="X64" i="81"/>
  <c r="Z64" i="81" s="1"/>
  <c r="R64" i="81"/>
  <c r="N64" i="81"/>
  <c r="L64" i="81"/>
  <c r="J64" i="81"/>
  <c r="B64" i="81"/>
  <c r="Z63" i="81"/>
  <c r="X63" i="81"/>
  <c r="T63" i="81"/>
  <c r="R63" i="81"/>
  <c r="P63" i="81"/>
  <c r="H63" i="81"/>
  <c r="D63" i="81"/>
  <c r="B63" i="81"/>
  <c r="X62" i="81"/>
  <c r="Z62" i="81" s="1"/>
  <c r="R62" i="81"/>
  <c r="L62" i="81"/>
  <c r="N62" i="81" s="1"/>
  <c r="J62" i="81"/>
  <c r="B62" i="81"/>
  <c r="Z61" i="81"/>
  <c r="X61" i="81"/>
  <c r="N61" i="81"/>
  <c r="L61" i="81"/>
  <c r="J61" i="81"/>
  <c r="B61" i="81"/>
  <c r="Z60" i="81"/>
  <c r="X60" i="81"/>
  <c r="R60" i="81"/>
  <c r="N60" i="81"/>
  <c r="L60" i="81"/>
  <c r="B60" i="81"/>
  <c r="Z59" i="81"/>
  <c r="X59" i="81"/>
  <c r="R59" i="81"/>
  <c r="N59" i="81"/>
  <c r="L59" i="81"/>
  <c r="J59" i="81"/>
  <c r="B59" i="81"/>
  <c r="T58" i="81"/>
  <c r="P58" i="81"/>
  <c r="J58" i="81"/>
  <c r="H58" i="81"/>
  <c r="D58" i="81"/>
  <c r="L58" i="81" s="1"/>
  <c r="N58" i="81" s="1"/>
  <c r="B58" i="81"/>
  <c r="Z57" i="81"/>
  <c r="X57" i="81"/>
  <c r="N57" i="81"/>
  <c r="L57" i="81"/>
  <c r="B57" i="81"/>
  <c r="T56" i="81"/>
  <c r="P56" i="81"/>
  <c r="N56" i="81"/>
  <c r="J56" i="81"/>
  <c r="H56" i="81"/>
  <c r="D56" i="81"/>
  <c r="L56" i="81" s="1"/>
  <c r="B56" i="81"/>
  <c r="Z55" i="81"/>
  <c r="X55" i="81"/>
  <c r="V55" i="81"/>
  <c r="N55" i="81"/>
  <c r="L55" i="81"/>
  <c r="B55" i="81"/>
  <c r="T54" i="81"/>
  <c r="P54" i="81"/>
  <c r="X54" i="81" s="1"/>
  <c r="L54" i="81"/>
  <c r="H54" i="81"/>
  <c r="D54" i="81"/>
  <c r="B54" i="81"/>
  <c r="Z53" i="81"/>
  <c r="X53" i="81"/>
  <c r="V53" i="81"/>
  <c r="N53" i="81"/>
  <c r="L53" i="81"/>
  <c r="J53" i="81"/>
  <c r="B53" i="81"/>
  <c r="T52" i="81"/>
  <c r="P52" i="81"/>
  <c r="X52" i="81" s="1"/>
  <c r="Z52" i="81" s="1"/>
  <c r="H52" i="81"/>
  <c r="N52" i="81" s="1"/>
  <c r="D52" i="81"/>
  <c r="B52" i="81"/>
  <c r="Z51" i="81"/>
  <c r="X51" i="81"/>
  <c r="N51" i="81"/>
  <c r="L51" i="81"/>
  <c r="J51" i="81"/>
  <c r="B51" i="81"/>
  <c r="Z50" i="81"/>
  <c r="T50" i="81"/>
  <c r="R50" i="81"/>
  <c r="P50" i="81"/>
  <c r="X50" i="81" s="1"/>
  <c r="L50" i="81"/>
  <c r="H50" i="81"/>
  <c r="N50" i="81" s="1"/>
  <c r="D50" i="81"/>
  <c r="B50" i="81"/>
  <c r="X49" i="81"/>
  <c r="Z49" i="81" s="1"/>
  <c r="R49" i="81"/>
  <c r="N49" i="81"/>
  <c r="L49" i="81"/>
  <c r="J49" i="81"/>
  <c r="B49" i="81"/>
  <c r="X48" i="81"/>
  <c r="T48" i="81"/>
  <c r="Z48" i="81" s="1"/>
  <c r="R48" i="81"/>
  <c r="P48" i="81"/>
  <c r="H48" i="81"/>
  <c r="D48" i="81"/>
  <c r="L48" i="81" s="1"/>
  <c r="B48" i="81"/>
  <c r="Z47" i="81"/>
  <c r="X47" i="81"/>
  <c r="R47" i="81"/>
  <c r="L47" i="81"/>
  <c r="N47" i="81" s="1"/>
  <c r="J47" i="81"/>
  <c r="B47" i="81"/>
  <c r="T46" i="81"/>
  <c r="P46" i="81"/>
  <c r="J46" i="81"/>
  <c r="H46" i="81"/>
  <c r="D46" i="81"/>
  <c r="L46" i="81" s="1"/>
  <c r="N46" i="81" s="1"/>
  <c r="B46" i="81"/>
  <c r="Z45" i="81"/>
  <c r="X45" i="81"/>
  <c r="N45" i="81"/>
  <c r="L45" i="81"/>
  <c r="B45" i="81"/>
  <c r="T44" i="81"/>
  <c r="P44" i="81"/>
  <c r="X44" i="81" s="1"/>
  <c r="N44" i="81"/>
  <c r="J44" i="81"/>
  <c r="H44" i="81"/>
  <c r="D44" i="81"/>
  <c r="L44" i="81" s="1"/>
  <c r="B44" i="81"/>
  <c r="Z43" i="81"/>
  <c r="X43" i="81"/>
  <c r="N43" i="81"/>
  <c r="L43" i="81"/>
  <c r="J43" i="81"/>
  <c r="B43" i="81"/>
  <c r="Z42" i="81"/>
  <c r="X42" i="81"/>
  <c r="R42" i="81"/>
  <c r="L42" i="81"/>
  <c r="N42" i="81" s="1"/>
  <c r="F42" i="81"/>
  <c r="B42" i="81"/>
  <c r="X41" i="81"/>
  <c r="Z41" i="81" s="1"/>
  <c r="R41" i="81"/>
  <c r="N41" i="81"/>
  <c r="L41" i="81"/>
  <c r="J41" i="81"/>
  <c r="B41" i="81"/>
  <c r="X40" i="81"/>
  <c r="T40" i="81"/>
  <c r="Z40" i="81" s="1"/>
  <c r="R40" i="81"/>
  <c r="P40" i="81"/>
  <c r="N40" i="81"/>
  <c r="H40" i="81"/>
  <c r="D40" i="81"/>
  <c r="L40" i="81" s="1"/>
  <c r="B40" i="81"/>
  <c r="Z39" i="81"/>
  <c r="X39" i="81"/>
  <c r="R39" i="81"/>
  <c r="N39" i="81"/>
  <c r="L39" i="81"/>
  <c r="J39" i="81"/>
  <c r="B39" i="81"/>
  <c r="T38" i="81"/>
  <c r="Z38" i="81" s="1"/>
  <c r="P38" i="81"/>
  <c r="N38" i="81"/>
  <c r="J38" i="81"/>
  <c r="H38" i="81"/>
  <c r="D38" i="81"/>
  <c r="L38" i="81" s="1"/>
  <c r="B38" i="81"/>
  <c r="Z37" i="81"/>
  <c r="X37" i="81"/>
  <c r="L37" i="81"/>
  <c r="N37" i="81" s="1"/>
  <c r="B37" i="81"/>
  <c r="T36" i="81"/>
  <c r="P36" i="81"/>
  <c r="X36" i="81" s="1"/>
  <c r="J36" i="81"/>
  <c r="H36" i="81"/>
  <c r="F36" i="81"/>
  <c r="D36" i="81"/>
  <c r="L36" i="81" s="1"/>
  <c r="N36" i="81" s="1"/>
  <c r="B36" i="81"/>
  <c r="Z35" i="81"/>
  <c r="X35" i="81"/>
  <c r="N35" i="81"/>
  <c r="L35" i="81"/>
  <c r="J35" i="81"/>
  <c r="B35" i="81"/>
  <c r="Z34" i="81"/>
  <c r="X34" i="81"/>
  <c r="R34" i="81"/>
  <c r="N34" i="81"/>
  <c r="L34" i="81"/>
  <c r="F34" i="81"/>
  <c r="B34" i="81"/>
  <c r="X33" i="81"/>
  <c r="Z33" i="81" s="1"/>
  <c r="R33" i="81"/>
  <c r="N33" i="81"/>
  <c r="L33" i="81"/>
  <c r="J33" i="81"/>
  <c r="B33" i="81"/>
  <c r="X32" i="81"/>
  <c r="Z32" i="81" s="1"/>
  <c r="R32" i="81"/>
  <c r="N32" i="81"/>
  <c r="L32" i="81"/>
  <c r="J32" i="81"/>
  <c r="B32" i="81"/>
  <c r="Z31" i="81"/>
  <c r="X31" i="81"/>
  <c r="N31" i="81"/>
  <c r="L31" i="81"/>
  <c r="J31" i="81"/>
  <c r="B31" i="81"/>
  <c r="Z30" i="81"/>
  <c r="X30" i="81"/>
  <c r="R30" i="81"/>
  <c r="L30" i="81"/>
  <c r="N30" i="81" s="1"/>
  <c r="B30" i="81"/>
  <c r="T29" i="81"/>
  <c r="R29" i="81"/>
  <c r="P29" i="81"/>
  <c r="N29" i="81"/>
  <c r="L29" i="81"/>
  <c r="J29" i="81"/>
  <c r="H29" i="81"/>
  <c r="F29" i="81"/>
  <c r="D29" i="81"/>
  <c r="B29" i="81"/>
  <c r="Z28" i="81"/>
  <c r="X28" i="81"/>
  <c r="R28" i="81"/>
  <c r="L28" i="81"/>
  <c r="N28" i="81" s="1"/>
  <c r="J28" i="81"/>
  <c r="F28" i="81"/>
  <c r="B28" i="81"/>
  <c r="Z27" i="81"/>
  <c r="X27" i="81"/>
  <c r="R27" i="81"/>
  <c r="L27" i="81"/>
  <c r="N27" i="81" s="1"/>
  <c r="J27" i="81"/>
  <c r="B27" i="81"/>
  <c r="X26" i="81"/>
  <c r="Z26" i="81" s="1"/>
  <c r="R26" i="81"/>
  <c r="L26" i="81"/>
  <c r="N26" i="81" s="1"/>
  <c r="J26" i="81"/>
  <c r="B26" i="81"/>
  <c r="Z25" i="81"/>
  <c r="X25" i="81"/>
  <c r="V25" i="81"/>
  <c r="R25" i="81"/>
  <c r="N25" i="81"/>
  <c r="L25" i="81"/>
  <c r="J25" i="81"/>
  <c r="B25" i="81"/>
  <c r="Z24" i="81"/>
  <c r="X24" i="81"/>
  <c r="R24" i="81"/>
  <c r="L24" i="81"/>
  <c r="N24" i="81" s="1"/>
  <c r="J24" i="81"/>
  <c r="F24" i="81"/>
  <c r="B24" i="81"/>
  <c r="Z23" i="81"/>
  <c r="X23" i="81"/>
  <c r="R23" i="81"/>
  <c r="L23" i="81"/>
  <c r="N23" i="81" s="1"/>
  <c r="J23" i="81"/>
  <c r="B23" i="81"/>
  <c r="X22" i="81"/>
  <c r="Z22" i="81" s="1"/>
  <c r="R22" i="81"/>
  <c r="L22" i="81"/>
  <c r="N22" i="81" s="1"/>
  <c r="J22" i="81"/>
  <c r="B22" i="81"/>
  <c r="Z21" i="81"/>
  <c r="X21" i="81"/>
  <c r="R21" i="81"/>
  <c r="N21" i="81"/>
  <c r="L21" i="81"/>
  <c r="J21" i="81"/>
  <c r="B21" i="81"/>
  <c r="Z20" i="81"/>
  <c r="X20" i="81"/>
  <c r="V20" i="81"/>
  <c r="R20" i="81"/>
  <c r="L20" i="81"/>
  <c r="N20" i="81" s="1"/>
  <c r="J20" i="81"/>
  <c r="B20" i="81"/>
  <c r="Z19" i="81"/>
  <c r="T19" i="81"/>
  <c r="P19" i="81"/>
  <c r="X19" i="81" s="1"/>
  <c r="N19" i="81"/>
  <c r="J19" i="81"/>
  <c r="H19" i="81"/>
  <c r="L19" i="81" s="1"/>
  <c r="F19" i="81"/>
  <c r="D19" i="81"/>
  <c r="B19" i="81"/>
  <c r="T18" i="81"/>
  <c r="R18" i="81"/>
  <c r="P18" i="81"/>
  <c r="X18" i="81" s="1"/>
  <c r="Z18" i="81" s="1"/>
  <c r="J18" i="81"/>
  <c r="H18" i="81"/>
  <c r="D18" i="81"/>
  <c r="L18" i="81" s="1"/>
  <c r="R16" i="81"/>
  <c r="P16" i="81"/>
  <c r="J16" i="81"/>
  <c r="Z14" i="81"/>
  <c r="T14" i="81"/>
  <c r="R14" i="81"/>
  <c r="P14" i="81"/>
  <c r="X14" i="81" s="1"/>
  <c r="J14" i="81"/>
  <c r="H14" i="81"/>
  <c r="D14" i="81"/>
  <c r="T12" i="81"/>
  <c r="V21" i="81" s="1"/>
  <c r="P12" i="81"/>
  <c r="R89" i="81" s="1"/>
  <c r="N12" i="81"/>
  <c r="L12" i="81"/>
  <c r="H12" i="81"/>
  <c r="J89" i="81" s="1"/>
  <c r="D12" i="81"/>
  <c r="D6" i="81"/>
  <c r="D4" i="81"/>
  <c r="R83" i="80"/>
  <c r="X78" i="80"/>
  <c r="Z78" i="80" s="1"/>
  <c r="N78" i="80"/>
  <c r="L78" i="80"/>
  <c r="T74" i="80"/>
  <c r="Z74" i="80" s="1"/>
  <c r="P74" i="80"/>
  <c r="N74" i="80"/>
  <c r="H74" i="80"/>
  <c r="D74" i="80"/>
  <c r="L74" i="80" s="1"/>
  <c r="X72" i="80"/>
  <c r="Z72" i="80" s="1"/>
  <c r="R72" i="80"/>
  <c r="L72" i="80"/>
  <c r="N72" i="80" s="1"/>
  <c r="B72" i="80"/>
  <c r="X71" i="80"/>
  <c r="T71" i="80"/>
  <c r="Z71" i="80" s="1"/>
  <c r="P71" i="80"/>
  <c r="J71" i="80"/>
  <c r="H71" i="80"/>
  <c r="D71" i="80"/>
  <c r="L71" i="80" s="1"/>
  <c r="N71" i="80" s="1"/>
  <c r="B71" i="80"/>
  <c r="Z70" i="80"/>
  <c r="X70" i="80"/>
  <c r="N70" i="80"/>
  <c r="L70" i="80"/>
  <c r="B70" i="80"/>
  <c r="T69" i="80"/>
  <c r="R69" i="80"/>
  <c r="P69" i="80"/>
  <c r="N69" i="80"/>
  <c r="L69" i="80"/>
  <c r="H69" i="80"/>
  <c r="D69" i="80"/>
  <c r="B69" i="80"/>
  <c r="Z68" i="80"/>
  <c r="X68" i="80"/>
  <c r="V68" i="80"/>
  <c r="R68" i="80"/>
  <c r="L68" i="80"/>
  <c r="N68" i="80" s="1"/>
  <c r="B68" i="80"/>
  <c r="T67" i="80"/>
  <c r="P67" i="80"/>
  <c r="X67" i="80" s="1"/>
  <c r="Z67" i="80" s="1"/>
  <c r="N67" i="80"/>
  <c r="J67" i="80"/>
  <c r="H67" i="80"/>
  <c r="L67" i="80" s="1"/>
  <c r="D67" i="80"/>
  <c r="B67" i="80"/>
  <c r="X66" i="80"/>
  <c r="Z66" i="80" s="1"/>
  <c r="N66" i="80"/>
  <c r="L66" i="80"/>
  <c r="B66" i="80"/>
  <c r="Z65" i="80"/>
  <c r="X65" i="80"/>
  <c r="N65" i="80"/>
  <c r="L65" i="80"/>
  <c r="B65" i="80"/>
  <c r="X64" i="80"/>
  <c r="Z64" i="80" s="1"/>
  <c r="L64" i="80"/>
  <c r="N64" i="80" s="1"/>
  <c r="B64" i="80"/>
  <c r="X63" i="80"/>
  <c r="Z63" i="80" s="1"/>
  <c r="N63" i="80"/>
  <c r="L63" i="80"/>
  <c r="B63" i="80"/>
  <c r="X62" i="80"/>
  <c r="Z62" i="80" s="1"/>
  <c r="N62" i="80"/>
  <c r="L62" i="80"/>
  <c r="B62" i="80"/>
  <c r="Z61" i="80"/>
  <c r="X61" i="80"/>
  <c r="V61" i="80"/>
  <c r="N61" i="80"/>
  <c r="L61" i="80"/>
  <c r="B61" i="80"/>
  <c r="T60" i="80"/>
  <c r="P60" i="80"/>
  <c r="X60" i="80" s="1"/>
  <c r="J60" i="80"/>
  <c r="H60" i="80"/>
  <c r="D60" i="80"/>
  <c r="L60" i="80" s="1"/>
  <c r="N60" i="80" s="1"/>
  <c r="B60" i="80"/>
  <c r="Z59" i="80"/>
  <c r="X59" i="80"/>
  <c r="N59" i="80"/>
  <c r="L59" i="80"/>
  <c r="B59" i="80"/>
  <c r="X58" i="80"/>
  <c r="Z58" i="80" s="1"/>
  <c r="R58" i="80"/>
  <c r="L58" i="80"/>
  <c r="N58" i="80" s="1"/>
  <c r="B58" i="80"/>
  <c r="T57" i="80"/>
  <c r="X57" i="80" s="1"/>
  <c r="Z57" i="80" s="1"/>
  <c r="R57" i="80"/>
  <c r="P57" i="80"/>
  <c r="L57" i="80"/>
  <c r="N57" i="80" s="1"/>
  <c r="J57" i="80"/>
  <c r="H57" i="80"/>
  <c r="D57" i="80"/>
  <c r="B57" i="80"/>
  <c r="Z56" i="80"/>
  <c r="X56" i="80"/>
  <c r="R56" i="80"/>
  <c r="N56" i="80"/>
  <c r="L56" i="80"/>
  <c r="J56" i="80"/>
  <c r="B56" i="80"/>
  <c r="Z55" i="80"/>
  <c r="X55" i="80"/>
  <c r="L55" i="80"/>
  <c r="N55" i="80" s="1"/>
  <c r="B55" i="80"/>
  <c r="Z54" i="80"/>
  <c r="X54" i="80"/>
  <c r="R54" i="80"/>
  <c r="N54" i="80"/>
  <c r="L54" i="80"/>
  <c r="J54" i="80"/>
  <c r="B54" i="80"/>
  <c r="Z53" i="80"/>
  <c r="T53" i="80"/>
  <c r="X53" i="80" s="1"/>
  <c r="P53" i="80"/>
  <c r="H53" i="80"/>
  <c r="D53" i="80"/>
  <c r="L53" i="80" s="1"/>
  <c r="B53" i="80"/>
  <c r="X52" i="80"/>
  <c r="Z52" i="80" s="1"/>
  <c r="L52" i="80"/>
  <c r="N52" i="80" s="1"/>
  <c r="B52" i="80"/>
  <c r="T51" i="80"/>
  <c r="R51" i="80"/>
  <c r="P51" i="80"/>
  <c r="X51" i="80" s="1"/>
  <c r="J51" i="80"/>
  <c r="H51" i="80"/>
  <c r="D51" i="80"/>
  <c r="L51" i="80" s="1"/>
  <c r="N51" i="80" s="1"/>
  <c r="B51" i="80"/>
  <c r="X50" i="80"/>
  <c r="Z50" i="80" s="1"/>
  <c r="L50" i="80"/>
  <c r="N50" i="80" s="1"/>
  <c r="B50" i="80"/>
  <c r="T49" i="80"/>
  <c r="X49" i="80" s="1"/>
  <c r="Z49" i="80" s="1"/>
  <c r="P49" i="80"/>
  <c r="L49" i="80"/>
  <c r="N49" i="80" s="1"/>
  <c r="J49" i="80"/>
  <c r="H49" i="80"/>
  <c r="D49" i="80"/>
  <c r="B49" i="80"/>
  <c r="Z48" i="80"/>
  <c r="X48" i="80"/>
  <c r="N48" i="80"/>
  <c r="L48" i="80"/>
  <c r="J48" i="80"/>
  <c r="B48" i="80"/>
  <c r="Z47" i="80"/>
  <c r="V47" i="80"/>
  <c r="T47" i="80"/>
  <c r="P47" i="80"/>
  <c r="X47" i="80" s="1"/>
  <c r="H47" i="80"/>
  <c r="L47" i="80" s="1"/>
  <c r="D47" i="80"/>
  <c r="B47" i="80"/>
  <c r="X46" i="80"/>
  <c r="Z46" i="80" s="1"/>
  <c r="N46" i="80"/>
  <c r="L46" i="80"/>
  <c r="B46" i="80"/>
  <c r="T45" i="80"/>
  <c r="P45" i="80"/>
  <c r="X45" i="80" s="1"/>
  <c r="Z45" i="80" s="1"/>
  <c r="J45" i="80"/>
  <c r="H45" i="80"/>
  <c r="D45" i="80"/>
  <c r="L45" i="80" s="1"/>
  <c r="B45" i="80"/>
  <c r="X44" i="80"/>
  <c r="Z44" i="80" s="1"/>
  <c r="N44" i="80"/>
  <c r="L44" i="80"/>
  <c r="B44" i="80"/>
  <c r="Z43" i="80"/>
  <c r="X43" i="80"/>
  <c r="T43" i="80"/>
  <c r="P43" i="80"/>
  <c r="H43" i="80"/>
  <c r="D43" i="80"/>
  <c r="B43" i="80"/>
  <c r="Z42" i="80"/>
  <c r="X42" i="80"/>
  <c r="R42" i="80"/>
  <c r="L42" i="80"/>
  <c r="N42" i="80" s="1"/>
  <c r="B42" i="80"/>
  <c r="T41" i="80"/>
  <c r="X41" i="80" s="1"/>
  <c r="P41" i="80"/>
  <c r="J41" i="80"/>
  <c r="H41" i="80"/>
  <c r="D41" i="80"/>
  <c r="L41" i="80" s="1"/>
  <c r="N41" i="80" s="1"/>
  <c r="B41" i="80"/>
  <c r="X40" i="80"/>
  <c r="Z40" i="80" s="1"/>
  <c r="N40" i="80"/>
  <c r="L40" i="80"/>
  <c r="B40" i="80"/>
  <c r="T39" i="80"/>
  <c r="R39" i="80"/>
  <c r="P39" i="80"/>
  <c r="X39" i="80" s="1"/>
  <c r="N39" i="80"/>
  <c r="J39" i="80"/>
  <c r="H39" i="80"/>
  <c r="D39" i="80"/>
  <c r="L39" i="80" s="1"/>
  <c r="B39" i="80"/>
  <c r="X38" i="80"/>
  <c r="Z38" i="80" s="1"/>
  <c r="R38" i="80"/>
  <c r="L38" i="80"/>
  <c r="N38" i="80" s="1"/>
  <c r="B38" i="80"/>
  <c r="Z37" i="80"/>
  <c r="X37" i="80"/>
  <c r="N37" i="80"/>
  <c r="L37" i="80"/>
  <c r="B37" i="80"/>
  <c r="X36" i="80"/>
  <c r="Z36" i="80" s="1"/>
  <c r="R36" i="80"/>
  <c r="N36" i="80"/>
  <c r="L36" i="80"/>
  <c r="J36" i="80"/>
  <c r="B36" i="80"/>
  <c r="Z35" i="80"/>
  <c r="X35" i="80"/>
  <c r="N35" i="80"/>
  <c r="L35" i="80"/>
  <c r="B35" i="80"/>
  <c r="X34" i="80"/>
  <c r="Z34" i="80" s="1"/>
  <c r="L34" i="80"/>
  <c r="N34" i="80" s="1"/>
  <c r="B34" i="80"/>
  <c r="Z33" i="80"/>
  <c r="X33" i="80"/>
  <c r="N33" i="80"/>
  <c r="L33" i="80"/>
  <c r="B33" i="80"/>
  <c r="X32" i="80"/>
  <c r="T32" i="80"/>
  <c r="P32" i="80"/>
  <c r="H32" i="80"/>
  <c r="D32" i="80"/>
  <c r="B32" i="80"/>
  <c r="X31" i="80"/>
  <c r="Z31" i="80" s="1"/>
  <c r="L31" i="80"/>
  <c r="N31" i="80" s="1"/>
  <c r="J31" i="80"/>
  <c r="B31" i="80"/>
  <c r="Z30" i="80"/>
  <c r="X30" i="80"/>
  <c r="R30" i="80"/>
  <c r="L30" i="80"/>
  <c r="N30" i="80" s="1"/>
  <c r="J30" i="80"/>
  <c r="B30" i="80"/>
  <c r="X29" i="80"/>
  <c r="Z29" i="80" s="1"/>
  <c r="N29" i="80"/>
  <c r="L29" i="80"/>
  <c r="B29" i="80"/>
  <c r="Z28" i="80"/>
  <c r="X28" i="80"/>
  <c r="N28" i="80"/>
  <c r="L28" i="80"/>
  <c r="B28" i="80"/>
  <c r="X27" i="80"/>
  <c r="Z27" i="80" s="1"/>
  <c r="L27" i="80"/>
  <c r="N27" i="80" s="1"/>
  <c r="B27" i="80"/>
  <c r="Z26" i="80"/>
  <c r="X26" i="80"/>
  <c r="V26" i="80"/>
  <c r="R26" i="80"/>
  <c r="N26" i="80"/>
  <c r="L26" i="80"/>
  <c r="B26" i="80"/>
  <c r="X25" i="80"/>
  <c r="Z25" i="80" s="1"/>
  <c r="R25" i="80"/>
  <c r="L25" i="80"/>
  <c r="N25" i="80" s="1"/>
  <c r="J25" i="80"/>
  <c r="B25" i="80"/>
  <c r="X24" i="80"/>
  <c r="Z24" i="80" s="1"/>
  <c r="L24" i="80"/>
  <c r="N24" i="80" s="1"/>
  <c r="J24" i="80"/>
  <c r="B24" i="80"/>
  <c r="Z23" i="80"/>
  <c r="T23" i="80"/>
  <c r="P23" i="80"/>
  <c r="X23" i="80" s="1"/>
  <c r="J23" i="80"/>
  <c r="H23" i="80"/>
  <c r="D23" i="80"/>
  <c r="L23" i="80" s="1"/>
  <c r="B23" i="80"/>
  <c r="X22" i="80"/>
  <c r="T22" i="80"/>
  <c r="Z22" i="80" s="1"/>
  <c r="R22" i="80"/>
  <c r="P22" i="80"/>
  <c r="J22" i="80"/>
  <c r="H22" i="80"/>
  <c r="D22" i="80"/>
  <c r="L22" i="80" s="1"/>
  <c r="N22" i="80" s="1"/>
  <c r="R20" i="80"/>
  <c r="X18" i="80"/>
  <c r="Z18" i="80" s="1"/>
  <c r="N18" i="80"/>
  <c r="L18" i="80"/>
  <c r="B18" i="80"/>
  <c r="X17" i="80"/>
  <c r="Z17" i="80" s="1"/>
  <c r="V17" i="80"/>
  <c r="N17" i="80"/>
  <c r="L17" i="80"/>
  <c r="J17" i="80"/>
  <c r="B17" i="80"/>
  <c r="T16" i="80"/>
  <c r="R16" i="80"/>
  <c r="P16" i="80"/>
  <c r="X16" i="80" s="1"/>
  <c r="L16" i="80"/>
  <c r="H16" i="80"/>
  <c r="N16" i="80" s="1"/>
  <c r="D16" i="80"/>
  <c r="X14" i="80"/>
  <c r="T14" i="80"/>
  <c r="Z14" i="80" s="1"/>
  <c r="P14" i="80"/>
  <c r="N14" i="80"/>
  <c r="L14" i="80"/>
  <c r="H14" i="80"/>
  <c r="D14" i="80"/>
  <c r="B14" i="80"/>
  <c r="X13" i="80"/>
  <c r="Z13" i="80" s="1"/>
  <c r="T13" i="80"/>
  <c r="T12" i="80" s="1"/>
  <c r="P13" i="80"/>
  <c r="H13" i="80"/>
  <c r="D13" i="80"/>
  <c r="B13" i="80"/>
  <c r="P12" i="80"/>
  <c r="R64" i="80" s="1"/>
  <c r="H12" i="80"/>
  <c r="D6" i="80"/>
  <c r="D4" i="80"/>
  <c r="X85" i="79"/>
  <c r="Z85" i="79" s="1"/>
  <c r="L85" i="79"/>
  <c r="N85" i="79" s="1"/>
  <c r="T81" i="79"/>
  <c r="Z81" i="79" s="1"/>
  <c r="P81" i="79"/>
  <c r="X81" i="79" s="1"/>
  <c r="L81" i="79"/>
  <c r="H81" i="79"/>
  <c r="N81" i="79" s="1"/>
  <c r="D81" i="79"/>
  <c r="X79" i="79"/>
  <c r="Z79" i="79" s="1"/>
  <c r="L79" i="79"/>
  <c r="N79" i="79" s="1"/>
  <c r="B79" i="79"/>
  <c r="T78" i="79"/>
  <c r="P78" i="79"/>
  <c r="X78" i="79" s="1"/>
  <c r="Z78" i="79" s="1"/>
  <c r="L78" i="79"/>
  <c r="N78" i="79" s="1"/>
  <c r="H78" i="79"/>
  <c r="D78" i="79"/>
  <c r="B78" i="79"/>
  <c r="Z77" i="79"/>
  <c r="X77" i="79"/>
  <c r="N77" i="79"/>
  <c r="L77" i="79"/>
  <c r="B77" i="79"/>
  <c r="T76" i="79"/>
  <c r="P76" i="79"/>
  <c r="X76" i="79" s="1"/>
  <c r="Z76" i="79" s="1"/>
  <c r="H76" i="79"/>
  <c r="D76" i="79"/>
  <c r="B76" i="79"/>
  <c r="X75" i="79"/>
  <c r="Z75" i="79" s="1"/>
  <c r="L75" i="79"/>
  <c r="N75" i="79" s="1"/>
  <c r="B75" i="79"/>
  <c r="T74" i="79"/>
  <c r="P74" i="79"/>
  <c r="X74" i="79" s="1"/>
  <c r="Z74" i="79" s="1"/>
  <c r="H74" i="79"/>
  <c r="N74" i="79" s="1"/>
  <c r="D74" i="79"/>
  <c r="L74" i="79" s="1"/>
  <c r="B74" i="79"/>
  <c r="X73" i="79"/>
  <c r="Z73" i="79" s="1"/>
  <c r="N73" i="79"/>
  <c r="L73" i="79"/>
  <c r="B73" i="79"/>
  <c r="X72" i="79"/>
  <c r="Z72" i="79" s="1"/>
  <c r="N72" i="79"/>
  <c r="L72" i="79"/>
  <c r="B72" i="79"/>
  <c r="X71" i="79"/>
  <c r="Z71" i="79" s="1"/>
  <c r="N71" i="79"/>
  <c r="L71" i="79"/>
  <c r="B71" i="79"/>
  <c r="X70" i="79"/>
  <c r="Z70" i="79" s="1"/>
  <c r="N70" i="79"/>
  <c r="L70" i="79"/>
  <c r="B70" i="79"/>
  <c r="X69" i="79"/>
  <c r="Z69" i="79" s="1"/>
  <c r="N69" i="79"/>
  <c r="L69" i="79"/>
  <c r="B69" i="79"/>
  <c r="X68" i="79"/>
  <c r="Z68" i="79" s="1"/>
  <c r="N68" i="79"/>
  <c r="L68" i="79"/>
  <c r="B68" i="79"/>
  <c r="X67" i="79"/>
  <c r="Z67" i="79" s="1"/>
  <c r="N67" i="79"/>
  <c r="L67" i="79"/>
  <c r="B67" i="79"/>
  <c r="T66" i="79"/>
  <c r="P66" i="79"/>
  <c r="X66" i="79" s="1"/>
  <c r="Z66" i="79" s="1"/>
  <c r="L66" i="79"/>
  <c r="N66" i="79" s="1"/>
  <c r="H66" i="79"/>
  <c r="D66" i="79"/>
  <c r="B66" i="79"/>
  <c r="Z65" i="79"/>
  <c r="X65" i="79"/>
  <c r="N65" i="79"/>
  <c r="L65" i="79"/>
  <c r="B65" i="79"/>
  <c r="Z64" i="79"/>
  <c r="X64" i="79"/>
  <c r="N64" i="79"/>
  <c r="L64" i="79"/>
  <c r="B64" i="79"/>
  <c r="Z63" i="79"/>
  <c r="X63" i="79"/>
  <c r="T63" i="79"/>
  <c r="P63" i="79"/>
  <c r="H63" i="79"/>
  <c r="N63" i="79" s="1"/>
  <c r="D63" i="79"/>
  <c r="L63" i="79" s="1"/>
  <c r="B63" i="79"/>
  <c r="Z62" i="79"/>
  <c r="X62" i="79"/>
  <c r="N62" i="79"/>
  <c r="L62" i="79"/>
  <c r="B62" i="79"/>
  <c r="Z61" i="79"/>
  <c r="X61" i="79"/>
  <c r="L61" i="79"/>
  <c r="N61" i="79" s="1"/>
  <c r="B61" i="79"/>
  <c r="Z60" i="79"/>
  <c r="X60" i="79"/>
  <c r="N60" i="79"/>
  <c r="L60" i="79"/>
  <c r="B60" i="79"/>
  <c r="T59" i="79"/>
  <c r="Z59" i="79" s="1"/>
  <c r="P59" i="79"/>
  <c r="X59" i="79" s="1"/>
  <c r="H59" i="79"/>
  <c r="D59" i="79"/>
  <c r="L59" i="79" s="1"/>
  <c r="B59" i="79"/>
  <c r="X58" i="79"/>
  <c r="Z58" i="79" s="1"/>
  <c r="N58" i="79"/>
  <c r="L58" i="79"/>
  <c r="B58" i="79"/>
  <c r="X57" i="79"/>
  <c r="T57" i="79"/>
  <c r="Z57" i="79" s="1"/>
  <c r="P57" i="79"/>
  <c r="H57" i="79"/>
  <c r="D57" i="79"/>
  <c r="L57" i="79" s="1"/>
  <c r="B57" i="79"/>
  <c r="Z56" i="79"/>
  <c r="X56" i="79"/>
  <c r="N56" i="79"/>
  <c r="L56" i="79"/>
  <c r="B56" i="79"/>
  <c r="Z55" i="79"/>
  <c r="X55" i="79"/>
  <c r="L55" i="79"/>
  <c r="N55" i="79" s="1"/>
  <c r="B55" i="79"/>
  <c r="Z54" i="79"/>
  <c r="T54" i="79"/>
  <c r="X54" i="79" s="1"/>
  <c r="P54" i="79"/>
  <c r="H54" i="79"/>
  <c r="D54" i="79"/>
  <c r="L54" i="79" s="1"/>
  <c r="N54" i="79" s="1"/>
  <c r="B54" i="79"/>
  <c r="Z53" i="79"/>
  <c r="X53" i="79"/>
  <c r="L53" i="79"/>
  <c r="N53" i="79" s="1"/>
  <c r="B53" i="79"/>
  <c r="T52" i="79"/>
  <c r="P52" i="79"/>
  <c r="X52" i="79" s="1"/>
  <c r="H52" i="79"/>
  <c r="D52" i="79"/>
  <c r="L52" i="79" s="1"/>
  <c r="N52" i="79" s="1"/>
  <c r="B52" i="79"/>
  <c r="X51" i="79"/>
  <c r="Z51" i="79" s="1"/>
  <c r="L51" i="79"/>
  <c r="N51" i="79" s="1"/>
  <c r="B51" i="79"/>
  <c r="T50" i="79"/>
  <c r="P50" i="79"/>
  <c r="X50" i="79" s="1"/>
  <c r="Z50" i="79" s="1"/>
  <c r="L50" i="79"/>
  <c r="H50" i="79"/>
  <c r="N50" i="79" s="1"/>
  <c r="D50" i="79"/>
  <c r="B50" i="79"/>
  <c r="Z49" i="79"/>
  <c r="X49" i="79"/>
  <c r="N49" i="79"/>
  <c r="L49" i="79"/>
  <c r="B49" i="79"/>
  <c r="T48" i="79"/>
  <c r="P48" i="79"/>
  <c r="N48" i="79"/>
  <c r="L48" i="79"/>
  <c r="H48" i="79"/>
  <c r="D48" i="79"/>
  <c r="B48" i="79"/>
  <c r="X47" i="79"/>
  <c r="Z47" i="79" s="1"/>
  <c r="N47" i="79"/>
  <c r="L47" i="79"/>
  <c r="B47" i="79"/>
  <c r="Z46" i="79"/>
  <c r="T46" i="79"/>
  <c r="P46" i="79"/>
  <c r="X46" i="79" s="1"/>
  <c r="H46" i="79"/>
  <c r="N46" i="79" s="1"/>
  <c r="D46" i="79"/>
  <c r="L46" i="79" s="1"/>
  <c r="B46" i="79"/>
  <c r="X45" i="79"/>
  <c r="Z45" i="79" s="1"/>
  <c r="N45" i="79"/>
  <c r="L45" i="79"/>
  <c r="B45" i="79"/>
  <c r="X44" i="79"/>
  <c r="Z44" i="79" s="1"/>
  <c r="N44" i="79"/>
  <c r="L44" i="79"/>
  <c r="B44" i="79"/>
  <c r="T43" i="79"/>
  <c r="P43" i="79"/>
  <c r="X43" i="79" s="1"/>
  <c r="L43" i="79"/>
  <c r="H43" i="79"/>
  <c r="N43" i="79" s="1"/>
  <c r="D43" i="79"/>
  <c r="B43" i="79"/>
  <c r="Z42" i="79"/>
  <c r="X42" i="79"/>
  <c r="N42" i="79"/>
  <c r="L42" i="79"/>
  <c r="B42" i="79"/>
  <c r="T41" i="79"/>
  <c r="P41" i="79"/>
  <c r="L41" i="79"/>
  <c r="N41" i="79" s="1"/>
  <c r="H41" i="79"/>
  <c r="D41" i="79"/>
  <c r="B41" i="79"/>
  <c r="Z40" i="79"/>
  <c r="X40" i="79"/>
  <c r="L40" i="79"/>
  <c r="N40" i="79" s="1"/>
  <c r="B40" i="79"/>
  <c r="T39" i="79"/>
  <c r="P39" i="79"/>
  <c r="X39" i="79" s="1"/>
  <c r="N39" i="79"/>
  <c r="H39" i="79"/>
  <c r="D39" i="79"/>
  <c r="L39" i="79" s="1"/>
  <c r="B39" i="79"/>
  <c r="X38" i="79"/>
  <c r="Z38" i="79" s="1"/>
  <c r="L38" i="79"/>
  <c r="N38" i="79" s="1"/>
  <c r="B38" i="79"/>
  <c r="X37" i="79"/>
  <c r="T37" i="79"/>
  <c r="Z37" i="79" s="1"/>
  <c r="P37" i="79"/>
  <c r="H37" i="79"/>
  <c r="D37" i="79"/>
  <c r="L37" i="79" s="1"/>
  <c r="B37" i="79"/>
  <c r="Z36" i="79"/>
  <c r="X36" i="79"/>
  <c r="N36" i="79"/>
  <c r="L36" i="79"/>
  <c r="B36" i="79"/>
  <c r="Z35" i="79"/>
  <c r="X35" i="79"/>
  <c r="L35" i="79"/>
  <c r="N35" i="79" s="1"/>
  <c r="B35" i="79"/>
  <c r="Z34" i="79"/>
  <c r="X34" i="79"/>
  <c r="N34" i="79"/>
  <c r="L34" i="79"/>
  <c r="B34" i="79"/>
  <c r="Z33" i="79"/>
  <c r="X33" i="79"/>
  <c r="N33" i="79"/>
  <c r="L33" i="79"/>
  <c r="B33" i="79"/>
  <c r="T32" i="79"/>
  <c r="Z32" i="79" s="1"/>
  <c r="P32" i="79"/>
  <c r="X32" i="79" s="1"/>
  <c r="H32" i="79"/>
  <c r="L32" i="79" s="1"/>
  <c r="N32" i="79" s="1"/>
  <c r="D32" i="79"/>
  <c r="B32" i="79"/>
  <c r="X31" i="79"/>
  <c r="Z31" i="79" s="1"/>
  <c r="L31" i="79"/>
  <c r="N31" i="79" s="1"/>
  <c r="B31" i="79"/>
  <c r="Z30" i="79"/>
  <c r="X30" i="79"/>
  <c r="L30" i="79"/>
  <c r="N30" i="79" s="1"/>
  <c r="B30" i="79"/>
  <c r="Z29" i="79"/>
  <c r="X29" i="79"/>
  <c r="L29" i="79"/>
  <c r="N29" i="79" s="1"/>
  <c r="B29" i="79"/>
  <c r="Z28" i="79"/>
  <c r="X28" i="79"/>
  <c r="L28" i="79"/>
  <c r="N28" i="79" s="1"/>
  <c r="B28" i="79"/>
  <c r="X27" i="79"/>
  <c r="Z27" i="79" s="1"/>
  <c r="L27" i="79"/>
  <c r="N27" i="79" s="1"/>
  <c r="B27" i="79"/>
  <c r="Z26" i="79"/>
  <c r="X26" i="79"/>
  <c r="L26" i="79"/>
  <c r="N26" i="79" s="1"/>
  <c r="B26" i="79"/>
  <c r="Z25" i="79"/>
  <c r="X25" i="79"/>
  <c r="L25" i="79"/>
  <c r="N25" i="79" s="1"/>
  <c r="B25" i="79"/>
  <c r="Z24" i="79"/>
  <c r="X24" i="79"/>
  <c r="L24" i="79"/>
  <c r="N24" i="79" s="1"/>
  <c r="B24" i="79"/>
  <c r="T23" i="79"/>
  <c r="Z23" i="79" s="1"/>
  <c r="P23" i="79"/>
  <c r="X23" i="79" s="1"/>
  <c r="N23" i="79"/>
  <c r="H23" i="79"/>
  <c r="D23" i="79"/>
  <c r="L23" i="79" s="1"/>
  <c r="B23" i="79"/>
  <c r="T22" i="79"/>
  <c r="P22" i="79"/>
  <c r="X22" i="79" s="1"/>
  <c r="L22" i="79"/>
  <c r="H22" i="79"/>
  <c r="N22" i="79" s="1"/>
  <c r="D22" i="79"/>
  <c r="X18" i="79"/>
  <c r="Z18" i="79" s="1"/>
  <c r="N18" i="79"/>
  <c r="L18" i="79"/>
  <c r="B18" i="79"/>
  <c r="X17" i="79"/>
  <c r="Z17" i="79" s="1"/>
  <c r="N17" i="79"/>
  <c r="L17" i="79"/>
  <c r="B17" i="79"/>
  <c r="X16" i="79"/>
  <c r="T16" i="79"/>
  <c r="P16" i="79"/>
  <c r="H16" i="79"/>
  <c r="D16" i="79"/>
  <c r="L16" i="79" s="1"/>
  <c r="T14" i="79"/>
  <c r="P14" i="79"/>
  <c r="L14" i="79"/>
  <c r="N14" i="79" s="1"/>
  <c r="H14" i="79"/>
  <c r="D14" i="79"/>
  <c r="B14" i="79"/>
  <c r="X13" i="79"/>
  <c r="Z13" i="79" s="1"/>
  <c r="T13" i="79"/>
  <c r="P13" i="79"/>
  <c r="H13" i="79"/>
  <c r="D13" i="79"/>
  <c r="B13" i="79"/>
  <c r="D6" i="79"/>
  <c r="D4" i="79"/>
  <c r="X32" i="78"/>
  <c r="Z32" i="78" s="1"/>
  <c r="L32" i="78"/>
  <c r="N32" i="78" s="1"/>
  <c r="T28" i="78"/>
  <c r="Z28" i="78" s="1"/>
  <c r="P28" i="78"/>
  <c r="H28" i="78"/>
  <c r="N28" i="78" s="1"/>
  <c r="D28" i="78"/>
  <c r="X26" i="78"/>
  <c r="Z26" i="78" s="1"/>
  <c r="N26" i="78"/>
  <c r="L26" i="78"/>
  <c r="B26" i="78"/>
  <c r="Z25" i="78"/>
  <c r="X25" i="78"/>
  <c r="T25" i="78"/>
  <c r="P25" i="78"/>
  <c r="N25" i="78"/>
  <c r="L25" i="78"/>
  <c r="H25" i="78"/>
  <c r="D25" i="78"/>
  <c r="B25" i="78"/>
  <c r="Z24" i="78"/>
  <c r="X24" i="78"/>
  <c r="N24" i="78"/>
  <c r="L24" i="78"/>
  <c r="B24" i="78"/>
  <c r="T23" i="78"/>
  <c r="P23" i="78"/>
  <c r="N23" i="78"/>
  <c r="H23" i="78"/>
  <c r="D23" i="78"/>
  <c r="L23" i="78" s="1"/>
  <c r="B23" i="78"/>
  <c r="Z22" i="78"/>
  <c r="X22" i="78"/>
  <c r="L22" i="78"/>
  <c r="N22" i="78" s="1"/>
  <c r="B22" i="78"/>
  <c r="T21" i="78"/>
  <c r="P21" i="78"/>
  <c r="L21" i="78"/>
  <c r="N21" i="78" s="1"/>
  <c r="J21" i="78"/>
  <c r="H21" i="78"/>
  <c r="D21" i="78"/>
  <c r="B21" i="78"/>
  <c r="T20" i="78"/>
  <c r="Z20" i="78" s="1"/>
  <c r="P20" i="78"/>
  <c r="X20" i="78" s="1"/>
  <c r="L20" i="78"/>
  <c r="N20" i="78" s="1"/>
  <c r="H20" i="78"/>
  <c r="D20" i="78"/>
  <c r="P18" i="78"/>
  <c r="Z16" i="78"/>
  <c r="X16" i="78"/>
  <c r="N16" i="78"/>
  <c r="L16" i="78"/>
  <c r="F16" i="78"/>
  <c r="B16" i="78"/>
  <c r="T15" i="78"/>
  <c r="P15" i="78"/>
  <c r="X15" i="78" s="1"/>
  <c r="J15" i="78"/>
  <c r="H15" i="78"/>
  <c r="N15" i="78" s="1"/>
  <c r="F15" i="78"/>
  <c r="D15" i="78"/>
  <c r="T13" i="78"/>
  <c r="T12" i="78" s="1"/>
  <c r="P13" i="78"/>
  <c r="P12" i="78" s="1"/>
  <c r="R22" i="78" s="1"/>
  <c r="H13" i="78"/>
  <c r="H12" i="78" s="1"/>
  <c r="J16" i="78" s="1"/>
  <c r="D13" i="78"/>
  <c r="D12" i="78" s="1"/>
  <c r="B13" i="78"/>
  <c r="D6" i="78"/>
  <c r="D4" i="78"/>
  <c r="X130" i="77"/>
  <c r="Z130" i="77" s="1"/>
  <c r="N130" i="77"/>
  <c r="L130" i="77"/>
  <c r="T126" i="77"/>
  <c r="Z126" i="77" s="1"/>
  <c r="P126" i="77"/>
  <c r="X126" i="77" s="1"/>
  <c r="N126" i="77"/>
  <c r="L126" i="77"/>
  <c r="H126" i="77"/>
  <c r="D126" i="77"/>
  <c r="Z124" i="77"/>
  <c r="X124" i="77"/>
  <c r="L124" i="77"/>
  <c r="N124" i="77" s="1"/>
  <c r="B124" i="77"/>
  <c r="T123" i="77"/>
  <c r="P123" i="77"/>
  <c r="X123" i="77" s="1"/>
  <c r="H123" i="77"/>
  <c r="D123" i="77"/>
  <c r="B123" i="77"/>
  <c r="X122" i="77"/>
  <c r="Z122" i="77" s="1"/>
  <c r="L122" i="77"/>
  <c r="N122" i="77" s="1"/>
  <c r="B122" i="77"/>
  <c r="Z121" i="77"/>
  <c r="X121" i="77"/>
  <c r="T121" i="77"/>
  <c r="P121" i="77"/>
  <c r="H121" i="77"/>
  <c r="D121" i="77"/>
  <c r="L121" i="77" s="1"/>
  <c r="B121" i="77"/>
  <c r="Z120" i="77"/>
  <c r="X120" i="77"/>
  <c r="N120" i="77"/>
  <c r="L120" i="77"/>
  <c r="B120" i="77"/>
  <c r="X119" i="77"/>
  <c r="Z119" i="77" s="1"/>
  <c r="T119" i="77"/>
  <c r="P119" i="77"/>
  <c r="H119" i="77"/>
  <c r="D119" i="77"/>
  <c r="B119" i="77"/>
  <c r="X118" i="77"/>
  <c r="Z118" i="77" s="1"/>
  <c r="L118" i="77"/>
  <c r="N118" i="77" s="1"/>
  <c r="B118" i="77"/>
  <c r="T117" i="77"/>
  <c r="P117" i="77"/>
  <c r="H117" i="77"/>
  <c r="D117" i="77"/>
  <c r="L117" i="77" s="1"/>
  <c r="B117" i="77"/>
  <c r="X116" i="77"/>
  <c r="Z116" i="77" s="1"/>
  <c r="N116" i="77"/>
  <c r="L116" i="77"/>
  <c r="B116" i="77"/>
  <c r="X115" i="77"/>
  <c r="Z115" i="77" s="1"/>
  <c r="N115" i="77"/>
  <c r="L115" i="77"/>
  <c r="B115" i="77"/>
  <c r="X114" i="77"/>
  <c r="Z114" i="77" s="1"/>
  <c r="L114" i="77"/>
  <c r="N114" i="77" s="1"/>
  <c r="B114" i="77"/>
  <c r="Z113" i="77"/>
  <c r="X113" i="77"/>
  <c r="N113" i="77"/>
  <c r="L113" i="77"/>
  <c r="B113" i="77"/>
  <c r="Z112" i="77"/>
  <c r="X112" i="77"/>
  <c r="N112" i="77"/>
  <c r="L112" i="77"/>
  <c r="B112" i="77"/>
  <c r="X111" i="77"/>
  <c r="Z111" i="77" s="1"/>
  <c r="N111" i="77"/>
  <c r="L111" i="77"/>
  <c r="B111" i="77"/>
  <c r="T110" i="77"/>
  <c r="P110" i="77"/>
  <c r="X110" i="77" s="1"/>
  <c r="Z110" i="77" s="1"/>
  <c r="H110" i="77"/>
  <c r="D110" i="77"/>
  <c r="B110" i="77"/>
  <c r="Z109" i="77"/>
  <c r="X109" i="77"/>
  <c r="N109" i="77"/>
  <c r="L109" i="77"/>
  <c r="B109" i="77"/>
  <c r="Z108" i="77"/>
  <c r="X108" i="77"/>
  <c r="N108" i="77"/>
  <c r="L108" i="77"/>
  <c r="B108" i="77"/>
  <c r="X107" i="77"/>
  <c r="Z107" i="77" s="1"/>
  <c r="T107" i="77"/>
  <c r="P107" i="77"/>
  <c r="H107" i="77"/>
  <c r="D107" i="77"/>
  <c r="B107" i="77"/>
  <c r="X106" i="77"/>
  <c r="Z106" i="77" s="1"/>
  <c r="L106" i="77"/>
  <c r="N106" i="77" s="1"/>
  <c r="B106" i="77"/>
  <c r="Z105" i="77"/>
  <c r="X105" i="77"/>
  <c r="N105" i="77"/>
  <c r="L105" i="77"/>
  <c r="B105" i="77"/>
  <c r="Z104" i="77"/>
  <c r="X104" i="77"/>
  <c r="N104" i="77"/>
  <c r="L104" i="77"/>
  <c r="B104" i="77"/>
  <c r="T103" i="77"/>
  <c r="P103" i="77"/>
  <c r="X103" i="77" s="1"/>
  <c r="H103" i="77"/>
  <c r="D103" i="77"/>
  <c r="L103" i="77" s="1"/>
  <c r="B103" i="77"/>
  <c r="X102" i="77"/>
  <c r="Z102" i="77" s="1"/>
  <c r="N102" i="77"/>
  <c r="L102" i="77"/>
  <c r="B102" i="77"/>
  <c r="Z101" i="77"/>
  <c r="X101" i="77"/>
  <c r="N101" i="77"/>
  <c r="L101" i="77"/>
  <c r="B101" i="77"/>
  <c r="Z100" i="77"/>
  <c r="X100" i="77"/>
  <c r="N100" i="77"/>
  <c r="L100" i="77"/>
  <c r="B100" i="77"/>
  <c r="T99" i="77"/>
  <c r="P99" i="77"/>
  <c r="X99" i="77" s="1"/>
  <c r="N99" i="77"/>
  <c r="L99" i="77"/>
  <c r="H99" i="77"/>
  <c r="D99" i="77"/>
  <c r="B99" i="77"/>
  <c r="X98" i="77"/>
  <c r="Z98" i="77" s="1"/>
  <c r="L98" i="77"/>
  <c r="N98" i="77" s="1"/>
  <c r="B98" i="77"/>
  <c r="T97" i="77"/>
  <c r="P97" i="77"/>
  <c r="N97" i="77"/>
  <c r="L97" i="77"/>
  <c r="H97" i="77"/>
  <c r="D97" i="77"/>
  <c r="B97" i="77"/>
  <c r="Z96" i="77"/>
  <c r="X96" i="77"/>
  <c r="N96" i="77"/>
  <c r="L96" i="77"/>
  <c r="B96" i="77"/>
  <c r="T95" i="77"/>
  <c r="P95" i="77"/>
  <c r="X95" i="77" s="1"/>
  <c r="H95" i="77"/>
  <c r="N95" i="77" s="1"/>
  <c r="D95" i="77"/>
  <c r="L95" i="77" s="1"/>
  <c r="B95" i="77"/>
  <c r="X94" i="77"/>
  <c r="Z94" i="77" s="1"/>
  <c r="L94" i="77"/>
  <c r="N94" i="77" s="1"/>
  <c r="B94" i="77"/>
  <c r="Z93" i="77"/>
  <c r="X93" i="77"/>
  <c r="T93" i="77"/>
  <c r="P93" i="77"/>
  <c r="H93" i="77"/>
  <c r="D93" i="77"/>
  <c r="L93" i="77" s="1"/>
  <c r="B93" i="77"/>
  <c r="Z92" i="77"/>
  <c r="X92" i="77"/>
  <c r="N92" i="77"/>
  <c r="L92" i="77"/>
  <c r="B92" i="77"/>
  <c r="X91" i="77"/>
  <c r="Z91" i="77" s="1"/>
  <c r="T91" i="77"/>
  <c r="P91" i="77"/>
  <c r="H91" i="77"/>
  <c r="D91" i="77"/>
  <c r="B91" i="77"/>
  <c r="X90" i="77"/>
  <c r="Z90" i="77" s="1"/>
  <c r="N90" i="77"/>
  <c r="L90" i="77"/>
  <c r="B90" i="77"/>
  <c r="T89" i="77"/>
  <c r="P89" i="77"/>
  <c r="X89" i="77" s="1"/>
  <c r="H89" i="77"/>
  <c r="N89" i="77" s="1"/>
  <c r="D89" i="77"/>
  <c r="L89" i="77" s="1"/>
  <c r="B89" i="77"/>
  <c r="X88" i="77"/>
  <c r="Z88" i="77" s="1"/>
  <c r="N88" i="77"/>
  <c r="L88" i="77"/>
  <c r="B88" i="77"/>
  <c r="T87" i="77"/>
  <c r="P87" i="77"/>
  <c r="X87" i="77" s="1"/>
  <c r="N87" i="77"/>
  <c r="L87" i="77"/>
  <c r="H87" i="77"/>
  <c r="D87" i="77"/>
  <c r="B87" i="77"/>
  <c r="Z86" i="77"/>
  <c r="X86" i="77"/>
  <c r="N86" i="77"/>
  <c r="L86" i="77"/>
  <c r="B86" i="77"/>
  <c r="Z85" i="77"/>
  <c r="X85" i="77"/>
  <c r="N85" i="77"/>
  <c r="L85" i="77"/>
  <c r="B85" i="77"/>
  <c r="T84" i="77"/>
  <c r="Z84" i="77" s="1"/>
  <c r="P84" i="77"/>
  <c r="X84" i="77" s="1"/>
  <c r="H84" i="77"/>
  <c r="N84" i="77" s="1"/>
  <c r="D84" i="77"/>
  <c r="L84" i="77" s="1"/>
  <c r="B84" i="77"/>
  <c r="X83" i="77"/>
  <c r="Z83" i="77" s="1"/>
  <c r="L83" i="77"/>
  <c r="N83" i="77" s="1"/>
  <c r="B83" i="77"/>
  <c r="X82" i="77"/>
  <c r="Z82" i="77" s="1"/>
  <c r="T82" i="77"/>
  <c r="P82" i="77"/>
  <c r="H82" i="77"/>
  <c r="D82" i="77"/>
  <c r="L82" i="77" s="1"/>
  <c r="B82" i="77"/>
  <c r="Z81" i="77"/>
  <c r="X81" i="77"/>
  <c r="N81" i="77"/>
  <c r="L81" i="77"/>
  <c r="B81" i="77"/>
  <c r="T80" i="77"/>
  <c r="X80" i="77" s="1"/>
  <c r="P80" i="77"/>
  <c r="H80" i="77"/>
  <c r="D80" i="77"/>
  <c r="L80" i="77" s="1"/>
  <c r="N80" i="77" s="1"/>
  <c r="B80" i="77"/>
  <c r="Z79" i="77"/>
  <c r="X79" i="77"/>
  <c r="N79" i="77"/>
  <c r="L79" i="77"/>
  <c r="B79" i="77"/>
  <c r="T78" i="77"/>
  <c r="P78" i="77"/>
  <c r="H78" i="77"/>
  <c r="N78" i="77" s="1"/>
  <c r="D78" i="77"/>
  <c r="L78" i="77" s="1"/>
  <c r="B78" i="77"/>
  <c r="Z77" i="77"/>
  <c r="X77" i="77"/>
  <c r="N77" i="77"/>
  <c r="L77" i="77"/>
  <c r="B77" i="77"/>
  <c r="Z76" i="77"/>
  <c r="X76" i="77"/>
  <c r="L76" i="77"/>
  <c r="N76" i="77" s="1"/>
  <c r="B76" i="77"/>
  <c r="X75" i="77"/>
  <c r="Z75" i="77" s="1"/>
  <c r="N75" i="77"/>
  <c r="L75" i="77"/>
  <c r="B75" i="77"/>
  <c r="X74" i="77"/>
  <c r="Z74" i="77" s="1"/>
  <c r="L74" i="77"/>
  <c r="N74" i="77" s="1"/>
  <c r="B74" i="77"/>
  <c r="Z73" i="77"/>
  <c r="X73" i="77"/>
  <c r="N73" i="77"/>
  <c r="L73" i="77"/>
  <c r="B73" i="77"/>
  <c r="Z72" i="77"/>
  <c r="X72" i="77"/>
  <c r="L72" i="77"/>
  <c r="N72" i="77" s="1"/>
  <c r="B72" i="77"/>
  <c r="T71" i="77"/>
  <c r="Z71" i="77" s="1"/>
  <c r="P71" i="77"/>
  <c r="X71" i="77" s="1"/>
  <c r="H71" i="77"/>
  <c r="D71" i="77"/>
  <c r="L71" i="77" s="1"/>
  <c r="B71" i="77"/>
  <c r="X70" i="77"/>
  <c r="Z70" i="77" s="1"/>
  <c r="N70" i="77"/>
  <c r="L70" i="77"/>
  <c r="B70" i="77"/>
  <c r="Z69" i="77"/>
  <c r="X69" i="77"/>
  <c r="N69" i="77"/>
  <c r="L69" i="77"/>
  <c r="B69" i="77"/>
  <c r="X68" i="77"/>
  <c r="Z68" i="77" s="1"/>
  <c r="N68" i="77"/>
  <c r="L68" i="77"/>
  <c r="B68" i="77"/>
  <c r="X67" i="77"/>
  <c r="Z67" i="77" s="1"/>
  <c r="N67" i="77"/>
  <c r="L67" i="77"/>
  <c r="B67" i="77"/>
  <c r="X66" i="77"/>
  <c r="Z66" i="77" s="1"/>
  <c r="L66" i="77"/>
  <c r="N66" i="77" s="1"/>
  <c r="B66" i="77"/>
  <c r="Z65" i="77"/>
  <c r="X65" i="77"/>
  <c r="N65" i="77"/>
  <c r="L65" i="77"/>
  <c r="B65" i="77"/>
  <c r="X64" i="77"/>
  <c r="Z64" i="77" s="1"/>
  <c r="N64" i="77"/>
  <c r="L64" i="77"/>
  <c r="B64" i="77"/>
  <c r="X63" i="77"/>
  <c r="Z63" i="77" s="1"/>
  <c r="N63" i="77"/>
  <c r="L63" i="77"/>
  <c r="B63" i="77"/>
  <c r="T62" i="77"/>
  <c r="P62" i="77"/>
  <c r="X62" i="77" s="1"/>
  <c r="Z62" i="77" s="1"/>
  <c r="H62" i="77"/>
  <c r="D62" i="77"/>
  <c r="B62" i="77"/>
  <c r="T61" i="77"/>
  <c r="P61" i="77"/>
  <c r="X61" i="77" s="1"/>
  <c r="L61" i="77"/>
  <c r="N61" i="77" s="1"/>
  <c r="H61" i="77"/>
  <c r="D61" i="77"/>
  <c r="Z57" i="77"/>
  <c r="X57" i="77"/>
  <c r="N57" i="77"/>
  <c r="L57" i="77"/>
  <c r="B57" i="77"/>
  <c r="Z56" i="77"/>
  <c r="X56" i="77"/>
  <c r="N56" i="77"/>
  <c r="L56" i="77"/>
  <c r="B56" i="77"/>
  <c r="Z55" i="77"/>
  <c r="X55" i="77"/>
  <c r="L55" i="77"/>
  <c r="N55" i="77" s="1"/>
  <c r="B55" i="77"/>
  <c r="X54" i="77"/>
  <c r="Z54" i="77" s="1"/>
  <c r="N54" i="77"/>
  <c r="L54" i="77"/>
  <c r="B54" i="77"/>
  <c r="Z53" i="77"/>
  <c r="X53" i="77"/>
  <c r="N53" i="77"/>
  <c r="L53" i="77"/>
  <c r="B53" i="77"/>
  <c r="Z52" i="77"/>
  <c r="X52" i="77"/>
  <c r="N52" i="77"/>
  <c r="L52" i="77"/>
  <c r="B52" i="77"/>
  <c r="X51" i="77"/>
  <c r="Z51" i="77" s="1"/>
  <c r="N51" i="77"/>
  <c r="L51" i="77"/>
  <c r="B51" i="77"/>
  <c r="X50" i="77"/>
  <c r="Z50" i="77" s="1"/>
  <c r="N50" i="77"/>
  <c r="L50" i="77"/>
  <c r="B50" i="77"/>
  <c r="Z49" i="77"/>
  <c r="X49" i="77"/>
  <c r="N49" i="77"/>
  <c r="L49" i="77"/>
  <c r="B49" i="77"/>
  <c r="Z48" i="77"/>
  <c r="X48" i="77"/>
  <c r="N48" i="77"/>
  <c r="L48" i="77"/>
  <c r="B48" i="77"/>
  <c r="Z47" i="77"/>
  <c r="X47" i="77"/>
  <c r="L47" i="77"/>
  <c r="N47" i="77" s="1"/>
  <c r="B47" i="77"/>
  <c r="X46" i="77"/>
  <c r="Z46" i="77" s="1"/>
  <c r="L46" i="77"/>
  <c r="N46" i="77" s="1"/>
  <c r="B46" i="77"/>
  <c r="Z45" i="77"/>
  <c r="X45" i="77"/>
  <c r="N45" i="77"/>
  <c r="L45" i="77"/>
  <c r="B45" i="77"/>
  <c r="Z44" i="77"/>
  <c r="X44" i="77"/>
  <c r="N44" i="77"/>
  <c r="L44" i="77"/>
  <c r="B44" i="77"/>
  <c r="Z43" i="77"/>
  <c r="X43" i="77"/>
  <c r="N43" i="77"/>
  <c r="L43" i="77"/>
  <c r="B43" i="77"/>
  <c r="X42" i="77"/>
  <c r="Z42" i="77" s="1"/>
  <c r="N42" i="77"/>
  <c r="L42" i="77"/>
  <c r="B42" i="77"/>
  <c r="Z41" i="77"/>
  <c r="X41" i="77"/>
  <c r="N41" i="77"/>
  <c r="L41" i="77"/>
  <c r="B41" i="77"/>
  <c r="T40" i="77"/>
  <c r="Z40" i="77" s="1"/>
  <c r="P40" i="77"/>
  <c r="X40" i="77" s="1"/>
  <c r="H40" i="77"/>
  <c r="D40" i="77"/>
  <c r="T38" i="77"/>
  <c r="P38" i="77"/>
  <c r="X38" i="77" s="1"/>
  <c r="Z38" i="77" s="1"/>
  <c r="H38" i="77"/>
  <c r="N38" i="77" s="1"/>
  <c r="D38" i="77"/>
  <c r="L38" i="77" s="1"/>
  <c r="B38" i="77"/>
  <c r="T37" i="77"/>
  <c r="P37" i="77"/>
  <c r="H37" i="77"/>
  <c r="N37" i="77" s="1"/>
  <c r="D37" i="77"/>
  <c r="B37" i="77"/>
  <c r="T36" i="77"/>
  <c r="P36" i="77"/>
  <c r="X36" i="77" s="1"/>
  <c r="Z36" i="77" s="1"/>
  <c r="N36" i="77"/>
  <c r="L36" i="77"/>
  <c r="H36" i="77"/>
  <c r="D36" i="77"/>
  <c r="B36" i="77"/>
  <c r="T35" i="77"/>
  <c r="P35" i="77"/>
  <c r="X35" i="77" s="1"/>
  <c r="Z35" i="77" s="1"/>
  <c r="H35" i="77"/>
  <c r="D35" i="77"/>
  <c r="B35" i="77"/>
  <c r="T34" i="77"/>
  <c r="P34" i="77"/>
  <c r="X34" i="77" s="1"/>
  <c r="Z34" i="77" s="1"/>
  <c r="H34" i="77"/>
  <c r="D34" i="77"/>
  <c r="L34" i="77" s="1"/>
  <c r="B34" i="77"/>
  <c r="T33" i="77"/>
  <c r="P33" i="77"/>
  <c r="H33" i="77"/>
  <c r="D33" i="77"/>
  <c r="B33" i="77"/>
  <c r="Z32" i="77"/>
  <c r="T32" i="77"/>
  <c r="P32" i="77"/>
  <c r="X32" i="77" s="1"/>
  <c r="N32" i="77"/>
  <c r="L32" i="77"/>
  <c r="H32" i="77"/>
  <c r="D32" i="77"/>
  <c r="B32" i="77"/>
  <c r="T31" i="77"/>
  <c r="P31" i="77"/>
  <c r="X31" i="77" s="1"/>
  <c r="Z31" i="77" s="1"/>
  <c r="H31" i="77"/>
  <c r="N31" i="77" s="1"/>
  <c r="D31" i="77"/>
  <c r="L31" i="77" s="1"/>
  <c r="B31" i="77"/>
  <c r="T30" i="77"/>
  <c r="Z30" i="77" s="1"/>
  <c r="P30" i="77"/>
  <c r="X30" i="77" s="1"/>
  <c r="H30" i="77"/>
  <c r="N30" i="77" s="1"/>
  <c r="D30" i="77"/>
  <c r="L30" i="77" s="1"/>
  <c r="B30" i="77"/>
  <c r="X29" i="77"/>
  <c r="Z29" i="77" s="1"/>
  <c r="T29" i="77"/>
  <c r="P29" i="77"/>
  <c r="H29" i="77"/>
  <c r="D29" i="77"/>
  <c r="B29" i="77"/>
  <c r="Z28" i="77"/>
  <c r="T28" i="77"/>
  <c r="P28" i="77"/>
  <c r="X28" i="77" s="1"/>
  <c r="N28" i="77"/>
  <c r="L28" i="77"/>
  <c r="H28" i="77"/>
  <c r="D28" i="77"/>
  <c r="B28" i="77"/>
  <c r="T27" i="77"/>
  <c r="P27" i="77"/>
  <c r="X27" i="77" s="1"/>
  <c r="Z27" i="77" s="1"/>
  <c r="H27" i="77"/>
  <c r="D27" i="77"/>
  <c r="B27" i="77"/>
  <c r="T26" i="77"/>
  <c r="Z26" i="77" s="1"/>
  <c r="P26" i="77"/>
  <c r="X26" i="77" s="1"/>
  <c r="H26" i="77"/>
  <c r="N26" i="77" s="1"/>
  <c r="D26" i="77"/>
  <c r="L26" i="77" s="1"/>
  <c r="B26" i="77"/>
  <c r="T25" i="77"/>
  <c r="X25" i="77" s="1"/>
  <c r="P25" i="77"/>
  <c r="H25" i="77"/>
  <c r="N25" i="77" s="1"/>
  <c r="D25" i="77"/>
  <c r="B25" i="77"/>
  <c r="T24" i="77"/>
  <c r="P24" i="77"/>
  <c r="X24" i="77" s="1"/>
  <c r="Z24" i="77" s="1"/>
  <c r="N24" i="77"/>
  <c r="L24" i="77"/>
  <c r="H24" i="77"/>
  <c r="D24" i="77"/>
  <c r="B24" i="77"/>
  <c r="T23" i="77"/>
  <c r="P23" i="77"/>
  <c r="X23" i="77" s="1"/>
  <c r="Z23" i="77" s="1"/>
  <c r="H23" i="77"/>
  <c r="N23" i="77" s="1"/>
  <c r="D23" i="77"/>
  <c r="B23" i="77"/>
  <c r="T22" i="77"/>
  <c r="P22" i="77"/>
  <c r="X22" i="77" s="1"/>
  <c r="H22" i="77"/>
  <c r="D22" i="77"/>
  <c r="L22" i="77" s="1"/>
  <c r="B22" i="77"/>
  <c r="T21" i="77"/>
  <c r="X21" i="77" s="1"/>
  <c r="P21" i="77"/>
  <c r="H21" i="77"/>
  <c r="D21" i="77"/>
  <c r="B21" i="77"/>
  <c r="T20" i="77"/>
  <c r="P20" i="77"/>
  <c r="X20" i="77" s="1"/>
  <c r="Z20" i="77" s="1"/>
  <c r="L20" i="77"/>
  <c r="N20" i="77" s="1"/>
  <c r="H20" i="77"/>
  <c r="D20" i="77"/>
  <c r="B20" i="77"/>
  <c r="T19" i="77"/>
  <c r="P19" i="77"/>
  <c r="X19" i="77" s="1"/>
  <c r="Z19" i="77" s="1"/>
  <c r="H19" i="77"/>
  <c r="D19" i="77"/>
  <c r="B19" i="77"/>
  <c r="T18" i="77"/>
  <c r="P18" i="77"/>
  <c r="X18" i="77" s="1"/>
  <c r="H18" i="77"/>
  <c r="D18" i="77"/>
  <c r="L18" i="77" s="1"/>
  <c r="B18" i="77"/>
  <c r="Z17" i="77"/>
  <c r="T17" i="77"/>
  <c r="X17" i="77" s="1"/>
  <c r="P17" i="77"/>
  <c r="H17" i="77"/>
  <c r="N17" i="77" s="1"/>
  <c r="D17" i="77"/>
  <c r="B17" i="77"/>
  <c r="T16" i="77"/>
  <c r="P16" i="77"/>
  <c r="X16" i="77" s="1"/>
  <c r="Z16" i="77" s="1"/>
  <c r="N16" i="77"/>
  <c r="L16" i="77"/>
  <c r="H16" i="77"/>
  <c r="D16" i="77"/>
  <c r="B16" i="77"/>
  <c r="T15" i="77"/>
  <c r="P15" i="77"/>
  <c r="X15" i="77" s="1"/>
  <c r="Z15" i="77" s="1"/>
  <c r="H15" i="77"/>
  <c r="D15" i="77"/>
  <c r="B15" i="77"/>
  <c r="T14" i="77"/>
  <c r="P14" i="77"/>
  <c r="X14" i="77" s="1"/>
  <c r="H14" i="77"/>
  <c r="N14" i="77" s="1"/>
  <c r="D14" i="77"/>
  <c r="L14" i="77" s="1"/>
  <c r="B14" i="77"/>
  <c r="T13" i="77"/>
  <c r="P13" i="77"/>
  <c r="H13" i="77"/>
  <c r="D13" i="77"/>
  <c r="B13" i="77"/>
  <c r="D6" i="77"/>
  <c r="D4" i="77"/>
  <c r="Z84" i="76"/>
  <c r="X84" i="76"/>
  <c r="L84" i="76"/>
  <c r="N84" i="76" s="1"/>
  <c r="T80" i="76"/>
  <c r="Z80" i="76" s="1"/>
  <c r="P80" i="76"/>
  <c r="X80" i="76" s="1"/>
  <c r="H80" i="76"/>
  <c r="N80" i="76" s="1"/>
  <c r="D80" i="76"/>
  <c r="L80" i="76" s="1"/>
  <c r="Z78" i="76"/>
  <c r="X78" i="76"/>
  <c r="N78" i="76"/>
  <c r="L78" i="76"/>
  <c r="B78" i="76"/>
  <c r="Z77" i="76"/>
  <c r="X77" i="76"/>
  <c r="T77" i="76"/>
  <c r="P77" i="76"/>
  <c r="H77" i="76"/>
  <c r="D77" i="76"/>
  <c r="L77" i="76" s="1"/>
  <c r="B77" i="76"/>
  <c r="Z76" i="76"/>
  <c r="X76" i="76"/>
  <c r="N76" i="76"/>
  <c r="L76" i="76"/>
  <c r="B76" i="76"/>
  <c r="T75" i="76"/>
  <c r="P75" i="76"/>
  <c r="H75" i="76"/>
  <c r="N75" i="76" s="1"/>
  <c r="D75" i="76"/>
  <c r="L75" i="76" s="1"/>
  <c r="B75" i="76"/>
  <c r="X74" i="76"/>
  <c r="Z74" i="76" s="1"/>
  <c r="N74" i="76"/>
  <c r="L74" i="76"/>
  <c r="B74" i="76"/>
  <c r="T73" i="76"/>
  <c r="Z73" i="76" s="1"/>
  <c r="P73" i="76"/>
  <c r="X73" i="76" s="1"/>
  <c r="H73" i="76"/>
  <c r="L73" i="76" s="1"/>
  <c r="N73" i="76" s="1"/>
  <c r="D73" i="76"/>
  <c r="B73" i="76"/>
  <c r="X72" i="76"/>
  <c r="Z72" i="76" s="1"/>
  <c r="L72" i="76"/>
  <c r="N72" i="76" s="1"/>
  <c r="B72" i="76"/>
  <c r="Z71" i="76"/>
  <c r="X71" i="76"/>
  <c r="N71" i="76"/>
  <c r="L71" i="76"/>
  <c r="B71" i="76"/>
  <c r="Z70" i="76"/>
  <c r="X70" i="76"/>
  <c r="N70" i="76"/>
  <c r="L70" i="76"/>
  <c r="B70" i="76"/>
  <c r="Z69" i="76"/>
  <c r="X69" i="76"/>
  <c r="N69" i="76"/>
  <c r="L69" i="76"/>
  <c r="B69" i="76"/>
  <c r="X68" i="76"/>
  <c r="Z68" i="76" s="1"/>
  <c r="N68" i="76"/>
  <c r="L68" i="76"/>
  <c r="B68" i="76"/>
  <c r="T67" i="76"/>
  <c r="P67" i="76"/>
  <c r="X67" i="76" s="1"/>
  <c r="L67" i="76"/>
  <c r="N67" i="76" s="1"/>
  <c r="H67" i="76"/>
  <c r="D67" i="76"/>
  <c r="B67" i="76"/>
  <c r="Z66" i="76"/>
  <c r="X66" i="76"/>
  <c r="N66" i="76"/>
  <c r="L66" i="76"/>
  <c r="B66" i="76"/>
  <c r="T65" i="76"/>
  <c r="P65" i="76"/>
  <c r="X65" i="76" s="1"/>
  <c r="H65" i="76"/>
  <c r="L65" i="76" s="1"/>
  <c r="D65" i="76"/>
  <c r="B65" i="76"/>
  <c r="X64" i="76"/>
  <c r="Z64" i="76" s="1"/>
  <c r="N64" i="76"/>
  <c r="L64" i="76"/>
  <c r="B64" i="76"/>
  <c r="Z63" i="76"/>
  <c r="X63" i="76"/>
  <c r="N63" i="76"/>
  <c r="L63" i="76"/>
  <c r="B63" i="76"/>
  <c r="X62" i="76"/>
  <c r="Z62" i="76" s="1"/>
  <c r="V62" i="76"/>
  <c r="N62" i="76"/>
  <c r="L62" i="76"/>
  <c r="B62" i="76"/>
  <c r="T61" i="76"/>
  <c r="Z61" i="76" s="1"/>
  <c r="P61" i="76"/>
  <c r="X61" i="76" s="1"/>
  <c r="H61" i="76"/>
  <c r="D61" i="76"/>
  <c r="L61" i="76" s="1"/>
  <c r="N61" i="76" s="1"/>
  <c r="B61" i="76"/>
  <c r="X60" i="76"/>
  <c r="Z60" i="76" s="1"/>
  <c r="N60" i="76"/>
  <c r="L60" i="76"/>
  <c r="B60" i="76"/>
  <c r="Z59" i="76"/>
  <c r="X59" i="76"/>
  <c r="N59" i="76"/>
  <c r="L59" i="76"/>
  <c r="B59" i="76"/>
  <c r="Z58" i="76"/>
  <c r="X58" i="76"/>
  <c r="N58" i="76"/>
  <c r="L58" i="76"/>
  <c r="B58" i="76"/>
  <c r="X57" i="76"/>
  <c r="Z57" i="76" s="1"/>
  <c r="T57" i="76"/>
  <c r="P57" i="76"/>
  <c r="H57" i="76"/>
  <c r="D57" i="76"/>
  <c r="L57" i="76" s="1"/>
  <c r="B57" i="76"/>
  <c r="Z56" i="76"/>
  <c r="X56" i="76"/>
  <c r="L56" i="76"/>
  <c r="N56" i="76" s="1"/>
  <c r="B56" i="76"/>
  <c r="Z55" i="76"/>
  <c r="T55" i="76"/>
  <c r="X55" i="76" s="1"/>
  <c r="R55" i="76"/>
  <c r="P55" i="76"/>
  <c r="H55" i="76"/>
  <c r="D55" i="76"/>
  <c r="L55" i="76" s="1"/>
  <c r="B55" i="76"/>
  <c r="X54" i="76"/>
  <c r="Z54" i="76" s="1"/>
  <c r="N54" i="76"/>
  <c r="L54" i="76"/>
  <c r="B54" i="76"/>
  <c r="T53" i="76"/>
  <c r="Z53" i="76" s="1"/>
  <c r="P53" i="76"/>
  <c r="X53" i="76" s="1"/>
  <c r="N53" i="76"/>
  <c r="H53" i="76"/>
  <c r="D53" i="76"/>
  <c r="L53" i="76" s="1"/>
  <c r="B53" i="76"/>
  <c r="X52" i="76"/>
  <c r="Z52" i="76" s="1"/>
  <c r="N52" i="76"/>
  <c r="L52" i="76"/>
  <c r="B52" i="76"/>
  <c r="T51" i="76"/>
  <c r="Z51" i="76" s="1"/>
  <c r="P51" i="76"/>
  <c r="X51" i="76" s="1"/>
  <c r="N51" i="76"/>
  <c r="L51" i="76"/>
  <c r="H51" i="76"/>
  <c r="D51" i="76"/>
  <c r="B51" i="76"/>
  <c r="Z50" i="76"/>
  <c r="X50" i="76"/>
  <c r="L50" i="76"/>
  <c r="N50" i="76" s="1"/>
  <c r="B50" i="76"/>
  <c r="T49" i="76"/>
  <c r="P49" i="76"/>
  <c r="X49" i="76" s="1"/>
  <c r="H49" i="76"/>
  <c r="L49" i="76" s="1"/>
  <c r="D49" i="76"/>
  <c r="B49" i="76"/>
  <c r="X48" i="76"/>
  <c r="Z48" i="76" s="1"/>
  <c r="L48" i="76"/>
  <c r="N48" i="76" s="1"/>
  <c r="B48" i="76"/>
  <c r="Z47" i="76"/>
  <c r="T47" i="76"/>
  <c r="P47" i="76"/>
  <c r="X47" i="76" s="1"/>
  <c r="H47" i="76"/>
  <c r="D47" i="76"/>
  <c r="L47" i="76" s="1"/>
  <c r="B47" i="76"/>
  <c r="Z46" i="76"/>
  <c r="X46" i="76"/>
  <c r="N46" i="76"/>
  <c r="L46" i="76"/>
  <c r="B46" i="76"/>
  <c r="X45" i="76"/>
  <c r="Z45" i="76" s="1"/>
  <c r="L45" i="76"/>
  <c r="N45" i="76" s="1"/>
  <c r="B45" i="76"/>
  <c r="T44" i="76"/>
  <c r="P44" i="76"/>
  <c r="H44" i="76"/>
  <c r="N44" i="76" s="1"/>
  <c r="D44" i="76"/>
  <c r="L44" i="76" s="1"/>
  <c r="B44" i="76"/>
  <c r="Z43" i="76"/>
  <c r="X43" i="76"/>
  <c r="N43" i="76"/>
  <c r="L43" i="76"/>
  <c r="B43" i="76"/>
  <c r="V42" i="76"/>
  <c r="T42" i="76"/>
  <c r="P42" i="76"/>
  <c r="X42" i="76" s="1"/>
  <c r="L42" i="76"/>
  <c r="N42" i="76" s="1"/>
  <c r="H42" i="76"/>
  <c r="D42" i="76"/>
  <c r="B42" i="76"/>
  <c r="X41" i="76"/>
  <c r="Z41" i="76" s="1"/>
  <c r="L41" i="76"/>
  <c r="N41" i="76" s="1"/>
  <c r="B41" i="76"/>
  <c r="T40" i="76"/>
  <c r="P40" i="76"/>
  <c r="X40" i="76" s="1"/>
  <c r="Z40" i="76" s="1"/>
  <c r="H40" i="76"/>
  <c r="D40" i="76"/>
  <c r="B40" i="76"/>
  <c r="Z39" i="76"/>
  <c r="X39" i="76"/>
  <c r="R39" i="76"/>
  <c r="N39" i="76"/>
  <c r="L39" i="76"/>
  <c r="B39" i="76"/>
  <c r="T38" i="76"/>
  <c r="Z38" i="76" s="1"/>
  <c r="P38" i="76"/>
  <c r="X38" i="76" s="1"/>
  <c r="H38" i="76"/>
  <c r="N38" i="76" s="1"/>
  <c r="D38" i="76"/>
  <c r="L38" i="76" s="1"/>
  <c r="B38" i="76"/>
  <c r="X37" i="76"/>
  <c r="Z37" i="76" s="1"/>
  <c r="L37" i="76"/>
  <c r="N37" i="76" s="1"/>
  <c r="B37" i="76"/>
  <c r="Z36" i="76"/>
  <c r="X36" i="76"/>
  <c r="L36" i="76"/>
  <c r="N36" i="76" s="1"/>
  <c r="B36" i="76"/>
  <c r="Z35" i="76"/>
  <c r="X35" i="76"/>
  <c r="V35" i="76"/>
  <c r="N35" i="76"/>
  <c r="L35" i="76"/>
  <c r="B35" i="76"/>
  <c r="Z34" i="76"/>
  <c r="X34" i="76"/>
  <c r="N34" i="76"/>
  <c r="L34" i="76"/>
  <c r="B34" i="76"/>
  <c r="X33" i="76"/>
  <c r="Z33" i="76" s="1"/>
  <c r="L33" i="76"/>
  <c r="N33" i="76" s="1"/>
  <c r="B33" i="76"/>
  <c r="T32" i="76"/>
  <c r="P32" i="76"/>
  <c r="X32" i="76" s="1"/>
  <c r="Z32" i="76" s="1"/>
  <c r="H32" i="76"/>
  <c r="D32" i="76"/>
  <c r="B32" i="76"/>
  <c r="Z31" i="76"/>
  <c r="X31" i="76"/>
  <c r="N31" i="76"/>
  <c r="L31" i="76"/>
  <c r="B31" i="76"/>
  <c r="X30" i="76"/>
  <c r="Z30" i="76" s="1"/>
  <c r="N30" i="76"/>
  <c r="L30" i="76"/>
  <c r="B30" i="76"/>
  <c r="X29" i="76"/>
  <c r="Z29" i="76" s="1"/>
  <c r="N29" i="76"/>
  <c r="L29" i="76"/>
  <c r="B29" i="76"/>
  <c r="X28" i="76"/>
  <c r="Z28" i="76" s="1"/>
  <c r="L28" i="76"/>
  <c r="N28" i="76" s="1"/>
  <c r="B28" i="76"/>
  <c r="Z27" i="76"/>
  <c r="X27" i="76"/>
  <c r="N27" i="76"/>
  <c r="L27" i="76"/>
  <c r="B27" i="76"/>
  <c r="X26" i="76"/>
  <c r="Z26" i="76" s="1"/>
  <c r="N26" i="76"/>
  <c r="L26" i="76"/>
  <c r="B26" i="76"/>
  <c r="X25" i="76"/>
  <c r="Z25" i="76" s="1"/>
  <c r="N25" i="76"/>
  <c r="L25" i="76"/>
  <c r="B25" i="76"/>
  <c r="X24" i="76"/>
  <c r="Z24" i="76" s="1"/>
  <c r="N24" i="76"/>
  <c r="L24" i="76"/>
  <c r="B24" i="76"/>
  <c r="T23" i="76"/>
  <c r="P23" i="76"/>
  <c r="X23" i="76" s="1"/>
  <c r="Z23" i="76" s="1"/>
  <c r="H23" i="76"/>
  <c r="D23" i="76"/>
  <c r="L23" i="76" s="1"/>
  <c r="B23" i="76"/>
  <c r="T22" i="76"/>
  <c r="P22" i="76"/>
  <c r="X22" i="76" s="1"/>
  <c r="H22" i="76"/>
  <c r="N22" i="76" s="1"/>
  <c r="D22" i="76"/>
  <c r="L22" i="76" s="1"/>
  <c r="Z18" i="76"/>
  <c r="X18" i="76"/>
  <c r="L18" i="76"/>
  <c r="N18" i="76" s="1"/>
  <c r="B18" i="76"/>
  <c r="X17" i="76"/>
  <c r="Z17" i="76" s="1"/>
  <c r="V17" i="76"/>
  <c r="L17" i="76"/>
  <c r="N17" i="76" s="1"/>
  <c r="B17" i="76"/>
  <c r="T16" i="76"/>
  <c r="Z16" i="76" s="1"/>
  <c r="P16" i="76"/>
  <c r="X16" i="76" s="1"/>
  <c r="H16" i="76"/>
  <c r="D16" i="76"/>
  <c r="X14" i="76"/>
  <c r="Z14" i="76" s="1"/>
  <c r="T14" i="76"/>
  <c r="T12" i="76" s="1"/>
  <c r="V77" i="76" s="1"/>
  <c r="P14" i="76"/>
  <c r="N14" i="76"/>
  <c r="L14" i="76"/>
  <c r="H14" i="76"/>
  <c r="D14" i="76"/>
  <c r="B14" i="76"/>
  <c r="Z13" i="76"/>
  <c r="T13" i="76"/>
  <c r="P13" i="76"/>
  <c r="X13" i="76" s="1"/>
  <c r="H13" i="76"/>
  <c r="D13" i="76"/>
  <c r="B13" i="76"/>
  <c r="P12" i="76"/>
  <c r="R44" i="76" s="1"/>
  <c r="D6" i="76"/>
  <c r="D4" i="76"/>
  <c r="X29" i="75"/>
  <c r="Z29" i="75" s="1"/>
  <c r="L29" i="75"/>
  <c r="N29" i="75" s="1"/>
  <c r="T25" i="75"/>
  <c r="Z25" i="75" s="1"/>
  <c r="P25" i="75"/>
  <c r="X25" i="75" s="1"/>
  <c r="H25" i="75"/>
  <c r="N25" i="75" s="1"/>
  <c r="D25" i="75"/>
  <c r="L25" i="75" s="1"/>
  <c r="Z23" i="75"/>
  <c r="X23" i="75"/>
  <c r="T23" i="75"/>
  <c r="P23" i="75"/>
  <c r="H23" i="75"/>
  <c r="N23" i="75" s="1"/>
  <c r="D23" i="75"/>
  <c r="H21" i="75"/>
  <c r="Z19" i="75"/>
  <c r="X19" i="75"/>
  <c r="L19" i="75"/>
  <c r="N19" i="75" s="1"/>
  <c r="B19" i="75"/>
  <c r="Z18" i="75"/>
  <c r="X18" i="75"/>
  <c r="L18" i="75"/>
  <c r="N18" i="75" s="1"/>
  <c r="J18" i="75"/>
  <c r="F18" i="75"/>
  <c r="B18" i="75"/>
  <c r="T17" i="75"/>
  <c r="P17" i="75"/>
  <c r="X17" i="75" s="1"/>
  <c r="L17" i="75"/>
  <c r="H17" i="75"/>
  <c r="N17" i="75" s="1"/>
  <c r="D17" i="75"/>
  <c r="T15" i="75"/>
  <c r="P15" i="75"/>
  <c r="H15" i="75"/>
  <c r="D15" i="75"/>
  <c r="L15" i="75" s="1"/>
  <c r="B15" i="75"/>
  <c r="T14" i="75"/>
  <c r="P14" i="75"/>
  <c r="L14" i="75"/>
  <c r="H14" i="75"/>
  <c r="D14" i="75"/>
  <c r="B14" i="75"/>
  <c r="T13" i="75"/>
  <c r="T12" i="75" s="1"/>
  <c r="P13" i="75"/>
  <c r="X13" i="75" s="1"/>
  <c r="N13" i="75"/>
  <c r="L13" i="75"/>
  <c r="H13" i="75"/>
  <c r="D13" i="75"/>
  <c r="B13" i="75"/>
  <c r="L12" i="75"/>
  <c r="N12" i="75" s="1"/>
  <c r="H12" i="75"/>
  <c r="D12" i="75"/>
  <c r="D6" i="75"/>
  <c r="D4" i="75"/>
  <c r="F79" i="74"/>
  <c r="X74" i="74"/>
  <c r="Z74" i="74" s="1"/>
  <c r="L74" i="74"/>
  <c r="N74" i="74" s="1"/>
  <c r="Z70" i="74"/>
  <c r="V70" i="74"/>
  <c r="T70" i="74"/>
  <c r="P70" i="74"/>
  <c r="X70" i="74" s="1"/>
  <c r="N70" i="74"/>
  <c r="H70" i="74"/>
  <c r="D70" i="74"/>
  <c r="L70" i="74" s="1"/>
  <c r="X68" i="74"/>
  <c r="Z68" i="74" s="1"/>
  <c r="L68" i="74"/>
  <c r="N68" i="74" s="1"/>
  <c r="B68" i="74"/>
  <c r="X67" i="74"/>
  <c r="T67" i="74"/>
  <c r="P67" i="74"/>
  <c r="H67" i="74"/>
  <c r="D67" i="74"/>
  <c r="B67" i="74"/>
  <c r="Z66" i="74"/>
  <c r="X66" i="74"/>
  <c r="R66" i="74"/>
  <c r="N66" i="74"/>
  <c r="L66" i="74"/>
  <c r="B66" i="74"/>
  <c r="T65" i="74"/>
  <c r="P65" i="74"/>
  <c r="X65" i="74" s="1"/>
  <c r="H65" i="74"/>
  <c r="D65" i="74"/>
  <c r="L65" i="74" s="1"/>
  <c r="N65" i="74" s="1"/>
  <c r="B65" i="74"/>
  <c r="Z64" i="74"/>
  <c r="X64" i="74"/>
  <c r="L64" i="74"/>
  <c r="N64" i="74" s="1"/>
  <c r="B64" i="74"/>
  <c r="Z63" i="74"/>
  <c r="X63" i="74"/>
  <c r="L63" i="74"/>
  <c r="N63" i="74" s="1"/>
  <c r="B63" i="74"/>
  <c r="Z62" i="74"/>
  <c r="X62" i="74"/>
  <c r="R62" i="74"/>
  <c r="N62" i="74"/>
  <c r="L62" i="74"/>
  <c r="B62" i="74"/>
  <c r="Z61" i="74"/>
  <c r="X61" i="74"/>
  <c r="N61" i="74"/>
  <c r="L61" i="74"/>
  <c r="B61" i="74"/>
  <c r="Z60" i="74"/>
  <c r="X60" i="74"/>
  <c r="N60" i="74"/>
  <c r="L60" i="74"/>
  <c r="B60" i="74"/>
  <c r="Z59" i="74"/>
  <c r="X59" i="74"/>
  <c r="N59" i="74"/>
  <c r="L59" i="74"/>
  <c r="B59" i="74"/>
  <c r="Z58" i="74"/>
  <c r="X58" i="74"/>
  <c r="N58" i="74"/>
  <c r="L58" i="74"/>
  <c r="F58" i="74"/>
  <c r="B58" i="74"/>
  <c r="T57" i="74"/>
  <c r="P57" i="74"/>
  <c r="H57" i="74"/>
  <c r="D57" i="74"/>
  <c r="L57" i="74" s="1"/>
  <c r="B57" i="74"/>
  <c r="Z56" i="74"/>
  <c r="X56" i="74"/>
  <c r="L56" i="74"/>
  <c r="N56" i="74" s="1"/>
  <c r="B56" i="74"/>
  <c r="Z55" i="74"/>
  <c r="X55" i="74"/>
  <c r="R55" i="74"/>
  <c r="N55" i="74"/>
  <c r="L55" i="74"/>
  <c r="B55" i="74"/>
  <c r="X54" i="74"/>
  <c r="Z54" i="74" s="1"/>
  <c r="N54" i="74"/>
  <c r="L54" i="74"/>
  <c r="B54" i="74"/>
  <c r="T53" i="74"/>
  <c r="P53" i="74"/>
  <c r="H53" i="74"/>
  <c r="D53" i="74"/>
  <c r="B53" i="74"/>
  <c r="X52" i="74"/>
  <c r="Z52" i="74" s="1"/>
  <c r="L52" i="74"/>
  <c r="N52" i="74" s="1"/>
  <c r="B52" i="74"/>
  <c r="Z51" i="74"/>
  <c r="X51" i="74"/>
  <c r="V51" i="74"/>
  <c r="N51" i="74"/>
  <c r="L51" i="74"/>
  <c r="B51" i="74"/>
  <c r="T50" i="74"/>
  <c r="P50" i="74"/>
  <c r="H50" i="74"/>
  <c r="D50" i="74"/>
  <c r="L50" i="74" s="1"/>
  <c r="N50" i="74" s="1"/>
  <c r="B50" i="74"/>
  <c r="X49" i="74"/>
  <c r="Z49" i="74" s="1"/>
  <c r="V49" i="74"/>
  <c r="R49" i="74"/>
  <c r="L49" i="74"/>
  <c r="N49" i="74" s="1"/>
  <c r="B49" i="74"/>
  <c r="T48" i="74"/>
  <c r="P48" i="74"/>
  <c r="X48" i="74" s="1"/>
  <c r="Z48" i="74" s="1"/>
  <c r="N48" i="74"/>
  <c r="H48" i="74"/>
  <c r="D48" i="74"/>
  <c r="L48" i="74" s="1"/>
  <c r="B48" i="74"/>
  <c r="X47" i="74"/>
  <c r="Z47" i="74" s="1"/>
  <c r="N47" i="74"/>
  <c r="L47" i="74"/>
  <c r="F47" i="74"/>
  <c r="B47" i="74"/>
  <c r="V46" i="74"/>
  <c r="T46" i="74"/>
  <c r="P46" i="74"/>
  <c r="X46" i="74" s="1"/>
  <c r="N46" i="74"/>
  <c r="L46" i="74"/>
  <c r="H46" i="74"/>
  <c r="F46" i="74"/>
  <c r="D46" i="74"/>
  <c r="B46" i="74"/>
  <c r="X45" i="74"/>
  <c r="Z45" i="74" s="1"/>
  <c r="L45" i="74"/>
  <c r="N45" i="74" s="1"/>
  <c r="B45" i="74"/>
  <c r="T44" i="74"/>
  <c r="P44" i="74"/>
  <c r="X44" i="74" s="1"/>
  <c r="Z44" i="74" s="1"/>
  <c r="H44" i="74"/>
  <c r="F44" i="74"/>
  <c r="D44" i="74"/>
  <c r="B44" i="74"/>
  <c r="Z43" i="74"/>
  <c r="X43" i="74"/>
  <c r="L43" i="74"/>
  <c r="N43" i="74" s="1"/>
  <c r="B43" i="74"/>
  <c r="V42" i="74"/>
  <c r="T42" i="74"/>
  <c r="X42" i="74" s="1"/>
  <c r="Z42" i="74" s="1"/>
  <c r="P42" i="74"/>
  <c r="H42" i="74"/>
  <c r="D42" i="74"/>
  <c r="L42" i="74" s="1"/>
  <c r="N42" i="74" s="1"/>
  <c r="B42" i="74"/>
  <c r="X41" i="74"/>
  <c r="Z41" i="74" s="1"/>
  <c r="L41" i="74"/>
  <c r="N41" i="74" s="1"/>
  <c r="B41" i="74"/>
  <c r="X40" i="74"/>
  <c r="Z40" i="74" s="1"/>
  <c r="V40" i="74"/>
  <c r="T40" i="74"/>
  <c r="P40" i="74"/>
  <c r="H40" i="74"/>
  <c r="D40" i="74"/>
  <c r="L40" i="74" s="1"/>
  <c r="B40" i="74"/>
  <c r="X39" i="74"/>
  <c r="Z39" i="74" s="1"/>
  <c r="R39" i="74"/>
  <c r="N39" i="74"/>
  <c r="L39" i="74"/>
  <c r="B39" i="74"/>
  <c r="T38" i="74"/>
  <c r="P38" i="74"/>
  <c r="H38" i="74"/>
  <c r="D38" i="74"/>
  <c r="L38" i="74" s="1"/>
  <c r="N38" i="74" s="1"/>
  <c r="B38" i="74"/>
  <c r="X37" i="74"/>
  <c r="Z37" i="74" s="1"/>
  <c r="V37" i="74"/>
  <c r="L37" i="74"/>
  <c r="N37" i="74" s="1"/>
  <c r="B37" i="74"/>
  <c r="Z36" i="74"/>
  <c r="X36" i="74"/>
  <c r="L36" i="74"/>
  <c r="N36" i="74" s="1"/>
  <c r="B36" i="74"/>
  <c r="Z35" i="74"/>
  <c r="X35" i="74"/>
  <c r="L35" i="74"/>
  <c r="N35" i="74" s="1"/>
  <c r="B35" i="74"/>
  <c r="Z34" i="74"/>
  <c r="X34" i="74"/>
  <c r="V34" i="74"/>
  <c r="N34" i="74"/>
  <c r="L34" i="74"/>
  <c r="B34" i="74"/>
  <c r="X33" i="74"/>
  <c r="Z33" i="74" s="1"/>
  <c r="V33" i="74"/>
  <c r="L33" i="74"/>
  <c r="N33" i="74" s="1"/>
  <c r="B33" i="74"/>
  <c r="V32" i="74"/>
  <c r="T32" i="74"/>
  <c r="P32" i="74"/>
  <c r="X32" i="74" s="1"/>
  <c r="Z32" i="74" s="1"/>
  <c r="H32" i="74"/>
  <c r="D32" i="74"/>
  <c r="L32" i="74" s="1"/>
  <c r="N32" i="74" s="1"/>
  <c r="B32" i="74"/>
  <c r="X31" i="74"/>
  <c r="Z31" i="74" s="1"/>
  <c r="L31" i="74"/>
  <c r="N31" i="74" s="1"/>
  <c r="F31" i="74"/>
  <c r="B31" i="74"/>
  <c r="X30" i="74"/>
  <c r="Z30" i="74" s="1"/>
  <c r="V30" i="74"/>
  <c r="N30" i="74"/>
  <c r="L30" i="74"/>
  <c r="B30" i="74"/>
  <c r="X29" i="74"/>
  <c r="Z29" i="74" s="1"/>
  <c r="L29" i="74"/>
  <c r="N29" i="74" s="1"/>
  <c r="B29" i="74"/>
  <c r="X28" i="74"/>
  <c r="Z28" i="74" s="1"/>
  <c r="V28" i="74"/>
  <c r="N28" i="74"/>
  <c r="L28" i="74"/>
  <c r="B28" i="74"/>
  <c r="X27" i="74"/>
  <c r="Z27" i="74" s="1"/>
  <c r="N27" i="74"/>
  <c r="L27" i="74"/>
  <c r="F27" i="74"/>
  <c r="B27" i="74"/>
  <c r="X26" i="74"/>
  <c r="Z26" i="74" s="1"/>
  <c r="V26" i="74"/>
  <c r="N26" i="74"/>
  <c r="L26" i="74"/>
  <c r="F26" i="74"/>
  <c r="B26" i="74"/>
  <c r="X25" i="74"/>
  <c r="Z25" i="74" s="1"/>
  <c r="L25" i="74"/>
  <c r="N25" i="74" s="1"/>
  <c r="B25" i="74"/>
  <c r="X24" i="74"/>
  <c r="Z24" i="74" s="1"/>
  <c r="V24" i="74"/>
  <c r="N24" i="74"/>
  <c r="L24" i="74"/>
  <c r="B24" i="74"/>
  <c r="T23" i="74"/>
  <c r="R23" i="74"/>
  <c r="P23" i="74"/>
  <c r="X23" i="74" s="1"/>
  <c r="L23" i="74"/>
  <c r="H23" i="74"/>
  <c r="N23" i="74" s="1"/>
  <c r="D23" i="74"/>
  <c r="B23" i="74"/>
  <c r="T22" i="74"/>
  <c r="P22" i="74"/>
  <c r="H22" i="74"/>
  <c r="D22" i="74"/>
  <c r="L22" i="74" s="1"/>
  <c r="N22" i="74" s="1"/>
  <c r="T20" i="74"/>
  <c r="R20" i="74"/>
  <c r="Z18" i="74"/>
  <c r="X18" i="74"/>
  <c r="N18" i="74"/>
  <c r="L18" i="74"/>
  <c r="B18" i="74"/>
  <c r="X17" i="74"/>
  <c r="Z17" i="74" s="1"/>
  <c r="L17" i="74"/>
  <c r="N17" i="74" s="1"/>
  <c r="J17" i="74"/>
  <c r="F17" i="74"/>
  <c r="B17" i="74"/>
  <c r="Z16" i="74"/>
  <c r="T16" i="74"/>
  <c r="P16" i="74"/>
  <c r="X16" i="74" s="1"/>
  <c r="H16" i="74"/>
  <c r="F16" i="74"/>
  <c r="D16" i="74"/>
  <c r="T14" i="74"/>
  <c r="P14" i="74"/>
  <c r="X14" i="74" s="1"/>
  <c r="Z14" i="74" s="1"/>
  <c r="H14" i="74"/>
  <c r="L14" i="74" s="1"/>
  <c r="N14" i="74" s="1"/>
  <c r="D14" i="74"/>
  <c r="B14" i="74"/>
  <c r="T13" i="74"/>
  <c r="P13" i="74"/>
  <c r="X13" i="74" s="1"/>
  <c r="Z13" i="74" s="1"/>
  <c r="H13" i="74"/>
  <c r="D13" i="74"/>
  <c r="D12" i="74" s="1"/>
  <c r="F54" i="74" s="1"/>
  <c r="B13" i="74"/>
  <c r="T12" i="74"/>
  <c r="V66" i="74" s="1"/>
  <c r="P12" i="74"/>
  <c r="R37" i="74" s="1"/>
  <c r="H12" i="74"/>
  <c r="D6" i="74"/>
  <c r="D4" i="74"/>
  <c r="Z73" i="73"/>
  <c r="X73" i="73"/>
  <c r="L73" i="73"/>
  <c r="N73" i="73" s="1"/>
  <c r="F71" i="73"/>
  <c r="Z69" i="73"/>
  <c r="T69" i="73"/>
  <c r="P69" i="73"/>
  <c r="X69" i="73" s="1"/>
  <c r="H69" i="73"/>
  <c r="N69" i="73" s="1"/>
  <c r="F69" i="73"/>
  <c r="D69" i="73"/>
  <c r="L69" i="73" s="1"/>
  <c r="Z67" i="73"/>
  <c r="X67" i="73"/>
  <c r="N67" i="73"/>
  <c r="L67" i="73"/>
  <c r="B67" i="73"/>
  <c r="X66" i="73"/>
  <c r="T66" i="73"/>
  <c r="Z66" i="73" s="1"/>
  <c r="P66" i="73"/>
  <c r="L66" i="73"/>
  <c r="H66" i="73"/>
  <c r="N66" i="73" s="1"/>
  <c r="D66" i="73"/>
  <c r="B66" i="73"/>
  <c r="Z65" i="73"/>
  <c r="X65" i="73"/>
  <c r="L65" i="73"/>
  <c r="N65" i="73" s="1"/>
  <c r="B65" i="73"/>
  <c r="T64" i="73"/>
  <c r="P64" i="73"/>
  <c r="X64" i="73" s="1"/>
  <c r="H64" i="73"/>
  <c r="D64" i="73"/>
  <c r="L64" i="73" s="1"/>
  <c r="B64" i="73"/>
  <c r="X63" i="73"/>
  <c r="Z63" i="73" s="1"/>
  <c r="N63" i="73"/>
  <c r="L63" i="73"/>
  <c r="B63" i="73"/>
  <c r="X62" i="73"/>
  <c r="Z62" i="73" s="1"/>
  <c r="N62" i="73"/>
  <c r="L62" i="73"/>
  <c r="F62" i="73"/>
  <c r="B62" i="73"/>
  <c r="X61" i="73"/>
  <c r="Z61" i="73" s="1"/>
  <c r="N61" i="73"/>
  <c r="L61" i="73"/>
  <c r="F61" i="73"/>
  <c r="B61" i="73"/>
  <c r="Z60" i="73"/>
  <c r="X60" i="73"/>
  <c r="N60" i="73"/>
  <c r="L60" i="73"/>
  <c r="B60" i="73"/>
  <c r="X59" i="73"/>
  <c r="Z59" i="73" s="1"/>
  <c r="N59" i="73"/>
  <c r="L59" i="73"/>
  <c r="B59" i="73"/>
  <c r="T58" i="73"/>
  <c r="Z58" i="73" s="1"/>
  <c r="R58" i="73"/>
  <c r="P58" i="73"/>
  <c r="X58" i="73" s="1"/>
  <c r="L58" i="73"/>
  <c r="N58" i="73" s="1"/>
  <c r="H58" i="73"/>
  <c r="D58" i="73"/>
  <c r="B58" i="73"/>
  <c r="Z57" i="73"/>
  <c r="X57" i="73"/>
  <c r="N57" i="73"/>
  <c r="L57" i="73"/>
  <c r="B57" i="73"/>
  <c r="X56" i="73"/>
  <c r="Z56" i="73" s="1"/>
  <c r="L56" i="73"/>
  <c r="N56" i="73" s="1"/>
  <c r="F56" i="73"/>
  <c r="B56" i="73"/>
  <c r="Z55" i="73"/>
  <c r="X55" i="73"/>
  <c r="N55" i="73"/>
  <c r="L55" i="73"/>
  <c r="B55" i="73"/>
  <c r="Z54" i="73"/>
  <c r="X54" i="73"/>
  <c r="T54" i="73"/>
  <c r="P54" i="73"/>
  <c r="L54" i="73"/>
  <c r="H54" i="73"/>
  <c r="N54" i="73" s="1"/>
  <c r="D54" i="73"/>
  <c r="B54" i="73"/>
  <c r="Z53" i="73"/>
  <c r="X53" i="73"/>
  <c r="L53" i="73"/>
  <c r="N53" i="73" s="1"/>
  <c r="B53" i="73"/>
  <c r="T52" i="73"/>
  <c r="P52" i="73"/>
  <c r="X52" i="73" s="1"/>
  <c r="H52" i="73"/>
  <c r="D52" i="73"/>
  <c r="L52" i="73" s="1"/>
  <c r="B52" i="73"/>
  <c r="X51" i="73"/>
  <c r="Z51" i="73" s="1"/>
  <c r="N51" i="73"/>
  <c r="L51" i="73"/>
  <c r="B51" i="73"/>
  <c r="X50" i="73"/>
  <c r="Z50" i="73" s="1"/>
  <c r="N50" i="73"/>
  <c r="L50" i="73"/>
  <c r="F50" i="73"/>
  <c r="B50" i="73"/>
  <c r="X49" i="73"/>
  <c r="Z49" i="73" s="1"/>
  <c r="N49" i="73"/>
  <c r="L49" i="73"/>
  <c r="F49" i="73"/>
  <c r="B49" i="73"/>
  <c r="X48" i="73"/>
  <c r="Z48" i="73" s="1"/>
  <c r="T48" i="73"/>
  <c r="P48" i="73"/>
  <c r="H48" i="73"/>
  <c r="N48" i="73" s="1"/>
  <c r="F48" i="73"/>
  <c r="D48" i="73"/>
  <c r="L48" i="73" s="1"/>
  <c r="B48" i="73"/>
  <c r="Z47" i="73"/>
  <c r="X47" i="73"/>
  <c r="N47" i="73"/>
  <c r="L47" i="73"/>
  <c r="B47" i="73"/>
  <c r="T46" i="73"/>
  <c r="P46" i="73"/>
  <c r="L46" i="73"/>
  <c r="H46" i="73"/>
  <c r="N46" i="73" s="1"/>
  <c r="D46" i="73"/>
  <c r="B46" i="73"/>
  <c r="Z45" i="73"/>
  <c r="X45" i="73"/>
  <c r="L45" i="73"/>
  <c r="N45" i="73" s="1"/>
  <c r="B45" i="73"/>
  <c r="T44" i="73"/>
  <c r="P44" i="73"/>
  <c r="X44" i="73" s="1"/>
  <c r="H44" i="73"/>
  <c r="D44" i="73"/>
  <c r="L44" i="73" s="1"/>
  <c r="B44" i="73"/>
  <c r="X43" i="73"/>
  <c r="Z43" i="73" s="1"/>
  <c r="N43" i="73"/>
  <c r="L43" i="73"/>
  <c r="B43" i="73"/>
  <c r="T42" i="73"/>
  <c r="P42" i="73"/>
  <c r="X42" i="73" s="1"/>
  <c r="L42" i="73"/>
  <c r="N42" i="73" s="1"/>
  <c r="H42" i="73"/>
  <c r="D42" i="73"/>
  <c r="B42" i="73"/>
  <c r="Z41" i="73"/>
  <c r="X41" i="73"/>
  <c r="N41" i="73"/>
  <c r="L41" i="73"/>
  <c r="B41" i="73"/>
  <c r="X40" i="73"/>
  <c r="T40" i="73"/>
  <c r="Z40" i="73" s="1"/>
  <c r="P40" i="73"/>
  <c r="H40" i="73"/>
  <c r="L40" i="73" s="1"/>
  <c r="N40" i="73" s="1"/>
  <c r="D40" i="73"/>
  <c r="B40" i="73"/>
  <c r="Z39" i="73"/>
  <c r="X39" i="73"/>
  <c r="L39" i="73"/>
  <c r="N39" i="73" s="1"/>
  <c r="B39" i="73"/>
  <c r="T38" i="73"/>
  <c r="Z38" i="73" s="1"/>
  <c r="P38" i="73"/>
  <c r="X38" i="73" s="1"/>
  <c r="H38" i="73"/>
  <c r="D38" i="73"/>
  <c r="L38" i="73" s="1"/>
  <c r="B38" i="73"/>
  <c r="X37" i="73"/>
  <c r="Z37" i="73" s="1"/>
  <c r="N37" i="73"/>
  <c r="L37" i="73"/>
  <c r="F37" i="73"/>
  <c r="B37" i="73"/>
  <c r="X36" i="73"/>
  <c r="Z36" i="73" s="1"/>
  <c r="L36" i="73"/>
  <c r="N36" i="73" s="1"/>
  <c r="F36" i="73"/>
  <c r="B36" i="73"/>
  <c r="X35" i="73"/>
  <c r="Z35" i="73" s="1"/>
  <c r="N35" i="73"/>
  <c r="L35" i="73"/>
  <c r="B35" i="73"/>
  <c r="X34" i="73"/>
  <c r="Z34" i="73" s="1"/>
  <c r="L34" i="73"/>
  <c r="N34" i="73" s="1"/>
  <c r="F34" i="73"/>
  <c r="B34" i="73"/>
  <c r="X33" i="73"/>
  <c r="Z33" i="73" s="1"/>
  <c r="N33" i="73"/>
  <c r="L33" i="73"/>
  <c r="F33" i="73"/>
  <c r="B33" i="73"/>
  <c r="X32" i="73"/>
  <c r="T32" i="73"/>
  <c r="P32" i="73"/>
  <c r="H32" i="73"/>
  <c r="F32" i="73"/>
  <c r="D32" i="73"/>
  <c r="L32" i="73" s="1"/>
  <c r="B32" i="73"/>
  <c r="Z31" i="73"/>
  <c r="X31" i="73"/>
  <c r="N31" i="73"/>
  <c r="L31" i="73"/>
  <c r="B31" i="73"/>
  <c r="Z30" i="73"/>
  <c r="X30" i="73"/>
  <c r="N30" i="73"/>
  <c r="L30" i="73"/>
  <c r="F30" i="73"/>
  <c r="B30" i="73"/>
  <c r="Z29" i="73"/>
  <c r="X29" i="73"/>
  <c r="N29" i="73"/>
  <c r="L29" i="73"/>
  <c r="B29" i="73"/>
  <c r="X28" i="73"/>
  <c r="Z28" i="73" s="1"/>
  <c r="N28" i="73"/>
  <c r="L28" i="73"/>
  <c r="F28" i="73"/>
  <c r="B28" i="73"/>
  <c r="Z27" i="73"/>
  <c r="X27" i="73"/>
  <c r="N27" i="73"/>
  <c r="L27" i="73"/>
  <c r="B27" i="73"/>
  <c r="X26" i="73"/>
  <c r="Z26" i="73" s="1"/>
  <c r="N26" i="73"/>
  <c r="L26" i="73"/>
  <c r="F26" i="73"/>
  <c r="B26" i="73"/>
  <c r="Z25" i="73"/>
  <c r="X25" i="73"/>
  <c r="N25" i="73"/>
  <c r="L25" i="73"/>
  <c r="B25" i="73"/>
  <c r="X24" i="73"/>
  <c r="Z24" i="73" s="1"/>
  <c r="L24" i="73"/>
  <c r="N24" i="73" s="1"/>
  <c r="F24" i="73"/>
  <c r="B24" i="73"/>
  <c r="Z23" i="73"/>
  <c r="T23" i="73"/>
  <c r="P23" i="73"/>
  <c r="X23" i="73" s="1"/>
  <c r="H23" i="73"/>
  <c r="F23" i="73"/>
  <c r="D23" i="73"/>
  <c r="B23" i="73"/>
  <c r="T22" i="73"/>
  <c r="P22" i="73"/>
  <c r="X22" i="73" s="1"/>
  <c r="H22" i="73"/>
  <c r="D22" i="73"/>
  <c r="D20" i="73"/>
  <c r="Z18" i="73"/>
  <c r="X18" i="73"/>
  <c r="L18" i="73"/>
  <c r="N18" i="73" s="1"/>
  <c r="B18" i="73"/>
  <c r="Z17" i="73"/>
  <c r="X17" i="73"/>
  <c r="N17" i="73"/>
  <c r="L17" i="73"/>
  <c r="B17" i="73"/>
  <c r="T16" i="73"/>
  <c r="P16" i="73"/>
  <c r="X16" i="73" s="1"/>
  <c r="H16" i="73"/>
  <c r="D16" i="73"/>
  <c r="L16" i="73" s="1"/>
  <c r="T14" i="73"/>
  <c r="P14" i="73"/>
  <c r="L14" i="73"/>
  <c r="H14" i="73"/>
  <c r="N14" i="73" s="1"/>
  <c r="D14" i="73"/>
  <c r="B14" i="73"/>
  <c r="T13" i="73"/>
  <c r="P13" i="73"/>
  <c r="L13" i="73"/>
  <c r="H13" i="73"/>
  <c r="D13" i="73"/>
  <c r="B13" i="73"/>
  <c r="P12" i="73"/>
  <c r="D12" i="73"/>
  <c r="F57" i="73" s="1"/>
  <c r="D6" i="73"/>
  <c r="D4" i="73"/>
  <c r="X67" i="72"/>
  <c r="Z67" i="72" s="1"/>
  <c r="L67" i="72"/>
  <c r="N67" i="72" s="1"/>
  <c r="V63" i="72"/>
  <c r="T63" i="72"/>
  <c r="P63" i="72"/>
  <c r="X63" i="72" s="1"/>
  <c r="H63" i="72"/>
  <c r="N63" i="72" s="1"/>
  <c r="D63" i="72"/>
  <c r="L63" i="72" s="1"/>
  <c r="B63" i="72"/>
  <c r="X62" i="72"/>
  <c r="Z62" i="72" s="1"/>
  <c r="V62" i="72"/>
  <c r="T62" i="72"/>
  <c r="P62" i="72"/>
  <c r="H62" i="72"/>
  <c r="N62" i="72" s="1"/>
  <c r="D62" i="72"/>
  <c r="L62" i="72" s="1"/>
  <c r="B62" i="72"/>
  <c r="T61" i="72"/>
  <c r="P61" i="72"/>
  <c r="L61" i="72"/>
  <c r="H61" i="72"/>
  <c r="N61" i="72" s="1"/>
  <c r="D61" i="72"/>
  <c r="B61" i="72"/>
  <c r="Z60" i="72"/>
  <c r="X60" i="72"/>
  <c r="V60" i="72"/>
  <c r="T60" i="72"/>
  <c r="P60" i="72"/>
  <c r="N60" i="72"/>
  <c r="H60" i="72"/>
  <c r="D60" i="72"/>
  <c r="L60" i="72" s="1"/>
  <c r="B60" i="72"/>
  <c r="X59" i="72"/>
  <c r="Z59" i="72" s="1"/>
  <c r="T59" i="72"/>
  <c r="P59" i="72"/>
  <c r="H59" i="72"/>
  <c r="D59" i="72"/>
  <c r="B59" i="72"/>
  <c r="H58" i="72"/>
  <c r="Z56" i="72"/>
  <c r="X56" i="72"/>
  <c r="N56" i="72"/>
  <c r="L56" i="72"/>
  <c r="B56" i="72"/>
  <c r="T55" i="72"/>
  <c r="X55" i="72" s="1"/>
  <c r="Z55" i="72" s="1"/>
  <c r="P55" i="72"/>
  <c r="L55" i="72"/>
  <c r="H55" i="72"/>
  <c r="N55" i="72" s="1"/>
  <c r="D55" i="72"/>
  <c r="B55" i="72"/>
  <c r="Z54" i="72"/>
  <c r="X54" i="72"/>
  <c r="V54" i="72"/>
  <c r="L54" i="72"/>
  <c r="N54" i="72" s="1"/>
  <c r="B54" i="72"/>
  <c r="X53" i="72"/>
  <c r="Z53" i="72" s="1"/>
  <c r="V53" i="72"/>
  <c r="L53" i="72"/>
  <c r="N53" i="72" s="1"/>
  <c r="B53" i="72"/>
  <c r="V52" i="72"/>
  <c r="T52" i="72"/>
  <c r="P52" i="72"/>
  <c r="X52" i="72" s="1"/>
  <c r="Z52" i="72" s="1"/>
  <c r="H52" i="72"/>
  <c r="D52" i="72"/>
  <c r="L52" i="72" s="1"/>
  <c r="N52" i="72" s="1"/>
  <c r="B52" i="72"/>
  <c r="X51" i="72"/>
  <c r="Z51" i="72" s="1"/>
  <c r="N51" i="72"/>
  <c r="L51" i="72"/>
  <c r="B51" i="72"/>
  <c r="X50" i="72"/>
  <c r="V50" i="72"/>
  <c r="T50" i="72"/>
  <c r="Z50" i="72" s="1"/>
  <c r="P50" i="72"/>
  <c r="L50" i="72"/>
  <c r="N50" i="72" s="1"/>
  <c r="H50" i="72"/>
  <c r="D50" i="72"/>
  <c r="B50" i="72"/>
  <c r="X49" i="72"/>
  <c r="Z49" i="72" s="1"/>
  <c r="N49" i="72"/>
  <c r="L49" i="72"/>
  <c r="B49" i="72"/>
  <c r="T48" i="72"/>
  <c r="X48" i="72" s="1"/>
  <c r="Z48" i="72" s="1"/>
  <c r="P48" i="72"/>
  <c r="H48" i="72"/>
  <c r="N48" i="72" s="1"/>
  <c r="D48" i="72"/>
  <c r="B48" i="72"/>
  <c r="Z47" i="72"/>
  <c r="X47" i="72"/>
  <c r="L47" i="72"/>
  <c r="N47" i="72" s="1"/>
  <c r="B47" i="72"/>
  <c r="Z46" i="72"/>
  <c r="X46" i="72"/>
  <c r="V46" i="72"/>
  <c r="L46" i="72"/>
  <c r="N46" i="72" s="1"/>
  <c r="B46" i="72"/>
  <c r="V45" i="72"/>
  <c r="T45" i="72"/>
  <c r="P45" i="72"/>
  <c r="X45" i="72" s="1"/>
  <c r="H45" i="72"/>
  <c r="D45" i="72"/>
  <c r="L45" i="72" s="1"/>
  <c r="B45" i="72"/>
  <c r="X44" i="72"/>
  <c r="Z44" i="72" s="1"/>
  <c r="V44" i="72"/>
  <c r="N44" i="72"/>
  <c r="L44" i="72"/>
  <c r="B44" i="72"/>
  <c r="T43" i="72"/>
  <c r="P43" i="72"/>
  <c r="X43" i="72" s="1"/>
  <c r="L43" i="72"/>
  <c r="N43" i="72" s="1"/>
  <c r="H43" i="72"/>
  <c r="D43" i="72"/>
  <c r="B43" i="72"/>
  <c r="Z42" i="72"/>
  <c r="X42" i="72"/>
  <c r="N42" i="72"/>
  <c r="L42" i="72"/>
  <c r="B42" i="72"/>
  <c r="X41" i="72"/>
  <c r="T41" i="72"/>
  <c r="P41" i="72"/>
  <c r="L41" i="72"/>
  <c r="H41" i="72"/>
  <c r="N41" i="72" s="1"/>
  <c r="D41" i="72"/>
  <c r="B41" i="72"/>
  <c r="Z40" i="72"/>
  <c r="X40" i="72"/>
  <c r="V40" i="72"/>
  <c r="L40" i="72"/>
  <c r="N40" i="72" s="1"/>
  <c r="B40" i="72"/>
  <c r="X39" i="72"/>
  <c r="Z39" i="72" s="1"/>
  <c r="L39" i="72"/>
  <c r="N39" i="72" s="1"/>
  <c r="B39" i="72"/>
  <c r="Z38" i="72"/>
  <c r="X38" i="72"/>
  <c r="V38" i="72"/>
  <c r="L38" i="72"/>
  <c r="N38" i="72" s="1"/>
  <c r="B38" i="72"/>
  <c r="X37" i="72"/>
  <c r="Z37" i="72" s="1"/>
  <c r="V37" i="72"/>
  <c r="L37" i="72"/>
  <c r="N37" i="72" s="1"/>
  <c r="B37" i="72"/>
  <c r="Z36" i="72"/>
  <c r="X36" i="72"/>
  <c r="V36" i="72"/>
  <c r="N36" i="72"/>
  <c r="L36" i="72"/>
  <c r="B36" i="72"/>
  <c r="T35" i="72"/>
  <c r="P35" i="72"/>
  <c r="X35" i="72" s="1"/>
  <c r="H35" i="72"/>
  <c r="D35" i="72"/>
  <c r="L35" i="72" s="1"/>
  <c r="B35" i="72"/>
  <c r="X34" i="72"/>
  <c r="Z34" i="72" s="1"/>
  <c r="V34" i="72"/>
  <c r="N34" i="72"/>
  <c r="L34" i="72"/>
  <c r="B34" i="72"/>
  <c r="X33" i="72"/>
  <c r="Z33" i="72" s="1"/>
  <c r="N33" i="72"/>
  <c r="L33" i="72"/>
  <c r="B33" i="72"/>
  <c r="X32" i="72"/>
  <c r="Z32" i="72" s="1"/>
  <c r="V32" i="72"/>
  <c r="N32" i="72"/>
  <c r="L32" i="72"/>
  <c r="B32" i="72"/>
  <c r="X31" i="72"/>
  <c r="Z31" i="72" s="1"/>
  <c r="N31" i="72"/>
  <c r="L31" i="72"/>
  <c r="B31" i="72"/>
  <c r="X30" i="72"/>
  <c r="Z30" i="72" s="1"/>
  <c r="V30" i="72"/>
  <c r="N30" i="72"/>
  <c r="L30" i="72"/>
  <c r="B30" i="72"/>
  <c r="X29" i="72"/>
  <c r="Z29" i="72" s="1"/>
  <c r="N29" i="72"/>
  <c r="L29" i="72"/>
  <c r="B29" i="72"/>
  <c r="X28" i="72"/>
  <c r="Z28" i="72" s="1"/>
  <c r="V28" i="72"/>
  <c r="N28" i="72"/>
  <c r="L28" i="72"/>
  <c r="B28" i="72"/>
  <c r="T27" i="72"/>
  <c r="P27" i="72"/>
  <c r="X27" i="72" s="1"/>
  <c r="H27" i="72"/>
  <c r="D27" i="72"/>
  <c r="L27" i="72" s="1"/>
  <c r="B27" i="72"/>
  <c r="T26" i="72"/>
  <c r="Z26" i="72" s="1"/>
  <c r="P26" i="72"/>
  <c r="X26" i="72" s="1"/>
  <c r="H26" i="72"/>
  <c r="D26" i="72"/>
  <c r="L26" i="72" s="1"/>
  <c r="N26" i="72" s="1"/>
  <c r="Z22" i="72"/>
  <c r="X22" i="72"/>
  <c r="N22" i="72"/>
  <c r="L22" i="72"/>
  <c r="B22" i="72"/>
  <c r="X21" i="72"/>
  <c r="Z21" i="72" s="1"/>
  <c r="L21" i="72"/>
  <c r="N21" i="72" s="1"/>
  <c r="B21" i="72"/>
  <c r="Z20" i="72"/>
  <c r="X20" i="72"/>
  <c r="N20" i="72"/>
  <c r="L20" i="72"/>
  <c r="B20" i="72"/>
  <c r="X19" i="72"/>
  <c r="Z19" i="72" s="1"/>
  <c r="N19" i="72"/>
  <c r="L19" i="72"/>
  <c r="B19" i="72"/>
  <c r="Z18" i="72"/>
  <c r="X18" i="72"/>
  <c r="N18" i="72"/>
  <c r="L18" i="72"/>
  <c r="B18" i="72"/>
  <c r="T17" i="72"/>
  <c r="P17" i="72"/>
  <c r="H17" i="72"/>
  <c r="D17" i="72"/>
  <c r="T15" i="72"/>
  <c r="P15" i="72"/>
  <c r="H15" i="72"/>
  <c r="D15" i="72"/>
  <c r="L15" i="72" s="1"/>
  <c r="B15" i="72"/>
  <c r="Z14" i="72"/>
  <c r="T14" i="72"/>
  <c r="P14" i="72"/>
  <c r="X14" i="72" s="1"/>
  <c r="H14" i="72"/>
  <c r="L14" i="72" s="1"/>
  <c r="D14" i="72"/>
  <c r="B14" i="72"/>
  <c r="X13" i="72"/>
  <c r="Z13" i="72" s="1"/>
  <c r="T13" i="72"/>
  <c r="P13" i="72"/>
  <c r="H13" i="72"/>
  <c r="D13" i="72"/>
  <c r="B13" i="72"/>
  <c r="T12" i="72"/>
  <c r="H12" i="72"/>
  <c r="J46" i="72" s="1"/>
  <c r="D6" i="72"/>
  <c r="D4" i="72"/>
  <c r="Z115" i="71"/>
  <c r="X115" i="71"/>
  <c r="L115" i="71"/>
  <c r="N115" i="71" s="1"/>
  <c r="Z111" i="71"/>
  <c r="T111" i="71"/>
  <c r="P111" i="71"/>
  <c r="X111" i="71" s="1"/>
  <c r="H111" i="71"/>
  <c r="N111" i="71" s="1"/>
  <c r="D111" i="71"/>
  <c r="L111" i="71" s="1"/>
  <c r="B111" i="71"/>
  <c r="T110" i="71"/>
  <c r="P110" i="71"/>
  <c r="H110" i="71"/>
  <c r="D110" i="71"/>
  <c r="B110" i="71"/>
  <c r="X109" i="71"/>
  <c r="T109" i="71"/>
  <c r="Z109" i="71" s="1"/>
  <c r="P109" i="71"/>
  <c r="N109" i="71"/>
  <c r="L109" i="71"/>
  <c r="H109" i="71"/>
  <c r="F109" i="71"/>
  <c r="D109" i="71"/>
  <c r="B109" i="71"/>
  <c r="X108" i="71"/>
  <c r="T108" i="71"/>
  <c r="P108" i="71"/>
  <c r="L108" i="71"/>
  <c r="N108" i="71" s="1"/>
  <c r="H108" i="71"/>
  <c r="D108" i="71"/>
  <c r="B108" i="71"/>
  <c r="P107" i="71"/>
  <c r="Z105" i="71"/>
  <c r="X105" i="71"/>
  <c r="N105" i="71"/>
  <c r="L105" i="71"/>
  <c r="B105" i="71"/>
  <c r="T104" i="71"/>
  <c r="P104" i="71"/>
  <c r="X104" i="71" s="1"/>
  <c r="H104" i="71"/>
  <c r="N104" i="71" s="1"/>
  <c r="D104" i="71"/>
  <c r="L104" i="71" s="1"/>
  <c r="B104" i="71"/>
  <c r="X103" i="71"/>
  <c r="Z103" i="71" s="1"/>
  <c r="N103" i="71"/>
  <c r="L103" i="71"/>
  <c r="B103" i="71"/>
  <c r="T102" i="71"/>
  <c r="P102" i="71"/>
  <c r="X102" i="71" s="1"/>
  <c r="Z102" i="71" s="1"/>
  <c r="H102" i="71"/>
  <c r="D102" i="71"/>
  <c r="L102" i="71" s="1"/>
  <c r="B102" i="71"/>
  <c r="Z101" i="71"/>
  <c r="X101" i="71"/>
  <c r="N101" i="71"/>
  <c r="L101" i="71"/>
  <c r="B101" i="71"/>
  <c r="T100" i="71"/>
  <c r="X100" i="71" s="1"/>
  <c r="P100" i="71"/>
  <c r="H100" i="71"/>
  <c r="D100" i="71"/>
  <c r="L100" i="71" s="1"/>
  <c r="B100" i="71"/>
  <c r="Z99" i="71"/>
  <c r="X99" i="71"/>
  <c r="N99" i="71"/>
  <c r="L99" i="71"/>
  <c r="B99" i="71"/>
  <c r="Z98" i="71"/>
  <c r="X98" i="71"/>
  <c r="N98" i="71"/>
  <c r="L98" i="71"/>
  <c r="B98" i="71"/>
  <c r="Z97" i="71"/>
  <c r="X97" i="71"/>
  <c r="L97" i="71"/>
  <c r="N97" i="71" s="1"/>
  <c r="B97" i="71"/>
  <c r="Z96" i="71"/>
  <c r="X96" i="71"/>
  <c r="N96" i="71"/>
  <c r="L96" i="71"/>
  <c r="B96" i="71"/>
  <c r="Z95" i="71"/>
  <c r="X95" i="71"/>
  <c r="N95" i="71"/>
  <c r="L95" i="71"/>
  <c r="B95" i="71"/>
  <c r="T94" i="71"/>
  <c r="P94" i="71"/>
  <c r="X94" i="71" s="1"/>
  <c r="H94" i="71"/>
  <c r="D94" i="71"/>
  <c r="B94" i="71"/>
  <c r="Z93" i="71"/>
  <c r="X93" i="71"/>
  <c r="N93" i="71"/>
  <c r="L93" i="71"/>
  <c r="B93" i="71"/>
  <c r="T92" i="71"/>
  <c r="P92" i="71"/>
  <c r="X92" i="71" s="1"/>
  <c r="N92" i="71"/>
  <c r="H92" i="71"/>
  <c r="D92" i="71"/>
  <c r="L92" i="71" s="1"/>
  <c r="B92" i="71"/>
  <c r="Z91" i="71"/>
  <c r="X91" i="71"/>
  <c r="N91" i="71"/>
  <c r="L91" i="71"/>
  <c r="B91" i="71"/>
  <c r="Z90" i="71"/>
  <c r="X90" i="71"/>
  <c r="N90" i="71"/>
  <c r="L90" i="71"/>
  <c r="B90" i="71"/>
  <c r="T89" i="71"/>
  <c r="P89" i="71"/>
  <c r="X89" i="71" s="1"/>
  <c r="Z89" i="71" s="1"/>
  <c r="H89" i="71"/>
  <c r="N89" i="71" s="1"/>
  <c r="D89" i="71"/>
  <c r="L89" i="71" s="1"/>
  <c r="B89" i="71"/>
  <c r="Z88" i="71"/>
  <c r="X88" i="71"/>
  <c r="N88" i="71"/>
  <c r="L88" i="71"/>
  <c r="F88" i="71"/>
  <c r="B88" i="71"/>
  <c r="Z87" i="71"/>
  <c r="T87" i="71"/>
  <c r="P87" i="71"/>
  <c r="X87" i="71" s="1"/>
  <c r="N87" i="71"/>
  <c r="H87" i="71"/>
  <c r="D87" i="71"/>
  <c r="L87" i="71" s="1"/>
  <c r="B87" i="71"/>
  <c r="Z86" i="71"/>
  <c r="X86" i="71"/>
  <c r="N86" i="71"/>
  <c r="L86" i="71"/>
  <c r="B86" i="71"/>
  <c r="Z85" i="71"/>
  <c r="X85" i="71"/>
  <c r="T85" i="71"/>
  <c r="P85" i="71"/>
  <c r="L85" i="71"/>
  <c r="H85" i="71"/>
  <c r="N85" i="71" s="1"/>
  <c r="D85" i="71"/>
  <c r="B85" i="71"/>
  <c r="Z84" i="71"/>
  <c r="X84" i="71"/>
  <c r="N84" i="71"/>
  <c r="L84" i="71"/>
  <c r="F84" i="71"/>
  <c r="B84" i="71"/>
  <c r="Z83" i="71"/>
  <c r="X83" i="71"/>
  <c r="N83" i="71"/>
  <c r="L83" i="71"/>
  <c r="B83" i="71"/>
  <c r="T82" i="71"/>
  <c r="P82" i="71"/>
  <c r="X82" i="71" s="1"/>
  <c r="N82" i="71"/>
  <c r="H82" i="71"/>
  <c r="L82" i="71" s="1"/>
  <c r="D82" i="71"/>
  <c r="B82" i="71"/>
  <c r="Z81" i="71"/>
  <c r="X81" i="71"/>
  <c r="N81" i="71"/>
  <c r="L81" i="71"/>
  <c r="B81" i="71"/>
  <c r="T80" i="71"/>
  <c r="P80" i="71"/>
  <c r="L80" i="71"/>
  <c r="H80" i="71"/>
  <c r="D80" i="71"/>
  <c r="B80" i="71"/>
  <c r="X79" i="71"/>
  <c r="Z79" i="71" s="1"/>
  <c r="N79" i="71"/>
  <c r="L79" i="71"/>
  <c r="F79" i="71"/>
  <c r="B79" i="71"/>
  <c r="X78" i="71"/>
  <c r="Z78" i="71" s="1"/>
  <c r="T78" i="71"/>
  <c r="P78" i="71"/>
  <c r="H78" i="71"/>
  <c r="D78" i="71"/>
  <c r="L78" i="71" s="1"/>
  <c r="B78" i="71"/>
  <c r="Z77" i="71"/>
  <c r="X77" i="71"/>
  <c r="N77" i="71"/>
  <c r="L77" i="71"/>
  <c r="B77" i="71"/>
  <c r="T76" i="71"/>
  <c r="P76" i="71"/>
  <c r="H76" i="71"/>
  <c r="D76" i="71"/>
  <c r="L76" i="71" s="1"/>
  <c r="B76" i="71"/>
  <c r="Z75" i="71"/>
  <c r="X75" i="71"/>
  <c r="L75" i="71"/>
  <c r="N75" i="71" s="1"/>
  <c r="B75" i="71"/>
  <c r="X74" i="71"/>
  <c r="Z74" i="71" s="1"/>
  <c r="N74" i="71"/>
  <c r="L74" i="71"/>
  <c r="B74" i="71"/>
  <c r="Z73" i="71"/>
  <c r="X73" i="71"/>
  <c r="L73" i="71"/>
  <c r="N73" i="71" s="1"/>
  <c r="B73" i="71"/>
  <c r="X72" i="71"/>
  <c r="Z72" i="71" s="1"/>
  <c r="L72" i="71"/>
  <c r="N72" i="71" s="1"/>
  <c r="B72" i="71"/>
  <c r="Z71" i="71"/>
  <c r="X71" i="71"/>
  <c r="L71" i="71"/>
  <c r="N71" i="71" s="1"/>
  <c r="B71" i="71"/>
  <c r="X70" i="71"/>
  <c r="T70" i="71"/>
  <c r="P70" i="71"/>
  <c r="H70" i="71"/>
  <c r="D70" i="71"/>
  <c r="L70" i="71" s="1"/>
  <c r="B70" i="71"/>
  <c r="X69" i="71"/>
  <c r="Z69" i="71" s="1"/>
  <c r="N69" i="71"/>
  <c r="L69" i="71"/>
  <c r="B69" i="71"/>
  <c r="X68" i="71"/>
  <c r="Z68" i="71" s="1"/>
  <c r="L68" i="71"/>
  <c r="N68" i="71" s="1"/>
  <c r="F68" i="71"/>
  <c r="B68" i="71"/>
  <c r="X67" i="71"/>
  <c r="Z67" i="71" s="1"/>
  <c r="N67" i="71"/>
  <c r="L67" i="71"/>
  <c r="B67" i="71"/>
  <c r="X66" i="71"/>
  <c r="Z66" i="71" s="1"/>
  <c r="L66" i="71"/>
  <c r="N66" i="71" s="1"/>
  <c r="F66" i="71"/>
  <c r="B66" i="71"/>
  <c r="X65" i="71"/>
  <c r="Z65" i="71" s="1"/>
  <c r="N65" i="71"/>
  <c r="L65" i="71"/>
  <c r="B65" i="71"/>
  <c r="X64" i="71"/>
  <c r="Z64" i="71" s="1"/>
  <c r="L64" i="71"/>
  <c r="N64" i="71" s="1"/>
  <c r="F64" i="71"/>
  <c r="B64" i="71"/>
  <c r="X63" i="71"/>
  <c r="Z63" i="71" s="1"/>
  <c r="N63" i="71"/>
  <c r="L63" i="71"/>
  <c r="B63" i="71"/>
  <c r="X62" i="71"/>
  <c r="Z62" i="71" s="1"/>
  <c r="N62" i="71"/>
  <c r="L62" i="71"/>
  <c r="F62" i="71"/>
  <c r="B62" i="71"/>
  <c r="X61" i="71"/>
  <c r="Z61" i="71" s="1"/>
  <c r="N61" i="71"/>
  <c r="L61" i="71"/>
  <c r="B61" i="71"/>
  <c r="Z60" i="71"/>
  <c r="X60" i="71"/>
  <c r="T60" i="71"/>
  <c r="P60" i="71"/>
  <c r="H60" i="71"/>
  <c r="D60" i="71"/>
  <c r="L60" i="71" s="1"/>
  <c r="N60" i="71" s="1"/>
  <c r="B60" i="71"/>
  <c r="X59" i="71"/>
  <c r="Z59" i="71" s="1"/>
  <c r="T59" i="71"/>
  <c r="P59" i="71"/>
  <c r="H59" i="71"/>
  <c r="D59" i="71"/>
  <c r="Z55" i="71"/>
  <c r="X55" i="71"/>
  <c r="L55" i="71"/>
  <c r="N55" i="71" s="1"/>
  <c r="B55" i="71"/>
  <c r="Z54" i="71"/>
  <c r="X54" i="71"/>
  <c r="N54" i="71"/>
  <c r="L54" i="71"/>
  <c r="B54" i="71"/>
  <c r="Z53" i="71"/>
  <c r="X53" i="71"/>
  <c r="N53" i="71"/>
  <c r="L53" i="71"/>
  <c r="B53" i="71"/>
  <c r="X52" i="71"/>
  <c r="Z52" i="71" s="1"/>
  <c r="L52" i="71"/>
  <c r="N52" i="71" s="1"/>
  <c r="B52" i="71"/>
  <c r="Z51" i="71"/>
  <c r="X51" i="71"/>
  <c r="N51" i="71"/>
  <c r="L51" i="71"/>
  <c r="B51" i="71"/>
  <c r="Z50" i="71"/>
  <c r="X50" i="71"/>
  <c r="N50" i="71"/>
  <c r="L50" i="71"/>
  <c r="B50" i="71"/>
  <c r="Z49" i="71"/>
  <c r="X49" i="71"/>
  <c r="L49" i="71"/>
  <c r="N49" i="71" s="1"/>
  <c r="B49" i="71"/>
  <c r="X48" i="71"/>
  <c r="Z48" i="71" s="1"/>
  <c r="L48" i="71"/>
  <c r="N48" i="71" s="1"/>
  <c r="B48" i="71"/>
  <c r="Z47" i="71"/>
  <c r="X47" i="71"/>
  <c r="N47" i="71"/>
  <c r="L47" i="71"/>
  <c r="B47" i="71"/>
  <c r="Z46" i="71"/>
  <c r="X46" i="71"/>
  <c r="L46" i="71"/>
  <c r="N46" i="71" s="1"/>
  <c r="B46" i="71"/>
  <c r="Z45" i="71"/>
  <c r="X45" i="71"/>
  <c r="N45" i="71"/>
  <c r="L45" i="71"/>
  <c r="B45" i="71"/>
  <c r="X44" i="71"/>
  <c r="Z44" i="71" s="1"/>
  <c r="N44" i="71"/>
  <c r="L44" i="71"/>
  <c r="B44" i="71"/>
  <c r="Z43" i="71"/>
  <c r="X43" i="71"/>
  <c r="L43" i="71"/>
  <c r="N43" i="71" s="1"/>
  <c r="B43" i="71"/>
  <c r="Z42" i="71"/>
  <c r="X42" i="71"/>
  <c r="L42" i="71"/>
  <c r="N42" i="71" s="1"/>
  <c r="B42" i="71"/>
  <c r="Z41" i="71"/>
  <c r="X41" i="71"/>
  <c r="L41" i="71"/>
  <c r="N41" i="71" s="1"/>
  <c r="B41" i="71"/>
  <c r="Z40" i="71"/>
  <c r="X40" i="71"/>
  <c r="N40" i="71"/>
  <c r="L40" i="71"/>
  <c r="B40" i="71"/>
  <c r="T39" i="71"/>
  <c r="P39" i="71"/>
  <c r="X39" i="71" s="1"/>
  <c r="Z39" i="71" s="1"/>
  <c r="H39" i="71"/>
  <c r="D39" i="71"/>
  <c r="L39" i="71" s="1"/>
  <c r="N39" i="71" s="1"/>
  <c r="T37" i="71"/>
  <c r="Z37" i="71" s="1"/>
  <c r="P37" i="71"/>
  <c r="X37" i="71" s="1"/>
  <c r="H37" i="71"/>
  <c r="N37" i="71" s="1"/>
  <c r="D37" i="71"/>
  <c r="B37" i="71"/>
  <c r="T36" i="71"/>
  <c r="P36" i="71"/>
  <c r="X36" i="71" s="1"/>
  <c r="H36" i="71"/>
  <c r="N36" i="71" s="1"/>
  <c r="D36" i="71"/>
  <c r="L36" i="71" s="1"/>
  <c r="B36" i="71"/>
  <c r="T35" i="71"/>
  <c r="P35" i="71"/>
  <c r="H35" i="71"/>
  <c r="N35" i="71" s="1"/>
  <c r="D35" i="71"/>
  <c r="B35" i="71"/>
  <c r="T34" i="71"/>
  <c r="P34" i="71"/>
  <c r="L34" i="71"/>
  <c r="H34" i="71"/>
  <c r="N34" i="71" s="1"/>
  <c r="D34" i="71"/>
  <c r="B34" i="71"/>
  <c r="T33" i="71"/>
  <c r="P33" i="71"/>
  <c r="X33" i="71" s="1"/>
  <c r="L33" i="71"/>
  <c r="H33" i="71"/>
  <c r="D33" i="71"/>
  <c r="B33" i="71"/>
  <c r="T32" i="71"/>
  <c r="Z32" i="71" s="1"/>
  <c r="P32" i="71"/>
  <c r="X32" i="71" s="1"/>
  <c r="H32" i="71"/>
  <c r="N32" i="71" s="1"/>
  <c r="D32" i="71"/>
  <c r="L32" i="71" s="1"/>
  <c r="B32" i="71"/>
  <c r="Z31" i="71"/>
  <c r="T31" i="71"/>
  <c r="P31" i="71"/>
  <c r="X31" i="71" s="1"/>
  <c r="H31" i="71"/>
  <c r="N31" i="71" s="1"/>
  <c r="D31" i="71"/>
  <c r="B31" i="71"/>
  <c r="T30" i="71"/>
  <c r="P30" i="71"/>
  <c r="L30" i="71"/>
  <c r="H30" i="71"/>
  <c r="N30" i="71" s="1"/>
  <c r="D30" i="71"/>
  <c r="B30" i="71"/>
  <c r="T29" i="71"/>
  <c r="Z29" i="71" s="1"/>
  <c r="P29" i="71"/>
  <c r="X29" i="71" s="1"/>
  <c r="L29" i="71"/>
  <c r="H29" i="71"/>
  <c r="D29" i="71"/>
  <c r="B29" i="71"/>
  <c r="T28" i="71"/>
  <c r="Z28" i="71" s="1"/>
  <c r="P28" i="71"/>
  <c r="X28" i="71" s="1"/>
  <c r="H28" i="71"/>
  <c r="D28" i="71"/>
  <c r="L28" i="71" s="1"/>
  <c r="B28" i="71"/>
  <c r="T27" i="71"/>
  <c r="P27" i="71"/>
  <c r="X27" i="71" s="1"/>
  <c r="H27" i="71"/>
  <c r="N27" i="71" s="1"/>
  <c r="D27" i="71"/>
  <c r="B27" i="71"/>
  <c r="T26" i="71"/>
  <c r="P26" i="71"/>
  <c r="X26" i="71" s="1"/>
  <c r="L26" i="71"/>
  <c r="N26" i="71" s="1"/>
  <c r="H26" i="71"/>
  <c r="D26" i="71"/>
  <c r="B26" i="71"/>
  <c r="T25" i="71"/>
  <c r="P25" i="71"/>
  <c r="X25" i="71" s="1"/>
  <c r="L25" i="71"/>
  <c r="H25" i="71"/>
  <c r="D25" i="71"/>
  <c r="B25" i="71"/>
  <c r="T24" i="71"/>
  <c r="P24" i="71"/>
  <c r="X24" i="71" s="1"/>
  <c r="H24" i="71"/>
  <c r="N24" i="71" s="1"/>
  <c r="D24" i="71"/>
  <c r="L24" i="71" s="1"/>
  <c r="B24" i="71"/>
  <c r="Z23" i="71"/>
  <c r="T23" i="71"/>
  <c r="X23" i="71" s="1"/>
  <c r="P23" i="71"/>
  <c r="H23" i="71"/>
  <c r="D23" i="71"/>
  <c r="B23" i="71"/>
  <c r="T22" i="71"/>
  <c r="P22" i="71"/>
  <c r="X22" i="71" s="1"/>
  <c r="L22" i="71"/>
  <c r="N22" i="71" s="1"/>
  <c r="H22" i="71"/>
  <c r="D22" i="71"/>
  <c r="B22" i="71"/>
  <c r="T21" i="71"/>
  <c r="Z21" i="71" s="1"/>
  <c r="P21" i="71"/>
  <c r="X21" i="71" s="1"/>
  <c r="H21" i="71"/>
  <c r="D21" i="71"/>
  <c r="B21" i="71"/>
  <c r="T20" i="71"/>
  <c r="P20" i="71"/>
  <c r="X20" i="71" s="1"/>
  <c r="H20" i="71"/>
  <c r="N20" i="71" s="1"/>
  <c r="D20" i="71"/>
  <c r="L20" i="71" s="1"/>
  <c r="B20" i="71"/>
  <c r="T19" i="71"/>
  <c r="X19" i="71" s="1"/>
  <c r="P19" i="71"/>
  <c r="H19" i="71"/>
  <c r="D19" i="71"/>
  <c r="B19" i="71"/>
  <c r="T18" i="71"/>
  <c r="P18" i="71"/>
  <c r="N18" i="71"/>
  <c r="L18" i="71"/>
  <c r="H18" i="71"/>
  <c r="D18" i="71"/>
  <c r="B18" i="71"/>
  <c r="T17" i="71"/>
  <c r="Z17" i="71" s="1"/>
  <c r="P17" i="71"/>
  <c r="X17" i="71" s="1"/>
  <c r="L17" i="71"/>
  <c r="H17" i="71"/>
  <c r="N17" i="71" s="1"/>
  <c r="D17" i="71"/>
  <c r="B17" i="71"/>
  <c r="T16" i="71"/>
  <c r="P16" i="71"/>
  <c r="X16" i="71" s="1"/>
  <c r="H16" i="71"/>
  <c r="N16" i="71" s="1"/>
  <c r="D16" i="71"/>
  <c r="L16" i="71" s="1"/>
  <c r="B16" i="71"/>
  <c r="T15" i="71"/>
  <c r="X15" i="71" s="1"/>
  <c r="P15" i="71"/>
  <c r="L15" i="71"/>
  <c r="H15" i="71"/>
  <c r="N15" i="71" s="1"/>
  <c r="D15" i="71"/>
  <c r="B15" i="71"/>
  <c r="T14" i="71"/>
  <c r="P14" i="71"/>
  <c r="L14" i="71"/>
  <c r="N14" i="71" s="1"/>
  <c r="H14" i="71"/>
  <c r="D14" i="71"/>
  <c r="B14" i="71"/>
  <c r="T13" i="71"/>
  <c r="P13" i="71"/>
  <c r="X13" i="71" s="1"/>
  <c r="H13" i="71"/>
  <c r="D13" i="71"/>
  <c r="B13" i="71"/>
  <c r="D12" i="71"/>
  <c r="F55" i="71" s="1"/>
  <c r="D6" i="71"/>
  <c r="D4" i="71"/>
  <c r="X88" i="70"/>
  <c r="Z88" i="70" s="1"/>
  <c r="N88" i="70"/>
  <c r="L88" i="70"/>
  <c r="T84" i="70"/>
  <c r="P84" i="70"/>
  <c r="H84" i="70"/>
  <c r="N84" i="70" s="1"/>
  <c r="D84" i="70"/>
  <c r="L84" i="70" s="1"/>
  <c r="B84" i="70"/>
  <c r="Z81" i="70"/>
  <c r="X81" i="70"/>
  <c r="N81" i="70"/>
  <c r="L81" i="70"/>
  <c r="B81" i="70"/>
  <c r="T80" i="70"/>
  <c r="Z80" i="70" s="1"/>
  <c r="P80" i="70"/>
  <c r="X80" i="70" s="1"/>
  <c r="N80" i="70"/>
  <c r="L80" i="70"/>
  <c r="H80" i="70"/>
  <c r="D80" i="70"/>
  <c r="B80" i="70"/>
  <c r="Z79" i="70"/>
  <c r="X79" i="70"/>
  <c r="N79" i="70"/>
  <c r="L79" i="70"/>
  <c r="B79" i="70"/>
  <c r="T78" i="70"/>
  <c r="Z78" i="70" s="1"/>
  <c r="P78" i="70"/>
  <c r="X78" i="70" s="1"/>
  <c r="H78" i="70"/>
  <c r="N78" i="70" s="1"/>
  <c r="D78" i="70"/>
  <c r="B78" i="70"/>
  <c r="Z77" i="70"/>
  <c r="X77" i="70"/>
  <c r="L77" i="70"/>
  <c r="N77" i="70" s="1"/>
  <c r="B77" i="70"/>
  <c r="T76" i="70"/>
  <c r="Z76" i="70" s="1"/>
  <c r="P76" i="70"/>
  <c r="X76" i="70" s="1"/>
  <c r="H76" i="70"/>
  <c r="D76" i="70"/>
  <c r="L76" i="70" s="1"/>
  <c r="B76" i="70"/>
  <c r="X75" i="70"/>
  <c r="Z75" i="70" s="1"/>
  <c r="N75" i="70"/>
  <c r="L75" i="70"/>
  <c r="F75" i="70"/>
  <c r="B75" i="70"/>
  <c r="X74" i="70"/>
  <c r="Z74" i="70" s="1"/>
  <c r="L74" i="70"/>
  <c r="N74" i="70" s="1"/>
  <c r="B74" i="70"/>
  <c r="X73" i="70"/>
  <c r="Z73" i="70" s="1"/>
  <c r="N73" i="70"/>
  <c r="L73" i="70"/>
  <c r="B73" i="70"/>
  <c r="X72" i="70"/>
  <c r="Z72" i="70" s="1"/>
  <c r="N72" i="70"/>
  <c r="L72" i="70"/>
  <c r="F72" i="70"/>
  <c r="B72" i="70"/>
  <c r="Z71" i="70"/>
  <c r="X71" i="70"/>
  <c r="N71" i="70"/>
  <c r="L71" i="70"/>
  <c r="F71" i="70"/>
  <c r="B71" i="70"/>
  <c r="X70" i="70"/>
  <c r="Z70" i="70" s="1"/>
  <c r="N70" i="70"/>
  <c r="L70" i="70"/>
  <c r="B70" i="70"/>
  <c r="X69" i="70"/>
  <c r="Z69" i="70" s="1"/>
  <c r="T69" i="70"/>
  <c r="P69" i="70"/>
  <c r="L69" i="70"/>
  <c r="H69" i="70"/>
  <c r="N69" i="70" s="1"/>
  <c r="D69" i="70"/>
  <c r="B69" i="70"/>
  <c r="X68" i="70"/>
  <c r="Z68" i="70" s="1"/>
  <c r="N68" i="70"/>
  <c r="L68" i="70"/>
  <c r="B68" i="70"/>
  <c r="T67" i="70"/>
  <c r="P67" i="70"/>
  <c r="N67" i="70"/>
  <c r="H67" i="70"/>
  <c r="D67" i="70"/>
  <c r="L67" i="70" s="1"/>
  <c r="B67" i="70"/>
  <c r="X66" i="70"/>
  <c r="Z66" i="70" s="1"/>
  <c r="L66" i="70"/>
  <c r="N66" i="70" s="1"/>
  <c r="B66" i="70"/>
  <c r="Z65" i="70"/>
  <c r="X65" i="70"/>
  <c r="L65" i="70"/>
  <c r="N65" i="70" s="1"/>
  <c r="B65" i="70"/>
  <c r="Z64" i="70"/>
  <c r="X64" i="70"/>
  <c r="N64" i="70"/>
  <c r="L64" i="70"/>
  <c r="B64" i="70"/>
  <c r="Z63" i="70"/>
  <c r="T63" i="70"/>
  <c r="P63" i="70"/>
  <c r="X63" i="70" s="1"/>
  <c r="H63" i="70"/>
  <c r="D63" i="70"/>
  <c r="L63" i="70" s="1"/>
  <c r="N63" i="70" s="1"/>
  <c r="B63" i="70"/>
  <c r="X62" i="70"/>
  <c r="Z62" i="70" s="1"/>
  <c r="N62" i="70"/>
  <c r="L62" i="70"/>
  <c r="B62" i="70"/>
  <c r="X61" i="70"/>
  <c r="Z61" i="70" s="1"/>
  <c r="T61" i="70"/>
  <c r="P61" i="70"/>
  <c r="L61" i="70"/>
  <c r="H61" i="70"/>
  <c r="N61" i="70" s="1"/>
  <c r="D61" i="70"/>
  <c r="B61" i="70"/>
  <c r="Z60" i="70"/>
  <c r="X60" i="70"/>
  <c r="N60" i="70"/>
  <c r="L60" i="70"/>
  <c r="B60" i="70"/>
  <c r="Z59" i="70"/>
  <c r="X59" i="70"/>
  <c r="N59" i="70"/>
  <c r="L59" i="70"/>
  <c r="B59" i="70"/>
  <c r="T58" i="70"/>
  <c r="P58" i="70"/>
  <c r="X58" i="70" s="1"/>
  <c r="H58" i="70"/>
  <c r="D58" i="70"/>
  <c r="B58" i="70"/>
  <c r="Z57" i="70"/>
  <c r="X57" i="70"/>
  <c r="L57" i="70"/>
  <c r="N57" i="70" s="1"/>
  <c r="B57" i="70"/>
  <c r="T56" i="70"/>
  <c r="P56" i="70"/>
  <c r="X56" i="70" s="1"/>
  <c r="H56" i="70"/>
  <c r="D56" i="70"/>
  <c r="L56" i="70" s="1"/>
  <c r="B56" i="70"/>
  <c r="X55" i="70"/>
  <c r="Z55" i="70" s="1"/>
  <c r="N55" i="70"/>
  <c r="L55" i="70"/>
  <c r="F55" i="70"/>
  <c r="B55" i="70"/>
  <c r="X54" i="70"/>
  <c r="Z54" i="70" s="1"/>
  <c r="T54" i="70"/>
  <c r="P54" i="70"/>
  <c r="H54" i="70"/>
  <c r="D54" i="70"/>
  <c r="L54" i="70" s="1"/>
  <c r="B54" i="70"/>
  <c r="Z53" i="70"/>
  <c r="X53" i="70"/>
  <c r="N53" i="70"/>
  <c r="L53" i="70"/>
  <c r="B53" i="70"/>
  <c r="T52" i="70"/>
  <c r="P52" i="70"/>
  <c r="H52" i="70"/>
  <c r="N52" i="70" s="1"/>
  <c r="D52" i="70"/>
  <c r="L52" i="70" s="1"/>
  <c r="B52" i="70"/>
  <c r="Z51" i="70"/>
  <c r="X51" i="70"/>
  <c r="N51" i="70"/>
  <c r="L51" i="70"/>
  <c r="B51" i="70"/>
  <c r="T50" i="70"/>
  <c r="P50" i="70"/>
  <c r="H50" i="70"/>
  <c r="N50" i="70" s="1"/>
  <c r="D50" i="70"/>
  <c r="L50" i="70" s="1"/>
  <c r="B50" i="70"/>
  <c r="X49" i="70"/>
  <c r="Z49" i="70" s="1"/>
  <c r="N49" i="70"/>
  <c r="L49" i="70"/>
  <c r="B49" i="70"/>
  <c r="X48" i="70"/>
  <c r="Z48" i="70" s="1"/>
  <c r="L48" i="70"/>
  <c r="N48" i="70" s="1"/>
  <c r="F48" i="70"/>
  <c r="B48" i="70"/>
  <c r="X47" i="70"/>
  <c r="Z47" i="70" s="1"/>
  <c r="N47" i="70"/>
  <c r="L47" i="70"/>
  <c r="B47" i="70"/>
  <c r="X46" i="70"/>
  <c r="Z46" i="70" s="1"/>
  <c r="L46" i="70"/>
  <c r="N46" i="70" s="1"/>
  <c r="B46" i="70"/>
  <c r="X45" i="70"/>
  <c r="Z45" i="70" s="1"/>
  <c r="T45" i="70"/>
  <c r="P45" i="70"/>
  <c r="L45" i="70"/>
  <c r="H45" i="70"/>
  <c r="N45" i="70" s="1"/>
  <c r="D45" i="70"/>
  <c r="B45" i="70"/>
  <c r="Z44" i="70"/>
  <c r="X44" i="70"/>
  <c r="N44" i="70"/>
  <c r="L44" i="70"/>
  <c r="B44" i="70"/>
  <c r="Z43" i="70"/>
  <c r="X43" i="70"/>
  <c r="N43" i="70"/>
  <c r="L43" i="70"/>
  <c r="B43" i="70"/>
  <c r="X42" i="70"/>
  <c r="Z42" i="70" s="1"/>
  <c r="L42" i="70"/>
  <c r="N42" i="70" s="1"/>
  <c r="F42" i="70"/>
  <c r="B42" i="70"/>
  <c r="Z41" i="70"/>
  <c r="X41" i="70"/>
  <c r="N41" i="70"/>
  <c r="L41" i="70"/>
  <c r="B41" i="70"/>
  <c r="X40" i="70"/>
  <c r="Z40" i="70" s="1"/>
  <c r="N40" i="70"/>
  <c r="L40" i="70"/>
  <c r="B40" i="70"/>
  <c r="Z39" i="70"/>
  <c r="X39" i="70"/>
  <c r="N39" i="70"/>
  <c r="L39" i="70"/>
  <c r="B39" i="70"/>
  <c r="X38" i="70"/>
  <c r="Z38" i="70" s="1"/>
  <c r="L38" i="70"/>
  <c r="N38" i="70" s="1"/>
  <c r="F38" i="70"/>
  <c r="B38" i="70"/>
  <c r="Z37" i="70"/>
  <c r="X37" i="70"/>
  <c r="N37" i="70"/>
  <c r="L37" i="70"/>
  <c r="B37" i="70"/>
  <c r="T36" i="70"/>
  <c r="P36" i="70"/>
  <c r="H36" i="70"/>
  <c r="D36" i="70"/>
  <c r="L36" i="70" s="1"/>
  <c r="B36" i="70"/>
  <c r="T35" i="70"/>
  <c r="P35" i="70"/>
  <c r="X35" i="70" s="1"/>
  <c r="Z35" i="70" s="1"/>
  <c r="H35" i="70"/>
  <c r="D35" i="70"/>
  <c r="L35" i="70" s="1"/>
  <c r="N35" i="70" s="1"/>
  <c r="Z31" i="70"/>
  <c r="T31" i="70"/>
  <c r="P31" i="70"/>
  <c r="X31" i="70" s="1"/>
  <c r="N31" i="70"/>
  <c r="H31" i="70"/>
  <c r="D31" i="70"/>
  <c r="T29" i="70"/>
  <c r="P29" i="70"/>
  <c r="X29" i="70" s="1"/>
  <c r="Z29" i="70" s="1"/>
  <c r="H29" i="70"/>
  <c r="D29" i="70"/>
  <c r="B29" i="70"/>
  <c r="T28" i="70"/>
  <c r="P28" i="70"/>
  <c r="X28" i="70" s="1"/>
  <c r="L28" i="70"/>
  <c r="H28" i="70"/>
  <c r="N28" i="70" s="1"/>
  <c r="D28" i="70"/>
  <c r="B28" i="70"/>
  <c r="T27" i="70"/>
  <c r="Z27" i="70" s="1"/>
  <c r="P27" i="70"/>
  <c r="X27" i="70" s="1"/>
  <c r="H27" i="70"/>
  <c r="N27" i="70" s="1"/>
  <c r="D27" i="70"/>
  <c r="B27" i="70"/>
  <c r="T26" i="70"/>
  <c r="Z26" i="70" s="1"/>
  <c r="P26" i="70"/>
  <c r="X26" i="70" s="1"/>
  <c r="H26" i="70"/>
  <c r="N26" i="70" s="1"/>
  <c r="D26" i="70"/>
  <c r="L26" i="70" s="1"/>
  <c r="B26" i="70"/>
  <c r="T25" i="70"/>
  <c r="P25" i="70"/>
  <c r="H25" i="70"/>
  <c r="D25" i="70"/>
  <c r="B25" i="70"/>
  <c r="T24" i="70"/>
  <c r="P24" i="70"/>
  <c r="X24" i="70" s="1"/>
  <c r="L24" i="70"/>
  <c r="H24" i="70"/>
  <c r="N24" i="70" s="1"/>
  <c r="D24" i="70"/>
  <c r="B24" i="70"/>
  <c r="T23" i="70"/>
  <c r="Z23" i="70" s="1"/>
  <c r="P23" i="70"/>
  <c r="X23" i="70" s="1"/>
  <c r="H23" i="70"/>
  <c r="D23" i="70"/>
  <c r="B23" i="70"/>
  <c r="T22" i="70"/>
  <c r="P22" i="70"/>
  <c r="X22" i="70" s="1"/>
  <c r="H22" i="70"/>
  <c r="N22" i="70" s="1"/>
  <c r="D22" i="70"/>
  <c r="L22" i="70" s="1"/>
  <c r="B22" i="70"/>
  <c r="T21" i="70"/>
  <c r="P21" i="70"/>
  <c r="H21" i="70"/>
  <c r="N21" i="70" s="1"/>
  <c r="D21" i="70"/>
  <c r="B21" i="70"/>
  <c r="T20" i="70"/>
  <c r="P20" i="70"/>
  <c r="L20" i="70"/>
  <c r="H20" i="70"/>
  <c r="N20" i="70" s="1"/>
  <c r="D20" i="70"/>
  <c r="B20" i="70"/>
  <c r="T19" i="70"/>
  <c r="Z19" i="70" s="1"/>
  <c r="P19" i="70"/>
  <c r="X19" i="70" s="1"/>
  <c r="L19" i="70"/>
  <c r="H19" i="70"/>
  <c r="N19" i="70" s="1"/>
  <c r="D19" i="70"/>
  <c r="B19" i="70"/>
  <c r="T18" i="70"/>
  <c r="Z18" i="70" s="1"/>
  <c r="P18" i="70"/>
  <c r="X18" i="70" s="1"/>
  <c r="H18" i="70"/>
  <c r="D18" i="70"/>
  <c r="L18" i="70" s="1"/>
  <c r="B18" i="70"/>
  <c r="T17" i="70"/>
  <c r="Z17" i="70" s="1"/>
  <c r="P17" i="70"/>
  <c r="X17" i="70" s="1"/>
  <c r="H17" i="70"/>
  <c r="N17" i="70" s="1"/>
  <c r="D17" i="70"/>
  <c r="B17" i="70"/>
  <c r="T16" i="70"/>
  <c r="P16" i="70"/>
  <c r="L16" i="70"/>
  <c r="H16" i="70"/>
  <c r="N16" i="70" s="1"/>
  <c r="D16" i="70"/>
  <c r="B16" i="70"/>
  <c r="T15" i="70"/>
  <c r="P15" i="70"/>
  <c r="X15" i="70" s="1"/>
  <c r="L15" i="70"/>
  <c r="H15" i="70"/>
  <c r="D15" i="70"/>
  <c r="B15" i="70"/>
  <c r="T14" i="70"/>
  <c r="Z14" i="70" s="1"/>
  <c r="P14" i="70"/>
  <c r="X14" i="70" s="1"/>
  <c r="H14" i="70"/>
  <c r="D14" i="70"/>
  <c r="L14" i="70" s="1"/>
  <c r="B14" i="70"/>
  <c r="T13" i="70"/>
  <c r="P13" i="70"/>
  <c r="L13" i="70"/>
  <c r="H13" i="70"/>
  <c r="D13" i="70"/>
  <c r="D12" i="70" s="1"/>
  <c r="B13" i="70"/>
  <c r="D6" i="70"/>
  <c r="D4" i="70"/>
  <c r="X139" i="69"/>
  <c r="Z139" i="69" s="1"/>
  <c r="N139" i="69"/>
  <c r="L139" i="69"/>
  <c r="T135" i="69"/>
  <c r="Z135" i="69" s="1"/>
  <c r="P135" i="69"/>
  <c r="X135" i="69" s="1"/>
  <c r="H135" i="69"/>
  <c r="N135" i="69" s="1"/>
  <c r="D135" i="69"/>
  <c r="B135" i="69"/>
  <c r="X134" i="69"/>
  <c r="T134" i="69"/>
  <c r="Z134" i="69" s="1"/>
  <c r="P134" i="69"/>
  <c r="L134" i="69"/>
  <c r="N134" i="69" s="1"/>
  <c r="H134" i="69"/>
  <c r="D134" i="69"/>
  <c r="D133" i="69" s="1"/>
  <c r="L133" i="69" s="1"/>
  <c r="B134" i="69"/>
  <c r="T133" i="69"/>
  <c r="H133" i="69"/>
  <c r="N133" i="69" s="1"/>
  <c r="X131" i="69"/>
  <c r="Z131" i="69" s="1"/>
  <c r="N131" i="69"/>
  <c r="L131" i="69"/>
  <c r="B131" i="69"/>
  <c r="Z130" i="69"/>
  <c r="X130" i="69"/>
  <c r="N130" i="69"/>
  <c r="L130" i="69"/>
  <c r="B130" i="69"/>
  <c r="Z129" i="69"/>
  <c r="X129" i="69"/>
  <c r="T129" i="69"/>
  <c r="P129" i="69"/>
  <c r="H129" i="69"/>
  <c r="N129" i="69" s="1"/>
  <c r="D129" i="69"/>
  <c r="L129" i="69" s="1"/>
  <c r="B129" i="69"/>
  <c r="Z128" i="69"/>
  <c r="X128" i="69"/>
  <c r="L128" i="69"/>
  <c r="N128" i="69" s="1"/>
  <c r="B128" i="69"/>
  <c r="T127" i="69"/>
  <c r="P127" i="69"/>
  <c r="H127" i="69"/>
  <c r="D127" i="69"/>
  <c r="L127" i="69" s="1"/>
  <c r="B127" i="69"/>
  <c r="X126" i="69"/>
  <c r="Z126" i="69" s="1"/>
  <c r="N126" i="69"/>
  <c r="L126" i="69"/>
  <c r="B126" i="69"/>
  <c r="X125" i="69"/>
  <c r="T125" i="69"/>
  <c r="Z125" i="69" s="1"/>
  <c r="P125" i="69"/>
  <c r="L125" i="69"/>
  <c r="N125" i="69" s="1"/>
  <c r="H125" i="69"/>
  <c r="D125" i="69"/>
  <c r="B125" i="69"/>
  <c r="Z124" i="69"/>
  <c r="X124" i="69"/>
  <c r="N124" i="69"/>
  <c r="L124" i="69"/>
  <c r="B124" i="69"/>
  <c r="X123" i="69"/>
  <c r="Z123" i="69" s="1"/>
  <c r="N123" i="69"/>
  <c r="L123" i="69"/>
  <c r="B123" i="69"/>
  <c r="Z122" i="69"/>
  <c r="X122" i="69"/>
  <c r="N122" i="69"/>
  <c r="L122" i="69"/>
  <c r="B122" i="69"/>
  <c r="Z121" i="69"/>
  <c r="X121" i="69"/>
  <c r="N121" i="69"/>
  <c r="L121" i="69"/>
  <c r="B121" i="69"/>
  <c r="Z120" i="69"/>
  <c r="X120" i="69"/>
  <c r="N120" i="69"/>
  <c r="L120" i="69"/>
  <c r="B120" i="69"/>
  <c r="T119" i="69"/>
  <c r="P119" i="69"/>
  <c r="X119" i="69" s="1"/>
  <c r="L119" i="69"/>
  <c r="N119" i="69" s="1"/>
  <c r="H119" i="69"/>
  <c r="D119" i="69"/>
  <c r="B119" i="69"/>
  <c r="Z118" i="69"/>
  <c r="X118" i="69"/>
  <c r="N118" i="69"/>
  <c r="L118" i="69"/>
  <c r="B118" i="69"/>
  <c r="Z117" i="69"/>
  <c r="X117" i="69"/>
  <c r="L117" i="69"/>
  <c r="N117" i="69" s="1"/>
  <c r="B117" i="69"/>
  <c r="Z116" i="69"/>
  <c r="T116" i="69"/>
  <c r="P116" i="69"/>
  <c r="X116" i="69" s="1"/>
  <c r="H116" i="69"/>
  <c r="D116" i="69"/>
  <c r="L116" i="69" s="1"/>
  <c r="N116" i="69" s="1"/>
  <c r="B116" i="69"/>
  <c r="X115" i="69"/>
  <c r="Z115" i="69" s="1"/>
  <c r="L115" i="69"/>
  <c r="N115" i="69" s="1"/>
  <c r="B115" i="69"/>
  <c r="X114" i="69"/>
  <c r="Z114" i="69" s="1"/>
  <c r="N114" i="69"/>
  <c r="L114" i="69"/>
  <c r="B114" i="69"/>
  <c r="X113" i="69"/>
  <c r="T113" i="69"/>
  <c r="P113" i="69"/>
  <c r="L113" i="69"/>
  <c r="N113" i="69" s="1"/>
  <c r="H113" i="69"/>
  <c r="D113" i="69"/>
  <c r="B113" i="69"/>
  <c r="Z112" i="69"/>
  <c r="X112" i="69"/>
  <c r="N112" i="69"/>
  <c r="L112" i="69"/>
  <c r="B112" i="69"/>
  <c r="X111" i="69"/>
  <c r="T111" i="69"/>
  <c r="P111" i="69"/>
  <c r="L111" i="69"/>
  <c r="N111" i="69" s="1"/>
  <c r="H111" i="69"/>
  <c r="D111" i="69"/>
  <c r="B111" i="69"/>
  <c r="Z110" i="69"/>
  <c r="X110" i="69"/>
  <c r="N110" i="69"/>
  <c r="L110" i="69"/>
  <c r="B110" i="69"/>
  <c r="X109" i="69"/>
  <c r="Z109" i="69" s="1"/>
  <c r="L109" i="69"/>
  <c r="N109" i="69" s="1"/>
  <c r="B109" i="69"/>
  <c r="Z108" i="69"/>
  <c r="T108" i="69"/>
  <c r="P108" i="69"/>
  <c r="X108" i="69" s="1"/>
  <c r="H108" i="69"/>
  <c r="D108" i="69"/>
  <c r="L108" i="69" s="1"/>
  <c r="N108" i="69" s="1"/>
  <c r="B108" i="69"/>
  <c r="X107" i="69"/>
  <c r="Z107" i="69" s="1"/>
  <c r="N107" i="69"/>
  <c r="L107" i="69"/>
  <c r="B107" i="69"/>
  <c r="X106" i="69"/>
  <c r="Z106" i="69" s="1"/>
  <c r="N106" i="69"/>
  <c r="L106" i="69"/>
  <c r="B106" i="69"/>
  <c r="T105" i="69"/>
  <c r="P105" i="69"/>
  <c r="H105" i="69"/>
  <c r="N105" i="69" s="1"/>
  <c r="D105" i="69"/>
  <c r="L105" i="69" s="1"/>
  <c r="B105" i="69"/>
  <c r="Z104" i="69"/>
  <c r="X104" i="69"/>
  <c r="N104" i="69"/>
  <c r="L104" i="69"/>
  <c r="B104" i="69"/>
  <c r="T103" i="69"/>
  <c r="P103" i="69"/>
  <c r="X103" i="69" s="1"/>
  <c r="N103" i="69"/>
  <c r="L103" i="69"/>
  <c r="H103" i="69"/>
  <c r="D103" i="69"/>
  <c r="B103" i="69"/>
  <c r="Z102" i="69"/>
  <c r="X102" i="69"/>
  <c r="N102" i="69"/>
  <c r="L102" i="69"/>
  <c r="B102" i="69"/>
  <c r="X101" i="69"/>
  <c r="Z101" i="69" s="1"/>
  <c r="L101" i="69"/>
  <c r="N101" i="69" s="1"/>
  <c r="B101" i="69"/>
  <c r="T100" i="69"/>
  <c r="P100" i="69"/>
  <c r="X100" i="69" s="1"/>
  <c r="Z100" i="69" s="1"/>
  <c r="N100" i="69"/>
  <c r="H100" i="69"/>
  <c r="D100" i="69"/>
  <c r="L100" i="69" s="1"/>
  <c r="B100" i="69"/>
  <c r="X99" i="69"/>
  <c r="Z99" i="69" s="1"/>
  <c r="L99" i="69"/>
  <c r="N99" i="69" s="1"/>
  <c r="B99" i="69"/>
  <c r="X98" i="69"/>
  <c r="Z98" i="69" s="1"/>
  <c r="T98" i="69"/>
  <c r="P98" i="69"/>
  <c r="L98" i="69"/>
  <c r="N98" i="69" s="1"/>
  <c r="H98" i="69"/>
  <c r="D98" i="69"/>
  <c r="B98" i="69"/>
  <c r="X97" i="69"/>
  <c r="Z97" i="69" s="1"/>
  <c r="N97" i="69"/>
  <c r="L97" i="69"/>
  <c r="B97" i="69"/>
  <c r="Z96" i="69"/>
  <c r="X96" i="69"/>
  <c r="N96" i="69"/>
  <c r="L96" i="69"/>
  <c r="B96" i="69"/>
  <c r="X95" i="69"/>
  <c r="Z95" i="69" s="1"/>
  <c r="L95" i="69"/>
  <c r="N95" i="69" s="1"/>
  <c r="B95" i="69"/>
  <c r="Z94" i="69"/>
  <c r="X94" i="69"/>
  <c r="N94" i="69"/>
  <c r="L94" i="69"/>
  <c r="B94" i="69"/>
  <c r="X93" i="69"/>
  <c r="Z93" i="69" s="1"/>
  <c r="L93" i="69"/>
  <c r="N93" i="69" s="1"/>
  <c r="B93" i="69"/>
  <c r="Z92" i="69"/>
  <c r="X92" i="69"/>
  <c r="N92" i="69"/>
  <c r="L92" i="69"/>
  <c r="B92" i="69"/>
  <c r="X91" i="69"/>
  <c r="T91" i="69"/>
  <c r="P91" i="69"/>
  <c r="L91" i="69"/>
  <c r="N91" i="69" s="1"/>
  <c r="H91" i="69"/>
  <c r="D91" i="69"/>
  <c r="B91" i="69"/>
  <c r="Z90" i="69"/>
  <c r="X90" i="69"/>
  <c r="L90" i="69"/>
  <c r="N90" i="69" s="1"/>
  <c r="B90" i="69"/>
  <c r="X89" i="69"/>
  <c r="Z89" i="69" s="1"/>
  <c r="L89" i="69"/>
  <c r="N89" i="69" s="1"/>
  <c r="B89" i="69"/>
  <c r="Z88" i="69"/>
  <c r="X88" i="69"/>
  <c r="L88" i="69"/>
  <c r="N88" i="69" s="1"/>
  <c r="B88" i="69"/>
  <c r="X87" i="69"/>
  <c r="Z87" i="69" s="1"/>
  <c r="L87" i="69"/>
  <c r="N87" i="69" s="1"/>
  <c r="B87" i="69"/>
  <c r="Z86" i="69"/>
  <c r="X86" i="69"/>
  <c r="L86" i="69"/>
  <c r="N86" i="69" s="1"/>
  <c r="B86" i="69"/>
  <c r="X85" i="69"/>
  <c r="Z85" i="69" s="1"/>
  <c r="L85" i="69"/>
  <c r="N85" i="69" s="1"/>
  <c r="B85" i="69"/>
  <c r="Z84" i="69"/>
  <c r="X84" i="69"/>
  <c r="L84" i="69"/>
  <c r="N84" i="69" s="1"/>
  <c r="B84" i="69"/>
  <c r="X83" i="69"/>
  <c r="Z83" i="69" s="1"/>
  <c r="L83" i="69"/>
  <c r="N83" i="69" s="1"/>
  <c r="B83" i="69"/>
  <c r="Z82" i="69"/>
  <c r="T82" i="69"/>
  <c r="P82" i="69"/>
  <c r="X82" i="69" s="1"/>
  <c r="H82" i="69"/>
  <c r="D82" i="69"/>
  <c r="L82" i="69" s="1"/>
  <c r="N82" i="69" s="1"/>
  <c r="B82" i="69"/>
  <c r="X81" i="69"/>
  <c r="T81" i="69"/>
  <c r="P81" i="69"/>
  <c r="H81" i="69"/>
  <c r="D81" i="69"/>
  <c r="L81" i="69" s="1"/>
  <c r="X77" i="69"/>
  <c r="Z77" i="69" s="1"/>
  <c r="L77" i="69"/>
  <c r="N77" i="69" s="1"/>
  <c r="B77" i="69"/>
  <c r="X76" i="69"/>
  <c r="Z76" i="69" s="1"/>
  <c r="N76" i="69"/>
  <c r="L76" i="69"/>
  <c r="B76" i="69"/>
  <c r="X75" i="69"/>
  <c r="Z75" i="69" s="1"/>
  <c r="L75" i="69"/>
  <c r="N75" i="69" s="1"/>
  <c r="B75" i="69"/>
  <c r="X74" i="69"/>
  <c r="Z74" i="69" s="1"/>
  <c r="N74" i="69"/>
  <c r="L74" i="69"/>
  <c r="B74" i="69"/>
  <c r="X73" i="69"/>
  <c r="Z73" i="69" s="1"/>
  <c r="N73" i="69"/>
  <c r="L73" i="69"/>
  <c r="B73" i="69"/>
  <c r="X72" i="69"/>
  <c r="Z72" i="69" s="1"/>
  <c r="N72" i="69"/>
  <c r="L72" i="69"/>
  <c r="B72" i="69"/>
  <c r="Z71" i="69"/>
  <c r="X71" i="69"/>
  <c r="N71" i="69"/>
  <c r="L71" i="69"/>
  <c r="B71" i="69"/>
  <c r="Z70" i="69"/>
  <c r="X70" i="69"/>
  <c r="N70" i="69"/>
  <c r="L70" i="69"/>
  <c r="B70" i="69"/>
  <c r="Z69" i="69"/>
  <c r="X69" i="69"/>
  <c r="N69" i="69"/>
  <c r="L69" i="69"/>
  <c r="B69" i="69"/>
  <c r="Z68" i="69"/>
  <c r="X68" i="69"/>
  <c r="N68" i="69"/>
  <c r="L68" i="69"/>
  <c r="B68" i="69"/>
  <c r="X67" i="69"/>
  <c r="Z67" i="69" s="1"/>
  <c r="N67" i="69"/>
  <c r="L67" i="69"/>
  <c r="B67" i="69"/>
  <c r="Z66" i="69"/>
  <c r="X66" i="69"/>
  <c r="N66" i="69"/>
  <c r="L66" i="69"/>
  <c r="B66" i="69"/>
  <c r="X65" i="69"/>
  <c r="Z65" i="69" s="1"/>
  <c r="L65" i="69"/>
  <c r="N65" i="69" s="1"/>
  <c r="B65" i="69"/>
  <c r="X64" i="69"/>
  <c r="Z64" i="69" s="1"/>
  <c r="N64" i="69"/>
  <c r="L64" i="69"/>
  <c r="B64" i="69"/>
  <c r="X63" i="69"/>
  <c r="Z63" i="69" s="1"/>
  <c r="L63" i="69"/>
  <c r="N63" i="69" s="1"/>
  <c r="B63" i="69"/>
  <c r="Z62" i="69"/>
  <c r="X62" i="69"/>
  <c r="N62" i="69"/>
  <c r="L62" i="69"/>
  <c r="B62" i="69"/>
  <c r="X61" i="69"/>
  <c r="Z61" i="69" s="1"/>
  <c r="N61" i="69"/>
  <c r="L61" i="69"/>
  <c r="B61" i="69"/>
  <c r="X60" i="69"/>
  <c r="Z60" i="69" s="1"/>
  <c r="N60" i="69"/>
  <c r="L60" i="69"/>
  <c r="B60" i="69"/>
  <c r="X59" i="69"/>
  <c r="Z59" i="69" s="1"/>
  <c r="L59" i="69"/>
  <c r="N59" i="69" s="1"/>
  <c r="B59" i="69"/>
  <c r="Z58" i="69"/>
  <c r="X58" i="69"/>
  <c r="N58" i="69"/>
  <c r="L58" i="69"/>
  <c r="B58" i="69"/>
  <c r="Z57" i="69"/>
  <c r="X57" i="69"/>
  <c r="N57" i="69"/>
  <c r="L57" i="69"/>
  <c r="B57" i="69"/>
  <c r="Z56" i="69"/>
  <c r="X56" i="69"/>
  <c r="N56" i="69"/>
  <c r="L56" i="69"/>
  <c r="B56" i="69"/>
  <c r="Z55" i="69"/>
  <c r="X55" i="69"/>
  <c r="N55" i="69"/>
  <c r="L55" i="69"/>
  <c r="B55" i="69"/>
  <c r="Z54" i="69"/>
  <c r="X54" i="69"/>
  <c r="N54" i="69"/>
  <c r="L54" i="69"/>
  <c r="B54" i="69"/>
  <c r="Z53" i="69"/>
  <c r="X53" i="69"/>
  <c r="N53" i="69"/>
  <c r="L53" i="69"/>
  <c r="B53" i="69"/>
  <c r="X52" i="69"/>
  <c r="Z52" i="69" s="1"/>
  <c r="T52" i="69"/>
  <c r="P52" i="69"/>
  <c r="N52" i="69"/>
  <c r="L52" i="69"/>
  <c r="H52" i="69"/>
  <c r="D52" i="69"/>
  <c r="T50" i="69"/>
  <c r="P50" i="69"/>
  <c r="H50" i="69"/>
  <c r="N50" i="69" s="1"/>
  <c r="D50" i="69"/>
  <c r="L50" i="69" s="1"/>
  <c r="B50" i="69"/>
  <c r="X49" i="69"/>
  <c r="T49" i="69"/>
  <c r="Z49" i="69" s="1"/>
  <c r="P49" i="69"/>
  <c r="N49" i="69"/>
  <c r="H49" i="69"/>
  <c r="D49" i="69"/>
  <c r="L49" i="69" s="1"/>
  <c r="B49" i="69"/>
  <c r="T48" i="69"/>
  <c r="X48" i="69" s="1"/>
  <c r="Z48" i="69" s="1"/>
  <c r="P48" i="69"/>
  <c r="H48" i="69"/>
  <c r="D48" i="69"/>
  <c r="L48" i="69" s="1"/>
  <c r="N48" i="69" s="1"/>
  <c r="B48" i="69"/>
  <c r="T47" i="69"/>
  <c r="P47" i="69"/>
  <c r="X47" i="69" s="1"/>
  <c r="L47" i="69"/>
  <c r="N47" i="69" s="1"/>
  <c r="H47" i="69"/>
  <c r="D47" i="69"/>
  <c r="B47" i="69"/>
  <c r="T46" i="69"/>
  <c r="P46" i="69"/>
  <c r="H46" i="69"/>
  <c r="D46" i="69"/>
  <c r="L46" i="69" s="1"/>
  <c r="N46" i="69" s="1"/>
  <c r="B46" i="69"/>
  <c r="X45" i="69"/>
  <c r="T45" i="69"/>
  <c r="Z45" i="69" s="1"/>
  <c r="P45" i="69"/>
  <c r="N45" i="69"/>
  <c r="L45" i="69"/>
  <c r="H45" i="69"/>
  <c r="D45" i="69"/>
  <c r="B45" i="69"/>
  <c r="T44" i="69"/>
  <c r="P44" i="69"/>
  <c r="H44" i="69"/>
  <c r="D44" i="69"/>
  <c r="L44" i="69" s="1"/>
  <c r="N44" i="69" s="1"/>
  <c r="B44" i="69"/>
  <c r="X43" i="69"/>
  <c r="T43" i="69"/>
  <c r="P43" i="69"/>
  <c r="H43" i="69"/>
  <c r="D43" i="69"/>
  <c r="L43" i="69" s="1"/>
  <c r="N43" i="69" s="1"/>
  <c r="B43" i="69"/>
  <c r="T42" i="69"/>
  <c r="P42" i="69"/>
  <c r="H42" i="69"/>
  <c r="D42" i="69"/>
  <c r="B42" i="69"/>
  <c r="X41" i="69"/>
  <c r="T41" i="69"/>
  <c r="Z41" i="69" s="1"/>
  <c r="P41" i="69"/>
  <c r="N41" i="69"/>
  <c r="H41" i="69"/>
  <c r="D41" i="69"/>
  <c r="L41" i="69" s="1"/>
  <c r="B41" i="69"/>
  <c r="Z40" i="69"/>
  <c r="X40" i="69"/>
  <c r="T40" i="69"/>
  <c r="P40" i="69"/>
  <c r="N40" i="69"/>
  <c r="H40" i="69"/>
  <c r="D40" i="69"/>
  <c r="L40" i="69" s="1"/>
  <c r="B40" i="69"/>
  <c r="T39" i="69"/>
  <c r="Z39" i="69" s="1"/>
  <c r="P39" i="69"/>
  <c r="X39" i="69" s="1"/>
  <c r="N39" i="69"/>
  <c r="L39" i="69"/>
  <c r="H39" i="69"/>
  <c r="D39" i="69"/>
  <c r="B39" i="69"/>
  <c r="X38" i="69"/>
  <c r="T38" i="69"/>
  <c r="P38" i="69"/>
  <c r="N38" i="69"/>
  <c r="H38" i="69"/>
  <c r="D38" i="69"/>
  <c r="L38" i="69" s="1"/>
  <c r="B38" i="69"/>
  <c r="X37" i="69"/>
  <c r="T37" i="69"/>
  <c r="P37" i="69"/>
  <c r="L37" i="69"/>
  <c r="N37" i="69" s="1"/>
  <c r="H37" i="69"/>
  <c r="D37" i="69"/>
  <c r="B37" i="69"/>
  <c r="T36" i="69"/>
  <c r="P36" i="69"/>
  <c r="N36" i="69"/>
  <c r="L36" i="69"/>
  <c r="H36" i="69"/>
  <c r="D36" i="69"/>
  <c r="B36" i="69"/>
  <c r="T35" i="69"/>
  <c r="P35" i="69"/>
  <c r="X35" i="69" s="1"/>
  <c r="H35" i="69"/>
  <c r="D35" i="69"/>
  <c r="L35" i="69" s="1"/>
  <c r="N35" i="69" s="1"/>
  <c r="B35" i="69"/>
  <c r="X34" i="69"/>
  <c r="T34" i="69"/>
  <c r="P34" i="69"/>
  <c r="H34" i="69"/>
  <c r="D34" i="69"/>
  <c r="L34" i="69" s="1"/>
  <c r="N34" i="69" s="1"/>
  <c r="B34" i="69"/>
  <c r="T33" i="69"/>
  <c r="P33" i="69"/>
  <c r="N33" i="69"/>
  <c r="L33" i="69"/>
  <c r="H33" i="69"/>
  <c r="D33" i="69"/>
  <c r="B33" i="69"/>
  <c r="T32" i="69"/>
  <c r="Z32" i="69" s="1"/>
  <c r="P32" i="69"/>
  <c r="N32" i="69"/>
  <c r="L32" i="69"/>
  <c r="H32" i="69"/>
  <c r="D32" i="69"/>
  <c r="B32" i="69"/>
  <c r="T31" i="69"/>
  <c r="Z31" i="69" s="1"/>
  <c r="P31" i="69"/>
  <c r="X31" i="69" s="1"/>
  <c r="N31" i="69"/>
  <c r="H31" i="69"/>
  <c r="D31" i="69"/>
  <c r="L31" i="69" s="1"/>
  <c r="B31" i="69"/>
  <c r="T30" i="69"/>
  <c r="Z30" i="69" s="1"/>
  <c r="P30" i="69"/>
  <c r="N30" i="69"/>
  <c r="H30" i="69"/>
  <c r="D30" i="69"/>
  <c r="L30" i="69" s="1"/>
  <c r="B30" i="69"/>
  <c r="T29" i="69"/>
  <c r="Z29" i="69" s="1"/>
  <c r="P29" i="69"/>
  <c r="N29" i="69"/>
  <c r="L29" i="69"/>
  <c r="H29" i="69"/>
  <c r="D29" i="69"/>
  <c r="B29" i="69"/>
  <c r="T28" i="69"/>
  <c r="Z28" i="69" s="1"/>
  <c r="P28" i="69"/>
  <c r="N28" i="69"/>
  <c r="L28" i="69"/>
  <c r="H28" i="69"/>
  <c r="D28" i="69"/>
  <c r="B28" i="69"/>
  <c r="T27" i="69"/>
  <c r="P27" i="69"/>
  <c r="N27" i="69"/>
  <c r="H27" i="69"/>
  <c r="D27" i="69"/>
  <c r="L27" i="69" s="1"/>
  <c r="B27" i="69"/>
  <c r="T26" i="69"/>
  <c r="Z26" i="69" s="1"/>
  <c r="P26" i="69"/>
  <c r="H26" i="69"/>
  <c r="D26" i="69"/>
  <c r="B26" i="69"/>
  <c r="T25" i="69"/>
  <c r="Z25" i="69" s="1"/>
  <c r="P25" i="69"/>
  <c r="X25" i="69" s="1"/>
  <c r="N25" i="69"/>
  <c r="L25" i="69"/>
  <c r="H25" i="69"/>
  <c r="D25" i="69"/>
  <c r="B25" i="69"/>
  <c r="Z24" i="69"/>
  <c r="X24" i="69"/>
  <c r="T24" i="69"/>
  <c r="P24" i="69"/>
  <c r="L24" i="69"/>
  <c r="H24" i="69"/>
  <c r="N24" i="69" s="1"/>
  <c r="D24" i="69"/>
  <c r="B24" i="69"/>
  <c r="T23" i="69"/>
  <c r="P23" i="69"/>
  <c r="X23" i="69" s="1"/>
  <c r="L23" i="69"/>
  <c r="N23" i="69" s="1"/>
  <c r="H23" i="69"/>
  <c r="D23" i="69"/>
  <c r="B23" i="69"/>
  <c r="Z22" i="69"/>
  <c r="X22" i="69"/>
  <c r="T22" i="69"/>
  <c r="P22" i="69"/>
  <c r="H22" i="69"/>
  <c r="H12" i="69" s="1"/>
  <c r="D22" i="69"/>
  <c r="B22" i="69"/>
  <c r="X21" i="69"/>
  <c r="T21" i="69"/>
  <c r="P21" i="69"/>
  <c r="H21" i="69"/>
  <c r="D21" i="69"/>
  <c r="L21" i="69" s="1"/>
  <c r="N21" i="69" s="1"/>
  <c r="B21" i="69"/>
  <c r="X20" i="69"/>
  <c r="T20" i="69"/>
  <c r="P20" i="69"/>
  <c r="H20" i="69"/>
  <c r="D20" i="69"/>
  <c r="L20" i="69" s="1"/>
  <c r="N20" i="69" s="1"/>
  <c r="B20" i="69"/>
  <c r="T19" i="69"/>
  <c r="P19" i="69"/>
  <c r="X19" i="69" s="1"/>
  <c r="H19" i="69"/>
  <c r="D19" i="69"/>
  <c r="B19" i="69"/>
  <c r="T18" i="69"/>
  <c r="Z18" i="69" s="1"/>
  <c r="P18" i="69"/>
  <c r="H18" i="69"/>
  <c r="N18" i="69" s="1"/>
  <c r="D18" i="69"/>
  <c r="B18" i="69"/>
  <c r="X17" i="69"/>
  <c r="T17" i="69"/>
  <c r="Z17" i="69" s="1"/>
  <c r="P17" i="69"/>
  <c r="N17" i="69"/>
  <c r="H17" i="69"/>
  <c r="D17" i="69"/>
  <c r="L17" i="69" s="1"/>
  <c r="B17" i="69"/>
  <c r="Z16" i="69"/>
  <c r="X16" i="69"/>
  <c r="T16" i="69"/>
  <c r="P16" i="69"/>
  <c r="N16" i="69"/>
  <c r="L16" i="69"/>
  <c r="H16" i="69"/>
  <c r="D16" i="69"/>
  <c r="B16" i="69"/>
  <c r="X15" i="69"/>
  <c r="T15" i="69"/>
  <c r="Z15" i="69" s="1"/>
  <c r="P15" i="69"/>
  <c r="N15" i="69"/>
  <c r="H15" i="69"/>
  <c r="D15" i="69"/>
  <c r="L15" i="69" s="1"/>
  <c r="B15" i="69"/>
  <c r="Z14" i="69"/>
  <c r="X14" i="69"/>
  <c r="T14" i="69"/>
  <c r="P14" i="69"/>
  <c r="N14" i="69"/>
  <c r="H14" i="69"/>
  <c r="D14" i="69"/>
  <c r="L14" i="69" s="1"/>
  <c r="B14" i="69"/>
  <c r="T13" i="69"/>
  <c r="P13" i="69"/>
  <c r="N13" i="69"/>
  <c r="L13" i="69"/>
  <c r="H13" i="69"/>
  <c r="D13" i="69"/>
  <c r="B13" i="69"/>
  <c r="D6" i="69"/>
  <c r="D4" i="69"/>
  <c r="Z89" i="68"/>
  <c r="X89" i="68"/>
  <c r="N89" i="68"/>
  <c r="L89" i="68"/>
  <c r="T85" i="68"/>
  <c r="Z85" i="68" s="1"/>
  <c r="P85" i="68"/>
  <c r="H85" i="68"/>
  <c r="N85" i="68" s="1"/>
  <c r="D85" i="68"/>
  <c r="L85" i="68" s="1"/>
  <c r="Z83" i="68"/>
  <c r="X83" i="68"/>
  <c r="N83" i="68"/>
  <c r="L83" i="68"/>
  <c r="B83" i="68"/>
  <c r="T82" i="68"/>
  <c r="Z82" i="68" s="1"/>
  <c r="P82" i="68"/>
  <c r="X82" i="68" s="1"/>
  <c r="N82" i="68"/>
  <c r="L82" i="68"/>
  <c r="H82" i="68"/>
  <c r="D82" i="68"/>
  <c r="B82" i="68"/>
  <c r="X81" i="68"/>
  <c r="Z81" i="68" s="1"/>
  <c r="N81" i="68"/>
  <c r="L81" i="68"/>
  <c r="J81" i="68"/>
  <c r="B81" i="68"/>
  <c r="X80" i="68"/>
  <c r="Z80" i="68" s="1"/>
  <c r="T80" i="68"/>
  <c r="P80" i="68"/>
  <c r="L80" i="68"/>
  <c r="H80" i="68"/>
  <c r="N80" i="68" s="1"/>
  <c r="D80" i="68"/>
  <c r="B80" i="68"/>
  <c r="Z79" i="68"/>
  <c r="X79" i="68"/>
  <c r="N79" i="68"/>
  <c r="L79" i="68"/>
  <c r="B79" i="68"/>
  <c r="T78" i="68"/>
  <c r="Z78" i="68" s="1"/>
  <c r="P78" i="68"/>
  <c r="X78" i="68" s="1"/>
  <c r="H78" i="68"/>
  <c r="N78" i="68" s="1"/>
  <c r="D78" i="68"/>
  <c r="B78" i="68"/>
  <c r="X77" i="68"/>
  <c r="Z77" i="68" s="1"/>
  <c r="N77" i="68"/>
  <c r="L77" i="68"/>
  <c r="B77" i="68"/>
  <c r="X76" i="68"/>
  <c r="Z76" i="68" s="1"/>
  <c r="T76" i="68"/>
  <c r="P76" i="68"/>
  <c r="H76" i="68"/>
  <c r="N76" i="68" s="1"/>
  <c r="D76" i="68"/>
  <c r="L76" i="68" s="1"/>
  <c r="B76" i="68"/>
  <c r="Z75" i="68"/>
  <c r="X75" i="68"/>
  <c r="N75" i="68"/>
  <c r="L75" i="68"/>
  <c r="B75" i="68"/>
  <c r="T74" i="68"/>
  <c r="P74" i="68"/>
  <c r="N74" i="68"/>
  <c r="L74" i="68"/>
  <c r="H74" i="68"/>
  <c r="D74" i="68"/>
  <c r="B74" i="68"/>
  <c r="Z73" i="68"/>
  <c r="X73" i="68"/>
  <c r="N73" i="68"/>
  <c r="L73" i="68"/>
  <c r="B73" i="68"/>
  <c r="X72" i="68"/>
  <c r="Z72" i="68" s="1"/>
  <c r="L72" i="68"/>
  <c r="N72" i="68" s="1"/>
  <c r="B72" i="68"/>
  <c r="T71" i="68"/>
  <c r="X71" i="68" s="1"/>
  <c r="Z71" i="68" s="1"/>
  <c r="P71" i="68"/>
  <c r="L71" i="68"/>
  <c r="N71" i="68" s="1"/>
  <c r="H71" i="68"/>
  <c r="D71" i="68"/>
  <c r="B71" i="68"/>
  <c r="Z70" i="68"/>
  <c r="X70" i="68"/>
  <c r="N70" i="68"/>
  <c r="L70" i="68"/>
  <c r="B70" i="68"/>
  <c r="T69" i="68"/>
  <c r="Z69" i="68" s="1"/>
  <c r="P69" i="68"/>
  <c r="X69" i="68" s="1"/>
  <c r="H69" i="68"/>
  <c r="N69" i="68" s="1"/>
  <c r="D69" i="68"/>
  <c r="B69" i="68"/>
  <c r="X68" i="68"/>
  <c r="Z68" i="68" s="1"/>
  <c r="L68" i="68"/>
  <c r="N68" i="68" s="1"/>
  <c r="B68" i="68"/>
  <c r="Z67" i="68"/>
  <c r="X67" i="68"/>
  <c r="N67" i="68"/>
  <c r="L67" i="68"/>
  <c r="B67" i="68"/>
  <c r="X66" i="68"/>
  <c r="Z66" i="68" s="1"/>
  <c r="N66" i="68"/>
  <c r="L66" i="68"/>
  <c r="B66" i="68"/>
  <c r="T65" i="68"/>
  <c r="Z65" i="68" s="1"/>
  <c r="P65" i="68"/>
  <c r="X65" i="68" s="1"/>
  <c r="N65" i="68"/>
  <c r="L65" i="68"/>
  <c r="H65" i="68"/>
  <c r="D65" i="68"/>
  <c r="B65" i="68"/>
  <c r="X64" i="68"/>
  <c r="Z64" i="68" s="1"/>
  <c r="N64" i="68"/>
  <c r="L64" i="68"/>
  <c r="B64" i="68"/>
  <c r="Z63" i="68"/>
  <c r="X63" i="68"/>
  <c r="N63" i="68"/>
  <c r="L63" i="68"/>
  <c r="B63" i="68"/>
  <c r="Z62" i="68"/>
  <c r="X62" i="68"/>
  <c r="N62" i="68"/>
  <c r="L62" i="68"/>
  <c r="B62" i="68"/>
  <c r="Z61" i="68"/>
  <c r="X61" i="68"/>
  <c r="N61" i="68"/>
  <c r="L61" i="68"/>
  <c r="B61" i="68"/>
  <c r="X60" i="68"/>
  <c r="Z60" i="68" s="1"/>
  <c r="L60" i="68"/>
  <c r="N60" i="68" s="1"/>
  <c r="B60" i="68"/>
  <c r="Z59" i="68"/>
  <c r="X59" i="68"/>
  <c r="N59" i="68"/>
  <c r="L59" i="68"/>
  <c r="B59" i="68"/>
  <c r="Z58" i="68"/>
  <c r="X58" i="68"/>
  <c r="N58" i="68"/>
  <c r="L58" i="68"/>
  <c r="B58" i="68"/>
  <c r="Z57" i="68"/>
  <c r="X57" i="68"/>
  <c r="L57" i="68"/>
  <c r="N57" i="68" s="1"/>
  <c r="B57" i="68"/>
  <c r="X56" i="68"/>
  <c r="Z56" i="68" s="1"/>
  <c r="N56" i="68"/>
  <c r="L56" i="68"/>
  <c r="B56" i="68"/>
  <c r="T55" i="68"/>
  <c r="X55" i="68" s="1"/>
  <c r="Z55" i="68" s="1"/>
  <c r="P55" i="68"/>
  <c r="N55" i="68"/>
  <c r="L55" i="68"/>
  <c r="J55" i="68"/>
  <c r="H55" i="68"/>
  <c r="D55" i="68"/>
  <c r="B55" i="68"/>
  <c r="T54" i="68"/>
  <c r="P54" i="68"/>
  <c r="X54" i="68" s="1"/>
  <c r="L54" i="68"/>
  <c r="N54" i="68" s="1"/>
  <c r="H54" i="68"/>
  <c r="D54" i="68"/>
  <c r="Z50" i="68"/>
  <c r="X50" i="68"/>
  <c r="L50" i="68"/>
  <c r="N50" i="68" s="1"/>
  <c r="B50" i="68"/>
  <c r="X49" i="68"/>
  <c r="Z49" i="68" s="1"/>
  <c r="L49" i="68"/>
  <c r="N49" i="68" s="1"/>
  <c r="B49" i="68"/>
  <c r="Z48" i="68"/>
  <c r="X48" i="68"/>
  <c r="N48" i="68"/>
  <c r="L48" i="68"/>
  <c r="B48" i="68"/>
  <c r="Z47" i="68"/>
  <c r="X47" i="68"/>
  <c r="N47" i="68"/>
  <c r="L47" i="68"/>
  <c r="B47" i="68"/>
  <c r="Z46" i="68"/>
  <c r="X46" i="68"/>
  <c r="N46" i="68"/>
  <c r="L46" i="68"/>
  <c r="B46" i="68"/>
  <c r="X45" i="68"/>
  <c r="Z45" i="68" s="1"/>
  <c r="L45" i="68"/>
  <c r="N45" i="68" s="1"/>
  <c r="B45" i="68"/>
  <c r="Z44" i="68"/>
  <c r="X44" i="68"/>
  <c r="L44" i="68"/>
  <c r="N44" i="68" s="1"/>
  <c r="B44" i="68"/>
  <c r="Z43" i="68"/>
  <c r="X43" i="68"/>
  <c r="N43" i="68"/>
  <c r="L43" i="68"/>
  <c r="B43" i="68"/>
  <c r="Z42" i="68"/>
  <c r="X42" i="68"/>
  <c r="L42" i="68"/>
  <c r="N42" i="68" s="1"/>
  <c r="J42" i="68"/>
  <c r="B42" i="68"/>
  <c r="X41" i="68"/>
  <c r="Z41" i="68" s="1"/>
  <c r="L41" i="68"/>
  <c r="N41" i="68" s="1"/>
  <c r="B41" i="68"/>
  <c r="Z40" i="68"/>
  <c r="X40" i="68"/>
  <c r="L40" i="68"/>
  <c r="N40" i="68" s="1"/>
  <c r="B40" i="68"/>
  <c r="Z39" i="68"/>
  <c r="X39" i="68"/>
  <c r="N39" i="68"/>
  <c r="L39" i="68"/>
  <c r="B39" i="68"/>
  <c r="Z38" i="68"/>
  <c r="X38" i="68"/>
  <c r="L38" i="68"/>
  <c r="N38" i="68" s="1"/>
  <c r="B38" i="68"/>
  <c r="X37" i="68"/>
  <c r="Z37" i="68" s="1"/>
  <c r="L37" i="68"/>
  <c r="N37" i="68" s="1"/>
  <c r="B37" i="68"/>
  <c r="X36" i="68"/>
  <c r="Z36" i="68" s="1"/>
  <c r="L36" i="68"/>
  <c r="N36" i="68" s="1"/>
  <c r="B36" i="68"/>
  <c r="T35" i="68"/>
  <c r="P35" i="68"/>
  <c r="H35" i="68"/>
  <c r="D35" i="68"/>
  <c r="L35" i="68" s="1"/>
  <c r="T33" i="68"/>
  <c r="P33" i="68"/>
  <c r="X33" i="68" s="1"/>
  <c r="N33" i="68"/>
  <c r="L33" i="68"/>
  <c r="H33" i="68"/>
  <c r="D33" i="68"/>
  <c r="B33" i="68"/>
  <c r="T32" i="68"/>
  <c r="Z32" i="68" s="1"/>
  <c r="P32" i="68"/>
  <c r="X32" i="68" s="1"/>
  <c r="H32" i="68"/>
  <c r="N32" i="68" s="1"/>
  <c r="D32" i="68"/>
  <c r="L32" i="68" s="1"/>
  <c r="B32" i="68"/>
  <c r="T31" i="68"/>
  <c r="P31" i="68"/>
  <c r="H31" i="68"/>
  <c r="D31" i="68"/>
  <c r="B31" i="68"/>
  <c r="X30" i="68"/>
  <c r="Z30" i="68" s="1"/>
  <c r="T30" i="68"/>
  <c r="P30" i="68"/>
  <c r="L30" i="68"/>
  <c r="N30" i="68" s="1"/>
  <c r="H30" i="68"/>
  <c r="D30" i="68"/>
  <c r="B30" i="68"/>
  <c r="T29" i="68"/>
  <c r="P29" i="68"/>
  <c r="N29" i="68"/>
  <c r="L29" i="68"/>
  <c r="H29" i="68"/>
  <c r="D29" i="68"/>
  <c r="B29" i="68"/>
  <c r="T28" i="68"/>
  <c r="Z28" i="68" s="1"/>
  <c r="P28" i="68"/>
  <c r="X28" i="68" s="1"/>
  <c r="L28" i="68"/>
  <c r="H28" i="68"/>
  <c r="N28" i="68" s="1"/>
  <c r="D28" i="68"/>
  <c r="B28" i="68"/>
  <c r="T27" i="68"/>
  <c r="P27" i="68"/>
  <c r="H27" i="68"/>
  <c r="N27" i="68" s="1"/>
  <c r="D27" i="68"/>
  <c r="B27" i="68"/>
  <c r="X26" i="68"/>
  <c r="Z26" i="68" s="1"/>
  <c r="T26" i="68"/>
  <c r="P26" i="68"/>
  <c r="L26" i="68"/>
  <c r="N26" i="68" s="1"/>
  <c r="H26" i="68"/>
  <c r="D26" i="68"/>
  <c r="B26" i="68"/>
  <c r="T25" i="68"/>
  <c r="P25" i="68"/>
  <c r="N25" i="68"/>
  <c r="L25" i="68"/>
  <c r="H25" i="68"/>
  <c r="D25" i="68"/>
  <c r="B25" i="68"/>
  <c r="T24" i="68"/>
  <c r="Z24" i="68" s="1"/>
  <c r="P24" i="68"/>
  <c r="X24" i="68" s="1"/>
  <c r="H24" i="68"/>
  <c r="D24" i="68"/>
  <c r="L24" i="68" s="1"/>
  <c r="B24" i="68"/>
  <c r="T23" i="68"/>
  <c r="P23" i="68"/>
  <c r="H23" i="68"/>
  <c r="D23" i="68"/>
  <c r="B23" i="68"/>
  <c r="X22" i="68"/>
  <c r="Z22" i="68" s="1"/>
  <c r="T22" i="68"/>
  <c r="P22" i="68"/>
  <c r="L22" i="68"/>
  <c r="N22" i="68" s="1"/>
  <c r="H22" i="68"/>
  <c r="D22" i="68"/>
  <c r="B22" i="68"/>
  <c r="T21" i="68"/>
  <c r="P21" i="68"/>
  <c r="X21" i="68" s="1"/>
  <c r="N21" i="68"/>
  <c r="L21" i="68"/>
  <c r="H21" i="68"/>
  <c r="D21" i="68"/>
  <c r="B21" i="68"/>
  <c r="T20" i="68"/>
  <c r="P20" i="68"/>
  <c r="X20" i="68" s="1"/>
  <c r="H20" i="68"/>
  <c r="D20" i="68"/>
  <c r="B20" i="68"/>
  <c r="T19" i="68"/>
  <c r="P19" i="68"/>
  <c r="H19" i="68"/>
  <c r="N19" i="68" s="1"/>
  <c r="D19" i="68"/>
  <c r="B19" i="68"/>
  <c r="X18" i="68"/>
  <c r="Z18" i="68" s="1"/>
  <c r="T18" i="68"/>
  <c r="P18" i="68"/>
  <c r="L18" i="68"/>
  <c r="N18" i="68" s="1"/>
  <c r="H18" i="68"/>
  <c r="D18" i="68"/>
  <c r="B18" i="68"/>
  <c r="T17" i="68"/>
  <c r="P17" i="68"/>
  <c r="N17" i="68"/>
  <c r="L17" i="68"/>
  <c r="H17" i="68"/>
  <c r="D17" i="68"/>
  <c r="B17" i="68"/>
  <c r="T16" i="68"/>
  <c r="P16" i="68"/>
  <c r="X16" i="68" s="1"/>
  <c r="H16" i="68"/>
  <c r="D16" i="68"/>
  <c r="L16" i="68" s="1"/>
  <c r="B16" i="68"/>
  <c r="T15" i="68"/>
  <c r="P15" i="68"/>
  <c r="H15" i="68"/>
  <c r="D15" i="68"/>
  <c r="B15" i="68"/>
  <c r="Z14" i="68"/>
  <c r="X14" i="68"/>
  <c r="T14" i="68"/>
  <c r="P14" i="68"/>
  <c r="N14" i="68"/>
  <c r="L14" i="68"/>
  <c r="H14" i="68"/>
  <c r="D14" i="68"/>
  <c r="B14" i="68"/>
  <c r="T13" i="68"/>
  <c r="P13" i="68"/>
  <c r="N13" i="68"/>
  <c r="L13" i="68"/>
  <c r="H13" i="68"/>
  <c r="D13" i="68"/>
  <c r="B13" i="68"/>
  <c r="H12" i="68"/>
  <c r="D6" i="68"/>
  <c r="D4" i="68"/>
  <c r="X76" i="67"/>
  <c r="Z76" i="67" s="1"/>
  <c r="N76" i="67"/>
  <c r="L76" i="67"/>
  <c r="Z72" i="67"/>
  <c r="T72" i="67"/>
  <c r="P72" i="67"/>
  <c r="X72" i="67" s="1"/>
  <c r="H72" i="67"/>
  <c r="N72" i="67" s="1"/>
  <c r="D72" i="67"/>
  <c r="X70" i="67"/>
  <c r="Z70" i="67" s="1"/>
  <c r="N70" i="67"/>
  <c r="L70" i="67"/>
  <c r="B70" i="67"/>
  <c r="Z69" i="67"/>
  <c r="T69" i="67"/>
  <c r="P69" i="67"/>
  <c r="X69" i="67" s="1"/>
  <c r="H69" i="67"/>
  <c r="N69" i="67" s="1"/>
  <c r="D69" i="67"/>
  <c r="L69" i="67" s="1"/>
  <c r="B69" i="67"/>
  <c r="X68" i="67"/>
  <c r="Z68" i="67" s="1"/>
  <c r="N68" i="67"/>
  <c r="L68" i="67"/>
  <c r="B68" i="67"/>
  <c r="T67" i="67"/>
  <c r="P67" i="67"/>
  <c r="X67" i="67" s="1"/>
  <c r="N67" i="67"/>
  <c r="L67" i="67"/>
  <c r="H67" i="67"/>
  <c r="D67" i="67"/>
  <c r="B67" i="67"/>
  <c r="Z66" i="67"/>
  <c r="X66" i="67"/>
  <c r="L66" i="67"/>
  <c r="N66" i="67" s="1"/>
  <c r="B66" i="67"/>
  <c r="Z65" i="67"/>
  <c r="X65" i="67"/>
  <c r="N65" i="67"/>
  <c r="L65" i="67"/>
  <c r="B65" i="67"/>
  <c r="Z64" i="67"/>
  <c r="X64" i="67"/>
  <c r="N64" i="67"/>
  <c r="L64" i="67"/>
  <c r="J64" i="67"/>
  <c r="B64" i="67"/>
  <c r="X63" i="67"/>
  <c r="Z63" i="67" s="1"/>
  <c r="N63" i="67"/>
  <c r="L63" i="67"/>
  <c r="B63" i="67"/>
  <c r="Z62" i="67"/>
  <c r="X62" i="67"/>
  <c r="R62" i="67"/>
  <c r="N62" i="67"/>
  <c r="L62" i="67"/>
  <c r="B62" i="67"/>
  <c r="Z61" i="67"/>
  <c r="X61" i="67"/>
  <c r="N61" i="67"/>
  <c r="L61" i="67"/>
  <c r="J61" i="67"/>
  <c r="B61" i="67"/>
  <c r="T60" i="67"/>
  <c r="P60" i="67"/>
  <c r="H60" i="67"/>
  <c r="D60" i="67"/>
  <c r="L60" i="67" s="1"/>
  <c r="N60" i="67" s="1"/>
  <c r="B60" i="67"/>
  <c r="X59" i="67"/>
  <c r="Z59" i="67" s="1"/>
  <c r="L59" i="67"/>
  <c r="N59" i="67" s="1"/>
  <c r="B59" i="67"/>
  <c r="X58" i="67"/>
  <c r="Z58" i="67" s="1"/>
  <c r="T58" i="67"/>
  <c r="P58" i="67"/>
  <c r="H58" i="67"/>
  <c r="D58" i="67"/>
  <c r="L58" i="67" s="1"/>
  <c r="B58" i="67"/>
  <c r="Z57" i="67"/>
  <c r="X57" i="67"/>
  <c r="N57" i="67"/>
  <c r="L57" i="67"/>
  <c r="B57" i="67"/>
  <c r="X56" i="67"/>
  <c r="Z56" i="67" s="1"/>
  <c r="N56" i="67"/>
  <c r="L56" i="67"/>
  <c r="B56" i="67"/>
  <c r="X55" i="67"/>
  <c r="Z55" i="67" s="1"/>
  <c r="N55" i="67"/>
  <c r="L55" i="67"/>
  <c r="J55" i="67"/>
  <c r="B55" i="67"/>
  <c r="T54" i="67"/>
  <c r="P54" i="67"/>
  <c r="X54" i="67" s="1"/>
  <c r="Z54" i="67" s="1"/>
  <c r="H54" i="67"/>
  <c r="D54" i="67"/>
  <c r="B54" i="67"/>
  <c r="Z53" i="67"/>
  <c r="X53" i="67"/>
  <c r="N53" i="67"/>
  <c r="L53" i="67"/>
  <c r="B53" i="67"/>
  <c r="T52" i="67"/>
  <c r="P52" i="67"/>
  <c r="X52" i="67" s="1"/>
  <c r="L52" i="67"/>
  <c r="H52" i="67"/>
  <c r="N52" i="67" s="1"/>
  <c r="D52" i="67"/>
  <c r="B52" i="67"/>
  <c r="X51" i="67"/>
  <c r="Z51" i="67" s="1"/>
  <c r="L51" i="67"/>
  <c r="N51" i="67" s="1"/>
  <c r="B51" i="67"/>
  <c r="T50" i="67"/>
  <c r="P50" i="67"/>
  <c r="X50" i="67" s="1"/>
  <c r="Z50" i="67" s="1"/>
  <c r="J50" i="67"/>
  <c r="H50" i="67"/>
  <c r="D50" i="67"/>
  <c r="L50" i="67" s="1"/>
  <c r="B50" i="67"/>
  <c r="Z49" i="67"/>
  <c r="X49" i="67"/>
  <c r="N49" i="67"/>
  <c r="L49" i="67"/>
  <c r="B49" i="67"/>
  <c r="X48" i="67"/>
  <c r="T48" i="67"/>
  <c r="P48" i="67"/>
  <c r="H48" i="67"/>
  <c r="D48" i="67"/>
  <c r="L48" i="67" s="1"/>
  <c r="N48" i="67" s="1"/>
  <c r="B48" i="67"/>
  <c r="X47" i="67"/>
  <c r="Z47" i="67" s="1"/>
  <c r="L47" i="67"/>
  <c r="N47" i="67" s="1"/>
  <c r="B47" i="67"/>
  <c r="T46" i="67"/>
  <c r="Z46" i="67" s="1"/>
  <c r="P46" i="67"/>
  <c r="X46" i="67" s="1"/>
  <c r="H46" i="67"/>
  <c r="D46" i="67"/>
  <c r="L46" i="67" s="1"/>
  <c r="B46" i="67"/>
  <c r="Z45" i="67"/>
  <c r="X45" i="67"/>
  <c r="R45" i="67"/>
  <c r="N45" i="67"/>
  <c r="L45" i="67"/>
  <c r="B45" i="67"/>
  <c r="T44" i="67"/>
  <c r="P44" i="67"/>
  <c r="H44" i="67"/>
  <c r="D44" i="67"/>
  <c r="L44" i="67" s="1"/>
  <c r="N44" i="67" s="1"/>
  <c r="B44" i="67"/>
  <c r="X43" i="67"/>
  <c r="Z43" i="67" s="1"/>
  <c r="L43" i="67"/>
  <c r="N43" i="67" s="1"/>
  <c r="B43" i="67"/>
  <c r="T42" i="67"/>
  <c r="P42" i="67"/>
  <c r="X42" i="67" s="1"/>
  <c r="Z42" i="67" s="1"/>
  <c r="H42" i="67"/>
  <c r="D42" i="67"/>
  <c r="B42" i="67"/>
  <c r="Z41" i="67"/>
  <c r="X41" i="67"/>
  <c r="N41" i="67"/>
  <c r="L41" i="67"/>
  <c r="J41" i="67"/>
  <c r="B41" i="67"/>
  <c r="Z40" i="67"/>
  <c r="X40" i="67"/>
  <c r="N40" i="67"/>
  <c r="L40" i="67"/>
  <c r="B40" i="67"/>
  <c r="X39" i="67"/>
  <c r="Z39" i="67" s="1"/>
  <c r="L39" i="67"/>
  <c r="N39" i="67" s="1"/>
  <c r="B39" i="67"/>
  <c r="X38" i="67"/>
  <c r="Z38" i="67" s="1"/>
  <c r="N38" i="67"/>
  <c r="L38" i="67"/>
  <c r="B38" i="67"/>
  <c r="Z37" i="67"/>
  <c r="X37" i="67"/>
  <c r="N37" i="67"/>
  <c r="L37" i="67"/>
  <c r="J37" i="67"/>
  <c r="B37" i="67"/>
  <c r="T36" i="67"/>
  <c r="P36" i="67"/>
  <c r="H36" i="67"/>
  <c r="N36" i="67" s="1"/>
  <c r="D36" i="67"/>
  <c r="L36" i="67" s="1"/>
  <c r="B36" i="67"/>
  <c r="X35" i="67"/>
  <c r="Z35" i="67" s="1"/>
  <c r="L35" i="67"/>
  <c r="N35" i="67" s="1"/>
  <c r="B35" i="67"/>
  <c r="X34" i="67"/>
  <c r="Z34" i="67" s="1"/>
  <c r="L34" i="67"/>
  <c r="N34" i="67" s="1"/>
  <c r="B34" i="67"/>
  <c r="Z33" i="67"/>
  <c r="X33" i="67"/>
  <c r="N33" i="67"/>
  <c r="L33" i="67"/>
  <c r="B33" i="67"/>
  <c r="Z32" i="67"/>
  <c r="X32" i="67"/>
  <c r="L32" i="67"/>
  <c r="N32" i="67" s="1"/>
  <c r="J32" i="67"/>
  <c r="B32" i="67"/>
  <c r="X31" i="67"/>
  <c r="Z31" i="67" s="1"/>
  <c r="L31" i="67"/>
  <c r="N31" i="67" s="1"/>
  <c r="B31" i="67"/>
  <c r="X30" i="67"/>
  <c r="Z30" i="67" s="1"/>
  <c r="L30" i="67"/>
  <c r="N30" i="67" s="1"/>
  <c r="B30" i="67"/>
  <c r="Z29" i="67"/>
  <c r="X29" i="67"/>
  <c r="N29" i="67"/>
  <c r="L29" i="67"/>
  <c r="B29" i="67"/>
  <c r="Z28" i="67"/>
  <c r="X28" i="67"/>
  <c r="L28" i="67"/>
  <c r="N28" i="67" s="1"/>
  <c r="J28" i="67"/>
  <c r="B28" i="67"/>
  <c r="T27" i="67"/>
  <c r="Z27" i="67" s="1"/>
  <c r="P27" i="67"/>
  <c r="X27" i="67" s="1"/>
  <c r="J27" i="67"/>
  <c r="H27" i="67"/>
  <c r="D27" i="67"/>
  <c r="B27" i="67"/>
  <c r="X26" i="67"/>
  <c r="Z26" i="67" s="1"/>
  <c r="T26" i="67"/>
  <c r="R26" i="67"/>
  <c r="P26" i="67"/>
  <c r="L26" i="67"/>
  <c r="H26" i="67"/>
  <c r="D26" i="67"/>
  <c r="X22" i="67"/>
  <c r="Z22" i="67" s="1"/>
  <c r="L22" i="67"/>
  <c r="N22" i="67" s="1"/>
  <c r="B22" i="67"/>
  <c r="Z21" i="67"/>
  <c r="X21" i="67"/>
  <c r="N21" i="67"/>
  <c r="L21" i="67"/>
  <c r="B21" i="67"/>
  <c r="T20" i="67"/>
  <c r="P20" i="67"/>
  <c r="H20" i="67"/>
  <c r="D20" i="67"/>
  <c r="L20" i="67" s="1"/>
  <c r="N20" i="67" s="1"/>
  <c r="T18" i="67"/>
  <c r="P18" i="67"/>
  <c r="X18" i="67" s="1"/>
  <c r="H18" i="67"/>
  <c r="N18" i="67" s="1"/>
  <c r="D18" i="67"/>
  <c r="L18" i="67" s="1"/>
  <c r="B18" i="67"/>
  <c r="T17" i="67"/>
  <c r="P17" i="67"/>
  <c r="L17" i="67"/>
  <c r="N17" i="67" s="1"/>
  <c r="H17" i="67"/>
  <c r="D17" i="67"/>
  <c r="B17" i="67"/>
  <c r="X16" i="67"/>
  <c r="Z16" i="67" s="1"/>
  <c r="T16" i="67"/>
  <c r="P16" i="67"/>
  <c r="N16" i="67"/>
  <c r="L16" i="67"/>
  <c r="H16" i="67"/>
  <c r="D16" i="67"/>
  <c r="B16" i="67"/>
  <c r="Z15" i="67"/>
  <c r="T15" i="67"/>
  <c r="P15" i="67"/>
  <c r="X15" i="67" s="1"/>
  <c r="H15" i="67"/>
  <c r="D15" i="67"/>
  <c r="L15" i="67" s="1"/>
  <c r="N15" i="67" s="1"/>
  <c r="B15" i="67"/>
  <c r="X14" i="67"/>
  <c r="T14" i="67"/>
  <c r="P14" i="67"/>
  <c r="P12" i="67" s="1"/>
  <c r="H14" i="67"/>
  <c r="D14" i="67"/>
  <c r="L14" i="67" s="1"/>
  <c r="B14" i="67"/>
  <c r="T13" i="67"/>
  <c r="P13" i="67"/>
  <c r="L13" i="67"/>
  <c r="N13" i="67" s="1"/>
  <c r="H13" i="67"/>
  <c r="H12" i="67" s="1"/>
  <c r="J47" i="67" s="1"/>
  <c r="D13" i="67"/>
  <c r="B13" i="67"/>
  <c r="D6" i="67"/>
  <c r="D4" i="67"/>
  <c r="Z124" i="66"/>
  <c r="X124" i="66"/>
  <c r="N124" i="66"/>
  <c r="L124" i="66"/>
  <c r="X120" i="66"/>
  <c r="T120" i="66"/>
  <c r="P120" i="66"/>
  <c r="N120" i="66"/>
  <c r="L120" i="66"/>
  <c r="H120" i="66"/>
  <c r="D120" i="66"/>
  <c r="B120" i="66"/>
  <c r="Z119" i="66"/>
  <c r="X119" i="66"/>
  <c r="T119" i="66"/>
  <c r="P119" i="66"/>
  <c r="N119" i="66"/>
  <c r="H119" i="66"/>
  <c r="L119" i="66" s="1"/>
  <c r="D119" i="66"/>
  <c r="B119" i="66"/>
  <c r="Z118" i="66"/>
  <c r="X118" i="66"/>
  <c r="T118" i="66"/>
  <c r="P118" i="66"/>
  <c r="P117" i="66" s="1"/>
  <c r="H118" i="66"/>
  <c r="D118" i="66"/>
  <c r="B118" i="66"/>
  <c r="Z115" i="66"/>
  <c r="X115" i="66"/>
  <c r="N115" i="66"/>
  <c r="L115" i="66"/>
  <c r="B115" i="66"/>
  <c r="X114" i="66"/>
  <c r="T114" i="66"/>
  <c r="P114" i="66"/>
  <c r="N114" i="66"/>
  <c r="H114" i="66"/>
  <c r="D114" i="66"/>
  <c r="L114" i="66" s="1"/>
  <c r="B114" i="66"/>
  <c r="X113" i="66"/>
  <c r="Z113" i="66" s="1"/>
  <c r="L113" i="66"/>
  <c r="N113" i="66" s="1"/>
  <c r="B113" i="66"/>
  <c r="T112" i="66"/>
  <c r="Z112" i="66" s="1"/>
  <c r="P112" i="66"/>
  <c r="X112" i="66" s="1"/>
  <c r="H112" i="66"/>
  <c r="D112" i="66"/>
  <c r="B112" i="66"/>
  <c r="Z111" i="66"/>
  <c r="X111" i="66"/>
  <c r="N111" i="66"/>
  <c r="L111" i="66"/>
  <c r="B111" i="66"/>
  <c r="Z110" i="66"/>
  <c r="X110" i="66"/>
  <c r="N110" i="66"/>
  <c r="L110" i="66"/>
  <c r="B110" i="66"/>
  <c r="T109" i="66"/>
  <c r="P109" i="66"/>
  <c r="X109" i="66" s="1"/>
  <c r="H109" i="66"/>
  <c r="D109" i="66"/>
  <c r="L109" i="66" s="1"/>
  <c r="B109" i="66"/>
  <c r="X108" i="66"/>
  <c r="Z108" i="66" s="1"/>
  <c r="N108" i="66"/>
  <c r="L108" i="66"/>
  <c r="B108" i="66"/>
  <c r="Z107" i="66"/>
  <c r="X107" i="66"/>
  <c r="N107" i="66"/>
  <c r="L107" i="66"/>
  <c r="B107" i="66"/>
  <c r="X106" i="66"/>
  <c r="Z106" i="66" s="1"/>
  <c r="N106" i="66"/>
  <c r="L106" i="66"/>
  <c r="B106" i="66"/>
  <c r="T105" i="66"/>
  <c r="P105" i="66"/>
  <c r="X105" i="66" s="1"/>
  <c r="H105" i="66"/>
  <c r="L105" i="66" s="1"/>
  <c r="N105" i="66" s="1"/>
  <c r="D105" i="66"/>
  <c r="B105" i="66"/>
  <c r="Z104" i="66"/>
  <c r="X104" i="66"/>
  <c r="N104" i="66"/>
  <c r="L104" i="66"/>
  <c r="B104" i="66"/>
  <c r="Z103" i="66"/>
  <c r="X103" i="66"/>
  <c r="N103" i="66"/>
  <c r="L103" i="66"/>
  <c r="B103" i="66"/>
  <c r="T102" i="66"/>
  <c r="P102" i="66"/>
  <c r="X102" i="66" s="1"/>
  <c r="H102" i="66"/>
  <c r="D102" i="66"/>
  <c r="B102" i="66"/>
  <c r="Z101" i="66"/>
  <c r="X101" i="66"/>
  <c r="N101" i="66"/>
  <c r="L101" i="66"/>
  <c r="B101" i="66"/>
  <c r="X100" i="66"/>
  <c r="Z100" i="66" s="1"/>
  <c r="L100" i="66"/>
  <c r="N100" i="66" s="1"/>
  <c r="B100" i="66"/>
  <c r="T99" i="66"/>
  <c r="Z99" i="66" s="1"/>
  <c r="P99" i="66"/>
  <c r="X99" i="66" s="1"/>
  <c r="H99" i="66"/>
  <c r="D99" i="66"/>
  <c r="L99" i="66" s="1"/>
  <c r="B99" i="66"/>
  <c r="Z98" i="66"/>
  <c r="X98" i="66"/>
  <c r="N98" i="66"/>
  <c r="L98" i="66"/>
  <c r="B98" i="66"/>
  <c r="X97" i="66"/>
  <c r="Z97" i="66" s="1"/>
  <c r="N97" i="66"/>
  <c r="L97" i="66"/>
  <c r="B97" i="66"/>
  <c r="X96" i="66"/>
  <c r="Z96" i="66" s="1"/>
  <c r="T96" i="66"/>
  <c r="P96" i="66"/>
  <c r="L96" i="66"/>
  <c r="H96" i="66"/>
  <c r="D96" i="66"/>
  <c r="B96" i="66"/>
  <c r="Z95" i="66"/>
  <c r="X95" i="66"/>
  <c r="N95" i="66"/>
  <c r="L95" i="66"/>
  <c r="B95" i="66"/>
  <c r="T94" i="66"/>
  <c r="P94" i="66"/>
  <c r="N94" i="66"/>
  <c r="L94" i="66"/>
  <c r="H94" i="66"/>
  <c r="D94" i="66"/>
  <c r="B94" i="66"/>
  <c r="X93" i="66"/>
  <c r="Z93" i="66" s="1"/>
  <c r="L93" i="66"/>
  <c r="N93" i="66" s="1"/>
  <c r="B93" i="66"/>
  <c r="X92" i="66"/>
  <c r="Z92" i="66" s="1"/>
  <c r="N92" i="66"/>
  <c r="L92" i="66"/>
  <c r="B92" i="66"/>
  <c r="T91" i="66"/>
  <c r="P91" i="66"/>
  <c r="X91" i="66" s="1"/>
  <c r="Z91" i="66" s="1"/>
  <c r="H91" i="66"/>
  <c r="D91" i="66"/>
  <c r="L91" i="66" s="1"/>
  <c r="B91" i="66"/>
  <c r="X90" i="66"/>
  <c r="Z90" i="66" s="1"/>
  <c r="N90" i="66"/>
  <c r="L90" i="66"/>
  <c r="B90" i="66"/>
  <c r="X89" i="66"/>
  <c r="T89" i="66"/>
  <c r="Z89" i="66" s="1"/>
  <c r="P89" i="66"/>
  <c r="N89" i="66"/>
  <c r="H89" i="66"/>
  <c r="L89" i="66" s="1"/>
  <c r="D89" i="66"/>
  <c r="B89" i="66"/>
  <c r="Z88" i="66"/>
  <c r="X88" i="66"/>
  <c r="L88" i="66"/>
  <c r="N88" i="66" s="1"/>
  <c r="B88" i="66"/>
  <c r="T87" i="66"/>
  <c r="P87" i="66"/>
  <c r="H87" i="66"/>
  <c r="D87" i="66"/>
  <c r="L87" i="66" s="1"/>
  <c r="N87" i="66" s="1"/>
  <c r="B87" i="66"/>
  <c r="Z86" i="66"/>
  <c r="X86" i="66"/>
  <c r="N86" i="66"/>
  <c r="L86" i="66"/>
  <c r="B86" i="66"/>
  <c r="X85" i="66"/>
  <c r="Z85" i="66" s="1"/>
  <c r="L85" i="66"/>
  <c r="N85" i="66" s="1"/>
  <c r="B85" i="66"/>
  <c r="X84" i="66"/>
  <c r="Z84" i="66" s="1"/>
  <c r="T84" i="66"/>
  <c r="P84" i="66"/>
  <c r="H84" i="66"/>
  <c r="D84" i="66"/>
  <c r="B84" i="66"/>
  <c r="Z83" i="66"/>
  <c r="X83" i="66"/>
  <c r="N83" i="66"/>
  <c r="L83" i="66"/>
  <c r="B83" i="66"/>
  <c r="T82" i="66"/>
  <c r="P82" i="66"/>
  <c r="N82" i="66"/>
  <c r="H82" i="66"/>
  <c r="D82" i="66"/>
  <c r="L82" i="66" s="1"/>
  <c r="B82" i="66"/>
  <c r="Z81" i="66"/>
  <c r="X81" i="66"/>
  <c r="N81" i="66"/>
  <c r="L81" i="66"/>
  <c r="B81" i="66"/>
  <c r="X80" i="66"/>
  <c r="Z80" i="66" s="1"/>
  <c r="L80" i="66"/>
  <c r="N80" i="66" s="1"/>
  <c r="B80" i="66"/>
  <c r="Z79" i="66"/>
  <c r="X79" i="66"/>
  <c r="N79" i="66"/>
  <c r="L79" i="66"/>
  <c r="B79" i="66"/>
  <c r="Z78" i="66"/>
  <c r="X78" i="66"/>
  <c r="N78" i="66"/>
  <c r="L78" i="66"/>
  <c r="B78" i="66"/>
  <c r="Z77" i="66"/>
  <c r="X77" i="66"/>
  <c r="L77" i="66"/>
  <c r="N77" i="66" s="1"/>
  <c r="B77" i="66"/>
  <c r="X76" i="66"/>
  <c r="Z76" i="66" s="1"/>
  <c r="L76" i="66"/>
  <c r="N76" i="66" s="1"/>
  <c r="B76" i="66"/>
  <c r="Z75" i="66"/>
  <c r="X75" i="66"/>
  <c r="N75" i="66"/>
  <c r="L75" i="66"/>
  <c r="B75" i="66"/>
  <c r="T74" i="66"/>
  <c r="P74" i="66"/>
  <c r="X74" i="66" s="1"/>
  <c r="H74" i="66"/>
  <c r="D74" i="66"/>
  <c r="L74" i="66" s="1"/>
  <c r="N74" i="66" s="1"/>
  <c r="B74" i="66"/>
  <c r="X73" i="66"/>
  <c r="Z73" i="66" s="1"/>
  <c r="L73" i="66"/>
  <c r="N73" i="66" s="1"/>
  <c r="B73" i="66"/>
  <c r="Z72" i="66"/>
  <c r="X72" i="66"/>
  <c r="N72" i="66"/>
  <c r="L72" i="66"/>
  <c r="B72" i="66"/>
  <c r="Z71" i="66"/>
  <c r="X71" i="66"/>
  <c r="N71" i="66"/>
  <c r="L71" i="66"/>
  <c r="B71" i="66"/>
  <c r="Z70" i="66"/>
  <c r="X70" i="66"/>
  <c r="L70" i="66"/>
  <c r="N70" i="66" s="1"/>
  <c r="B70" i="66"/>
  <c r="X69" i="66"/>
  <c r="Z69" i="66" s="1"/>
  <c r="L69" i="66"/>
  <c r="N69" i="66" s="1"/>
  <c r="B69" i="66"/>
  <c r="Z68" i="66"/>
  <c r="X68" i="66"/>
  <c r="L68" i="66"/>
  <c r="N68" i="66" s="1"/>
  <c r="B68" i="66"/>
  <c r="Z67" i="66"/>
  <c r="X67" i="66"/>
  <c r="L67" i="66"/>
  <c r="N67" i="66" s="1"/>
  <c r="B67" i="66"/>
  <c r="Z66" i="66"/>
  <c r="X66" i="66"/>
  <c r="L66" i="66"/>
  <c r="N66" i="66" s="1"/>
  <c r="B66" i="66"/>
  <c r="X65" i="66"/>
  <c r="Z65" i="66" s="1"/>
  <c r="L65" i="66"/>
  <c r="N65" i="66" s="1"/>
  <c r="B65" i="66"/>
  <c r="T64" i="66"/>
  <c r="P64" i="66"/>
  <c r="X64" i="66" s="1"/>
  <c r="Z64" i="66" s="1"/>
  <c r="H64" i="66"/>
  <c r="D64" i="66"/>
  <c r="L64" i="66" s="1"/>
  <c r="B64" i="66"/>
  <c r="T63" i="66"/>
  <c r="P63" i="66"/>
  <c r="L63" i="66"/>
  <c r="H63" i="66"/>
  <c r="D63" i="66"/>
  <c r="X59" i="66"/>
  <c r="Z59" i="66" s="1"/>
  <c r="N59" i="66"/>
  <c r="L59" i="66"/>
  <c r="B59" i="66"/>
  <c r="Z58" i="66"/>
  <c r="X58" i="66"/>
  <c r="N58" i="66"/>
  <c r="L58" i="66"/>
  <c r="B58" i="66"/>
  <c r="X57" i="66"/>
  <c r="Z57" i="66" s="1"/>
  <c r="N57" i="66"/>
  <c r="L57" i="66"/>
  <c r="B57" i="66"/>
  <c r="X56" i="66"/>
  <c r="Z56" i="66" s="1"/>
  <c r="L56" i="66"/>
  <c r="N56" i="66" s="1"/>
  <c r="B56" i="66"/>
  <c r="X55" i="66"/>
  <c r="Z55" i="66" s="1"/>
  <c r="N55" i="66"/>
  <c r="L55" i="66"/>
  <c r="B55" i="66"/>
  <c r="X54" i="66"/>
  <c r="Z54" i="66" s="1"/>
  <c r="N54" i="66"/>
  <c r="L54" i="66"/>
  <c r="B54" i="66"/>
  <c r="X53" i="66"/>
  <c r="Z53" i="66" s="1"/>
  <c r="L53" i="66"/>
  <c r="N53" i="66" s="1"/>
  <c r="B53" i="66"/>
  <c r="X52" i="66"/>
  <c r="Z52" i="66" s="1"/>
  <c r="N52" i="66"/>
  <c r="L52" i="66"/>
  <c r="B52" i="66"/>
  <c r="Z51" i="66"/>
  <c r="X51" i="66"/>
  <c r="N51" i="66"/>
  <c r="L51" i="66"/>
  <c r="B51" i="66"/>
  <c r="Z50" i="66"/>
  <c r="X50" i="66"/>
  <c r="N50" i="66"/>
  <c r="L50" i="66"/>
  <c r="B50" i="66"/>
  <c r="X49" i="66"/>
  <c r="Z49" i="66" s="1"/>
  <c r="N49" i="66"/>
  <c r="L49" i="66"/>
  <c r="B49" i="66"/>
  <c r="Z48" i="66"/>
  <c r="X48" i="66"/>
  <c r="N48" i="66"/>
  <c r="L48" i="66"/>
  <c r="B48" i="66"/>
  <c r="X47" i="66"/>
  <c r="Z47" i="66" s="1"/>
  <c r="N47" i="66"/>
  <c r="L47" i="66"/>
  <c r="B47" i="66"/>
  <c r="X46" i="66"/>
  <c r="Z46" i="66" s="1"/>
  <c r="N46" i="66"/>
  <c r="L46" i="66"/>
  <c r="B46" i="66"/>
  <c r="X45" i="66"/>
  <c r="Z45" i="66" s="1"/>
  <c r="L45" i="66"/>
  <c r="N45" i="66" s="1"/>
  <c r="B45" i="66"/>
  <c r="X44" i="66"/>
  <c r="Z44" i="66" s="1"/>
  <c r="N44" i="66"/>
  <c r="L44" i="66"/>
  <c r="B44" i="66"/>
  <c r="Z43" i="66"/>
  <c r="X43" i="66"/>
  <c r="N43" i="66"/>
  <c r="L43" i="66"/>
  <c r="B43" i="66"/>
  <c r="T42" i="66"/>
  <c r="P42" i="66"/>
  <c r="X42" i="66" s="1"/>
  <c r="H42" i="66"/>
  <c r="D42" i="66"/>
  <c r="T40" i="66"/>
  <c r="P40" i="66"/>
  <c r="X40" i="66" s="1"/>
  <c r="Z40" i="66" s="1"/>
  <c r="L40" i="66"/>
  <c r="N40" i="66" s="1"/>
  <c r="H40" i="66"/>
  <c r="D40" i="66"/>
  <c r="B40" i="66"/>
  <c r="T39" i="66"/>
  <c r="P39" i="66"/>
  <c r="X39" i="66" s="1"/>
  <c r="Z39" i="66" s="1"/>
  <c r="H39" i="66"/>
  <c r="D39" i="66"/>
  <c r="B39" i="66"/>
  <c r="T38" i="66"/>
  <c r="P38" i="66"/>
  <c r="X38" i="66" s="1"/>
  <c r="H38" i="66"/>
  <c r="N38" i="66" s="1"/>
  <c r="D38" i="66"/>
  <c r="L38" i="66" s="1"/>
  <c r="B38" i="66"/>
  <c r="T37" i="66"/>
  <c r="X37" i="66" s="1"/>
  <c r="P37" i="66"/>
  <c r="N37" i="66"/>
  <c r="H37" i="66"/>
  <c r="D37" i="66"/>
  <c r="L37" i="66" s="1"/>
  <c r="B37" i="66"/>
  <c r="T36" i="66"/>
  <c r="P36" i="66"/>
  <c r="X36" i="66" s="1"/>
  <c r="Z36" i="66" s="1"/>
  <c r="N36" i="66"/>
  <c r="L36" i="66"/>
  <c r="H36" i="66"/>
  <c r="D36" i="66"/>
  <c r="B36" i="66"/>
  <c r="T35" i="66"/>
  <c r="P35" i="66"/>
  <c r="X35" i="66" s="1"/>
  <c r="Z35" i="66" s="1"/>
  <c r="H35" i="66"/>
  <c r="N35" i="66" s="1"/>
  <c r="D35" i="66"/>
  <c r="B35" i="66"/>
  <c r="T34" i="66"/>
  <c r="P34" i="66"/>
  <c r="H34" i="66"/>
  <c r="N34" i="66" s="1"/>
  <c r="D34" i="66"/>
  <c r="L34" i="66" s="1"/>
  <c r="B34" i="66"/>
  <c r="T33" i="66"/>
  <c r="X33" i="66" s="1"/>
  <c r="P33" i="66"/>
  <c r="L33" i="66"/>
  <c r="N33" i="66" s="1"/>
  <c r="H33" i="66"/>
  <c r="D33" i="66"/>
  <c r="B33" i="66"/>
  <c r="T32" i="66"/>
  <c r="P32" i="66"/>
  <c r="X32" i="66" s="1"/>
  <c r="Z32" i="66" s="1"/>
  <c r="N32" i="66"/>
  <c r="L32" i="66"/>
  <c r="H32" i="66"/>
  <c r="D32" i="66"/>
  <c r="B32" i="66"/>
  <c r="T31" i="66"/>
  <c r="P31" i="66"/>
  <c r="X31" i="66" s="1"/>
  <c r="Z31" i="66" s="1"/>
  <c r="H31" i="66"/>
  <c r="N31" i="66" s="1"/>
  <c r="D31" i="66"/>
  <c r="B31" i="66"/>
  <c r="T30" i="66"/>
  <c r="P30" i="66"/>
  <c r="H30" i="66"/>
  <c r="N30" i="66" s="1"/>
  <c r="D30" i="66"/>
  <c r="L30" i="66" s="1"/>
  <c r="B30" i="66"/>
  <c r="Z29" i="66"/>
  <c r="T29" i="66"/>
  <c r="X29" i="66" s="1"/>
  <c r="P29" i="66"/>
  <c r="L29" i="66"/>
  <c r="N29" i="66" s="1"/>
  <c r="H29" i="66"/>
  <c r="D29" i="66"/>
  <c r="B29" i="66"/>
  <c r="X28" i="66"/>
  <c r="Z28" i="66" s="1"/>
  <c r="T28" i="66"/>
  <c r="P28" i="66"/>
  <c r="L28" i="66"/>
  <c r="N28" i="66" s="1"/>
  <c r="H28" i="66"/>
  <c r="D28" i="66"/>
  <c r="B28" i="66"/>
  <c r="T27" i="66"/>
  <c r="P27" i="66"/>
  <c r="X27" i="66" s="1"/>
  <c r="Z27" i="66" s="1"/>
  <c r="N27" i="66"/>
  <c r="H27" i="66"/>
  <c r="L27" i="66" s="1"/>
  <c r="D27" i="66"/>
  <c r="B27" i="66"/>
  <c r="T26" i="66"/>
  <c r="P26" i="66"/>
  <c r="H26" i="66"/>
  <c r="D26" i="66"/>
  <c r="L26" i="66" s="1"/>
  <c r="B26" i="66"/>
  <c r="T25" i="66"/>
  <c r="P25" i="66"/>
  <c r="L25" i="66"/>
  <c r="N25" i="66" s="1"/>
  <c r="H25" i="66"/>
  <c r="D25" i="66"/>
  <c r="B25" i="66"/>
  <c r="T24" i="66"/>
  <c r="P24" i="66"/>
  <c r="X24" i="66" s="1"/>
  <c r="Z24" i="66" s="1"/>
  <c r="N24" i="66"/>
  <c r="L24" i="66"/>
  <c r="H24" i="66"/>
  <c r="D24" i="66"/>
  <c r="B24" i="66"/>
  <c r="T23" i="66"/>
  <c r="P23" i="66"/>
  <c r="X23" i="66" s="1"/>
  <c r="Z23" i="66" s="1"/>
  <c r="H23" i="66"/>
  <c r="L23" i="66" s="1"/>
  <c r="D23" i="66"/>
  <c r="B23" i="66"/>
  <c r="T22" i="66"/>
  <c r="P22" i="66"/>
  <c r="H22" i="66"/>
  <c r="N22" i="66" s="1"/>
  <c r="D22" i="66"/>
  <c r="L22" i="66" s="1"/>
  <c r="B22" i="66"/>
  <c r="T21" i="66"/>
  <c r="P21" i="66"/>
  <c r="L21" i="66"/>
  <c r="N21" i="66" s="1"/>
  <c r="H21" i="66"/>
  <c r="D21" i="66"/>
  <c r="B21" i="66"/>
  <c r="T20" i="66"/>
  <c r="P20" i="66"/>
  <c r="X20" i="66" s="1"/>
  <c r="Z20" i="66" s="1"/>
  <c r="L20" i="66"/>
  <c r="N20" i="66" s="1"/>
  <c r="H20" i="66"/>
  <c r="D20" i="66"/>
  <c r="B20" i="66"/>
  <c r="T19" i="66"/>
  <c r="P19" i="66"/>
  <c r="X19" i="66" s="1"/>
  <c r="Z19" i="66" s="1"/>
  <c r="N19" i="66"/>
  <c r="H19" i="66"/>
  <c r="L19" i="66" s="1"/>
  <c r="D19" i="66"/>
  <c r="B19" i="66"/>
  <c r="T18" i="66"/>
  <c r="P18" i="66"/>
  <c r="H18" i="66"/>
  <c r="D18" i="66"/>
  <c r="L18" i="66" s="1"/>
  <c r="B18" i="66"/>
  <c r="Z17" i="66"/>
  <c r="T17" i="66"/>
  <c r="X17" i="66" s="1"/>
  <c r="P17" i="66"/>
  <c r="N17" i="66"/>
  <c r="L17" i="66"/>
  <c r="H17" i="66"/>
  <c r="D17" i="66"/>
  <c r="B17" i="66"/>
  <c r="T16" i="66"/>
  <c r="P16" i="66"/>
  <c r="L16" i="66"/>
  <c r="N16" i="66" s="1"/>
  <c r="H16" i="66"/>
  <c r="D16" i="66"/>
  <c r="B16" i="66"/>
  <c r="T15" i="66"/>
  <c r="P15" i="66"/>
  <c r="X15" i="66" s="1"/>
  <c r="Z15" i="66" s="1"/>
  <c r="N15" i="66"/>
  <c r="H15" i="66"/>
  <c r="L15" i="66" s="1"/>
  <c r="D15" i="66"/>
  <c r="B15" i="66"/>
  <c r="T14" i="66"/>
  <c r="P14" i="66"/>
  <c r="H14" i="66"/>
  <c r="D14" i="66"/>
  <c r="L14" i="66" s="1"/>
  <c r="B14" i="66"/>
  <c r="T13" i="66"/>
  <c r="P13" i="66"/>
  <c r="N13" i="66"/>
  <c r="L13" i="66"/>
  <c r="H13" i="66"/>
  <c r="D13" i="66"/>
  <c r="B13" i="66"/>
  <c r="D6" i="66"/>
  <c r="D4" i="66"/>
  <c r="Z70" i="65"/>
  <c r="X70" i="65"/>
  <c r="L70" i="65"/>
  <c r="N70" i="65" s="1"/>
  <c r="T66" i="65"/>
  <c r="Z66" i="65" s="1"/>
  <c r="P66" i="65"/>
  <c r="N66" i="65"/>
  <c r="H66" i="65"/>
  <c r="D66" i="65"/>
  <c r="L66" i="65" s="1"/>
  <c r="X64" i="65"/>
  <c r="Z64" i="65" s="1"/>
  <c r="N64" i="65"/>
  <c r="L64" i="65"/>
  <c r="B64" i="65"/>
  <c r="T63" i="65"/>
  <c r="P63" i="65"/>
  <c r="X63" i="65" s="1"/>
  <c r="Z63" i="65" s="1"/>
  <c r="H63" i="65"/>
  <c r="D63" i="65"/>
  <c r="L63" i="65" s="1"/>
  <c r="B63" i="65"/>
  <c r="X62" i="65"/>
  <c r="Z62" i="65" s="1"/>
  <c r="N62" i="65"/>
  <c r="L62" i="65"/>
  <c r="B62" i="65"/>
  <c r="Z61" i="65"/>
  <c r="X61" i="65"/>
  <c r="N61" i="65"/>
  <c r="L61" i="65"/>
  <c r="B61" i="65"/>
  <c r="Z60" i="65"/>
  <c r="X60" i="65"/>
  <c r="N60" i="65"/>
  <c r="L60" i="65"/>
  <c r="B60" i="65"/>
  <c r="T59" i="65"/>
  <c r="P59" i="65"/>
  <c r="X59" i="65" s="1"/>
  <c r="N59" i="65"/>
  <c r="L59" i="65"/>
  <c r="H59" i="65"/>
  <c r="D59" i="65"/>
  <c r="B59" i="65"/>
  <c r="Z58" i="65"/>
  <c r="X58" i="65"/>
  <c r="N58" i="65"/>
  <c r="L58" i="65"/>
  <c r="B58" i="65"/>
  <c r="Z57" i="65"/>
  <c r="X57" i="65"/>
  <c r="L57" i="65"/>
  <c r="N57" i="65" s="1"/>
  <c r="B57" i="65"/>
  <c r="X56" i="65"/>
  <c r="Z56" i="65" s="1"/>
  <c r="L56" i="65"/>
  <c r="N56" i="65" s="1"/>
  <c r="B56" i="65"/>
  <c r="X55" i="65"/>
  <c r="T55" i="65"/>
  <c r="P55" i="65"/>
  <c r="H55" i="65"/>
  <c r="D55" i="65"/>
  <c r="L55" i="65" s="1"/>
  <c r="N55" i="65" s="1"/>
  <c r="B55" i="65"/>
  <c r="X54" i="65"/>
  <c r="Z54" i="65" s="1"/>
  <c r="L54" i="65"/>
  <c r="N54" i="65" s="1"/>
  <c r="B54" i="65"/>
  <c r="X53" i="65"/>
  <c r="Z53" i="65" s="1"/>
  <c r="N53" i="65"/>
  <c r="L53" i="65"/>
  <c r="B53" i="65"/>
  <c r="T52" i="65"/>
  <c r="P52" i="65"/>
  <c r="H52" i="65"/>
  <c r="D52" i="65"/>
  <c r="L52" i="65" s="1"/>
  <c r="N52" i="65" s="1"/>
  <c r="B52" i="65"/>
  <c r="X51" i="65"/>
  <c r="Z51" i="65" s="1"/>
  <c r="L51" i="65"/>
  <c r="N51" i="65" s="1"/>
  <c r="B51" i="65"/>
  <c r="X50" i="65"/>
  <c r="T50" i="65"/>
  <c r="Z50" i="65" s="1"/>
  <c r="P50" i="65"/>
  <c r="H50" i="65"/>
  <c r="D50" i="65"/>
  <c r="B50" i="65"/>
  <c r="Z49" i="65"/>
  <c r="X49" i="65"/>
  <c r="N49" i="65"/>
  <c r="L49" i="65"/>
  <c r="B49" i="65"/>
  <c r="X48" i="65"/>
  <c r="T48" i="65"/>
  <c r="P48" i="65"/>
  <c r="N48" i="65"/>
  <c r="H48" i="65"/>
  <c r="D48" i="65"/>
  <c r="L48" i="65" s="1"/>
  <c r="B48" i="65"/>
  <c r="Z47" i="65"/>
  <c r="X47" i="65"/>
  <c r="N47" i="65"/>
  <c r="L47" i="65"/>
  <c r="B47" i="65"/>
  <c r="T46" i="65"/>
  <c r="P46" i="65"/>
  <c r="X46" i="65" s="1"/>
  <c r="Z46" i="65" s="1"/>
  <c r="H46" i="65"/>
  <c r="N46" i="65" s="1"/>
  <c r="D46" i="65"/>
  <c r="B46" i="65"/>
  <c r="Z45" i="65"/>
  <c r="X45" i="65"/>
  <c r="N45" i="65"/>
  <c r="L45" i="65"/>
  <c r="B45" i="65"/>
  <c r="T44" i="65"/>
  <c r="P44" i="65"/>
  <c r="X44" i="65" s="1"/>
  <c r="L44" i="65"/>
  <c r="N44" i="65" s="1"/>
  <c r="H44" i="65"/>
  <c r="D44" i="65"/>
  <c r="B44" i="65"/>
  <c r="X43" i="65"/>
  <c r="Z43" i="65" s="1"/>
  <c r="N43" i="65"/>
  <c r="L43" i="65"/>
  <c r="B43" i="65"/>
  <c r="T42" i="65"/>
  <c r="P42" i="65"/>
  <c r="X42" i="65" s="1"/>
  <c r="Z42" i="65" s="1"/>
  <c r="L42" i="65"/>
  <c r="H42" i="65"/>
  <c r="D42" i="65"/>
  <c r="B42" i="65"/>
  <c r="X41" i="65"/>
  <c r="Z41" i="65" s="1"/>
  <c r="N41" i="65"/>
  <c r="L41" i="65"/>
  <c r="B41" i="65"/>
  <c r="T40" i="65"/>
  <c r="P40" i="65"/>
  <c r="H40" i="65"/>
  <c r="D40" i="65"/>
  <c r="L40" i="65" s="1"/>
  <c r="N40" i="65" s="1"/>
  <c r="B40" i="65"/>
  <c r="X39" i="65"/>
  <c r="Z39" i="65" s="1"/>
  <c r="L39" i="65"/>
  <c r="N39" i="65" s="1"/>
  <c r="B39" i="65"/>
  <c r="X38" i="65"/>
  <c r="T38" i="65"/>
  <c r="Z38" i="65" s="1"/>
  <c r="P38" i="65"/>
  <c r="H38" i="65"/>
  <c r="D38" i="65"/>
  <c r="B38" i="65"/>
  <c r="Z37" i="65"/>
  <c r="X37" i="65"/>
  <c r="N37" i="65"/>
  <c r="L37" i="65"/>
  <c r="B37" i="65"/>
  <c r="X36" i="65"/>
  <c r="Z36" i="65" s="1"/>
  <c r="L36" i="65"/>
  <c r="N36" i="65" s="1"/>
  <c r="B36" i="65"/>
  <c r="X35" i="65"/>
  <c r="Z35" i="65" s="1"/>
  <c r="N35" i="65"/>
  <c r="L35" i="65"/>
  <c r="B35" i="65"/>
  <c r="Z34" i="65"/>
  <c r="X34" i="65"/>
  <c r="N34" i="65"/>
  <c r="L34" i="65"/>
  <c r="B34" i="65"/>
  <c r="Z33" i="65"/>
  <c r="X33" i="65"/>
  <c r="N33" i="65"/>
  <c r="L33" i="65"/>
  <c r="B33" i="65"/>
  <c r="X32" i="65"/>
  <c r="T32" i="65"/>
  <c r="P32" i="65"/>
  <c r="H32" i="65"/>
  <c r="D32" i="65"/>
  <c r="L32" i="65" s="1"/>
  <c r="N32" i="65" s="1"/>
  <c r="B32" i="65"/>
  <c r="Z31" i="65"/>
  <c r="X31" i="65"/>
  <c r="N31" i="65"/>
  <c r="L31" i="65"/>
  <c r="B31" i="65"/>
  <c r="X30" i="65"/>
  <c r="Z30" i="65" s="1"/>
  <c r="N30" i="65"/>
  <c r="L30" i="65"/>
  <c r="B30" i="65"/>
  <c r="X29" i="65"/>
  <c r="Z29" i="65" s="1"/>
  <c r="N29" i="65"/>
  <c r="L29" i="65"/>
  <c r="B29" i="65"/>
  <c r="X28" i="65"/>
  <c r="Z28" i="65" s="1"/>
  <c r="N28" i="65"/>
  <c r="L28" i="65"/>
  <c r="B28" i="65"/>
  <c r="Z27" i="65"/>
  <c r="X27" i="65"/>
  <c r="L27" i="65"/>
  <c r="N27" i="65" s="1"/>
  <c r="B27" i="65"/>
  <c r="X26" i="65"/>
  <c r="Z26" i="65" s="1"/>
  <c r="N26" i="65"/>
  <c r="L26" i="65"/>
  <c r="B26" i="65"/>
  <c r="X25" i="65"/>
  <c r="Z25" i="65" s="1"/>
  <c r="L25" i="65"/>
  <c r="N25" i="65" s="1"/>
  <c r="B25" i="65"/>
  <c r="X24" i="65"/>
  <c r="Z24" i="65" s="1"/>
  <c r="N24" i="65"/>
  <c r="L24" i="65"/>
  <c r="B24" i="65"/>
  <c r="T23" i="65"/>
  <c r="P23" i="65"/>
  <c r="X23" i="65" s="1"/>
  <c r="Z23" i="65" s="1"/>
  <c r="H23" i="65"/>
  <c r="D23" i="65"/>
  <c r="L23" i="65" s="1"/>
  <c r="B23" i="65"/>
  <c r="X22" i="65"/>
  <c r="T22" i="65"/>
  <c r="P22" i="65"/>
  <c r="H22" i="65"/>
  <c r="D22" i="65"/>
  <c r="L22" i="65" s="1"/>
  <c r="X18" i="65"/>
  <c r="Z18" i="65" s="1"/>
  <c r="N18" i="65"/>
  <c r="L18" i="65"/>
  <c r="B18" i="65"/>
  <c r="Z17" i="65"/>
  <c r="X17" i="65"/>
  <c r="N17" i="65"/>
  <c r="L17" i="65"/>
  <c r="B17" i="65"/>
  <c r="T16" i="65"/>
  <c r="P16" i="65"/>
  <c r="X16" i="65" s="1"/>
  <c r="L16" i="65"/>
  <c r="H16" i="65"/>
  <c r="N16" i="65" s="1"/>
  <c r="D16" i="65"/>
  <c r="T14" i="65"/>
  <c r="P14" i="65"/>
  <c r="X14" i="65" s="1"/>
  <c r="H14" i="65"/>
  <c r="D14" i="65"/>
  <c r="L14" i="65" s="1"/>
  <c r="N14" i="65" s="1"/>
  <c r="B14" i="65"/>
  <c r="Z13" i="65"/>
  <c r="X13" i="65"/>
  <c r="T13" i="65"/>
  <c r="P13" i="65"/>
  <c r="H13" i="65"/>
  <c r="D13" i="65"/>
  <c r="B13" i="65"/>
  <c r="D6" i="65"/>
  <c r="D4" i="65"/>
  <c r="Z123" i="64"/>
  <c r="X123" i="64"/>
  <c r="L123" i="64"/>
  <c r="N123" i="64" s="1"/>
  <c r="T119" i="64"/>
  <c r="P119" i="64"/>
  <c r="H119" i="64"/>
  <c r="D119" i="64"/>
  <c r="D118" i="64" s="1"/>
  <c r="B119" i="64"/>
  <c r="T118" i="64"/>
  <c r="X116" i="64"/>
  <c r="Z116" i="64" s="1"/>
  <c r="N116" i="64"/>
  <c r="L116" i="64"/>
  <c r="B116" i="64"/>
  <c r="T115" i="64"/>
  <c r="P115" i="64"/>
  <c r="X115" i="64" s="1"/>
  <c r="Z115" i="64" s="1"/>
  <c r="H115" i="64"/>
  <c r="N115" i="64" s="1"/>
  <c r="D115" i="64"/>
  <c r="L115" i="64" s="1"/>
  <c r="B115" i="64"/>
  <c r="Z114" i="64"/>
  <c r="X114" i="64"/>
  <c r="L114" i="64"/>
  <c r="N114" i="64" s="1"/>
  <c r="B114" i="64"/>
  <c r="X113" i="64"/>
  <c r="T113" i="64"/>
  <c r="P113" i="64"/>
  <c r="H113" i="64"/>
  <c r="N113" i="64" s="1"/>
  <c r="D113" i="64"/>
  <c r="L113" i="64" s="1"/>
  <c r="B113" i="64"/>
  <c r="Z112" i="64"/>
  <c r="X112" i="64"/>
  <c r="L112" i="64"/>
  <c r="N112" i="64" s="1"/>
  <c r="B112" i="64"/>
  <c r="X111" i="64"/>
  <c r="Z111" i="64" s="1"/>
  <c r="N111" i="64"/>
  <c r="L111" i="64"/>
  <c r="B111" i="64"/>
  <c r="X110" i="64"/>
  <c r="Z110" i="64" s="1"/>
  <c r="N110" i="64"/>
  <c r="L110" i="64"/>
  <c r="B110" i="64"/>
  <c r="Z109" i="64"/>
  <c r="X109" i="64"/>
  <c r="N109" i="64"/>
  <c r="L109" i="64"/>
  <c r="B109" i="64"/>
  <c r="Z108" i="64"/>
  <c r="T108" i="64"/>
  <c r="P108" i="64"/>
  <c r="X108" i="64" s="1"/>
  <c r="N108" i="64"/>
  <c r="L108" i="64"/>
  <c r="H108" i="64"/>
  <c r="D108" i="64"/>
  <c r="B108" i="64"/>
  <c r="Z107" i="64"/>
  <c r="X107" i="64"/>
  <c r="N107" i="64"/>
  <c r="L107" i="64"/>
  <c r="B107" i="64"/>
  <c r="Z106" i="64"/>
  <c r="X106" i="64"/>
  <c r="N106" i="64"/>
  <c r="L106" i="64"/>
  <c r="B106" i="64"/>
  <c r="X105" i="64"/>
  <c r="Z105" i="64" s="1"/>
  <c r="T105" i="64"/>
  <c r="P105" i="64"/>
  <c r="N105" i="64"/>
  <c r="H105" i="64"/>
  <c r="D105" i="64"/>
  <c r="L105" i="64" s="1"/>
  <c r="B105" i="64"/>
  <c r="Z104" i="64"/>
  <c r="X104" i="64"/>
  <c r="N104" i="64"/>
  <c r="L104" i="64"/>
  <c r="B104" i="64"/>
  <c r="Z103" i="64"/>
  <c r="X103" i="64"/>
  <c r="L103" i="64"/>
  <c r="N103" i="64" s="1"/>
  <c r="B103" i="64"/>
  <c r="T102" i="64"/>
  <c r="P102" i="64"/>
  <c r="N102" i="64"/>
  <c r="H102" i="64"/>
  <c r="D102" i="64"/>
  <c r="L102" i="64" s="1"/>
  <c r="B102" i="64"/>
  <c r="Z101" i="64"/>
  <c r="X101" i="64"/>
  <c r="N101" i="64"/>
  <c r="L101" i="64"/>
  <c r="B101" i="64"/>
  <c r="T100" i="64"/>
  <c r="P100" i="64"/>
  <c r="X100" i="64" s="1"/>
  <c r="Z100" i="64" s="1"/>
  <c r="N100" i="64"/>
  <c r="L100" i="64"/>
  <c r="H100" i="64"/>
  <c r="D100" i="64"/>
  <c r="B100" i="64"/>
  <c r="Z99" i="64"/>
  <c r="X99" i="64"/>
  <c r="N99" i="64"/>
  <c r="L99" i="64"/>
  <c r="B99" i="64"/>
  <c r="T98" i="64"/>
  <c r="P98" i="64"/>
  <c r="H98" i="64"/>
  <c r="N98" i="64" s="1"/>
  <c r="D98" i="64"/>
  <c r="B98" i="64"/>
  <c r="Z97" i="64"/>
  <c r="X97" i="64"/>
  <c r="N97" i="64"/>
  <c r="L97" i="64"/>
  <c r="F97" i="64"/>
  <c r="B97" i="64"/>
  <c r="Z96" i="64"/>
  <c r="X96" i="64"/>
  <c r="N96" i="64"/>
  <c r="L96" i="64"/>
  <c r="B96" i="64"/>
  <c r="T95" i="64"/>
  <c r="P95" i="64"/>
  <c r="X95" i="64" s="1"/>
  <c r="Z95" i="64" s="1"/>
  <c r="L95" i="64"/>
  <c r="H95" i="64"/>
  <c r="N95" i="64" s="1"/>
  <c r="D95" i="64"/>
  <c r="B95" i="64"/>
  <c r="Z94" i="64"/>
  <c r="X94" i="64"/>
  <c r="N94" i="64"/>
  <c r="L94" i="64"/>
  <c r="B94" i="64"/>
  <c r="T93" i="64"/>
  <c r="P93" i="64"/>
  <c r="X93" i="64" s="1"/>
  <c r="L93" i="64"/>
  <c r="H93" i="64"/>
  <c r="D93" i="64"/>
  <c r="B93" i="64"/>
  <c r="X92" i="64"/>
  <c r="Z92" i="64" s="1"/>
  <c r="N92" i="64"/>
  <c r="L92" i="64"/>
  <c r="B92" i="64"/>
  <c r="T91" i="64"/>
  <c r="P91" i="64"/>
  <c r="X91" i="64" s="1"/>
  <c r="Z91" i="64" s="1"/>
  <c r="N91" i="64"/>
  <c r="H91" i="64"/>
  <c r="D91" i="64"/>
  <c r="L91" i="64" s="1"/>
  <c r="B91" i="64"/>
  <c r="Z90" i="64"/>
  <c r="X90" i="64"/>
  <c r="L90" i="64"/>
  <c r="N90" i="64" s="1"/>
  <c r="B90" i="64"/>
  <c r="X89" i="64"/>
  <c r="Z89" i="64" s="1"/>
  <c r="N89" i="64"/>
  <c r="L89" i="64"/>
  <c r="B89" i="64"/>
  <c r="Z88" i="64"/>
  <c r="X88" i="64"/>
  <c r="N88" i="64"/>
  <c r="L88" i="64"/>
  <c r="B88" i="64"/>
  <c r="Z87" i="64"/>
  <c r="X87" i="64"/>
  <c r="L87" i="64"/>
  <c r="N87" i="64" s="1"/>
  <c r="B87" i="64"/>
  <c r="T86" i="64"/>
  <c r="Z86" i="64" s="1"/>
  <c r="P86" i="64"/>
  <c r="X86" i="64" s="1"/>
  <c r="H86" i="64"/>
  <c r="D86" i="64"/>
  <c r="L86" i="64" s="1"/>
  <c r="N86" i="64" s="1"/>
  <c r="B86" i="64"/>
  <c r="Z85" i="64"/>
  <c r="X85" i="64"/>
  <c r="N85" i="64"/>
  <c r="L85" i="64"/>
  <c r="B85" i="64"/>
  <c r="Z84" i="64"/>
  <c r="X84" i="64"/>
  <c r="L84" i="64"/>
  <c r="N84" i="64" s="1"/>
  <c r="B84" i="64"/>
  <c r="X83" i="64"/>
  <c r="Z83" i="64" s="1"/>
  <c r="N83" i="64"/>
  <c r="L83" i="64"/>
  <c r="B83" i="64"/>
  <c r="Z82" i="64"/>
  <c r="X82" i="64"/>
  <c r="N82" i="64"/>
  <c r="L82" i="64"/>
  <c r="B82" i="64"/>
  <c r="Z81" i="64"/>
  <c r="X81" i="64"/>
  <c r="N81" i="64"/>
  <c r="L81" i="64"/>
  <c r="B81" i="64"/>
  <c r="X80" i="64"/>
  <c r="Z80" i="64" s="1"/>
  <c r="L80" i="64"/>
  <c r="N80" i="64" s="1"/>
  <c r="B80" i="64"/>
  <c r="X79" i="64"/>
  <c r="Z79" i="64" s="1"/>
  <c r="L79" i="64"/>
  <c r="N79" i="64" s="1"/>
  <c r="B79" i="64"/>
  <c r="X78" i="64"/>
  <c r="Z78" i="64" s="1"/>
  <c r="N78" i="64"/>
  <c r="L78" i="64"/>
  <c r="B78" i="64"/>
  <c r="T77" i="64"/>
  <c r="P77" i="64"/>
  <c r="X77" i="64" s="1"/>
  <c r="H77" i="64"/>
  <c r="D77" i="64"/>
  <c r="L77" i="64" s="1"/>
  <c r="B77" i="64"/>
  <c r="T76" i="64"/>
  <c r="P76" i="64"/>
  <c r="H76" i="64"/>
  <c r="D76" i="64"/>
  <c r="L76" i="64" s="1"/>
  <c r="N76" i="64" s="1"/>
  <c r="X72" i="64"/>
  <c r="Z72" i="64" s="1"/>
  <c r="L72" i="64"/>
  <c r="N72" i="64" s="1"/>
  <c r="B72" i="64"/>
  <c r="Z71" i="64"/>
  <c r="X71" i="64"/>
  <c r="N71" i="64"/>
  <c r="L71" i="64"/>
  <c r="B71" i="64"/>
  <c r="Z70" i="64"/>
  <c r="X70" i="64"/>
  <c r="N70" i="64"/>
  <c r="L70" i="64"/>
  <c r="B70" i="64"/>
  <c r="X69" i="64"/>
  <c r="Z69" i="64" s="1"/>
  <c r="L69" i="64"/>
  <c r="N69" i="64" s="1"/>
  <c r="B69" i="64"/>
  <c r="X68" i="64"/>
  <c r="Z68" i="64" s="1"/>
  <c r="L68" i="64"/>
  <c r="N68" i="64" s="1"/>
  <c r="B68" i="64"/>
  <c r="Z67" i="64"/>
  <c r="X67" i="64"/>
  <c r="N67" i="64"/>
  <c r="L67" i="64"/>
  <c r="B67" i="64"/>
  <c r="Z66" i="64"/>
  <c r="X66" i="64"/>
  <c r="N66" i="64"/>
  <c r="L66" i="64"/>
  <c r="B66" i="64"/>
  <c r="Z65" i="64"/>
  <c r="X65" i="64"/>
  <c r="N65" i="64"/>
  <c r="L65" i="64"/>
  <c r="B65" i="64"/>
  <c r="X64" i="64"/>
  <c r="Z64" i="64" s="1"/>
  <c r="N64" i="64"/>
  <c r="L64" i="64"/>
  <c r="B64" i="64"/>
  <c r="Z63" i="64"/>
  <c r="X63" i="64"/>
  <c r="L63" i="64"/>
  <c r="N63" i="64" s="1"/>
  <c r="B63" i="64"/>
  <c r="Z62" i="64"/>
  <c r="X62" i="64"/>
  <c r="N62" i="64"/>
  <c r="L62" i="64"/>
  <c r="B62" i="64"/>
  <c r="Z61" i="64"/>
  <c r="X61" i="64"/>
  <c r="L61" i="64"/>
  <c r="N61" i="64" s="1"/>
  <c r="B61" i="64"/>
  <c r="X60" i="64"/>
  <c r="Z60" i="64" s="1"/>
  <c r="L60" i="64"/>
  <c r="N60" i="64" s="1"/>
  <c r="B60" i="64"/>
  <c r="X59" i="64"/>
  <c r="Z59" i="64" s="1"/>
  <c r="L59" i="64"/>
  <c r="N59" i="64" s="1"/>
  <c r="B59" i="64"/>
  <c r="Z58" i="64"/>
  <c r="X58" i="64"/>
  <c r="L58" i="64"/>
  <c r="N58" i="64" s="1"/>
  <c r="B58" i="64"/>
  <c r="Z57" i="64"/>
  <c r="X57" i="64"/>
  <c r="L57" i="64"/>
  <c r="N57" i="64" s="1"/>
  <c r="B57" i="64"/>
  <c r="X56" i="64"/>
  <c r="Z56" i="64" s="1"/>
  <c r="L56" i="64"/>
  <c r="N56" i="64" s="1"/>
  <c r="B56" i="64"/>
  <c r="X55" i="64"/>
  <c r="Z55" i="64" s="1"/>
  <c r="L55" i="64"/>
  <c r="N55" i="64" s="1"/>
  <c r="B55" i="64"/>
  <c r="Z54" i="64"/>
  <c r="X54" i="64"/>
  <c r="N54" i="64"/>
  <c r="L54" i="64"/>
  <c r="B54" i="64"/>
  <c r="Z53" i="64"/>
  <c r="X53" i="64"/>
  <c r="N53" i="64"/>
  <c r="L53" i="64"/>
  <c r="B53" i="64"/>
  <c r="Z52" i="64"/>
  <c r="X52" i="64"/>
  <c r="N52" i="64"/>
  <c r="L52" i="64"/>
  <c r="B52" i="64"/>
  <c r="T51" i="64"/>
  <c r="P51" i="64"/>
  <c r="X51" i="64" s="1"/>
  <c r="Z51" i="64" s="1"/>
  <c r="H51" i="64"/>
  <c r="D51" i="64"/>
  <c r="X49" i="64"/>
  <c r="T49" i="64"/>
  <c r="Z49" i="64" s="1"/>
  <c r="P49" i="64"/>
  <c r="H49" i="64"/>
  <c r="N49" i="64" s="1"/>
  <c r="D49" i="64"/>
  <c r="B49" i="64"/>
  <c r="T48" i="64"/>
  <c r="P48" i="64"/>
  <c r="L48" i="64"/>
  <c r="N48" i="64" s="1"/>
  <c r="H48" i="64"/>
  <c r="D48" i="64"/>
  <c r="B48" i="64"/>
  <c r="T47" i="64"/>
  <c r="P47" i="64"/>
  <c r="X47" i="64" s="1"/>
  <c r="Z47" i="64" s="1"/>
  <c r="H47" i="64"/>
  <c r="N47" i="64" s="1"/>
  <c r="D47" i="64"/>
  <c r="L47" i="64" s="1"/>
  <c r="B47" i="64"/>
  <c r="X46" i="64"/>
  <c r="T46" i="64"/>
  <c r="P46" i="64"/>
  <c r="H46" i="64"/>
  <c r="D46" i="64"/>
  <c r="B46" i="64"/>
  <c r="X45" i="64"/>
  <c r="T45" i="64"/>
  <c r="P45" i="64"/>
  <c r="H45" i="64"/>
  <c r="D45" i="64"/>
  <c r="L45" i="64" s="1"/>
  <c r="N45" i="64" s="1"/>
  <c r="B45" i="64"/>
  <c r="T44" i="64"/>
  <c r="P44" i="64"/>
  <c r="X44" i="64" s="1"/>
  <c r="Z44" i="64" s="1"/>
  <c r="N44" i="64"/>
  <c r="L44" i="64"/>
  <c r="H44" i="64"/>
  <c r="D44" i="64"/>
  <c r="B44" i="64"/>
  <c r="T43" i="64"/>
  <c r="P43" i="64"/>
  <c r="X43" i="64" s="1"/>
  <c r="H43" i="64"/>
  <c r="D43" i="64"/>
  <c r="L43" i="64" s="1"/>
  <c r="B43" i="64"/>
  <c r="X42" i="64"/>
  <c r="T42" i="64"/>
  <c r="P42" i="64"/>
  <c r="N42" i="64"/>
  <c r="L42" i="64"/>
  <c r="H42" i="64"/>
  <c r="D42" i="64"/>
  <c r="B42" i="64"/>
  <c r="T41" i="64"/>
  <c r="P41" i="64"/>
  <c r="N41" i="64"/>
  <c r="H41" i="64"/>
  <c r="D41" i="64"/>
  <c r="L41" i="64" s="1"/>
  <c r="B41" i="64"/>
  <c r="T40" i="64"/>
  <c r="Z40" i="64" s="1"/>
  <c r="P40" i="64"/>
  <c r="X40" i="64" s="1"/>
  <c r="N40" i="64"/>
  <c r="L40" i="64"/>
  <c r="H40" i="64"/>
  <c r="D40" i="64"/>
  <c r="B40" i="64"/>
  <c r="T39" i="64"/>
  <c r="P39" i="64"/>
  <c r="X39" i="64" s="1"/>
  <c r="H39" i="64"/>
  <c r="N39" i="64" s="1"/>
  <c r="D39" i="64"/>
  <c r="L39" i="64" s="1"/>
  <c r="B39" i="64"/>
  <c r="T38" i="64"/>
  <c r="P38" i="64"/>
  <c r="N38" i="64"/>
  <c r="L38" i="64"/>
  <c r="H38" i="64"/>
  <c r="D38" i="64"/>
  <c r="B38" i="64"/>
  <c r="T37" i="64"/>
  <c r="P37" i="64"/>
  <c r="H37" i="64"/>
  <c r="D37" i="64"/>
  <c r="L37" i="64" s="1"/>
  <c r="N37" i="64" s="1"/>
  <c r="B37" i="64"/>
  <c r="T36" i="64"/>
  <c r="P36" i="64"/>
  <c r="H36" i="64"/>
  <c r="D36" i="64"/>
  <c r="L36" i="64" s="1"/>
  <c r="N36" i="64" s="1"/>
  <c r="B36" i="64"/>
  <c r="Z35" i="64"/>
  <c r="T35" i="64"/>
  <c r="P35" i="64"/>
  <c r="X35" i="64" s="1"/>
  <c r="H35" i="64"/>
  <c r="D35" i="64"/>
  <c r="L35" i="64" s="1"/>
  <c r="B35" i="64"/>
  <c r="T34" i="64"/>
  <c r="P34" i="64"/>
  <c r="X34" i="64" s="1"/>
  <c r="N34" i="64"/>
  <c r="L34" i="64"/>
  <c r="H34" i="64"/>
  <c r="D34" i="64"/>
  <c r="B34" i="64"/>
  <c r="X33" i="64"/>
  <c r="T33" i="64"/>
  <c r="Z33" i="64" s="1"/>
  <c r="P33" i="64"/>
  <c r="L33" i="64"/>
  <c r="H33" i="64"/>
  <c r="N33" i="64" s="1"/>
  <c r="D33" i="64"/>
  <c r="B33" i="64"/>
  <c r="T32" i="64"/>
  <c r="P32" i="64"/>
  <c r="N32" i="64"/>
  <c r="L32" i="64"/>
  <c r="H32" i="64"/>
  <c r="D32" i="64"/>
  <c r="B32" i="64"/>
  <c r="T31" i="64"/>
  <c r="P31" i="64"/>
  <c r="X31" i="64" s="1"/>
  <c r="Z31" i="64" s="1"/>
  <c r="H31" i="64"/>
  <c r="D31" i="64"/>
  <c r="B31" i="64"/>
  <c r="X30" i="64"/>
  <c r="T30" i="64"/>
  <c r="P30" i="64"/>
  <c r="L30" i="64"/>
  <c r="H30" i="64"/>
  <c r="N30" i="64" s="1"/>
  <c r="D30" i="64"/>
  <c r="B30" i="64"/>
  <c r="X29" i="64"/>
  <c r="T29" i="64"/>
  <c r="P29" i="64"/>
  <c r="H29" i="64"/>
  <c r="D29" i="64"/>
  <c r="L29" i="64" s="1"/>
  <c r="N29" i="64" s="1"/>
  <c r="B29" i="64"/>
  <c r="T28" i="64"/>
  <c r="P28" i="64"/>
  <c r="X28" i="64" s="1"/>
  <c r="Z28" i="64" s="1"/>
  <c r="L28" i="64"/>
  <c r="N28" i="64" s="1"/>
  <c r="H28" i="64"/>
  <c r="D28" i="64"/>
  <c r="B28" i="64"/>
  <c r="T27" i="64"/>
  <c r="Z27" i="64" s="1"/>
  <c r="P27" i="64"/>
  <c r="X27" i="64" s="1"/>
  <c r="H27" i="64"/>
  <c r="D27" i="64"/>
  <c r="L27" i="64" s="1"/>
  <c r="B27" i="64"/>
  <c r="X26" i="64"/>
  <c r="T26" i="64"/>
  <c r="P26" i="64"/>
  <c r="N26" i="64"/>
  <c r="L26" i="64"/>
  <c r="H26" i="64"/>
  <c r="D26" i="64"/>
  <c r="B26" i="64"/>
  <c r="T25" i="64"/>
  <c r="P25" i="64"/>
  <c r="H25" i="64"/>
  <c r="D25" i="64"/>
  <c r="L25" i="64" s="1"/>
  <c r="N25" i="64" s="1"/>
  <c r="B25" i="64"/>
  <c r="T24" i="64"/>
  <c r="Z24" i="64" s="1"/>
  <c r="P24" i="64"/>
  <c r="X24" i="64" s="1"/>
  <c r="N24" i="64"/>
  <c r="L24" i="64"/>
  <c r="H24" i="64"/>
  <c r="D24" i="64"/>
  <c r="B24" i="64"/>
  <c r="T23" i="64"/>
  <c r="Z23" i="64" s="1"/>
  <c r="P23" i="64"/>
  <c r="X23" i="64" s="1"/>
  <c r="H23" i="64"/>
  <c r="D23" i="64"/>
  <c r="L23" i="64" s="1"/>
  <c r="B23" i="64"/>
  <c r="T22" i="64"/>
  <c r="P22" i="64"/>
  <c r="N22" i="64"/>
  <c r="L22" i="64"/>
  <c r="H22" i="64"/>
  <c r="D22" i="64"/>
  <c r="B22" i="64"/>
  <c r="T21" i="64"/>
  <c r="P21" i="64"/>
  <c r="H21" i="64"/>
  <c r="D21" i="64"/>
  <c r="L21" i="64" s="1"/>
  <c r="N21" i="64" s="1"/>
  <c r="B21" i="64"/>
  <c r="T20" i="64"/>
  <c r="P20" i="64"/>
  <c r="H20" i="64"/>
  <c r="D20" i="64"/>
  <c r="L20" i="64" s="1"/>
  <c r="N20" i="64" s="1"/>
  <c r="B20" i="64"/>
  <c r="T19" i="64"/>
  <c r="P19" i="64"/>
  <c r="H19" i="64"/>
  <c r="D19" i="64"/>
  <c r="L19" i="64" s="1"/>
  <c r="B19" i="64"/>
  <c r="T18" i="64"/>
  <c r="P18" i="64"/>
  <c r="X18" i="64" s="1"/>
  <c r="L18" i="64"/>
  <c r="N18" i="64" s="1"/>
  <c r="H18" i="64"/>
  <c r="D18" i="64"/>
  <c r="B18" i="64"/>
  <c r="X17" i="64"/>
  <c r="T17" i="64"/>
  <c r="Z17" i="64" s="1"/>
  <c r="P17" i="64"/>
  <c r="L17" i="64"/>
  <c r="H17" i="64"/>
  <c r="N17" i="64" s="1"/>
  <c r="D17" i="64"/>
  <c r="B17" i="64"/>
  <c r="T16" i="64"/>
  <c r="P16" i="64"/>
  <c r="L16" i="64"/>
  <c r="N16" i="64" s="1"/>
  <c r="H16" i="64"/>
  <c r="D16" i="64"/>
  <c r="B16" i="64"/>
  <c r="T15" i="64"/>
  <c r="P15" i="64"/>
  <c r="X15" i="64" s="1"/>
  <c r="Z15" i="64" s="1"/>
  <c r="H15" i="64"/>
  <c r="D15" i="64"/>
  <c r="L15" i="64" s="1"/>
  <c r="B15" i="64"/>
  <c r="X14" i="64"/>
  <c r="T14" i="64"/>
  <c r="P14" i="64"/>
  <c r="L14" i="64"/>
  <c r="H14" i="64"/>
  <c r="N14" i="64" s="1"/>
  <c r="D14" i="64"/>
  <c r="B14" i="64"/>
  <c r="X13" i="64"/>
  <c r="T13" i="64"/>
  <c r="Z13" i="64" s="1"/>
  <c r="P13" i="64"/>
  <c r="N13" i="64"/>
  <c r="H13" i="64"/>
  <c r="D13" i="64"/>
  <c r="D12" i="64" s="1"/>
  <c r="B13" i="64"/>
  <c r="D6" i="64"/>
  <c r="D4" i="64"/>
  <c r="R65" i="63"/>
  <c r="F65" i="63"/>
  <c r="F62" i="63"/>
  <c r="Z60" i="63"/>
  <c r="X60" i="63"/>
  <c r="R60" i="63"/>
  <c r="N60" i="63"/>
  <c r="L60" i="63"/>
  <c r="T56" i="63"/>
  <c r="Z56" i="63" s="1"/>
  <c r="P56" i="63"/>
  <c r="H56" i="63"/>
  <c r="N56" i="63" s="1"/>
  <c r="D56" i="63"/>
  <c r="L56" i="63" s="1"/>
  <c r="Z54" i="63"/>
  <c r="X54" i="63"/>
  <c r="R54" i="63"/>
  <c r="N54" i="63"/>
  <c r="L54" i="63"/>
  <c r="B54" i="63"/>
  <c r="T53" i="63"/>
  <c r="R53" i="63"/>
  <c r="P53" i="63"/>
  <c r="X53" i="63" s="1"/>
  <c r="N53" i="63"/>
  <c r="J53" i="63"/>
  <c r="H53" i="63"/>
  <c r="D53" i="63"/>
  <c r="L53" i="63" s="1"/>
  <c r="B53" i="63"/>
  <c r="X52" i="63"/>
  <c r="Z52" i="63" s="1"/>
  <c r="V52" i="63"/>
  <c r="R52" i="63"/>
  <c r="L52" i="63"/>
  <c r="N52" i="63" s="1"/>
  <c r="F52" i="63"/>
  <c r="B52" i="63"/>
  <c r="T51" i="63"/>
  <c r="R51" i="63"/>
  <c r="P51" i="63"/>
  <c r="X51" i="63" s="1"/>
  <c r="N51" i="63"/>
  <c r="L51" i="63"/>
  <c r="J51" i="63"/>
  <c r="H51" i="63"/>
  <c r="F51" i="63"/>
  <c r="D51" i="63"/>
  <c r="B51" i="63"/>
  <c r="Z50" i="63"/>
  <c r="X50" i="63"/>
  <c r="R50" i="63"/>
  <c r="N50" i="63"/>
  <c r="L50" i="63"/>
  <c r="F50" i="63"/>
  <c r="B50" i="63"/>
  <c r="Z49" i="63"/>
  <c r="X49" i="63"/>
  <c r="R49" i="63"/>
  <c r="N49" i="63"/>
  <c r="L49" i="63"/>
  <c r="F49" i="63"/>
  <c r="B49" i="63"/>
  <c r="X48" i="63"/>
  <c r="Z48" i="63" s="1"/>
  <c r="R48" i="63"/>
  <c r="N48" i="63"/>
  <c r="L48" i="63"/>
  <c r="B48" i="63"/>
  <c r="X47" i="63"/>
  <c r="Z47" i="63" s="1"/>
  <c r="V47" i="63"/>
  <c r="T47" i="63"/>
  <c r="R47" i="63"/>
  <c r="P47" i="63"/>
  <c r="H47" i="63"/>
  <c r="D47" i="63"/>
  <c r="L47" i="63" s="1"/>
  <c r="N47" i="63" s="1"/>
  <c r="B47" i="63"/>
  <c r="Z46" i="63"/>
  <c r="X46" i="63"/>
  <c r="R46" i="63"/>
  <c r="L46" i="63"/>
  <c r="N46" i="63" s="1"/>
  <c r="B46" i="63"/>
  <c r="Z45" i="63"/>
  <c r="X45" i="63"/>
  <c r="R45" i="63"/>
  <c r="N45" i="63"/>
  <c r="L45" i="63"/>
  <c r="J45" i="63"/>
  <c r="B45" i="63"/>
  <c r="V44" i="63"/>
  <c r="T44" i="63"/>
  <c r="R44" i="63"/>
  <c r="P44" i="63"/>
  <c r="X44" i="63" s="1"/>
  <c r="H44" i="63"/>
  <c r="D44" i="63"/>
  <c r="L44" i="63" s="1"/>
  <c r="B44" i="63"/>
  <c r="X43" i="63"/>
  <c r="Z43" i="63" s="1"/>
  <c r="R43" i="63"/>
  <c r="N43" i="63"/>
  <c r="L43" i="63"/>
  <c r="J43" i="63"/>
  <c r="B43" i="63"/>
  <c r="X42" i="63"/>
  <c r="Z42" i="63" s="1"/>
  <c r="T42" i="63"/>
  <c r="R42" i="63"/>
  <c r="P42" i="63"/>
  <c r="J42" i="63"/>
  <c r="H42" i="63"/>
  <c r="N42" i="63" s="1"/>
  <c r="D42" i="63"/>
  <c r="L42" i="63" s="1"/>
  <c r="B42" i="63"/>
  <c r="Z41" i="63"/>
  <c r="X41" i="63"/>
  <c r="R41" i="63"/>
  <c r="N41" i="63"/>
  <c r="L41" i="63"/>
  <c r="F41" i="63"/>
  <c r="B41" i="63"/>
  <c r="T40" i="63"/>
  <c r="P40" i="63"/>
  <c r="H40" i="63"/>
  <c r="F40" i="63"/>
  <c r="D40" i="63"/>
  <c r="L40" i="63" s="1"/>
  <c r="N40" i="63" s="1"/>
  <c r="B40" i="63"/>
  <c r="Z39" i="63"/>
  <c r="X39" i="63"/>
  <c r="V39" i="63"/>
  <c r="L39" i="63"/>
  <c r="N39" i="63" s="1"/>
  <c r="B39" i="63"/>
  <c r="T38" i="63"/>
  <c r="P38" i="63"/>
  <c r="X38" i="63" s="1"/>
  <c r="J38" i="63"/>
  <c r="H38" i="63"/>
  <c r="N38" i="63" s="1"/>
  <c r="D38" i="63"/>
  <c r="L38" i="63" s="1"/>
  <c r="B38" i="63"/>
  <c r="Z37" i="63"/>
  <c r="X37" i="63"/>
  <c r="V37" i="63"/>
  <c r="N37" i="63"/>
  <c r="L37" i="63"/>
  <c r="B37" i="63"/>
  <c r="V36" i="63"/>
  <c r="T36" i="63"/>
  <c r="R36" i="63"/>
  <c r="P36" i="63"/>
  <c r="X36" i="63" s="1"/>
  <c r="N36" i="63"/>
  <c r="L36" i="63"/>
  <c r="H36" i="63"/>
  <c r="D36" i="63"/>
  <c r="B36" i="63"/>
  <c r="X35" i="63"/>
  <c r="Z35" i="63" s="1"/>
  <c r="V35" i="63"/>
  <c r="R35" i="63"/>
  <c r="N35" i="63"/>
  <c r="L35" i="63"/>
  <c r="J35" i="63"/>
  <c r="B35" i="63"/>
  <c r="Z34" i="63"/>
  <c r="X34" i="63"/>
  <c r="R34" i="63"/>
  <c r="N34" i="63"/>
  <c r="L34" i="63"/>
  <c r="F34" i="63"/>
  <c r="B34" i="63"/>
  <c r="Z33" i="63"/>
  <c r="X33" i="63"/>
  <c r="R33" i="63"/>
  <c r="N33" i="63"/>
  <c r="L33" i="63"/>
  <c r="J33" i="63"/>
  <c r="F33" i="63"/>
  <c r="B33" i="63"/>
  <c r="X32" i="63"/>
  <c r="Z32" i="63" s="1"/>
  <c r="R32" i="63"/>
  <c r="N32" i="63"/>
  <c r="L32" i="63"/>
  <c r="J32" i="63"/>
  <c r="B32" i="63"/>
  <c r="Z31" i="63"/>
  <c r="X31" i="63"/>
  <c r="V31" i="63"/>
  <c r="R31" i="63"/>
  <c r="N31" i="63"/>
  <c r="L31" i="63"/>
  <c r="J31" i="63"/>
  <c r="B31" i="63"/>
  <c r="Z30" i="63"/>
  <c r="X30" i="63"/>
  <c r="V30" i="63"/>
  <c r="R30" i="63"/>
  <c r="N30" i="63"/>
  <c r="L30" i="63"/>
  <c r="F30" i="63"/>
  <c r="B30" i="63"/>
  <c r="T29" i="63"/>
  <c r="R29" i="63"/>
  <c r="P29" i="63"/>
  <c r="X29" i="63" s="1"/>
  <c r="Z29" i="63" s="1"/>
  <c r="L29" i="63"/>
  <c r="N29" i="63" s="1"/>
  <c r="J29" i="63"/>
  <c r="H29" i="63"/>
  <c r="F29" i="63"/>
  <c r="D29" i="63"/>
  <c r="B29" i="63"/>
  <c r="Z28" i="63"/>
  <c r="X28" i="63"/>
  <c r="V28" i="63"/>
  <c r="R28" i="63"/>
  <c r="L28" i="63"/>
  <c r="N28" i="63" s="1"/>
  <c r="J28" i="63"/>
  <c r="F28" i="63"/>
  <c r="B28" i="63"/>
  <c r="Z27" i="63"/>
  <c r="X27" i="63"/>
  <c r="V27" i="63"/>
  <c r="R27" i="63"/>
  <c r="L27" i="63"/>
  <c r="N27" i="63" s="1"/>
  <c r="B27" i="63"/>
  <c r="Z26" i="63"/>
  <c r="X26" i="63"/>
  <c r="V26" i="63"/>
  <c r="R26" i="63"/>
  <c r="L26" i="63"/>
  <c r="N26" i="63" s="1"/>
  <c r="B26" i="63"/>
  <c r="Z25" i="63"/>
  <c r="X25" i="63"/>
  <c r="V25" i="63"/>
  <c r="R25" i="63"/>
  <c r="N25" i="63"/>
  <c r="L25" i="63"/>
  <c r="J25" i="63"/>
  <c r="B25" i="63"/>
  <c r="Z24" i="63"/>
  <c r="X24" i="63"/>
  <c r="V24" i="63"/>
  <c r="R24" i="63"/>
  <c r="L24" i="63"/>
  <c r="N24" i="63" s="1"/>
  <c r="J24" i="63"/>
  <c r="F24" i="63"/>
  <c r="B24" i="63"/>
  <c r="Z23" i="63"/>
  <c r="X23" i="63"/>
  <c r="V23" i="63"/>
  <c r="R23" i="63"/>
  <c r="L23" i="63"/>
  <c r="N23" i="63" s="1"/>
  <c r="J23" i="63"/>
  <c r="B23" i="63"/>
  <c r="Z22" i="63"/>
  <c r="X22" i="63"/>
  <c r="V22" i="63"/>
  <c r="R22" i="63"/>
  <c r="L22" i="63"/>
  <c r="N22" i="63" s="1"/>
  <c r="B22" i="63"/>
  <c r="Z21" i="63"/>
  <c r="X21" i="63"/>
  <c r="V21" i="63"/>
  <c r="R21" i="63"/>
  <c r="N21" i="63"/>
  <c r="L21" i="63"/>
  <c r="J21" i="63"/>
  <c r="B21" i="63"/>
  <c r="Z20" i="63"/>
  <c r="X20" i="63"/>
  <c r="V20" i="63"/>
  <c r="R20" i="63"/>
  <c r="L20" i="63"/>
  <c r="N20" i="63" s="1"/>
  <c r="J20" i="63"/>
  <c r="F20" i="63"/>
  <c r="B20" i="63"/>
  <c r="V19" i="63"/>
  <c r="T19" i="63"/>
  <c r="P19" i="63"/>
  <c r="X19" i="63" s="1"/>
  <c r="Z19" i="63" s="1"/>
  <c r="J19" i="63"/>
  <c r="H19" i="63"/>
  <c r="F19" i="63"/>
  <c r="D19" i="63"/>
  <c r="L19" i="63" s="1"/>
  <c r="B19" i="63"/>
  <c r="X18" i="63"/>
  <c r="Z18" i="63" s="1"/>
  <c r="T18" i="63"/>
  <c r="R18" i="63"/>
  <c r="P18" i="63"/>
  <c r="J18" i="63"/>
  <c r="H18" i="63"/>
  <c r="D18" i="63"/>
  <c r="L18" i="63" s="1"/>
  <c r="R16" i="63"/>
  <c r="J16" i="63"/>
  <c r="D16" i="63"/>
  <c r="Z14" i="63"/>
  <c r="X14" i="63"/>
  <c r="T14" i="63"/>
  <c r="R14" i="63"/>
  <c r="P14" i="63"/>
  <c r="P16" i="63" s="1"/>
  <c r="P58" i="63" s="1"/>
  <c r="J14" i="63"/>
  <c r="H14" i="63"/>
  <c r="N14" i="63" s="1"/>
  <c r="D14" i="63"/>
  <c r="L14" i="63" s="1"/>
  <c r="Z12" i="63"/>
  <c r="X12" i="63"/>
  <c r="T12" i="63"/>
  <c r="V42" i="63" s="1"/>
  <c r="P12" i="63"/>
  <c r="R40" i="63" s="1"/>
  <c r="N12" i="63"/>
  <c r="H12" i="63"/>
  <c r="J60" i="63" s="1"/>
  <c r="D12" i="63"/>
  <c r="F35" i="63" s="1"/>
  <c r="D6" i="63"/>
  <c r="D4" i="63"/>
  <c r="Z105" i="62"/>
  <c r="X105" i="62"/>
  <c r="R105" i="62"/>
  <c r="N105" i="62"/>
  <c r="L105" i="62"/>
  <c r="T101" i="62"/>
  <c r="Z101" i="62" s="1"/>
  <c r="P101" i="62"/>
  <c r="X101" i="62" s="1"/>
  <c r="N101" i="62"/>
  <c r="L101" i="62"/>
  <c r="H101" i="62"/>
  <c r="D101" i="62"/>
  <c r="B101" i="62"/>
  <c r="X100" i="62"/>
  <c r="Z100" i="62" s="1"/>
  <c r="T100" i="62"/>
  <c r="R100" i="62"/>
  <c r="P100" i="62"/>
  <c r="H100" i="62"/>
  <c r="D100" i="62"/>
  <c r="L100" i="62" s="1"/>
  <c r="N100" i="62" s="1"/>
  <c r="B100" i="62"/>
  <c r="T99" i="62"/>
  <c r="P99" i="62"/>
  <c r="H99" i="62"/>
  <c r="N99" i="62" s="1"/>
  <c r="D99" i="62"/>
  <c r="L99" i="62" s="1"/>
  <c r="B99" i="62"/>
  <c r="R98" i="62"/>
  <c r="D98" i="62"/>
  <c r="Z96" i="62"/>
  <c r="X96" i="62"/>
  <c r="N96" i="62"/>
  <c r="L96" i="62"/>
  <c r="B96" i="62"/>
  <c r="T95" i="62"/>
  <c r="Z95" i="62" s="1"/>
  <c r="P95" i="62"/>
  <c r="X95" i="62" s="1"/>
  <c r="L95" i="62"/>
  <c r="N95" i="62" s="1"/>
  <c r="H95" i="62"/>
  <c r="D95" i="62"/>
  <c r="B95" i="62"/>
  <c r="X94" i="62"/>
  <c r="Z94" i="62" s="1"/>
  <c r="N94" i="62"/>
  <c r="L94" i="62"/>
  <c r="J94" i="62"/>
  <c r="B94" i="62"/>
  <c r="Z93" i="62"/>
  <c r="X93" i="62"/>
  <c r="N93" i="62"/>
  <c r="L93" i="62"/>
  <c r="F93" i="62"/>
  <c r="B93" i="62"/>
  <c r="Z92" i="62"/>
  <c r="X92" i="62"/>
  <c r="N92" i="62"/>
  <c r="L92" i="62"/>
  <c r="B92" i="62"/>
  <c r="X91" i="62"/>
  <c r="T91" i="62"/>
  <c r="P91" i="62"/>
  <c r="H91" i="62"/>
  <c r="D91" i="62"/>
  <c r="L91" i="62" s="1"/>
  <c r="N91" i="62" s="1"/>
  <c r="B91" i="62"/>
  <c r="Z90" i="62"/>
  <c r="X90" i="62"/>
  <c r="L90" i="62"/>
  <c r="N90" i="62" s="1"/>
  <c r="B90" i="62"/>
  <c r="T89" i="62"/>
  <c r="P89" i="62"/>
  <c r="X89" i="62" s="1"/>
  <c r="H89" i="62"/>
  <c r="D89" i="62"/>
  <c r="L89" i="62" s="1"/>
  <c r="B89" i="62"/>
  <c r="Z88" i="62"/>
  <c r="X88" i="62"/>
  <c r="N88" i="62"/>
  <c r="L88" i="62"/>
  <c r="B88" i="62"/>
  <c r="T87" i="62"/>
  <c r="P87" i="62"/>
  <c r="X87" i="62" s="1"/>
  <c r="L87" i="62"/>
  <c r="N87" i="62" s="1"/>
  <c r="H87" i="62"/>
  <c r="D87" i="62"/>
  <c r="B87" i="62"/>
  <c r="X86" i="62"/>
  <c r="Z86" i="62" s="1"/>
  <c r="N86" i="62"/>
  <c r="L86" i="62"/>
  <c r="J86" i="62"/>
  <c r="B86" i="62"/>
  <c r="Z85" i="62"/>
  <c r="X85" i="62"/>
  <c r="N85" i="62"/>
  <c r="L85" i="62"/>
  <c r="F85" i="62"/>
  <c r="B85" i="62"/>
  <c r="Z84" i="62"/>
  <c r="X84" i="62"/>
  <c r="L84" i="62"/>
  <c r="N84" i="62" s="1"/>
  <c r="B84" i="62"/>
  <c r="X83" i="62"/>
  <c r="Z83" i="62" s="1"/>
  <c r="R83" i="62"/>
  <c r="N83" i="62"/>
  <c r="L83" i="62"/>
  <c r="B83" i="62"/>
  <c r="Z82" i="62"/>
  <c r="X82" i="62"/>
  <c r="N82" i="62"/>
  <c r="L82" i="62"/>
  <c r="J82" i="62"/>
  <c r="B82" i="62"/>
  <c r="Z81" i="62"/>
  <c r="X81" i="62"/>
  <c r="L81" i="62"/>
  <c r="N81" i="62" s="1"/>
  <c r="F81" i="62"/>
  <c r="B81" i="62"/>
  <c r="Z80" i="62"/>
  <c r="T80" i="62"/>
  <c r="P80" i="62"/>
  <c r="X80" i="62" s="1"/>
  <c r="L80" i="62"/>
  <c r="N80" i="62" s="1"/>
  <c r="J80" i="62"/>
  <c r="H80" i="62"/>
  <c r="F80" i="62"/>
  <c r="D80" i="62"/>
  <c r="B80" i="62"/>
  <c r="X79" i="62"/>
  <c r="Z79" i="62" s="1"/>
  <c r="N79" i="62"/>
  <c r="L79" i="62"/>
  <c r="J79" i="62"/>
  <c r="F79" i="62"/>
  <c r="B79" i="62"/>
  <c r="Z78" i="62"/>
  <c r="X78" i="62"/>
  <c r="N78" i="62"/>
  <c r="L78" i="62"/>
  <c r="B78" i="62"/>
  <c r="T77" i="62"/>
  <c r="P77" i="62"/>
  <c r="X77" i="62" s="1"/>
  <c r="H77" i="62"/>
  <c r="N77" i="62" s="1"/>
  <c r="D77" i="62"/>
  <c r="L77" i="62" s="1"/>
  <c r="B77" i="62"/>
  <c r="Z76" i="62"/>
  <c r="X76" i="62"/>
  <c r="N76" i="62"/>
  <c r="L76" i="62"/>
  <c r="B76" i="62"/>
  <c r="X75" i="62"/>
  <c r="Z75" i="62" s="1"/>
  <c r="R75" i="62"/>
  <c r="N75" i="62"/>
  <c r="L75" i="62"/>
  <c r="F75" i="62"/>
  <c r="B75" i="62"/>
  <c r="X74" i="62"/>
  <c r="Z74" i="62" s="1"/>
  <c r="L74" i="62"/>
  <c r="N74" i="62" s="1"/>
  <c r="J74" i="62"/>
  <c r="B74" i="62"/>
  <c r="X73" i="62"/>
  <c r="Z73" i="62" s="1"/>
  <c r="T73" i="62"/>
  <c r="P73" i="62"/>
  <c r="J73" i="62"/>
  <c r="H73" i="62"/>
  <c r="N73" i="62" s="1"/>
  <c r="D73" i="62"/>
  <c r="L73" i="62" s="1"/>
  <c r="B73" i="62"/>
  <c r="Z72" i="62"/>
  <c r="X72" i="62"/>
  <c r="L72" i="62"/>
  <c r="N72" i="62" s="1"/>
  <c r="F72" i="62"/>
  <c r="B72" i="62"/>
  <c r="X71" i="62"/>
  <c r="Z71" i="62" s="1"/>
  <c r="R71" i="62"/>
  <c r="N71" i="62"/>
  <c r="L71" i="62"/>
  <c r="B71" i="62"/>
  <c r="X70" i="62"/>
  <c r="Z70" i="62" s="1"/>
  <c r="N70" i="62"/>
  <c r="L70" i="62"/>
  <c r="J70" i="62"/>
  <c r="B70" i="62"/>
  <c r="Z69" i="62"/>
  <c r="X69" i="62"/>
  <c r="L69" i="62"/>
  <c r="N69" i="62" s="1"/>
  <c r="F69" i="62"/>
  <c r="B69" i="62"/>
  <c r="T68" i="62"/>
  <c r="P68" i="62"/>
  <c r="X68" i="62" s="1"/>
  <c r="Z68" i="62" s="1"/>
  <c r="L68" i="62"/>
  <c r="N68" i="62" s="1"/>
  <c r="J68" i="62"/>
  <c r="H68" i="62"/>
  <c r="F68" i="62"/>
  <c r="D68" i="62"/>
  <c r="B68" i="62"/>
  <c r="Z67" i="62"/>
  <c r="X67" i="62"/>
  <c r="L67" i="62"/>
  <c r="N67" i="62" s="1"/>
  <c r="J67" i="62"/>
  <c r="F67" i="62"/>
  <c r="B67" i="62"/>
  <c r="T66" i="62"/>
  <c r="P66" i="62"/>
  <c r="X66" i="62" s="1"/>
  <c r="Z66" i="62" s="1"/>
  <c r="H66" i="62"/>
  <c r="F66" i="62"/>
  <c r="D66" i="62"/>
  <c r="B66" i="62"/>
  <c r="X65" i="62"/>
  <c r="Z65" i="62" s="1"/>
  <c r="N65" i="62"/>
  <c r="L65" i="62"/>
  <c r="B65" i="62"/>
  <c r="Z64" i="62"/>
  <c r="X64" i="62"/>
  <c r="T64" i="62"/>
  <c r="R64" i="62"/>
  <c r="P64" i="62"/>
  <c r="H64" i="62"/>
  <c r="N64" i="62" s="1"/>
  <c r="D64" i="62"/>
  <c r="L64" i="62" s="1"/>
  <c r="B64" i="62"/>
  <c r="X63" i="62"/>
  <c r="Z63" i="62" s="1"/>
  <c r="R63" i="62"/>
  <c r="N63" i="62"/>
  <c r="L63" i="62"/>
  <c r="B63" i="62"/>
  <c r="X62" i="62"/>
  <c r="Z62" i="62" s="1"/>
  <c r="T62" i="62"/>
  <c r="R62" i="62"/>
  <c r="P62" i="62"/>
  <c r="H62" i="62"/>
  <c r="D62" i="62"/>
  <c r="L62" i="62" s="1"/>
  <c r="N62" i="62" s="1"/>
  <c r="B62" i="62"/>
  <c r="X61" i="62"/>
  <c r="Z61" i="62" s="1"/>
  <c r="R61" i="62"/>
  <c r="N61" i="62"/>
  <c r="L61" i="62"/>
  <c r="B61" i="62"/>
  <c r="T60" i="62"/>
  <c r="R60" i="62"/>
  <c r="P60" i="62"/>
  <c r="N60" i="62"/>
  <c r="J60" i="62"/>
  <c r="H60" i="62"/>
  <c r="D60" i="62"/>
  <c r="L60" i="62" s="1"/>
  <c r="B60" i="62"/>
  <c r="X59" i="62"/>
  <c r="Z59" i="62" s="1"/>
  <c r="R59" i="62"/>
  <c r="L59" i="62"/>
  <c r="N59" i="62" s="1"/>
  <c r="F59" i="62"/>
  <c r="B59" i="62"/>
  <c r="T58" i="62"/>
  <c r="P58" i="62"/>
  <c r="X58" i="62" s="1"/>
  <c r="N58" i="62"/>
  <c r="L58" i="62"/>
  <c r="J58" i="62"/>
  <c r="H58" i="62"/>
  <c r="F58" i="62"/>
  <c r="D58" i="62"/>
  <c r="B58" i="62"/>
  <c r="Z57" i="62"/>
  <c r="X57" i="62"/>
  <c r="N57" i="62"/>
  <c r="L57" i="62"/>
  <c r="F57" i="62"/>
  <c r="B57" i="62"/>
  <c r="Z56" i="62"/>
  <c r="T56" i="62"/>
  <c r="P56" i="62"/>
  <c r="X56" i="62" s="1"/>
  <c r="N56" i="62"/>
  <c r="L56" i="62"/>
  <c r="J56" i="62"/>
  <c r="H56" i="62"/>
  <c r="F56" i="62"/>
  <c r="D56" i="62"/>
  <c r="B56" i="62"/>
  <c r="Z55" i="62"/>
  <c r="X55" i="62"/>
  <c r="L55" i="62"/>
  <c r="N55" i="62" s="1"/>
  <c r="J55" i="62"/>
  <c r="F55" i="62"/>
  <c r="B55" i="62"/>
  <c r="T54" i="62"/>
  <c r="P54" i="62"/>
  <c r="X54" i="62" s="1"/>
  <c r="Z54" i="62" s="1"/>
  <c r="H54" i="62"/>
  <c r="F54" i="62"/>
  <c r="D54" i="62"/>
  <c r="B54" i="62"/>
  <c r="X53" i="62"/>
  <c r="Z53" i="62" s="1"/>
  <c r="N53" i="62"/>
  <c r="L53" i="62"/>
  <c r="B53" i="62"/>
  <c r="Z52" i="62"/>
  <c r="X52" i="62"/>
  <c r="T52" i="62"/>
  <c r="R52" i="62"/>
  <c r="P52" i="62"/>
  <c r="H52" i="62"/>
  <c r="N52" i="62" s="1"/>
  <c r="D52" i="62"/>
  <c r="L52" i="62" s="1"/>
  <c r="B52" i="62"/>
  <c r="X51" i="62"/>
  <c r="Z51" i="62" s="1"/>
  <c r="R51" i="62"/>
  <c r="N51" i="62"/>
  <c r="L51" i="62"/>
  <c r="B51" i="62"/>
  <c r="X50" i="62"/>
  <c r="Z50" i="62" s="1"/>
  <c r="N50" i="62"/>
  <c r="L50" i="62"/>
  <c r="J50" i="62"/>
  <c r="B50" i="62"/>
  <c r="T49" i="62"/>
  <c r="Z49" i="62" s="1"/>
  <c r="R49" i="62"/>
  <c r="P49" i="62"/>
  <c r="X49" i="62" s="1"/>
  <c r="L49" i="62"/>
  <c r="H49" i="62"/>
  <c r="D49" i="62"/>
  <c r="B49" i="62"/>
  <c r="Z48" i="62"/>
  <c r="X48" i="62"/>
  <c r="R48" i="62"/>
  <c r="N48" i="62"/>
  <c r="L48" i="62"/>
  <c r="J48" i="62"/>
  <c r="B48" i="62"/>
  <c r="Z47" i="62"/>
  <c r="X47" i="62"/>
  <c r="L47" i="62"/>
  <c r="N47" i="62" s="1"/>
  <c r="J47" i="62"/>
  <c r="F47" i="62"/>
  <c r="B47" i="62"/>
  <c r="Z46" i="62"/>
  <c r="X46" i="62"/>
  <c r="L46" i="62"/>
  <c r="N46" i="62" s="1"/>
  <c r="B46" i="62"/>
  <c r="X45" i="62"/>
  <c r="T45" i="62"/>
  <c r="P45" i="62"/>
  <c r="H45" i="62"/>
  <c r="D45" i="62"/>
  <c r="L45" i="62" s="1"/>
  <c r="B45" i="62"/>
  <c r="Z44" i="62"/>
  <c r="X44" i="62"/>
  <c r="N44" i="62"/>
  <c r="L44" i="62"/>
  <c r="B44" i="62"/>
  <c r="T43" i="62"/>
  <c r="P43" i="62"/>
  <c r="X43" i="62" s="1"/>
  <c r="L43" i="62"/>
  <c r="N43" i="62" s="1"/>
  <c r="H43" i="62"/>
  <c r="D43" i="62"/>
  <c r="B43" i="62"/>
  <c r="X42" i="62"/>
  <c r="Z42" i="62" s="1"/>
  <c r="N42" i="62"/>
  <c r="L42" i="62"/>
  <c r="J42" i="62"/>
  <c r="B42" i="62"/>
  <c r="Z41" i="62"/>
  <c r="X41" i="62"/>
  <c r="L41" i="62"/>
  <c r="N41" i="62" s="1"/>
  <c r="F41" i="62"/>
  <c r="B41" i="62"/>
  <c r="Z40" i="62"/>
  <c r="T40" i="62"/>
  <c r="P40" i="62"/>
  <c r="X40" i="62" s="1"/>
  <c r="L40" i="62"/>
  <c r="N40" i="62" s="1"/>
  <c r="J40" i="62"/>
  <c r="H40" i="62"/>
  <c r="F40" i="62"/>
  <c r="D40" i="62"/>
  <c r="B40" i="62"/>
  <c r="X39" i="62"/>
  <c r="Z39" i="62" s="1"/>
  <c r="L39" i="62"/>
  <c r="N39" i="62" s="1"/>
  <c r="J39" i="62"/>
  <c r="F39" i="62"/>
  <c r="B39" i="62"/>
  <c r="Z38" i="62"/>
  <c r="T38" i="62"/>
  <c r="P38" i="62"/>
  <c r="X38" i="62" s="1"/>
  <c r="H38" i="62"/>
  <c r="F38" i="62"/>
  <c r="D38" i="62"/>
  <c r="B38" i="62"/>
  <c r="X37" i="62"/>
  <c r="Z37" i="62" s="1"/>
  <c r="N37" i="62"/>
  <c r="L37" i="62"/>
  <c r="B37" i="62"/>
  <c r="Z36" i="62"/>
  <c r="X36" i="62"/>
  <c r="N36" i="62"/>
  <c r="L36" i="62"/>
  <c r="B36" i="62"/>
  <c r="X35" i="62"/>
  <c r="Z35" i="62" s="1"/>
  <c r="R35" i="62"/>
  <c r="L35" i="62"/>
  <c r="N35" i="62" s="1"/>
  <c r="F35" i="62"/>
  <c r="B35" i="62"/>
  <c r="X34" i="62"/>
  <c r="Z34" i="62" s="1"/>
  <c r="L34" i="62"/>
  <c r="N34" i="62" s="1"/>
  <c r="J34" i="62"/>
  <c r="B34" i="62"/>
  <c r="X33" i="62"/>
  <c r="Z33" i="62" s="1"/>
  <c r="N33" i="62"/>
  <c r="L33" i="62"/>
  <c r="B33" i="62"/>
  <c r="Z32" i="62"/>
  <c r="X32" i="62"/>
  <c r="N32" i="62"/>
  <c r="L32" i="62"/>
  <c r="B32" i="62"/>
  <c r="X31" i="62"/>
  <c r="Z31" i="62" s="1"/>
  <c r="R31" i="62"/>
  <c r="L31" i="62"/>
  <c r="N31" i="62" s="1"/>
  <c r="F31" i="62"/>
  <c r="B31" i="62"/>
  <c r="T30" i="62"/>
  <c r="Z30" i="62" s="1"/>
  <c r="P30" i="62"/>
  <c r="X30" i="62" s="1"/>
  <c r="N30" i="62"/>
  <c r="L30" i="62"/>
  <c r="J30" i="62"/>
  <c r="H30" i="62"/>
  <c r="F30" i="62"/>
  <c r="D30" i="62"/>
  <c r="B30" i="62"/>
  <c r="Z29" i="62"/>
  <c r="X29" i="62"/>
  <c r="L29" i="62"/>
  <c r="N29" i="62" s="1"/>
  <c r="F29" i="62"/>
  <c r="B29" i="62"/>
  <c r="Z28" i="62"/>
  <c r="X28" i="62"/>
  <c r="L28" i="62"/>
  <c r="N28" i="62" s="1"/>
  <c r="J28" i="62"/>
  <c r="F28" i="62"/>
  <c r="B28" i="62"/>
  <c r="X27" i="62"/>
  <c r="Z27" i="62" s="1"/>
  <c r="R27" i="62"/>
  <c r="N27" i="62"/>
  <c r="L27" i="62"/>
  <c r="B27" i="62"/>
  <c r="Z26" i="62"/>
  <c r="X26" i="62"/>
  <c r="N26" i="62"/>
  <c r="L26" i="62"/>
  <c r="J26" i="62"/>
  <c r="B26" i="62"/>
  <c r="Z25" i="62"/>
  <c r="X25" i="62"/>
  <c r="N25" i="62"/>
  <c r="L25" i="62"/>
  <c r="F25" i="62"/>
  <c r="B25" i="62"/>
  <c r="Z24" i="62"/>
  <c r="X24" i="62"/>
  <c r="L24" i="62"/>
  <c r="N24" i="62" s="1"/>
  <c r="J24" i="62"/>
  <c r="F24" i="62"/>
  <c r="B24" i="62"/>
  <c r="X23" i="62"/>
  <c r="Z23" i="62" s="1"/>
  <c r="R23" i="62"/>
  <c r="N23" i="62"/>
  <c r="L23" i="62"/>
  <c r="B23" i="62"/>
  <c r="X22" i="62"/>
  <c r="Z22" i="62" s="1"/>
  <c r="N22" i="62"/>
  <c r="L22" i="62"/>
  <c r="J22" i="62"/>
  <c r="B22" i="62"/>
  <c r="Z21" i="62"/>
  <c r="X21" i="62"/>
  <c r="R21" i="62"/>
  <c r="L21" i="62"/>
  <c r="N21" i="62" s="1"/>
  <c r="J21" i="62"/>
  <c r="F21" i="62"/>
  <c r="B21" i="62"/>
  <c r="Z20" i="62"/>
  <c r="X20" i="62"/>
  <c r="L20" i="62"/>
  <c r="N20" i="62" s="1"/>
  <c r="J20" i="62"/>
  <c r="F20" i="62"/>
  <c r="B20" i="62"/>
  <c r="T19" i="62"/>
  <c r="P19" i="62"/>
  <c r="J19" i="62"/>
  <c r="H19" i="62"/>
  <c r="F19" i="62"/>
  <c r="D19" i="62"/>
  <c r="L19" i="62" s="1"/>
  <c r="B19" i="62"/>
  <c r="T18" i="62"/>
  <c r="P18" i="62"/>
  <c r="X18" i="62" s="1"/>
  <c r="Z18" i="62" s="1"/>
  <c r="J18" i="62"/>
  <c r="H18" i="62"/>
  <c r="F18" i="62"/>
  <c r="D18" i="62"/>
  <c r="J16" i="62"/>
  <c r="F16" i="62"/>
  <c r="Z14" i="62"/>
  <c r="T14" i="62"/>
  <c r="P14" i="62"/>
  <c r="P16" i="62" s="1"/>
  <c r="J14" i="62"/>
  <c r="H14" i="62"/>
  <c r="N14" i="62" s="1"/>
  <c r="F14" i="62"/>
  <c r="D14" i="62"/>
  <c r="L14" i="62" s="1"/>
  <c r="T12" i="62"/>
  <c r="P12" i="62"/>
  <c r="R110" i="62" s="1"/>
  <c r="L12" i="62"/>
  <c r="H12" i="62"/>
  <c r="J103" i="62" s="1"/>
  <c r="D12" i="62"/>
  <c r="F94" i="62" s="1"/>
  <c r="D6" i="62"/>
  <c r="D4" i="62"/>
  <c r="V58" i="61"/>
  <c r="R58" i="61"/>
  <c r="V55" i="61"/>
  <c r="R55" i="61"/>
  <c r="Z53" i="61"/>
  <c r="X53" i="61"/>
  <c r="V53" i="61"/>
  <c r="N53" i="61"/>
  <c r="L53" i="61"/>
  <c r="R51" i="61"/>
  <c r="T49" i="61"/>
  <c r="Z49" i="61" s="1"/>
  <c r="R49" i="61"/>
  <c r="P49" i="61"/>
  <c r="N49" i="61"/>
  <c r="H49" i="61"/>
  <c r="D49" i="61"/>
  <c r="L49" i="61" s="1"/>
  <c r="X47" i="61"/>
  <c r="Z47" i="61" s="1"/>
  <c r="R47" i="61"/>
  <c r="N47" i="61"/>
  <c r="L47" i="61"/>
  <c r="B47" i="61"/>
  <c r="T46" i="61"/>
  <c r="P46" i="61"/>
  <c r="X46" i="61" s="1"/>
  <c r="Z46" i="61" s="1"/>
  <c r="N46" i="61"/>
  <c r="H46" i="61"/>
  <c r="D46" i="61"/>
  <c r="L46" i="61" s="1"/>
  <c r="B46" i="61"/>
  <c r="X45" i="61"/>
  <c r="Z45" i="61" s="1"/>
  <c r="L45" i="61"/>
  <c r="N45" i="61" s="1"/>
  <c r="B45" i="61"/>
  <c r="X44" i="61"/>
  <c r="Z44" i="61" s="1"/>
  <c r="T44" i="61"/>
  <c r="P44" i="61"/>
  <c r="H44" i="61"/>
  <c r="D44" i="61"/>
  <c r="L44" i="61" s="1"/>
  <c r="B44" i="61"/>
  <c r="Z43" i="61"/>
  <c r="X43" i="61"/>
  <c r="N43" i="61"/>
  <c r="L43" i="61"/>
  <c r="B43" i="61"/>
  <c r="X42" i="61"/>
  <c r="Z42" i="61" s="1"/>
  <c r="R42" i="61"/>
  <c r="N42" i="61"/>
  <c r="L42" i="61"/>
  <c r="B42" i="61"/>
  <c r="X41" i="61"/>
  <c r="V41" i="61"/>
  <c r="T41" i="61"/>
  <c r="Z41" i="61" s="1"/>
  <c r="R41" i="61"/>
  <c r="P41" i="61"/>
  <c r="H41" i="61"/>
  <c r="D41" i="61"/>
  <c r="L41" i="61" s="1"/>
  <c r="N41" i="61" s="1"/>
  <c r="B41" i="61"/>
  <c r="Z40" i="61"/>
  <c r="X40" i="61"/>
  <c r="R40" i="61"/>
  <c r="L40" i="61"/>
  <c r="N40" i="61" s="1"/>
  <c r="B40" i="61"/>
  <c r="T39" i="61"/>
  <c r="R39" i="61"/>
  <c r="P39" i="61"/>
  <c r="X39" i="61" s="1"/>
  <c r="J39" i="61"/>
  <c r="H39" i="61"/>
  <c r="D39" i="61"/>
  <c r="L39" i="61" s="1"/>
  <c r="N39" i="61" s="1"/>
  <c r="B39" i="61"/>
  <c r="X38" i="61"/>
  <c r="Z38" i="61" s="1"/>
  <c r="V38" i="61"/>
  <c r="R38" i="61"/>
  <c r="L38" i="61"/>
  <c r="N38" i="61" s="1"/>
  <c r="F38" i="61"/>
  <c r="B38" i="61"/>
  <c r="T37" i="61"/>
  <c r="Z37" i="61" s="1"/>
  <c r="P37" i="61"/>
  <c r="X37" i="61" s="1"/>
  <c r="N37" i="61"/>
  <c r="L37" i="61"/>
  <c r="H37" i="61"/>
  <c r="D37" i="61"/>
  <c r="B37" i="61"/>
  <c r="Z36" i="61"/>
  <c r="X36" i="61"/>
  <c r="L36" i="61"/>
  <c r="N36" i="61" s="1"/>
  <c r="B36" i="61"/>
  <c r="T35" i="61"/>
  <c r="P35" i="61"/>
  <c r="X35" i="61" s="1"/>
  <c r="Z35" i="61" s="1"/>
  <c r="L35" i="61"/>
  <c r="H35" i="61"/>
  <c r="N35" i="61" s="1"/>
  <c r="F35" i="61"/>
  <c r="D35" i="61"/>
  <c r="B35" i="61"/>
  <c r="Z34" i="61"/>
  <c r="X34" i="61"/>
  <c r="L34" i="61"/>
  <c r="N34" i="61" s="1"/>
  <c r="F34" i="61"/>
  <c r="B34" i="61"/>
  <c r="V33" i="61"/>
  <c r="T33" i="61"/>
  <c r="P33" i="61"/>
  <c r="X33" i="61" s="1"/>
  <c r="Z33" i="61" s="1"/>
  <c r="H33" i="61"/>
  <c r="F33" i="61"/>
  <c r="D33" i="61"/>
  <c r="L33" i="61" s="1"/>
  <c r="B33" i="61"/>
  <c r="X32" i="61"/>
  <c r="Z32" i="61" s="1"/>
  <c r="N32" i="61"/>
  <c r="L32" i="61"/>
  <c r="B32" i="61"/>
  <c r="Z31" i="61"/>
  <c r="X31" i="61"/>
  <c r="V31" i="61"/>
  <c r="N31" i="61"/>
  <c r="L31" i="61"/>
  <c r="B31" i="61"/>
  <c r="X30" i="61"/>
  <c r="Z30" i="61" s="1"/>
  <c r="V30" i="61"/>
  <c r="R30" i="61"/>
  <c r="N30" i="61"/>
  <c r="L30" i="61"/>
  <c r="F30" i="61"/>
  <c r="B30" i="61"/>
  <c r="X29" i="61"/>
  <c r="Z29" i="61" s="1"/>
  <c r="L29" i="61"/>
  <c r="N29" i="61" s="1"/>
  <c r="F29" i="61"/>
  <c r="B29" i="61"/>
  <c r="X28" i="61"/>
  <c r="Z28" i="61" s="1"/>
  <c r="T28" i="61"/>
  <c r="R28" i="61"/>
  <c r="P28" i="61"/>
  <c r="H28" i="61"/>
  <c r="D28" i="61"/>
  <c r="B28" i="61"/>
  <c r="Z27" i="61"/>
  <c r="X27" i="61"/>
  <c r="R27" i="61"/>
  <c r="L27" i="61"/>
  <c r="N27" i="61" s="1"/>
  <c r="B27" i="61"/>
  <c r="X26" i="61"/>
  <c r="Z26" i="61" s="1"/>
  <c r="R26" i="61"/>
  <c r="N26" i="61"/>
  <c r="L26" i="61"/>
  <c r="B26" i="61"/>
  <c r="X25" i="61"/>
  <c r="Z25" i="61" s="1"/>
  <c r="V25" i="61"/>
  <c r="R25" i="61"/>
  <c r="N25" i="61"/>
  <c r="L25" i="61"/>
  <c r="B25" i="61"/>
  <c r="Z24" i="61"/>
  <c r="X24" i="61"/>
  <c r="N24" i="61"/>
  <c r="L24" i="61"/>
  <c r="F24" i="61"/>
  <c r="B24" i="61"/>
  <c r="Z23" i="61"/>
  <c r="X23" i="61"/>
  <c r="R23" i="61"/>
  <c r="L23" i="61"/>
  <c r="N23" i="61" s="1"/>
  <c r="F23" i="61"/>
  <c r="B23" i="61"/>
  <c r="Z22" i="61"/>
  <c r="X22" i="61"/>
  <c r="R22" i="61"/>
  <c r="N22" i="61"/>
  <c r="L22" i="61"/>
  <c r="B22" i="61"/>
  <c r="X21" i="61"/>
  <c r="Z21" i="61" s="1"/>
  <c r="V21" i="61"/>
  <c r="R21" i="61"/>
  <c r="N21" i="61"/>
  <c r="L21" i="61"/>
  <c r="B21" i="61"/>
  <c r="Z20" i="61"/>
  <c r="X20" i="61"/>
  <c r="R20" i="61"/>
  <c r="N20" i="61"/>
  <c r="L20" i="61"/>
  <c r="F20" i="61"/>
  <c r="B20" i="61"/>
  <c r="Z19" i="61"/>
  <c r="T19" i="61"/>
  <c r="P19" i="61"/>
  <c r="X19" i="61" s="1"/>
  <c r="L19" i="61"/>
  <c r="H19" i="61"/>
  <c r="F19" i="61"/>
  <c r="D19" i="61"/>
  <c r="B19" i="61"/>
  <c r="T18" i="61"/>
  <c r="R18" i="61"/>
  <c r="P18" i="61"/>
  <c r="X18" i="61" s="1"/>
  <c r="Z18" i="61" s="1"/>
  <c r="H18" i="61"/>
  <c r="L18" i="61" s="1"/>
  <c r="N18" i="61" s="1"/>
  <c r="D18" i="61"/>
  <c r="R16" i="61"/>
  <c r="D16" i="61"/>
  <c r="Z14" i="61"/>
  <c r="T14" i="61"/>
  <c r="R14" i="61"/>
  <c r="P14" i="61"/>
  <c r="X14" i="61" s="1"/>
  <c r="N14" i="61"/>
  <c r="H14" i="61"/>
  <c r="D14" i="61"/>
  <c r="L14" i="61" s="1"/>
  <c r="T12" i="61"/>
  <c r="V44" i="61" s="1"/>
  <c r="P12" i="61"/>
  <c r="R33" i="61" s="1"/>
  <c r="H12" i="61"/>
  <c r="J25" i="61" s="1"/>
  <c r="D12" i="61"/>
  <c r="D6" i="61"/>
  <c r="D4" i="61"/>
  <c r="F57" i="60"/>
  <c r="F54" i="60"/>
  <c r="Z52" i="60"/>
  <c r="X52" i="60"/>
  <c r="N52" i="60"/>
  <c r="L52" i="60"/>
  <c r="Z48" i="60"/>
  <c r="V48" i="60"/>
  <c r="T48" i="60"/>
  <c r="P48" i="60"/>
  <c r="X48" i="60" s="1"/>
  <c r="N48" i="60"/>
  <c r="H48" i="60"/>
  <c r="D48" i="60"/>
  <c r="L48" i="60" s="1"/>
  <c r="X46" i="60"/>
  <c r="Z46" i="60" s="1"/>
  <c r="R46" i="60"/>
  <c r="N46" i="60"/>
  <c r="L46" i="60"/>
  <c r="B46" i="60"/>
  <c r="T45" i="60"/>
  <c r="R45" i="60"/>
  <c r="P45" i="60"/>
  <c r="N45" i="60"/>
  <c r="H45" i="60"/>
  <c r="D45" i="60"/>
  <c r="L45" i="60" s="1"/>
  <c r="B45" i="60"/>
  <c r="X44" i="60"/>
  <c r="Z44" i="60" s="1"/>
  <c r="R44" i="60"/>
  <c r="L44" i="60"/>
  <c r="N44" i="60" s="1"/>
  <c r="F44" i="60"/>
  <c r="B44" i="60"/>
  <c r="T43" i="60"/>
  <c r="R43" i="60"/>
  <c r="P43" i="60"/>
  <c r="X43" i="60" s="1"/>
  <c r="L43" i="60"/>
  <c r="N43" i="60" s="1"/>
  <c r="H43" i="60"/>
  <c r="F43" i="60"/>
  <c r="D43" i="60"/>
  <c r="B43" i="60"/>
  <c r="Z42" i="60"/>
  <c r="X42" i="60"/>
  <c r="R42" i="60"/>
  <c r="N42" i="60"/>
  <c r="L42" i="60"/>
  <c r="F42" i="60"/>
  <c r="B42" i="60"/>
  <c r="Z41" i="60"/>
  <c r="X41" i="60"/>
  <c r="R41" i="60"/>
  <c r="N41" i="60"/>
  <c r="L41" i="60"/>
  <c r="F41" i="60"/>
  <c r="B41" i="60"/>
  <c r="Z40" i="60"/>
  <c r="X40" i="60"/>
  <c r="R40" i="60"/>
  <c r="N40" i="60"/>
  <c r="L40" i="60"/>
  <c r="B40" i="60"/>
  <c r="T39" i="60"/>
  <c r="X39" i="60" s="1"/>
  <c r="Z39" i="60" s="1"/>
  <c r="R39" i="60"/>
  <c r="P39" i="60"/>
  <c r="H39" i="60"/>
  <c r="N39" i="60" s="1"/>
  <c r="D39" i="60"/>
  <c r="B39" i="60"/>
  <c r="X38" i="60"/>
  <c r="Z38" i="60" s="1"/>
  <c r="L38" i="60"/>
  <c r="N38" i="60" s="1"/>
  <c r="B38" i="60"/>
  <c r="V37" i="60"/>
  <c r="T37" i="60"/>
  <c r="R37" i="60"/>
  <c r="P37" i="60"/>
  <c r="X37" i="60" s="1"/>
  <c r="J37" i="60"/>
  <c r="H37" i="60"/>
  <c r="D37" i="60"/>
  <c r="L37" i="60" s="1"/>
  <c r="N37" i="60" s="1"/>
  <c r="B37" i="60"/>
  <c r="X36" i="60"/>
  <c r="Z36" i="60" s="1"/>
  <c r="R36" i="60"/>
  <c r="N36" i="60"/>
  <c r="L36" i="60"/>
  <c r="F36" i="60"/>
  <c r="B36" i="60"/>
  <c r="X35" i="60"/>
  <c r="Z35" i="60" s="1"/>
  <c r="R35" i="60"/>
  <c r="L35" i="60"/>
  <c r="N35" i="60" s="1"/>
  <c r="F35" i="60"/>
  <c r="B35" i="60"/>
  <c r="X34" i="60"/>
  <c r="Z34" i="60" s="1"/>
  <c r="V34" i="60"/>
  <c r="T34" i="60"/>
  <c r="R34" i="60"/>
  <c r="P34" i="60"/>
  <c r="N34" i="60"/>
  <c r="H34" i="60"/>
  <c r="F34" i="60"/>
  <c r="D34" i="60"/>
  <c r="L34" i="60" s="1"/>
  <c r="B34" i="60"/>
  <c r="X33" i="60"/>
  <c r="Z33" i="60" s="1"/>
  <c r="R33" i="60"/>
  <c r="L33" i="60"/>
  <c r="N33" i="60" s="1"/>
  <c r="F33" i="60"/>
  <c r="B33" i="60"/>
  <c r="X32" i="60"/>
  <c r="T32" i="60"/>
  <c r="Z32" i="60" s="1"/>
  <c r="R32" i="60"/>
  <c r="P32" i="60"/>
  <c r="H32" i="60"/>
  <c r="F32" i="60"/>
  <c r="D32" i="60"/>
  <c r="L32" i="60" s="1"/>
  <c r="B32" i="60"/>
  <c r="X31" i="60"/>
  <c r="Z31" i="60" s="1"/>
  <c r="R31" i="60"/>
  <c r="L31" i="60"/>
  <c r="N31" i="60" s="1"/>
  <c r="F31" i="60"/>
  <c r="B31" i="60"/>
  <c r="T30" i="60"/>
  <c r="R30" i="60"/>
  <c r="P30" i="60"/>
  <c r="H30" i="60"/>
  <c r="F30" i="60"/>
  <c r="D30" i="60"/>
  <c r="L30" i="60" s="1"/>
  <c r="N30" i="60" s="1"/>
  <c r="B30" i="60"/>
  <c r="X29" i="60"/>
  <c r="Z29" i="60" s="1"/>
  <c r="R29" i="60"/>
  <c r="N29" i="60"/>
  <c r="L29" i="60"/>
  <c r="F29" i="60"/>
  <c r="B29" i="60"/>
  <c r="V28" i="60"/>
  <c r="T28" i="60"/>
  <c r="R28" i="60"/>
  <c r="P28" i="60"/>
  <c r="X28" i="60" s="1"/>
  <c r="N28" i="60"/>
  <c r="L28" i="60"/>
  <c r="H28" i="60"/>
  <c r="F28" i="60"/>
  <c r="D28" i="60"/>
  <c r="B28" i="60"/>
  <c r="X27" i="60"/>
  <c r="Z27" i="60" s="1"/>
  <c r="V27" i="60"/>
  <c r="R27" i="60"/>
  <c r="N27" i="60"/>
  <c r="L27" i="60"/>
  <c r="J27" i="60"/>
  <c r="F27" i="60"/>
  <c r="B27" i="60"/>
  <c r="Z26" i="60"/>
  <c r="X26" i="60"/>
  <c r="R26" i="60"/>
  <c r="L26" i="60"/>
  <c r="N26" i="60" s="1"/>
  <c r="F26" i="60"/>
  <c r="B26" i="60"/>
  <c r="Z25" i="60"/>
  <c r="X25" i="60"/>
  <c r="R25" i="60"/>
  <c r="N25" i="60"/>
  <c r="L25" i="60"/>
  <c r="F25" i="60"/>
  <c r="B25" i="60"/>
  <c r="Z24" i="60"/>
  <c r="X24" i="60"/>
  <c r="V24" i="60"/>
  <c r="N24" i="60"/>
  <c r="L24" i="60"/>
  <c r="F24" i="60"/>
  <c r="B24" i="60"/>
  <c r="X23" i="60"/>
  <c r="Z23" i="60" s="1"/>
  <c r="V23" i="60"/>
  <c r="R23" i="60"/>
  <c r="L23" i="60"/>
  <c r="N23" i="60" s="1"/>
  <c r="F23" i="60"/>
  <c r="B23" i="60"/>
  <c r="X22" i="60"/>
  <c r="Z22" i="60" s="1"/>
  <c r="R22" i="60"/>
  <c r="L22" i="60"/>
  <c r="N22" i="60" s="1"/>
  <c r="F22" i="60"/>
  <c r="B22" i="60"/>
  <c r="X21" i="60"/>
  <c r="Z21" i="60" s="1"/>
  <c r="R21" i="60"/>
  <c r="L21" i="60"/>
  <c r="N21" i="60" s="1"/>
  <c r="F21" i="60"/>
  <c r="B21" i="60"/>
  <c r="X20" i="60"/>
  <c r="Z20" i="60" s="1"/>
  <c r="R20" i="60"/>
  <c r="N20" i="60"/>
  <c r="L20" i="60"/>
  <c r="F20" i="60"/>
  <c r="B20" i="60"/>
  <c r="T19" i="60"/>
  <c r="R19" i="60"/>
  <c r="P19" i="60"/>
  <c r="H19" i="60"/>
  <c r="F19" i="60"/>
  <c r="D19" i="60"/>
  <c r="B19" i="60"/>
  <c r="T18" i="60"/>
  <c r="Z18" i="60" s="1"/>
  <c r="R18" i="60"/>
  <c r="P18" i="60"/>
  <c r="X18" i="60" s="1"/>
  <c r="H18" i="60"/>
  <c r="F18" i="60"/>
  <c r="D18" i="60"/>
  <c r="R16" i="60"/>
  <c r="J16" i="60"/>
  <c r="F16" i="60"/>
  <c r="Z14" i="60"/>
  <c r="T14" i="60"/>
  <c r="R14" i="60"/>
  <c r="P14" i="60"/>
  <c r="X14" i="60" s="1"/>
  <c r="H14" i="60"/>
  <c r="N14" i="60" s="1"/>
  <c r="F14" i="60"/>
  <c r="D14" i="60"/>
  <c r="T12" i="60"/>
  <c r="V32" i="60" s="1"/>
  <c r="P12" i="60"/>
  <c r="R24" i="60" s="1"/>
  <c r="H12" i="60"/>
  <c r="J54" i="60" s="1"/>
  <c r="D12" i="60"/>
  <c r="F46" i="60" s="1"/>
  <c r="D6" i="60"/>
  <c r="D4" i="60"/>
  <c r="J68" i="59"/>
  <c r="V65" i="59"/>
  <c r="J65" i="59"/>
  <c r="Z63" i="59"/>
  <c r="X63" i="59"/>
  <c r="V63" i="59"/>
  <c r="N63" i="59"/>
  <c r="L63" i="59"/>
  <c r="R61" i="59"/>
  <c r="J61" i="59"/>
  <c r="X59" i="59"/>
  <c r="T59" i="59"/>
  <c r="Z59" i="59" s="1"/>
  <c r="R59" i="59"/>
  <c r="P59" i="59"/>
  <c r="N59" i="59"/>
  <c r="J59" i="59"/>
  <c r="H59" i="59"/>
  <c r="D59" i="59"/>
  <c r="L59" i="59" s="1"/>
  <c r="X57" i="59"/>
  <c r="Z57" i="59" s="1"/>
  <c r="N57" i="59"/>
  <c r="L57" i="59"/>
  <c r="J57" i="59"/>
  <c r="B57" i="59"/>
  <c r="Z56" i="59"/>
  <c r="X56" i="59"/>
  <c r="N56" i="59"/>
  <c r="L56" i="59"/>
  <c r="J56" i="59"/>
  <c r="F56" i="59"/>
  <c r="B56" i="59"/>
  <c r="Z55" i="59"/>
  <c r="T55" i="59"/>
  <c r="P55" i="59"/>
  <c r="X55" i="59" s="1"/>
  <c r="L55" i="59"/>
  <c r="J55" i="59"/>
  <c r="H55" i="59"/>
  <c r="N55" i="59" s="1"/>
  <c r="D55" i="59"/>
  <c r="B55" i="59"/>
  <c r="X54" i="59"/>
  <c r="Z54" i="59" s="1"/>
  <c r="L54" i="59"/>
  <c r="N54" i="59" s="1"/>
  <c r="J54" i="59"/>
  <c r="B54" i="59"/>
  <c r="Z53" i="59"/>
  <c r="V53" i="59"/>
  <c r="T53" i="59"/>
  <c r="P53" i="59"/>
  <c r="X53" i="59" s="1"/>
  <c r="J53" i="59"/>
  <c r="H53" i="59"/>
  <c r="D53" i="59"/>
  <c r="L53" i="59" s="1"/>
  <c r="B53" i="59"/>
  <c r="X52" i="59"/>
  <c r="Z52" i="59" s="1"/>
  <c r="N52" i="59"/>
  <c r="L52" i="59"/>
  <c r="J52" i="59"/>
  <c r="B52" i="59"/>
  <c r="Z51" i="59"/>
  <c r="X51" i="59"/>
  <c r="V51" i="59"/>
  <c r="N51" i="59"/>
  <c r="L51" i="59"/>
  <c r="J51" i="59"/>
  <c r="B51" i="59"/>
  <c r="T50" i="59"/>
  <c r="P50" i="59"/>
  <c r="X50" i="59" s="1"/>
  <c r="L50" i="59"/>
  <c r="J50" i="59"/>
  <c r="H50" i="59"/>
  <c r="D50" i="59"/>
  <c r="B50" i="59"/>
  <c r="X49" i="59"/>
  <c r="Z49" i="59" s="1"/>
  <c r="N49" i="59"/>
  <c r="L49" i="59"/>
  <c r="J49" i="59"/>
  <c r="B49" i="59"/>
  <c r="T48" i="59"/>
  <c r="P48" i="59"/>
  <c r="X48" i="59" s="1"/>
  <c r="Z48" i="59" s="1"/>
  <c r="L48" i="59"/>
  <c r="H48" i="59"/>
  <c r="D48" i="59"/>
  <c r="B48" i="59"/>
  <c r="X47" i="59"/>
  <c r="Z47" i="59" s="1"/>
  <c r="N47" i="59"/>
  <c r="L47" i="59"/>
  <c r="J47" i="59"/>
  <c r="B47" i="59"/>
  <c r="X46" i="59"/>
  <c r="Z46" i="59" s="1"/>
  <c r="L46" i="59"/>
  <c r="N46" i="59" s="1"/>
  <c r="J46" i="59"/>
  <c r="B46" i="59"/>
  <c r="Z45" i="59"/>
  <c r="X45" i="59"/>
  <c r="V45" i="59"/>
  <c r="L45" i="59"/>
  <c r="N45" i="59" s="1"/>
  <c r="B45" i="59"/>
  <c r="T44" i="59"/>
  <c r="P44" i="59"/>
  <c r="J44" i="59"/>
  <c r="H44" i="59"/>
  <c r="D44" i="59"/>
  <c r="L44" i="59" s="1"/>
  <c r="N44" i="59" s="1"/>
  <c r="B44" i="59"/>
  <c r="Z43" i="59"/>
  <c r="X43" i="59"/>
  <c r="V43" i="59"/>
  <c r="N43" i="59"/>
  <c r="L43" i="59"/>
  <c r="J43" i="59"/>
  <c r="B43" i="59"/>
  <c r="T42" i="59"/>
  <c r="P42" i="59"/>
  <c r="X42" i="59" s="1"/>
  <c r="L42" i="59"/>
  <c r="J42" i="59"/>
  <c r="H42" i="59"/>
  <c r="D42" i="59"/>
  <c r="B42" i="59"/>
  <c r="Z41" i="59"/>
  <c r="X41" i="59"/>
  <c r="N41" i="59"/>
  <c r="L41" i="59"/>
  <c r="J41" i="59"/>
  <c r="B41" i="59"/>
  <c r="Z40" i="59"/>
  <c r="T40" i="59"/>
  <c r="P40" i="59"/>
  <c r="X40" i="59" s="1"/>
  <c r="H40" i="59"/>
  <c r="D40" i="59"/>
  <c r="B40" i="59"/>
  <c r="X39" i="59"/>
  <c r="Z39" i="59" s="1"/>
  <c r="N39" i="59"/>
  <c r="L39" i="59"/>
  <c r="J39" i="59"/>
  <c r="B39" i="59"/>
  <c r="T38" i="59"/>
  <c r="P38" i="59"/>
  <c r="X38" i="59" s="1"/>
  <c r="Z38" i="59" s="1"/>
  <c r="J38" i="59"/>
  <c r="H38" i="59"/>
  <c r="D38" i="59"/>
  <c r="L38" i="59" s="1"/>
  <c r="B38" i="59"/>
  <c r="X37" i="59"/>
  <c r="Z37" i="59" s="1"/>
  <c r="N37" i="59"/>
  <c r="L37" i="59"/>
  <c r="J37" i="59"/>
  <c r="B37" i="59"/>
  <c r="X36" i="59"/>
  <c r="T36" i="59"/>
  <c r="Z36" i="59" s="1"/>
  <c r="P36" i="59"/>
  <c r="J36" i="59"/>
  <c r="H36" i="59"/>
  <c r="N36" i="59" s="1"/>
  <c r="D36" i="59"/>
  <c r="L36" i="59" s="1"/>
  <c r="B36" i="59"/>
  <c r="Z35" i="59"/>
  <c r="X35" i="59"/>
  <c r="N35" i="59"/>
  <c r="L35" i="59"/>
  <c r="J35" i="59"/>
  <c r="B35" i="59"/>
  <c r="X34" i="59"/>
  <c r="Z34" i="59" s="1"/>
  <c r="R34" i="59"/>
  <c r="L34" i="59"/>
  <c r="N34" i="59" s="1"/>
  <c r="J34" i="59"/>
  <c r="B34" i="59"/>
  <c r="X33" i="59"/>
  <c r="Z33" i="59" s="1"/>
  <c r="N33" i="59"/>
  <c r="L33" i="59"/>
  <c r="J33" i="59"/>
  <c r="B33" i="59"/>
  <c r="Z32" i="59"/>
  <c r="X32" i="59"/>
  <c r="N32" i="59"/>
  <c r="L32" i="59"/>
  <c r="J32" i="59"/>
  <c r="F32" i="59"/>
  <c r="B32" i="59"/>
  <c r="Z31" i="59"/>
  <c r="X31" i="59"/>
  <c r="L31" i="59"/>
  <c r="N31" i="59" s="1"/>
  <c r="J31" i="59"/>
  <c r="B31" i="59"/>
  <c r="X30" i="59"/>
  <c r="T30" i="59"/>
  <c r="P30" i="59"/>
  <c r="J30" i="59"/>
  <c r="H30" i="59"/>
  <c r="D30" i="59"/>
  <c r="L30" i="59" s="1"/>
  <c r="N30" i="59" s="1"/>
  <c r="B30" i="59"/>
  <c r="Z29" i="59"/>
  <c r="X29" i="59"/>
  <c r="V29" i="59"/>
  <c r="L29" i="59"/>
  <c r="N29" i="59" s="1"/>
  <c r="B29" i="59"/>
  <c r="X28" i="59"/>
  <c r="Z28" i="59" s="1"/>
  <c r="R28" i="59"/>
  <c r="L28" i="59"/>
  <c r="N28" i="59" s="1"/>
  <c r="J28" i="59"/>
  <c r="B28" i="59"/>
  <c r="X27" i="59"/>
  <c r="Z27" i="59" s="1"/>
  <c r="N27" i="59"/>
  <c r="L27" i="59"/>
  <c r="J27" i="59"/>
  <c r="B27" i="59"/>
  <c r="X26" i="59"/>
  <c r="Z26" i="59" s="1"/>
  <c r="L26" i="59"/>
  <c r="N26" i="59" s="1"/>
  <c r="J26" i="59"/>
  <c r="B26" i="59"/>
  <c r="Z25" i="59"/>
  <c r="X25" i="59"/>
  <c r="V25" i="59"/>
  <c r="N25" i="59"/>
  <c r="L25" i="59"/>
  <c r="B25" i="59"/>
  <c r="X24" i="59"/>
  <c r="Z24" i="59" s="1"/>
  <c r="R24" i="59"/>
  <c r="L24" i="59"/>
  <c r="N24" i="59" s="1"/>
  <c r="J24" i="59"/>
  <c r="B24" i="59"/>
  <c r="X23" i="59"/>
  <c r="Z23" i="59" s="1"/>
  <c r="N23" i="59"/>
  <c r="L23" i="59"/>
  <c r="J23" i="59"/>
  <c r="B23" i="59"/>
  <c r="X22" i="59"/>
  <c r="Z22" i="59" s="1"/>
  <c r="L22" i="59"/>
  <c r="N22" i="59" s="1"/>
  <c r="J22" i="59"/>
  <c r="B22" i="59"/>
  <c r="Z21" i="59"/>
  <c r="X21" i="59"/>
  <c r="V21" i="59"/>
  <c r="L21" i="59"/>
  <c r="N21" i="59" s="1"/>
  <c r="B21" i="59"/>
  <c r="X20" i="59"/>
  <c r="Z20" i="59" s="1"/>
  <c r="R20" i="59"/>
  <c r="L20" i="59"/>
  <c r="N20" i="59" s="1"/>
  <c r="J20" i="59"/>
  <c r="B20" i="59"/>
  <c r="T19" i="59"/>
  <c r="P19" i="59"/>
  <c r="X19" i="59" s="1"/>
  <c r="J19" i="59"/>
  <c r="H19" i="59"/>
  <c r="D19" i="59"/>
  <c r="L19" i="59" s="1"/>
  <c r="N19" i="59" s="1"/>
  <c r="B19" i="59"/>
  <c r="T18" i="59"/>
  <c r="Z18" i="59" s="1"/>
  <c r="P18" i="59"/>
  <c r="X18" i="59" s="1"/>
  <c r="L18" i="59"/>
  <c r="J18" i="59"/>
  <c r="H18" i="59"/>
  <c r="N18" i="59" s="1"/>
  <c r="D18" i="59"/>
  <c r="P16" i="59"/>
  <c r="J16" i="59"/>
  <c r="T14" i="59"/>
  <c r="Z14" i="59" s="1"/>
  <c r="P14" i="59"/>
  <c r="X14" i="59" s="1"/>
  <c r="L14" i="59"/>
  <c r="J14" i="59"/>
  <c r="H14" i="59"/>
  <c r="H16" i="59" s="1"/>
  <c r="D14" i="59"/>
  <c r="T12" i="59"/>
  <c r="V68" i="59" s="1"/>
  <c r="P12" i="59"/>
  <c r="R63" i="59" s="1"/>
  <c r="N12" i="59"/>
  <c r="L12" i="59"/>
  <c r="H12" i="59"/>
  <c r="J63" i="59" s="1"/>
  <c r="D12" i="59"/>
  <c r="F55" i="59" s="1"/>
  <c r="D6" i="59"/>
  <c r="D4" i="59"/>
  <c r="Z75" i="58"/>
  <c r="X75" i="58"/>
  <c r="N75" i="58"/>
  <c r="L75" i="58"/>
  <c r="F75" i="58"/>
  <c r="X71" i="58"/>
  <c r="T71" i="58"/>
  <c r="Z71" i="58" s="1"/>
  <c r="P71" i="58"/>
  <c r="H71" i="58"/>
  <c r="N71" i="58" s="1"/>
  <c r="D71" i="58"/>
  <c r="L71" i="58" s="1"/>
  <c r="X69" i="58"/>
  <c r="Z69" i="58" s="1"/>
  <c r="N69" i="58"/>
  <c r="L69" i="58"/>
  <c r="B69" i="58"/>
  <c r="Z68" i="58"/>
  <c r="X68" i="58"/>
  <c r="V68" i="58"/>
  <c r="T68" i="58"/>
  <c r="R68" i="58"/>
  <c r="P68" i="58"/>
  <c r="N68" i="58"/>
  <c r="H68" i="58"/>
  <c r="D68" i="58"/>
  <c r="L68" i="58" s="1"/>
  <c r="B68" i="58"/>
  <c r="X67" i="58"/>
  <c r="Z67" i="58" s="1"/>
  <c r="R67" i="58"/>
  <c r="L67" i="58"/>
  <c r="N67" i="58" s="1"/>
  <c r="B67" i="58"/>
  <c r="X66" i="58"/>
  <c r="T66" i="58"/>
  <c r="Z66" i="58" s="1"/>
  <c r="R66" i="58"/>
  <c r="P66" i="58"/>
  <c r="H66" i="58"/>
  <c r="D66" i="58"/>
  <c r="L66" i="58" s="1"/>
  <c r="N66" i="58" s="1"/>
  <c r="B66" i="58"/>
  <c r="X65" i="58"/>
  <c r="Z65" i="58" s="1"/>
  <c r="R65" i="58"/>
  <c r="L65" i="58"/>
  <c r="N65" i="58" s="1"/>
  <c r="B65" i="58"/>
  <c r="T64" i="58"/>
  <c r="R64" i="58"/>
  <c r="P64" i="58"/>
  <c r="X64" i="58" s="1"/>
  <c r="H64" i="58"/>
  <c r="D64" i="58"/>
  <c r="L64" i="58" s="1"/>
  <c r="N64" i="58" s="1"/>
  <c r="B64" i="58"/>
  <c r="X63" i="58"/>
  <c r="Z63" i="58" s="1"/>
  <c r="R63" i="58"/>
  <c r="N63" i="58"/>
  <c r="L63" i="58"/>
  <c r="F63" i="58"/>
  <c r="B63" i="58"/>
  <c r="Z62" i="58"/>
  <c r="X62" i="58"/>
  <c r="L62" i="58"/>
  <c r="N62" i="58" s="1"/>
  <c r="B62" i="58"/>
  <c r="X61" i="58"/>
  <c r="Z61" i="58" s="1"/>
  <c r="N61" i="58"/>
  <c r="L61" i="58"/>
  <c r="B61" i="58"/>
  <c r="Z60" i="58"/>
  <c r="X60" i="58"/>
  <c r="V60" i="58"/>
  <c r="N60" i="58"/>
  <c r="L60" i="58"/>
  <c r="B60" i="58"/>
  <c r="T59" i="58"/>
  <c r="P59" i="58"/>
  <c r="X59" i="58" s="1"/>
  <c r="L59" i="58"/>
  <c r="H59" i="58"/>
  <c r="D59" i="58"/>
  <c r="B59" i="58"/>
  <c r="X58" i="58"/>
  <c r="Z58" i="58" s="1"/>
  <c r="N58" i="58"/>
  <c r="L58" i="58"/>
  <c r="B58" i="58"/>
  <c r="T57" i="58"/>
  <c r="Z57" i="58" s="1"/>
  <c r="P57" i="58"/>
  <c r="X57" i="58" s="1"/>
  <c r="H57" i="58"/>
  <c r="D57" i="58"/>
  <c r="B57" i="58"/>
  <c r="X56" i="58"/>
  <c r="Z56" i="58" s="1"/>
  <c r="N56" i="58"/>
  <c r="L56" i="58"/>
  <c r="B56" i="58"/>
  <c r="X55" i="58"/>
  <c r="Z55" i="58" s="1"/>
  <c r="L55" i="58"/>
  <c r="N55" i="58" s="1"/>
  <c r="F55" i="58"/>
  <c r="B55" i="58"/>
  <c r="Z54" i="58"/>
  <c r="V54" i="58"/>
  <c r="T54" i="58"/>
  <c r="P54" i="58"/>
  <c r="X54" i="58" s="1"/>
  <c r="H54" i="58"/>
  <c r="F54" i="58"/>
  <c r="D54" i="58"/>
  <c r="L54" i="58" s="1"/>
  <c r="B54" i="58"/>
  <c r="X53" i="58"/>
  <c r="Z53" i="58" s="1"/>
  <c r="N53" i="58"/>
  <c r="L53" i="58"/>
  <c r="B53" i="58"/>
  <c r="Z52" i="58"/>
  <c r="X52" i="58"/>
  <c r="V52" i="58"/>
  <c r="N52" i="58"/>
  <c r="L52" i="58"/>
  <c r="B52" i="58"/>
  <c r="X51" i="58"/>
  <c r="Z51" i="58" s="1"/>
  <c r="R51" i="58"/>
  <c r="L51" i="58"/>
  <c r="N51" i="58" s="1"/>
  <c r="F51" i="58"/>
  <c r="B51" i="58"/>
  <c r="T50" i="58"/>
  <c r="P50" i="58"/>
  <c r="X50" i="58" s="1"/>
  <c r="Z50" i="58" s="1"/>
  <c r="N50" i="58"/>
  <c r="L50" i="58"/>
  <c r="H50" i="58"/>
  <c r="F50" i="58"/>
  <c r="D50" i="58"/>
  <c r="B50" i="58"/>
  <c r="Z49" i="58"/>
  <c r="X49" i="58"/>
  <c r="L49" i="58"/>
  <c r="N49" i="58" s="1"/>
  <c r="F49" i="58"/>
  <c r="B49" i="58"/>
  <c r="Z48" i="58"/>
  <c r="T48" i="58"/>
  <c r="P48" i="58"/>
  <c r="X48" i="58" s="1"/>
  <c r="L48" i="58"/>
  <c r="H48" i="58"/>
  <c r="N48" i="58" s="1"/>
  <c r="F48" i="58"/>
  <c r="D48" i="58"/>
  <c r="B48" i="58"/>
  <c r="X47" i="58"/>
  <c r="Z47" i="58" s="1"/>
  <c r="N47" i="58"/>
  <c r="L47" i="58"/>
  <c r="F47" i="58"/>
  <c r="B47" i="58"/>
  <c r="V46" i="58"/>
  <c r="T46" i="58"/>
  <c r="P46" i="58"/>
  <c r="X46" i="58" s="1"/>
  <c r="Z46" i="58" s="1"/>
  <c r="H46" i="58"/>
  <c r="N46" i="58" s="1"/>
  <c r="F46" i="58"/>
  <c r="D46" i="58"/>
  <c r="L46" i="58" s="1"/>
  <c r="B46" i="58"/>
  <c r="X45" i="58"/>
  <c r="Z45" i="58" s="1"/>
  <c r="N45" i="58"/>
  <c r="L45" i="58"/>
  <c r="B45" i="58"/>
  <c r="Z44" i="58"/>
  <c r="X44" i="58"/>
  <c r="V44" i="58"/>
  <c r="T44" i="58"/>
  <c r="R44" i="58"/>
  <c r="P44" i="58"/>
  <c r="H44" i="58"/>
  <c r="D44" i="58"/>
  <c r="L44" i="58" s="1"/>
  <c r="N44" i="58" s="1"/>
  <c r="B44" i="58"/>
  <c r="X43" i="58"/>
  <c r="Z43" i="58" s="1"/>
  <c r="R43" i="58"/>
  <c r="N43" i="58"/>
  <c r="L43" i="58"/>
  <c r="B43" i="58"/>
  <c r="X42" i="58"/>
  <c r="T42" i="58"/>
  <c r="Z42" i="58" s="1"/>
  <c r="R42" i="58"/>
  <c r="P42" i="58"/>
  <c r="N42" i="58"/>
  <c r="H42" i="58"/>
  <c r="D42" i="58"/>
  <c r="L42" i="58" s="1"/>
  <c r="B42" i="58"/>
  <c r="X41" i="58"/>
  <c r="Z41" i="58" s="1"/>
  <c r="R41" i="58"/>
  <c r="L41" i="58"/>
  <c r="N41" i="58" s="1"/>
  <c r="B41" i="58"/>
  <c r="T40" i="58"/>
  <c r="R40" i="58"/>
  <c r="P40" i="58"/>
  <c r="X40" i="58" s="1"/>
  <c r="J40" i="58"/>
  <c r="H40" i="58"/>
  <c r="F40" i="58"/>
  <c r="D40" i="58"/>
  <c r="L40" i="58" s="1"/>
  <c r="N40" i="58" s="1"/>
  <c r="B40" i="58"/>
  <c r="X39" i="58"/>
  <c r="Z39" i="58" s="1"/>
  <c r="R39" i="58"/>
  <c r="L39" i="58"/>
  <c r="N39" i="58" s="1"/>
  <c r="F39" i="58"/>
  <c r="B39" i="58"/>
  <c r="T38" i="58"/>
  <c r="P38" i="58"/>
  <c r="X38" i="58" s="1"/>
  <c r="Z38" i="58" s="1"/>
  <c r="N38" i="58"/>
  <c r="L38" i="58"/>
  <c r="H38" i="58"/>
  <c r="F38" i="58"/>
  <c r="D38" i="58"/>
  <c r="B38" i="58"/>
  <c r="Z37" i="58"/>
  <c r="X37" i="58"/>
  <c r="N37" i="58"/>
  <c r="L37" i="58"/>
  <c r="F37" i="58"/>
  <c r="B37" i="58"/>
  <c r="Z36" i="58"/>
  <c r="T36" i="58"/>
  <c r="P36" i="58"/>
  <c r="X36" i="58" s="1"/>
  <c r="L36" i="58"/>
  <c r="H36" i="58"/>
  <c r="N36" i="58" s="1"/>
  <c r="F36" i="58"/>
  <c r="D36" i="58"/>
  <c r="B36" i="58"/>
  <c r="X35" i="58"/>
  <c r="Z35" i="58" s="1"/>
  <c r="L35" i="58"/>
  <c r="N35" i="58" s="1"/>
  <c r="F35" i="58"/>
  <c r="B35" i="58"/>
  <c r="Z34" i="58"/>
  <c r="X34" i="58"/>
  <c r="V34" i="58"/>
  <c r="N34" i="58"/>
  <c r="L34" i="58"/>
  <c r="B34" i="58"/>
  <c r="X33" i="58"/>
  <c r="Z33" i="58" s="1"/>
  <c r="R33" i="58"/>
  <c r="L33" i="58"/>
  <c r="N33" i="58" s="1"/>
  <c r="F33" i="58"/>
  <c r="B33" i="58"/>
  <c r="X32" i="58"/>
  <c r="Z32" i="58" s="1"/>
  <c r="R32" i="58"/>
  <c r="N32" i="58"/>
  <c r="L32" i="58"/>
  <c r="J32" i="58"/>
  <c r="B32" i="58"/>
  <c r="X31" i="58"/>
  <c r="Z31" i="58" s="1"/>
  <c r="L31" i="58"/>
  <c r="N31" i="58" s="1"/>
  <c r="F31" i="58"/>
  <c r="B31" i="58"/>
  <c r="V30" i="58"/>
  <c r="T30" i="58"/>
  <c r="P30" i="58"/>
  <c r="X30" i="58" s="1"/>
  <c r="Z30" i="58" s="1"/>
  <c r="H30" i="58"/>
  <c r="F30" i="58"/>
  <c r="D30" i="58"/>
  <c r="L30" i="58" s="1"/>
  <c r="B30" i="58"/>
  <c r="X29" i="58"/>
  <c r="Z29" i="58" s="1"/>
  <c r="N29" i="58"/>
  <c r="L29" i="58"/>
  <c r="F29" i="58"/>
  <c r="B29" i="58"/>
  <c r="Z28" i="58"/>
  <c r="X28" i="58"/>
  <c r="V28" i="58"/>
  <c r="N28" i="58"/>
  <c r="L28" i="58"/>
  <c r="F28" i="58"/>
  <c r="B28" i="58"/>
  <c r="X27" i="58"/>
  <c r="Z27" i="58" s="1"/>
  <c r="R27" i="58"/>
  <c r="L27" i="58"/>
  <c r="N27" i="58" s="1"/>
  <c r="F27" i="58"/>
  <c r="B27" i="58"/>
  <c r="X26" i="58"/>
  <c r="Z26" i="58" s="1"/>
  <c r="L26" i="58"/>
  <c r="N26" i="58" s="1"/>
  <c r="F26" i="58"/>
  <c r="B26" i="58"/>
  <c r="X25" i="58"/>
  <c r="Z25" i="58" s="1"/>
  <c r="N25" i="58"/>
  <c r="L25" i="58"/>
  <c r="F25" i="58"/>
  <c r="B25" i="58"/>
  <c r="Z24" i="58"/>
  <c r="X24" i="58"/>
  <c r="V24" i="58"/>
  <c r="N24" i="58"/>
  <c r="L24" i="58"/>
  <c r="F24" i="58"/>
  <c r="B24" i="58"/>
  <c r="X23" i="58"/>
  <c r="Z23" i="58" s="1"/>
  <c r="R23" i="58"/>
  <c r="L23" i="58"/>
  <c r="N23" i="58" s="1"/>
  <c r="F23" i="58"/>
  <c r="B23" i="58"/>
  <c r="X22" i="58"/>
  <c r="Z22" i="58" s="1"/>
  <c r="L22" i="58"/>
  <c r="N22" i="58" s="1"/>
  <c r="F22" i="58"/>
  <c r="B22" i="58"/>
  <c r="X21" i="58"/>
  <c r="Z21" i="58" s="1"/>
  <c r="N21" i="58"/>
  <c r="L21" i="58"/>
  <c r="F21" i="58"/>
  <c r="B21" i="58"/>
  <c r="Z20" i="58"/>
  <c r="X20" i="58"/>
  <c r="V20" i="58"/>
  <c r="N20" i="58"/>
  <c r="L20" i="58"/>
  <c r="F20" i="58"/>
  <c r="B20" i="58"/>
  <c r="T19" i="58"/>
  <c r="P19" i="58"/>
  <c r="X19" i="58" s="1"/>
  <c r="L19" i="58"/>
  <c r="H19" i="58"/>
  <c r="N19" i="58" s="1"/>
  <c r="F19" i="58"/>
  <c r="D19" i="58"/>
  <c r="B19" i="58"/>
  <c r="X18" i="58"/>
  <c r="T18" i="58"/>
  <c r="Z18" i="58" s="1"/>
  <c r="R18" i="58"/>
  <c r="P18" i="58"/>
  <c r="H18" i="58"/>
  <c r="D18" i="58"/>
  <c r="L18" i="58" s="1"/>
  <c r="N18" i="58" s="1"/>
  <c r="R16" i="58"/>
  <c r="X14" i="58"/>
  <c r="T14" i="58"/>
  <c r="Z14" i="58" s="1"/>
  <c r="R14" i="58"/>
  <c r="P14" i="58"/>
  <c r="N14" i="58"/>
  <c r="H14" i="58"/>
  <c r="D14" i="58"/>
  <c r="L14" i="58" s="1"/>
  <c r="T12" i="58"/>
  <c r="V73" i="58" s="1"/>
  <c r="P12" i="58"/>
  <c r="R34" i="58" s="1"/>
  <c r="N12" i="58"/>
  <c r="H12" i="58"/>
  <c r="D12" i="58"/>
  <c r="F80" i="58" s="1"/>
  <c r="D6" i="58"/>
  <c r="D4" i="58"/>
  <c r="J76" i="57"/>
  <c r="J73" i="57"/>
  <c r="Z71" i="57"/>
  <c r="X71" i="57"/>
  <c r="N71" i="57"/>
  <c r="L71" i="57"/>
  <c r="J71" i="57"/>
  <c r="J69" i="57"/>
  <c r="F69" i="57"/>
  <c r="Z67" i="57"/>
  <c r="T67" i="57"/>
  <c r="P67" i="57"/>
  <c r="X67" i="57" s="1"/>
  <c r="L67" i="57"/>
  <c r="J67" i="57"/>
  <c r="H67" i="57"/>
  <c r="N67" i="57" s="1"/>
  <c r="F67" i="57"/>
  <c r="D67" i="57"/>
  <c r="Z65" i="57"/>
  <c r="X65" i="57"/>
  <c r="N65" i="57"/>
  <c r="L65" i="57"/>
  <c r="F65" i="57"/>
  <c r="B65" i="57"/>
  <c r="T64" i="57"/>
  <c r="Z64" i="57" s="1"/>
  <c r="P64" i="57"/>
  <c r="N64" i="57"/>
  <c r="H64" i="57"/>
  <c r="F64" i="57"/>
  <c r="D64" i="57"/>
  <c r="L64" i="57" s="1"/>
  <c r="B64" i="57"/>
  <c r="Z63" i="57"/>
  <c r="X63" i="57"/>
  <c r="V63" i="57"/>
  <c r="N63" i="57"/>
  <c r="L63" i="57"/>
  <c r="B63" i="57"/>
  <c r="T62" i="57"/>
  <c r="P62" i="57"/>
  <c r="X62" i="57" s="1"/>
  <c r="N62" i="57"/>
  <c r="J62" i="57"/>
  <c r="H62" i="57"/>
  <c r="D62" i="57"/>
  <c r="L62" i="57" s="1"/>
  <c r="B62" i="57"/>
  <c r="Z61" i="57"/>
  <c r="X61" i="57"/>
  <c r="V61" i="57"/>
  <c r="N61" i="57"/>
  <c r="L61" i="57"/>
  <c r="B61" i="57"/>
  <c r="V60" i="57"/>
  <c r="T60" i="57"/>
  <c r="P60" i="57"/>
  <c r="L60" i="57"/>
  <c r="H60" i="57"/>
  <c r="N60" i="57" s="1"/>
  <c r="D60" i="57"/>
  <c r="B60" i="57"/>
  <c r="X59" i="57"/>
  <c r="Z59" i="57" s="1"/>
  <c r="V59" i="57"/>
  <c r="N59" i="57"/>
  <c r="L59" i="57"/>
  <c r="J59" i="57"/>
  <c r="B59" i="57"/>
  <c r="Z58" i="57"/>
  <c r="X58" i="57"/>
  <c r="L58" i="57"/>
  <c r="N58" i="57" s="1"/>
  <c r="J58" i="57"/>
  <c r="F58" i="57"/>
  <c r="B58" i="57"/>
  <c r="Z57" i="57"/>
  <c r="X57" i="57"/>
  <c r="N57" i="57"/>
  <c r="L57" i="57"/>
  <c r="F57" i="57"/>
  <c r="B57" i="57"/>
  <c r="X56" i="57"/>
  <c r="T56" i="57"/>
  <c r="P56" i="57"/>
  <c r="H56" i="57"/>
  <c r="F56" i="57"/>
  <c r="D56" i="57"/>
  <c r="L56" i="57" s="1"/>
  <c r="N56" i="57" s="1"/>
  <c r="B56" i="57"/>
  <c r="Z55" i="57"/>
  <c r="X55" i="57"/>
  <c r="V55" i="57"/>
  <c r="N55" i="57"/>
  <c r="L55" i="57"/>
  <c r="B55" i="57"/>
  <c r="T54" i="57"/>
  <c r="P54" i="57"/>
  <c r="X54" i="57" s="1"/>
  <c r="N54" i="57"/>
  <c r="J54" i="57"/>
  <c r="H54" i="57"/>
  <c r="D54" i="57"/>
  <c r="L54" i="57" s="1"/>
  <c r="B54" i="57"/>
  <c r="Z53" i="57"/>
  <c r="X53" i="57"/>
  <c r="V53" i="57"/>
  <c r="N53" i="57"/>
  <c r="L53" i="57"/>
  <c r="B53" i="57"/>
  <c r="V52" i="57"/>
  <c r="T52" i="57"/>
  <c r="P52" i="57"/>
  <c r="L52" i="57"/>
  <c r="H52" i="57"/>
  <c r="N52" i="57" s="1"/>
  <c r="D52" i="57"/>
  <c r="B52" i="57"/>
  <c r="X51" i="57"/>
  <c r="Z51" i="57" s="1"/>
  <c r="V51" i="57"/>
  <c r="N51" i="57"/>
  <c r="L51" i="57"/>
  <c r="J51" i="57"/>
  <c r="B51" i="57"/>
  <c r="Z50" i="57"/>
  <c r="X50" i="57"/>
  <c r="N50" i="57"/>
  <c r="L50" i="57"/>
  <c r="J50" i="57"/>
  <c r="F50" i="57"/>
  <c r="B50" i="57"/>
  <c r="Z49" i="57"/>
  <c r="X49" i="57"/>
  <c r="L49" i="57"/>
  <c r="N49" i="57" s="1"/>
  <c r="J49" i="57"/>
  <c r="F49" i="57"/>
  <c r="B49" i="57"/>
  <c r="T48" i="57"/>
  <c r="P48" i="57"/>
  <c r="H48" i="57"/>
  <c r="F48" i="57"/>
  <c r="D48" i="57"/>
  <c r="L48" i="57" s="1"/>
  <c r="N48" i="57" s="1"/>
  <c r="B48" i="57"/>
  <c r="Z47" i="57"/>
  <c r="X47" i="57"/>
  <c r="V47" i="57"/>
  <c r="N47" i="57"/>
  <c r="L47" i="57"/>
  <c r="B47" i="57"/>
  <c r="T46" i="57"/>
  <c r="P46" i="57"/>
  <c r="X46" i="57" s="1"/>
  <c r="Z46" i="57" s="1"/>
  <c r="N46" i="57"/>
  <c r="J46" i="57"/>
  <c r="H46" i="57"/>
  <c r="D46" i="57"/>
  <c r="L46" i="57" s="1"/>
  <c r="B46" i="57"/>
  <c r="Z45" i="57"/>
  <c r="X45" i="57"/>
  <c r="V45" i="57"/>
  <c r="N45" i="57"/>
  <c r="L45" i="57"/>
  <c r="B45" i="57"/>
  <c r="V44" i="57"/>
  <c r="T44" i="57"/>
  <c r="P44" i="57"/>
  <c r="X44" i="57" s="1"/>
  <c r="L44" i="57"/>
  <c r="H44" i="57"/>
  <c r="D44" i="57"/>
  <c r="B44" i="57"/>
  <c r="X43" i="57"/>
  <c r="Z43" i="57" s="1"/>
  <c r="V43" i="57"/>
  <c r="N43" i="57"/>
  <c r="L43" i="57"/>
  <c r="J43" i="57"/>
  <c r="B43" i="57"/>
  <c r="Z42" i="57"/>
  <c r="X42" i="57"/>
  <c r="N42" i="57"/>
  <c r="L42" i="57"/>
  <c r="J42" i="57"/>
  <c r="F42" i="57"/>
  <c r="B42" i="57"/>
  <c r="Z41" i="57"/>
  <c r="T41" i="57"/>
  <c r="P41" i="57"/>
  <c r="X41" i="57" s="1"/>
  <c r="L41" i="57"/>
  <c r="J41" i="57"/>
  <c r="H41" i="57"/>
  <c r="N41" i="57" s="1"/>
  <c r="F41" i="57"/>
  <c r="D41" i="57"/>
  <c r="B41" i="57"/>
  <c r="X40" i="57"/>
  <c r="Z40" i="57" s="1"/>
  <c r="L40" i="57"/>
  <c r="N40" i="57" s="1"/>
  <c r="J40" i="57"/>
  <c r="F40" i="57"/>
  <c r="B40" i="57"/>
  <c r="V39" i="57"/>
  <c r="T39" i="57"/>
  <c r="P39" i="57"/>
  <c r="X39" i="57" s="1"/>
  <c r="Z39" i="57" s="1"/>
  <c r="J39" i="57"/>
  <c r="H39" i="57"/>
  <c r="F39" i="57"/>
  <c r="D39" i="57"/>
  <c r="B39" i="57"/>
  <c r="X38" i="57"/>
  <c r="Z38" i="57" s="1"/>
  <c r="N38" i="57"/>
  <c r="L38" i="57"/>
  <c r="B38" i="57"/>
  <c r="Z37" i="57"/>
  <c r="X37" i="57"/>
  <c r="V37" i="57"/>
  <c r="T37" i="57"/>
  <c r="R37" i="57"/>
  <c r="P37" i="57"/>
  <c r="H37" i="57"/>
  <c r="D37" i="57"/>
  <c r="L37" i="57" s="1"/>
  <c r="N37" i="57" s="1"/>
  <c r="B37" i="57"/>
  <c r="X36" i="57"/>
  <c r="Z36" i="57" s="1"/>
  <c r="L36" i="57"/>
  <c r="N36" i="57" s="1"/>
  <c r="J36" i="57"/>
  <c r="B36" i="57"/>
  <c r="X35" i="57"/>
  <c r="V35" i="57"/>
  <c r="T35" i="57"/>
  <c r="Z35" i="57" s="1"/>
  <c r="P35" i="57"/>
  <c r="N35" i="57"/>
  <c r="J35" i="57"/>
  <c r="H35" i="57"/>
  <c r="D35" i="57"/>
  <c r="L35" i="57" s="1"/>
  <c r="B35" i="57"/>
  <c r="X34" i="57"/>
  <c r="Z34" i="57" s="1"/>
  <c r="L34" i="57"/>
  <c r="N34" i="57" s="1"/>
  <c r="B34" i="57"/>
  <c r="T33" i="57"/>
  <c r="P33" i="57"/>
  <c r="X33" i="57" s="1"/>
  <c r="N33" i="57"/>
  <c r="J33" i="57"/>
  <c r="H33" i="57"/>
  <c r="D33" i="57"/>
  <c r="L33" i="57" s="1"/>
  <c r="B33" i="57"/>
  <c r="X32" i="57"/>
  <c r="Z32" i="57" s="1"/>
  <c r="V32" i="57"/>
  <c r="R32" i="57"/>
  <c r="L32" i="57"/>
  <c r="N32" i="57" s="1"/>
  <c r="F32" i="57"/>
  <c r="B32" i="57"/>
  <c r="X31" i="57"/>
  <c r="Z31" i="57" s="1"/>
  <c r="L31" i="57"/>
  <c r="N31" i="57" s="1"/>
  <c r="J31" i="57"/>
  <c r="F31" i="57"/>
  <c r="B31" i="57"/>
  <c r="X30" i="57"/>
  <c r="Z30" i="57" s="1"/>
  <c r="N30" i="57"/>
  <c r="L30" i="57"/>
  <c r="J30" i="57"/>
  <c r="B30" i="57"/>
  <c r="Z29" i="57"/>
  <c r="X29" i="57"/>
  <c r="V29" i="57"/>
  <c r="N29" i="57"/>
  <c r="L29" i="57"/>
  <c r="J29" i="57"/>
  <c r="F29" i="57"/>
  <c r="B29" i="57"/>
  <c r="V28" i="57"/>
  <c r="T28" i="57"/>
  <c r="P28" i="57"/>
  <c r="X28" i="57" s="1"/>
  <c r="L28" i="57"/>
  <c r="H28" i="57"/>
  <c r="F28" i="57"/>
  <c r="D28" i="57"/>
  <c r="B28" i="57"/>
  <c r="X27" i="57"/>
  <c r="Z27" i="57" s="1"/>
  <c r="V27" i="57"/>
  <c r="N27" i="57"/>
  <c r="L27" i="57"/>
  <c r="J27" i="57"/>
  <c r="B27" i="57"/>
  <c r="Z26" i="57"/>
  <c r="X26" i="57"/>
  <c r="N26" i="57"/>
  <c r="L26" i="57"/>
  <c r="J26" i="57"/>
  <c r="F26" i="57"/>
  <c r="B26" i="57"/>
  <c r="Z25" i="57"/>
  <c r="X25" i="57"/>
  <c r="L25" i="57"/>
  <c r="N25" i="57" s="1"/>
  <c r="J25" i="57"/>
  <c r="F25" i="57"/>
  <c r="B25" i="57"/>
  <c r="X24" i="57"/>
  <c r="Z24" i="57" s="1"/>
  <c r="L24" i="57"/>
  <c r="N24" i="57" s="1"/>
  <c r="J24" i="57"/>
  <c r="B24" i="57"/>
  <c r="X23" i="57"/>
  <c r="Z23" i="57" s="1"/>
  <c r="V23" i="57"/>
  <c r="N23" i="57"/>
  <c r="L23" i="57"/>
  <c r="J23" i="57"/>
  <c r="B23" i="57"/>
  <c r="Z22" i="57"/>
  <c r="X22" i="57"/>
  <c r="N22" i="57"/>
  <c r="L22" i="57"/>
  <c r="J22" i="57"/>
  <c r="F22" i="57"/>
  <c r="B22" i="57"/>
  <c r="Z21" i="57"/>
  <c r="X21" i="57"/>
  <c r="L21" i="57"/>
  <c r="N21" i="57" s="1"/>
  <c r="J21" i="57"/>
  <c r="F21" i="57"/>
  <c r="B21" i="57"/>
  <c r="X20" i="57"/>
  <c r="Z20" i="57" s="1"/>
  <c r="L20" i="57"/>
  <c r="N20" i="57" s="1"/>
  <c r="J20" i="57"/>
  <c r="B20" i="57"/>
  <c r="X19" i="57"/>
  <c r="V19" i="57"/>
  <c r="T19" i="57"/>
  <c r="P19" i="57"/>
  <c r="J19" i="57"/>
  <c r="H19" i="57"/>
  <c r="D19" i="57"/>
  <c r="L19" i="57" s="1"/>
  <c r="N19" i="57" s="1"/>
  <c r="B19" i="57"/>
  <c r="X18" i="57"/>
  <c r="Z18" i="57" s="1"/>
  <c r="T18" i="57"/>
  <c r="P18" i="57"/>
  <c r="J18" i="57"/>
  <c r="H18" i="57"/>
  <c r="D18" i="57"/>
  <c r="L18" i="57" s="1"/>
  <c r="T16" i="57"/>
  <c r="T69" i="57" s="1"/>
  <c r="T73" i="57" s="1"/>
  <c r="J16" i="57"/>
  <c r="Z14" i="57"/>
  <c r="X14" i="57"/>
  <c r="T14" i="57"/>
  <c r="P14" i="57"/>
  <c r="J14" i="57"/>
  <c r="H14" i="57"/>
  <c r="N14" i="57" s="1"/>
  <c r="D14" i="57"/>
  <c r="L14" i="57" s="1"/>
  <c r="Z12" i="57"/>
  <c r="X12" i="57"/>
  <c r="T12" i="57"/>
  <c r="V38" i="57" s="1"/>
  <c r="P12" i="57"/>
  <c r="R33" i="57" s="1"/>
  <c r="L12" i="57"/>
  <c r="H12" i="57"/>
  <c r="J60" i="57" s="1"/>
  <c r="D12" i="57"/>
  <c r="F59" i="57" s="1"/>
  <c r="D6" i="57"/>
  <c r="D4" i="57"/>
  <c r="V74" i="56"/>
  <c r="Z72" i="56"/>
  <c r="X72" i="56"/>
  <c r="N72" i="56"/>
  <c r="L72" i="56"/>
  <c r="J70" i="56"/>
  <c r="T68" i="56"/>
  <c r="Z68" i="56" s="1"/>
  <c r="P68" i="56"/>
  <c r="X68" i="56" s="1"/>
  <c r="N68" i="56"/>
  <c r="L68" i="56"/>
  <c r="J68" i="56"/>
  <c r="H68" i="56"/>
  <c r="D68" i="56"/>
  <c r="X66" i="56"/>
  <c r="Z66" i="56" s="1"/>
  <c r="N66" i="56"/>
  <c r="L66" i="56"/>
  <c r="J66" i="56"/>
  <c r="B66" i="56"/>
  <c r="Z65" i="56"/>
  <c r="T65" i="56"/>
  <c r="P65" i="56"/>
  <c r="X65" i="56" s="1"/>
  <c r="J65" i="56"/>
  <c r="H65" i="56"/>
  <c r="N65" i="56" s="1"/>
  <c r="D65" i="56"/>
  <c r="L65" i="56" s="1"/>
  <c r="B65" i="56"/>
  <c r="X64" i="56"/>
  <c r="Z64" i="56" s="1"/>
  <c r="N64" i="56"/>
  <c r="L64" i="56"/>
  <c r="B64" i="56"/>
  <c r="Z63" i="56"/>
  <c r="X63" i="56"/>
  <c r="T63" i="56"/>
  <c r="P63" i="56"/>
  <c r="H63" i="56"/>
  <c r="D63" i="56"/>
  <c r="L63" i="56" s="1"/>
  <c r="N63" i="56" s="1"/>
  <c r="B63" i="56"/>
  <c r="X62" i="56"/>
  <c r="Z62" i="56" s="1"/>
  <c r="R62" i="56"/>
  <c r="L62" i="56"/>
  <c r="N62" i="56" s="1"/>
  <c r="B62" i="56"/>
  <c r="X61" i="56"/>
  <c r="T61" i="56"/>
  <c r="P61" i="56"/>
  <c r="N61" i="56"/>
  <c r="H61" i="56"/>
  <c r="D61" i="56"/>
  <c r="L61" i="56" s="1"/>
  <c r="B61" i="56"/>
  <c r="X60" i="56"/>
  <c r="Z60" i="56" s="1"/>
  <c r="N60" i="56"/>
  <c r="L60" i="56"/>
  <c r="B60" i="56"/>
  <c r="X59" i="56"/>
  <c r="Z59" i="56" s="1"/>
  <c r="N59" i="56"/>
  <c r="L59" i="56"/>
  <c r="J59" i="56"/>
  <c r="B59" i="56"/>
  <c r="Z58" i="56"/>
  <c r="X58" i="56"/>
  <c r="N58" i="56"/>
  <c r="L58" i="56"/>
  <c r="J58" i="56"/>
  <c r="B58" i="56"/>
  <c r="Z57" i="56"/>
  <c r="X57" i="56"/>
  <c r="V57" i="56"/>
  <c r="N57" i="56"/>
  <c r="L57" i="56"/>
  <c r="B57" i="56"/>
  <c r="Z56" i="56"/>
  <c r="T56" i="56"/>
  <c r="X56" i="56" s="1"/>
  <c r="P56" i="56"/>
  <c r="J56" i="56"/>
  <c r="H56" i="56"/>
  <c r="D56" i="56"/>
  <c r="L56" i="56" s="1"/>
  <c r="B56" i="56"/>
  <c r="Z55" i="56"/>
  <c r="X55" i="56"/>
  <c r="N55" i="56"/>
  <c r="L55" i="56"/>
  <c r="B55" i="56"/>
  <c r="T54" i="56"/>
  <c r="P54" i="56"/>
  <c r="L54" i="56"/>
  <c r="H54" i="56"/>
  <c r="N54" i="56" s="1"/>
  <c r="D54" i="56"/>
  <c r="B54" i="56"/>
  <c r="X53" i="56"/>
  <c r="Z53" i="56" s="1"/>
  <c r="N53" i="56"/>
  <c r="L53" i="56"/>
  <c r="J53" i="56"/>
  <c r="B53" i="56"/>
  <c r="Z52" i="56"/>
  <c r="X52" i="56"/>
  <c r="L52" i="56"/>
  <c r="N52" i="56" s="1"/>
  <c r="J52" i="56"/>
  <c r="F52" i="56"/>
  <c r="B52" i="56"/>
  <c r="Z51" i="56"/>
  <c r="X51" i="56"/>
  <c r="N51" i="56"/>
  <c r="L51" i="56"/>
  <c r="J51" i="56"/>
  <c r="B51" i="56"/>
  <c r="T50" i="56"/>
  <c r="P50" i="56"/>
  <c r="H50" i="56"/>
  <c r="N50" i="56" s="1"/>
  <c r="D50" i="56"/>
  <c r="L50" i="56" s="1"/>
  <c r="B50" i="56"/>
  <c r="Z49" i="56"/>
  <c r="X49" i="56"/>
  <c r="N49" i="56"/>
  <c r="L49" i="56"/>
  <c r="B49" i="56"/>
  <c r="X48" i="56"/>
  <c r="Z48" i="56" s="1"/>
  <c r="R48" i="56"/>
  <c r="N48" i="56"/>
  <c r="L48" i="56"/>
  <c r="B48" i="56"/>
  <c r="X47" i="56"/>
  <c r="Z47" i="56" s="1"/>
  <c r="N47" i="56"/>
  <c r="L47" i="56"/>
  <c r="J47" i="56"/>
  <c r="B47" i="56"/>
  <c r="T46" i="56"/>
  <c r="P46" i="56"/>
  <c r="X46" i="56" s="1"/>
  <c r="J46" i="56"/>
  <c r="H46" i="56"/>
  <c r="N46" i="56" s="1"/>
  <c r="D46" i="56"/>
  <c r="L46" i="56" s="1"/>
  <c r="B46" i="56"/>
  <c r="X45" i="56"/>
  <c r="Z45" i="56" s="1"/>
  <c r="L45" i="56"/>
  <c r="N45" i="56" s="1"/>
  <c r="J45" i="56"/>
  <c r="B45" i="56"/>
  <c r="X44" i="56"/>
  <c r="T44" i="56"/>
  <c r="Z44" i="56" s="1"/>
  <c r="P44" i="56"/>
  <c r="J44" i="56"/>
  <c r="H44" i="56"/>
  <c r="F44" i="56"/>
  <c r="D44" i="56"/>
  <c r="B44" i="56"/>
  <c r="Z43" i="56"/>
  <c r="X43" i="56"/>
  <c r="L43" i="56"/>
  <c r="N43" i="56" s="1"/>
  <c r="J43" i="56"/>
  <c r="F43" i="56"/>
  <c r="B43" i="56"/>
  <c r="T42" i="56"/>
  <c r="P42" i="56"/>
  <c r="H42" i="56"/>
  <c r="N42" i="56" s="1"/>
  <c r="D42" i="56"/>
  <c r="L42" i="56" s="1"/>
  <c r="B42" i="56"/>
  <c r="Z41" i="56"/>
  <c r="X41" i="56"/>
  <c r="V41" i="56"/>
  <c r="L41" i="56"/>
  <c r="N41" i="56" s="1"/>
  <c r="B41" i="56"/>
  <c r="X40" i="56"/>
  <c r="Z40" i="56" s="1"/>
  <c r="V40" i="56"/>
  <c r="T40" i="56"/>
  <c r="P40" i="56"/>
  <c r="J40" i="56"/>
  <c r="H40" i="56"/>
  <c r="D40" i="56"/>
  <c r="L40" i="56" s="1"/>
  <c r="B40" i="56"/>
  <c r="X39" i="56"/>
  <c r="Z39" i="56" s="1"/>
  <c r="V39" i="56"/>
  <c r="N39" i="56"/>
  <c r="L39" i="56"/>
  <c r="J39" i="56"/>
  <c r="B39" i="56"/>
  <c r="T38" i="56"/>
  <c r="P38" i="56"/>
  <c r="X38" i="56" s="1"/>
  <c r="L38" i="56"/>
  <c r="H38" i="56"/>
  <c r="N38" i="56" s="1"/>
  <c r="D38" i="56"/>
  <c r="B38" i="56"/>
  <c r="X37" i="56"/>
  <c r="Z37" i="56" s="1"/>
  <c r="V37" i="56"/>
  <c r="R37" i="56"/>
  <c r="N37" i="56"/>
  <c r="L37" i="56"/>
  <c r="J37" i="56"/>
  <c r="B37" i="56"/>
  <c r="T36" i="56"/>
  <c r="P36" i="56"/>
  <c r="X36" i="56" s="1"/>
  <c r="N36" i="56"/>
  <c r="L36" i="56"/>
  <c r="H36" i="56"/>
  <c r="D36" i="56"/>
  <c r="B36" i="56"/>
  <c r="X35" i="56"/>
  <c r="Z35" i="56" s="1"/>
  <c r="N35" i="56"/>
  <c r="L35" i="56"/>
  <c r="J35" i="56"/>
  <c r="B35" i="56"/>
  <c r="T34" i="56"/>
  <c r="P34" i="56"/>
  <c r="X34" i="56" s="1"/>
  <c r="J34" i="56"/>
  <c r="H34" i="56"/>
  <c r="D34" i="56"/>
  <c r="B34" i="56"/>
  <c r="X33" i="56"/>
  <c r="Z33" i="56" s="1"/>
  <c r="N33" i="56"/>
  <c r="L33" i="56"/>
  <c r="J33" i="56"/>
  <c r="F33" i="56"/>
  <c r="B33" i="56"/>
  <c r="X32" i="56"/>
  <c r="T32" i="56"/>
  <c r="P32" i="56"/>
  <c r="L32" i="56"/>
  <c r="J32" i="56"/>
  <c r="H32" i="56"/>
  <c r="N32" i="56" s="1"/>
  <c r="D32" i="56"/>
  <c r="B32" i="56"/>
  <c r="Z31" i="56"/>
  <c r="X31" i="56"/>
  <c r="L31" i="56"/>
  <c r="N31" i="56" s="1"/>
  <c r="J31" i="56"/>
  <c r="B31" i="56"/>
  <c r="Z30" i="56"/>
  <c r="X30" i="56"/>
  <c r="L30" i="56"/>
  <c r="N30" i="56" s="1"/>
  <c r="J30" i="56"/>
  <c r="B30" i="56"/>
  <c r="X29" i="56"/>
  <c r="Z29" i="56" s="1"/>
  <c r="V29" i="56"/>
  <c r="N29" i="56"/>
  <c r="L29" i="56"/>
  <c r="J29" i="56"/>
  <c r="B29" i="56"/>
  <c r="T28" i="56"/>
  <c r="P28" i="56"/>
  <c r="H28" i="56"/>
  <c r="D28" i="56"/>
  <c r="B28" i="56"/>
  <c r="X27" i="56"/>
  <c r="Z27" i="56" s="1"/>
  <c r="V27" i="56"/>
  <c r="R27" i="56"/>
  <c r="L27" i="56"/>
  <c r="N27" i="56" s="1"/>
  <c r="J27" i="56"/>
  <c r="B27" i="56"/>
  <c r="X26" i="56"/>
  <c r="Z26" i="56" s="1"/>
  <c r="L26" i="56"/>
  <c r="N26" i="56" s="1"/>
  <c r="J26" i="56"/>
  <c r="F26" i="56"/>
  <c r="B26" i="56"/>
  <c r="Z25" i="56"/>
  <c r="X25" i="56"/>
  <c r="V25" i="56"/>
  <c r="L25" i="56"/>
  <c r="N25" i="56" s="1"/>
  <c r="B25" i="56"/>
  <c r="Z24" i="56"/>
  <c r="X24" i="56"/>
  <c r="L24" i="56"/>
  <c r="N24" i="56" s="1"/>
  <c r="B24" i="56"/>
  <c r="X23" i="56"/>
  <c r="Z23" i="56" s="1"/>
  <c r="V23" i="56"/>
  <c r="R23" i="56"/>
  <c r="N23" i="56"/>
  <c r="L23" i="56"/>
  <c r="J23" i="56"/>
  <c r="B23" i="56"/>
  <c r="X22" i="56"/>
  <c r="Z22" i="56" s="1"/>
  <c r="L22" i="56"/>
  <c r="N22" i="56" s="1"/>
  <c r="J22" i="56"/>
  <c r="F22" i="56"/>
  <c r="B22" i="56"/>
  <c r="Z21" i="56"/>
  <c r="X21" i="56"/>
  <c r="V21" i="56"/>
  <c r="L21" i="56"/>
  <c r="N21" i="56" s="1"/>
  <c r="J21" i="56"/>
  <c r="B21" i="56"/>
  <c r="Z20" i="56"/>
  <c r="X20" i="56"/>
  <c r="L20" i="56"/>
  <c r="N20" i="56" s="1"/>
  <c r="B20" i="56"/>
  <c r="V19" i="56"/>
  <c r="T19" i="56"/>
  <c r="R19" i="56"/>
  <c r="P19" i="56"/>
  <c r="X19" i="56" s="1"/>
  <c r="N19" i="56"/>
  <c r="J19" i="56"/>
  <c r="H19" i="56"/>
  <c r="D19" i="56"/>
  <c r="L19" i="56" s="1"/>
  <c r="B19" i="56"/>
  <c r="V18" i="56"/>
  <c r="T18" i="56"/>
  <c r="R18" i="56"/>
  <c r="P18" i="56"/>
  <c r="X18" i="56" s="1"/>
  <c r="L18" i="56"/>
  <c r="H18" i="56"/>
  <c r="N18" i="56" s="1"/>
  <c r="D18" i="56"/>
  <c r="V14" i="56"/>
  <c r="T14" i="56"/>
  <c r="Z14" i="56" s="1"/>
  <c r="R14" i="56"/>
  <c r="P14" i="56"/>
  <c r="X14" i="56" s="1"/>
  <c r="L14" i="56"/>
  <c r="H14" i="56"/>
  <c r="H16" i="56" s="1"/>
  <c r="N16" i="56" s="1"/>
  <c r="D14" i="56"/>
  <c r="T12" i="56"/>
  <c r="V55" i="56" s="1"/>
  <c r="P12" i="56"/>
  <c r="R29" i="56" s="1"/>
  <c r="N12" i="56"/>
  <c r="L12" i="56"/>
  <c r="H12" i="56"/>
  <c r="J77" i="56" s="1"/>
  <c r="D12" i="56"/>
  <c r="D6" i="56"/>
  <c r="D4" i="56"/>
  <c r="R40" i="55"/>
  <c r="R37" i="55"/>
  <c r="Z35" i="55"/>
  <c r="X35" i="55"/>
  <c r="R35" i="55"/>
  <c r="N35" i="55"/>
  <c r="L35" i="55"/>
  <c r="J35" i="55"/>
  <c r="F35" i="55"/>
  <c r="R33" i="55"/>
  <c r="J33" i="55"/>
  <c r="F33" i="55"/>
  <c r="T31" i="55"/>
  <c r="Z31" i="55" s="1"/>
  <c r="R31" i="55"/>
  <c r="P31" i="55"/>
  <c r="J31" i="55"/>
  <c r="H31" i="55"/>
  <c r="F31" i="55"/>
  <c r="D31" i="55"/>
  <c r="X29" i="55"/>
  <c r="Z29" i="55" s="1"/>
  <c r="R29" i="55"/>
  <c r="N29" i="55"/>
  <c r="L29" i="55"/>
  <c r="F29" i="55"/>
  <c r="B29" i="55"/>
  <c r="X28" i="55"/>
  <c r="Z28" i="55" s="1"/>
  <c r="V28" i="55"/>
  <c r="N28" i="55"/>
  <c r="L28" i="55"/>
  <c r="J28" i="55"/>
  <c r="F28" i="55"/>
  <c r="B28" i="55"/>
  <c r="V27" i="55"/>
  <c r="T27" i="55"/>
  <c r="R27" i="55"/>
  <c r="P27" i="55"/>
  <c r="X27" i="55" s="1"/>
  <c r="H27" i="55"/>
  <c r="F27" i="55"/>
  <c r="D27" i="55"/>
  <c r="B27" i="55"/>
  <c r="Z26" i="55"/>
  <c r="X26" i="55"/>
  <c r="R26" i="55"/>
  <c r="N26" i="55"/>
  <c r="L26" i="55"/>
  <c r="J26" i="55"/>
  <c r="B26" i="55"/>
  <c r="T25" i="55"/>
  <c r="R25" i="55"/>
  <c r="P25" i="55"/>
  <c r="H25" i="55"/>
  <c r="N25" i="55" s="1"/>
  <c r="D25" i="55"/>
  <c r="L25" i="55" s="1"/>
  <c r="B25" i="55"/>
  <c r="Z24" i="55"/>
  <c r="X24" i="55"/>
  <c r="V24" i="55"/>
  <c r="R24" i="55"/>
  <c r="N24" i="55"/>
  <c r="L24" i="55"/>
  <c r="J24" i="55"/>
  <c r="B24" i="55"/>
  <c r="V23" i="55"/>
  <c r="T23" i="55"/>
  <c r="P23" i="55"/>
  <c r="X23" i="55" s="1"/>
  <c r="J23" i="55"/>
  <c r="H23" i="55"/>
  <c r="D23" i="55"/>
  <c r="L23" i="55" s="1"/>
  <c r="B23" i="55"/>
  <c r="Z22" i="55"/>
  <c r="X22" i="55"/>
  <c r="L22" i="55"/>
  <c r="N22" i="55" s="1"/>
  <c r="J22" i="55"/>
  <c r="F22" i="55"/>
  <c r="B22" i="55"/>
  <c r="T21" i="55"/>
  <c r="R21" i="55"/>
  <c r="P21" i="55"/>
  <c r="J21" i="55"/>
  <c r="H21" i="55"/>
  <c r="F21" i="55"/>
  <c r="D21" i="55"/>
  <c r="L21" i="55" s="1"/>
  <c r="B21" i="55"/>
  <c r="Z20" i="55"/>
  <c r="X20" i="55"/>
  <c r="V20" i="55"/>
  <c r="R20" i="55"/>
  <c r="N20" i="55"/>
  <c r="L20" i="55"/>
  <c r="J20" i="55"/>
  <c r="F20" i="55"/>
  <c r="B20" i="55"/>
  <c r="T19" i="55"/>
  <c r="P19" i="55"/>
  <c r="X19" i="55" s="1"/>
  <c r="H19" i="55"/>
  <c r="F19" i="55"/>
  <c r="D19" i="55"/>
  <c r="L19" i="55" s="1"/>
  <c r="N19" i="55" s="1"/>
  <c r="B19" i="55"/>
  <c r="V18" i="55"/>
  <c r="T18" i="55"/>
  <c r="R18" i="55"/>
  <c r="P18" i="55"/>
  <c r="X18" i="55" s="1"/>
  <c r="Z18" i="55" s="1"/>
  <c r="J18" i="55"/>
  <c r="H18" i="55"/>
  <c r="F18" i="55"/>
  <c r="D18" i="55"/>
  <c r="V16" i="55"/>
  <c r="R16" i="55"/>
  <c r="J16" i="55"/>
  <c r="F16" i="55"/>
  <c r="Z14" i="55"/>
  <c r="V14" i="55"/>
  <c r="T14" i="55"/>
  <c r="R14" i="55"/>
  <c r="P14" i="55"/>
  <c r="X14" i="55" s="1"/>
  <c r="J14" i="55"/>
  <c r="H14" i="55"/>
  <c r="F14" i="55"/>
  <c r="D14" i="55"/>
  <c r="D16" i="55" s="1"/>
  <c r="Z12" i="55"/>
  <c r="T12" i="55"/>
  <c r="V26" i="55" s="1"/>
  <c r="P12" i="55"/>
  <c r="R19" i="55" s="1"/>
  <c r="N12" i="55"/>
  <c r="L12" i="55"/>
  <c r="H12" i="55"/>
  <c r="J27" i="55" s="1"/>
  <c r="D12" i="55"/>
  <c r="F40" i="55" s="1"/>
  <c r="D6" i="55"/>
  <c r="D4" i="55"/>
  <c r="F31" i="54"/>
  <c r="Z29" i="54"/>
  <c r="X29" i="54"/>
  <c r="T29" i="54"/>
  <c r="P29" i="54"/>
  <c r="H29" i="54"/>
  <c r="F29" i="54"/>
  <c r="D29" i="54"/>
  <c r="L29" i="54" s="1"/>
  <c r="N29" i="54" s="1"/>
  <c r="X28" i="54"/>
  <c r="Z28" i="54" s="1"/>
  <c r="T28" i="54"/>
  <c r="P28" i="54"/>
  <c r="L28" i="54"/>
  <c r="N28" i="54" s="1"/>
  <c r="H28" i="54"/>
  <c r="F28" i="54"/>
  <c r="D28" i="54"/>
  <c r="V26" i="54"/>
  <c r="F26" i="54"/>
  <c r="Z24" i="54"/>
  <c r="X24" i="54"/>
  <c r="N24" i="54"/>
  <c r="L24" i="54"/>
  <c r="J24" i="54"/>
  <c r="F24" i="54"/>
  <c r="F22" i="54"/>
  <c r="V20" i="54"/>
  <c r="T20" i="54"/>
  <c r="Z20" i="54" s="1"/>
  <c r="P20" i="54"/>
  <c r="N20" i="54"/>
  <c r="J20" i="54"/>
  <c r="H20" i="54"/>
  <c r="F20" i="54"/>
  <c r="D20" i="54"/>
  <c r="L20" i="54" s="1"/>
  <c r="T18" i="54"/>
  <c r="Z18" i="54" s="1"/>
  <c r="P18" i="54"/>
  <c r="X18" i="54" s="1"/>
  <c r="N18" i="54"/>
  <c r="J18" i="54"/>
  <c r="H18" i="54"/>
  <c r="F18" i="54"/>
  <c r="D18" i="54"/>
  <c r="L18" i="54" s="1"/>
  <c r="J16" i="54"/>
  <c r="F16" i="54"/>
  <c r="Z14" i="54"/>
  <c r="V14" i="54"/>
  <c r="T14" i="54"/>
  <c r="P14" i="54"/>
  <c r="X14" i="54" s="1"/>
  <c r="N14" i="54"/>
  <c r="H14" i="54"/>
  <c r="F14" i="54"/>
  <c r="D14" i="54"/>
  <c r="L14" i="54" s="1"/>
  <c r="T12" i="54"/>
  <c r="V31" i="54" s="1"/>
  <c r="P12" i="54"/>
  <c r="N12" i="54"/>
  <c r="H12" i="54"/>
  <c r="J22" i="54" s="1"/>
  <c r="D12" i="54"/>
  <c r="D6" i="54"/>
  <c r="D4" i="54"/>
  <c r="X115" i="51"/>
  <c r="Z115" i="51" s="1"/>
  <c r="L115" i="51"/>
  <c r="N115" i="51" s="1"/>
  <c r="X111" i="51"/>
  <c r="Z111" i="51" s="1"/>
  <c r="T111" i="51"/>
  <c r="P111" i="51"/>
  <c r="H111" i="51"/>
  <c r="N111" i="51" s="1"/>
  <c r="D111" i="51"/>
  <c r="L111" i="51" s="1"/>
  <c r="B111" i="51"/>
  <c r="X110" i="51"/>
  <c r="Z110" i="51" s="1"/>
  <c r="T110" i="51"/>
  <c r="P110" i="51"/>
  <c r="H110" i="51"/>
  <c r="D110" i="51"/>
  <c r="L110" i="51" s="1"/>
  <c r="B110" i="51"/>
  <c r="T109" i="51"/>
  <c r="P109" i="51"/>
  <c r="X109" i="51" s="1"/>
  <c r="Z109" i="51" s="1"/>
  <c r="H109" i="51"/>
  <c r="N109" i="51" s="1"/>
  <c r="D109" i="51"/>
  <c r="L109" i="51" s="1"/>
  <c r="B109" i="51"/>
  <c r="T108" i="51"/>
  <c r="P108" i="51"/>
  <c r="X108" i="51" s="1"/>
  <c r="Z108" i="51" s="1"/>
  <c r="H108" i="51"/>
  <c r="D108" i="51"/>
  <c r="B108" i="51"/>
  <c r="T107" i="51"/>
  <c r="Z107" i="51" s="1"/>
  <c r="P107" i="51"/>
  <c r="X107" i="51" s="1"/>
  <c r="H107" i="51"/>
  <c r="X105" i="51"/>
  <c r="Z105" i="51" s="1"/>
  <c r="N105" i="51"/>
  <c r="L105" i="51"/>
  <c r="B105" i="51"/>
  <c r="X104" i="51"/>
  <c r="Z104" i="51" s="1"/>
  <c r="T104" i="51"/>
  <c r="P104" i="51"/>
  <c r="H104" i="51"/>
  <c r="N104" i="51" s="1"/>
  <c r="D104" i="51"/>
  <c r="L104" i="51" s="1"/>
  <c r="B104" i="51"/>
  <c r="Z103" i="51"/>
  <c r="X103" i="51"/>
  <c r="L103" i="51"/>
  <c r="N103" i="51" s="1"/>
  <c r="B103" i="51"/>
  <c r="T102" i="51"/>
  <c r="P102" i="51"/>
  <c r="H102" i="51"/>
  <c r="D102" i="51"/>
  <c r="L102" i="51" s="1"/>
  <c r="B102" i="51"/>
  <c r="X101" i="51"/>
  <c r="Z101" i="51" s="1"/>
  <c r="V101" i="51"/>
  <c r="L101" i="51"/>
  <c r="N101" i="51" s="1"/>
  <c r="B101" i="51"/>
  <c r="T100" i="51"/>
  <c r="P100" i="51"/>
  <c r="X100" i="51" s="1"/>
  <c r="Z100" i="51" s="1"/>
  <c r="H100" i="51"/>
  <c r="D100" i="51"/>
  <c r="L100" i="51" s="1"/>
  <c r="N100" i="51" s="1"/>
  <c r="B100" i="51"/>
  <c r="Z99" i="51"/>
  <c r="X99" i="51"/>
  <c r="N99" i="51"/>
  <c r="L99" i="51"/>
  <c r="B99" i="51"/>
  <c r="Z98" i="51"/>
  <c r="X98" i="51"/>
  <c r="N98" i="51"/>
  <c r="L98" i="51"/>
  <c r="B98" i="51"/>
  <c r="X97" i="51"/>
  <c r="Z97" i="51" s="1"/>
  <c r="L97" i="51"/>
  <c r="N97" i="51" s="1"/>
  <c r="B97" i="51"/>
  <c r="Z96" i="51"/>
  <c r="X96" i="51"/>
  <c r="N96" i="51"/>
  <c r="L96" i="51"/>
  <c r="B96" i="51"/>
  <c r="Z95" i="51"/>
  <c r="X95" i="51"/>
  <c r="N95" i="51"/>
  <c r="L95" i="51"/>
  <c r="B95" i="51"/>
  <c r="T94" i="51"/>
  <c r="Z94" i="51" s="1"/>
  <c r="P94" i="51"/>
  <c r="X94" i="51" s="1"/>
  <c r="N94" i="51"/>
  <c r="L94" i="51"/>
  <c r="H94" i="51"/>
  <c r="D94" i="51"/>
  <c r="B94" i="51"/>
  <c r="X93" i="51"/>
  <c r="Z93" i="51" s="1"/>
  <c r="N93" i="51"/>
  <c r="L93" i="51"/>
  <c r="B93" i="51"/>
  <c r="T92" i="51"/>
  <c r="Z92" i="51" s="1"/>
  <c r="P92" i="51"/>
  <c r="X92" i="51" s="1"/>
  <c r="H92" i="51"/>
  <c r="D92" i="51"/>
  <c r="B92" i="51"/>
  <c r="Z91" i="51"/>
  <c r="X91" i="51"/>
  <c r="N91" i="51"/>
  <c r="L91" i="51"/>
  <c r="B91" i="51"/>
  <c r="Z90" i="51"/>
  <c r="X90" i="51"/>
  <c r="N90" i="51"/>
  <c r="L90" i="51"/>
  <c r="B90" i="51"/>
  <c r="X89" i="51"/>
  <c r="Z89" i="51" s="1"/>
  <c r="T89" i="51"/>
  <c r="P89" i="51"/>
  <c r="H89" i="51"/>
  <c r="N89" i="51" s="1"/>
  <c r="D89" i="51"/>
  <c r="L89" i="51" s="1"/>
  <c r="B89" i="51"/>
  <c r="Z88" i="51"/>
  <c r="X88" i="51"/>
  <c r="N88" i="51"/>
  <c r="L88" i="51"/>
  <c r="B88" i="51"/>
  <c r="T87" i="51"/>
  <c r="X87" i="51" s="1"/>
  <c r="P87" i="51"/>
  <c r="N87" i="51"/>
  <c r="H87" i="51"/>
  <c r="D87" i="51"/>
  <c r="L87" i="51" s="1"/>
  <c r="B87" i="51"/>
  <c r="Z86" i="51"/>
  <c r="X86" i="51"/>
  <c r="N86" i="51"/>
  <c r="L86" i="51"/>
  <c r="B86" i="51"/>
  <c r="T85" i="51"/>
  <c r="Z85" i="51" s="1"/>
  <c r="P85" i="51"/>
  <c r="X85" i="51" s="1"/>
  <c r="N85" i="51"/>
  <c r="L85" i="51"/>
  <c r="H85" i="51"/>
  <c r="D85" i="51"/>
  <c r="B85" i="51"/>
  <c r="Z84" i="51"/>
  <c r="X84" i="51"/>
  <c r="N84" i="51"/>
  <c r="L84" i="51"/>
  <c r="B84" i="51"/>
  <c r="X83" i="51"/>
  <c r="Z83" i="51" s="1"/>
  <c r="N83" i="51"/>
  <c r="L83" i="51"/>
  <c r="B83" i="51"/>
  <c r="T82" i="51"/>
  <c r="P82" i="51"/>
  <c r="X82" i="51" s="1"/>
  <c r="N82" i="51"/>
  <c r="H82" i="51"/>
  <c r="D82" i="51"/>
  <c r="L82" i="51" s="1"/>
  <c r="B82" i="51"/>
  <c r="X81" i="51"/>
  <c r="Z81" i="51" s="1"/>
  <c r="L81" i="51"/>
  <c r="N81" i="51" s="1"/>
  <c r="B81" i="51"/>
  <c r="X80" i="51"/>
  <c r="Z80" i="51" s="1"/>
  <c r="T80" i="51"/>
  <c r="P80" i="51"/>
  <c r="H80" i="51"/>
  <c r="D80" i="51"/>
  <c r="L80" i="51" s="1"/>
  <c r="B80" i="51"/>
  <c r="Z79" i="51"/>
  <c r="X79" i="51"/>
  <c r="N79" i="51"/>
  <c r="L79" i="51"/>
  <c r="B79" i="51"/>
  <c r="T78" i="51"/>
  <c r="P78" i="51"/>
  <c r="H78" i="51"/>
  <c r="D78" i="51"/>
  <c r="L78" i="51" s="1"/>
  <c r="B78" i="51"/>
  <c r="X77" i="51"/>
  <c r="Z77" i="51" s="1"/>
  <c r="L77" i="51"/>
  <c r="N77" i="51" s="1"/>
  <c r="B77" i="51"/>
  <c r="X76" i="51"/>
  <c r="Z76" i="51" s="1"/>
  <c r="T76" i="51"/>
  <c r="P76" i="51"/>
  <c r="H76" i="51"/>
  <c r="D76" i="51"/>
  <c r="L76" i="51" s="1"/>
  <c r="B76" i="51"/>
  <c r="Z75" i="51"/>
  <c r="X75" i="51"/>
  <c r="N75" i="51"/>
  <c r="L75" i="51"/>
  <c r="B75" i="51"/>
  <c r="X74" i="51"/>
  <c r="Z74" i="51" s="1"/>
  <c r="N74" i="51"/>
  <c r="L74" i="51"/>
  <c r="B74" i="51"/>
  <c r="X73" i="51"/>
  <c r="Z73" i="51" s="1"/>
  <c r="L73" i="51"/>
  <c r="N73" i="51" s="1"/>
  <c r="J73" i="51"/>
  <c r="B73" i="51"/>
  <c r="Z72" i="51"/>
  <c r="X72" i="51"/>
  <c r="L72" i="51"/>
  <c r="N72" i="51" s="1"/>
  <c r="B72" i="51"/>
  <c r="Z71" i="51"/>
  <c r="X71" i="51"/>
  <c r="N71" i="51"/>
  <c r="L71" i="51"/>
  <c r="B71" i="51"/>
  <c r="T70" i="51"/>
  <c r="P70" i="51"/>
  <c r="N70" i="51"/>
  <c r="L70" i="51"/>
  <c r="H70" i="51"/>
  <c r="D70" i="51"/>
  <c r="B70" i="51"/>
  <c r="X69" i="51"/>
  <c r="Z69" i="51" s="1"/>
  <c r="L69" i="51"/>
  <c r="N69" i="51" s="1"/>
  <c r="B69" i="51"/>
  <c r="X68" i="51"/>
  <c r="Z68" i="51" s="1"/>
  <c r="L68" i="51"/>
  <c r="N68" i="51" s="1"/>
  <c r="B68" i="51"/>
  <c r="Z67" i="51"/>
  <c r="X67" i="51"/>
  <c r="N67" i="51"/>
  <c r="L67" i="51"/>
  <c r="B67" i="51"/>
  <c r="X66" i="51"/>
  <c r="Z66" i="51" s="1"/>
  <c r="N66" i="51"/>
  <c r="L66" i="51"/>
  <c r="B66" i="51"/>
  <c r="X65" i="51"/>
  <c r="Z65" i="51" s="1"/>
  <c r="L65" i="51"/>
  <c r="N65" i="51" s="1"/>
  <c r="B65" i="51"/>
  <c r="X64" i="51"/>
  <c r="Z64" i="51" s="1"/>
  <c r="L64" i="51"/>
  <c r="N64" i="51" s="1"/>
  <c r="B64" i="51"/>
  <c r="Z63" i="51"/>
  <c r="X63" i="51"/>
  <c r="N63" i="51"/>
  <c r="L63" i="51"/>
  <c r="B63" i="51"/>
  <c r="X62" i="51"/>
  <c r="Z62" i="51" s="1"/>
  <c r="N62" i="51"/>
  <c r="L62" i="51"/>
  <c r="B62" i="51"/>
  <c r="X61" i="51"/>
  <c r="Z61" i="51" s="1"/>
  <c r="L61" i="51"/>
  <c r="N61" i="51" s="1"/>
  <c r="B61" i="51"/>
  <c r="T60" i="51"/>
  <c r="Z60" i="51" s="1"/>
  <c r="P60" i="51"/>
  <c r="X60" i="51" s="1"/>
  <c r="H60" i="51"/>
  <c r="D60" i="51"/>
  <c r="B60" i="51"/>
  <c r="T59" i="51"/>
  <c r="P59" i="51"/>
  <c r="X59" i="51" s="1"/>
  <c r="L59" i="51"/>
  <c r="N59" i="51" s="1"/>
  <c r="J59" i="51"/>
  <c r="H59" i="51"/>
  <c r="D59" i="51"/>
  <c r="Z55" i="51"/>
  <c r="X55" i="51"/>
  <c r="N55" i="51"/>
  <c r="L55" i="51"/>
  <c r="B55" i="51"/>
  <c r="Z54" i="51"/>
  <c r="X54" i="51"/>
  <c r="N54" i="51"/>
  <c r="L54" i="51"/>
  <c r="B54" i="51"/>
  <c r="X53" i="51"/>
  <c r="Z53" i="51" s="1"/>
  <c r="N53" i="51"/>
  <c r="L53" i="51"/>
  <c r="B53" i="51"/>
  <c r="Z52" i="51"/>
  <c r="X52" i="51"/>
  <c r="L52" i="51"/>
  <c r="N52" i="51" s="1"/>
  <c r="B52" i="51"/>
  <c r="Z51" i="51"/>
  <c r="X51" i="51"/>
  <c r="N51" i="51"/>
  <c r="L51" i="51"/>
  <c r="B51" i="51"/>
  <c r="Z50" i="51"/>
  <c r="X50" i="51"/>
  <c r="N50" i="51"/>
  <c r="L50" i="51"/>
  <c r="B50" i="51"/>
  <c r="X49" i="51"/>
  <c r="Z49" i="51" s="1"/>
  <c r="L49" i="51"/>
  <c r="N49" i="51" s="1"/>
  <c r="B49" i="51"/>
  <c r="X48" i="51"/>
  <c r="Z48" i="51" s="1"/>
  <c r="N48" i="51"/>
  <c r="L48" i="51"/>
  <c r="B48" i="51"/>
  <c r="Z47" i="51"/>
  <c r="X47" i="51"/>
  <c r="N47" i="51"/>
  <c r="L47" i="51"/>
  <c r="B47" i="51"/>
  <c r="Z46" i="51"/>
  <c r="X46" i="51"/>
  <c r="L46" i="51"/>
  <c r="N46" i="51" s="1"/>
  <c r="B46" i="51"/>
  <c r="X45" i="51"/>
  <c r="Z45" i="51" s="1"/>
  <c r="N45" i="51"/>
  <c r="L45" i="51"/>
  <c r="B45" i="51"/>
  <c r="Z44" i="51"/>
  <c r="X44" i="51"/>
  <c r="N44" i="51"/>
  <c r="L44" i="51"/>
  <c r="B44" i="51"/>
  <c r="Z43" i="51"/>
  <c r="X43" i="51"/>
  <c r="N43" i="51"/>
  <c r="L43" i="51"/>
  <c r="B43" i="51"/>
  <c r="Z42" i="51"/>
  <c r="X42" i="51"/>
  <c r="L42" i="51"/>
  <c r="N42" i="51" s="1"/>
  <c r="B42" i="51"/>
  <c r="X41" i="51"/>
  <c r="Z41" i="51" s="1"/>
  <c r="L41" i="51"/>
  <c r="N41" i="51" s="1"/>
  <c r="B41" i="51"/>
  <c r="Z40" i="51"/>
  <c r="X40" i="51"/>
  <c r="N40" i="51"/>
  <c r="L40" i="51"/>
  <c r="B40" i="51"/>
  <c r="T39" i="51"/>
  <c r="P39" i="51"/>
  <c r="L39" i="51"/>
  <c r="H39" i="51"/>
  <c r="N39" i="51" s="1"/>
  <c r="D39" i="51"/>
  <c r="T37" i="51"/>
  <c r="Z37" i="51" s="1"/>
  <c r="P37" i="51"/>
  <c r="X37" i="51" s="1"/>
  <c r="N37" i="51"/>
  <c r="H37" i="51"/>
  <c r="D37" i="51"/>
  <c r="L37" i="51" s="1"/>
  <c r="B37" i="51"/>
  <c r="T36" i="51"/>
  <c r="P36" i="51"/>
  <c r="X36" i="51" s="1"/>
  <c r="H36" i="51"/>
  <c r="N36" i="51" s="1"/>
  <c r="D36" i="51"/>
  <c r="L36" i="51" s="1"/>
  <c r="B36" i="51"/>
  <c r="X35" i="51"/>
  <c r="T35" i="51"/>
  <c r="P35" i="51"/>
  <c r="L35" i="51"/>
  <c r="H35" i="51"/>
  <c r="N35" i="51" s="1"/>
  <c r="D35" i="51"/>
  <c r="B35" i="51"/>
  <c r="X34" i="51"/>
  <c r="Z34" i="51" s="1"/>
  <c r="T34" i="51"/>
  <c r="P34" i="51"/>
  <c r="N34" i="51"/>
  <c r="L34" i="51"/>
  <c r="H34" i="51"/>
  <c r="D34" i="51"/>
  <c r="B34" i="51"/>
  <c r="T33" i="51"/>
  <c r="P33" i="51"/>
  <c r="X33" i="51" s="1"/>
  <c r="N33" i="51"/>
  <c r="H33" i="51"/>
  <c r="D33" i="51"/>
  <c r="L33" i="51" s="1"/>
  <c r="B33" i="51"/>
  <c r="T32" i="51"/>
  <c r="P32" i="51"/>
  <c r="X32" i="51" s="1"/>
  <c r="H32" i="51"/>
  <c r="N32" i="51" s="1"/>
  <c r="D32" i="51"/>
  <c r="B32" i="51"/>
  <c r="X31" i="51"/>
  <c r="T31" i="51"/>
  <c r="P31" i="51"/>
  <c r="L31" i="51"/>
  <c r="H31" i="51"/>
  <c r="N31" i="51" s="1"/>
  <c r="D31" i="51"/>
  <c r="B31" i="51"/>
  <c r="X30" i="51"/>
  <c r="Z30" i="51" s="1"/>
  <c r="T30" i="51"/>
  <c r="P30" i="51"/>
  <c r="L30" i="51"/>
  <c r="N30" i="51" s="1"/>
  <c r="H30" i="51"/>
  <c r="D30" i="51"/>
  <c r="B30" i="51"/>
  <c r="T29" i="51"/>
  <c r="P29" i="51"/>
  <c r="X29" i="51" s="1"/>
  <c r="H29" i="51"/>
  <c r="D29" i="51"/>
  <c r="L29" i="51" s="1"/>
  <c r="N29" i="51" s="1"/>
  <c r="B29" i="51"/>
  <c r="T28" i="51"/>
  <c r="Z28" i="51" s="1"/>
  <c r="P28" i="51"/>
  <c r="X28" i="51" s="1"/>
  <c r="H28" i="51"/>
  <c r="D28" i="51"/>
  <c r="B28" i="51"/>
  <c r="X27" i="51"/>
  <c r="T27" i="51"/>
  <c r="P27" i="51"/>
  <c r="L27" i="51"/>
  <c r="H27" i="51"/>
  <c r="N27" i="51" s="1"/>
  <c r="D27" i="51"/>
  <c r="B27" i="51"/>
  <c r="Z26" i="51"/>
  <c r="X26" i="51"/>
  <c r="T26" i="51"/>
  <c r="P26" i="51"/>
  <c r="N26" i="51"/>
  <c r="L26" i="51"/>
  <c r="H26" i="51"/>
  <c r="D26" i="51"/>
  <c r="B26" i="51"/>
  <c r="T25" i="51"/>
  <c r="P25" i="51"/>
  <c r="X25" i="51" s="1"/>
  <c r="N25" i="51"/>
  <c r="H25" i="51"/>
  <c r="D25" i="51"/>
  <c r="L25" i="51" s="1"/>
  <c r="B25" i="51"/>
  <c r="T24" i="51"/>
  <c r="P24" i="51"/>
  <c r="H24" i="51"/>
  <c r="N24" i="51" s="1"/>
  <c r="D24" i="51"/>
  <c r="B24" i="51"/>
  <c r="T23" i="51"/>
  <c r="P23" i="51"/>
  <c r="L23" i="51"/>
  <c r="H23" i="51"/>
  <c r="N23" i="51" s="1"/>
  <c r="D23" i="51"/>
  <c r="B23" i="51"/>
  <c r="X22" i="51"/>
  <c r="Z22" i="51" s="1"/>
  <c r="T22" i="51"/>
  <c r="P22" i="51"/>
  <c r="N22" i="51"/>
  <c r="L22" i="51"/>
  <c r="H22" i="51"/>
  <c r="D22" i="51"/>
  <c r="B22" i="51"/>
  <c r="T21" i="51"/>
  <c r="Z21" i="51" s="1"/>
  <c r="P21" i="51"/>
  <c r="X21" i="51" s="1"/>
  <c r="H21" i="51"/>
  <c r="D21" i="51"/>
  <c r="L21" i="51" s="1"/>
  <c r="N21" i="51" s="1"/>
  <c r="B21" i="51"/>
  <c r="T20" i="51"/>
  <c r="P20" i="51"/>
  <c r="X20" i="51" s="1"/>
  <c r="H20" i="51"/>
  <c r="D20" i="51"/>
  <c r="L20" i="51" s="1"/>
  <c r="B20" i="51"/>
  <c r="X19" i="51"/>
  <c r="T19" i="51"/>
  <c r="P19" i="51"/>
  <c r="L19" i="51"/>
  <c r="H19" i="51"/>
  <c r="N19" i="51" s="1"/>
  <c r="D19" i="51"/>
  <c r="B19" i="51"/>
  <c r="X18" i="51"/>
  <c r="Z18" i="51" s="1"/>
  <c r="T18" i="51"/>
  <c r="P18" i="51"/>
  <c r="N18" i="51"/>
  <c r="L18" i="51"/>
  <c r="H18" i="51"/>
  <c r="D18" i="51"/>
  <c r="B18" i="51"/>
  <c r="T17" i="51"/>
  <c r="P17" i="51"/>
  <c r="X17" i="51" s="1"/>
  <c r="N17" i="51"/>
  <c r="H17" i="51"/>
  <c r="D17" i="51"/>
  <c r="L17" i="51" s="1"/>
  <c r="B17" i="51"/>
  <c r="T16" i="51"/>
  <c r="P16" i="51"/>
  <c r="X16" i="51" s="1"/>
  <c r="H16" i="51"/>
  <c r="H12" i="51" s="1"/>
  <c r="J81" i="51" s="1"/>
  <c r="D16" i="51"/>
  <c r="B16" i="51"/>
  <c r="X15" i="51"/>
  <c r="T15" i="51"/>
  <c r="P15" i="51"/>
  <c r="L15" i="51"/>
  <c r="H15" i="51"/>
  <c r="N15" i="51" s="1"/>
  <c r="D15" i="51"/>
  <c r="B15" i="51"/>
  <c r="X14" i="51"/>
  <c r="Z14" i="51" s="1"/>
  <c r="T14" i="51"/>
  <c r="T12" i="51" s="1"/>
  <c r="V85" i="51" s="1"/>
  <c r="P14" i="51"/>
  <c r="L14" i="51"/>
  <c r="N14" i="51" s="1"/>
  <c r="H14" i="51"/>
  <c r="D14" i="51"/>
  <c r="B14" i="51"/>
  <c r="T13" i="51"/>
  <c r="Z13" i="51" s="1"/>
  <c r="P13" i="51"/>
  <c r="N13" i="51"/>
  <c r="H13" i="51"/>
  <c r="D13" i="51"/>
  <c r="L13" i="51" s="1"/>
  <c r="B13" i="51"/>
  <c r="D4" i="51"/>
  <c r="Z71" i="48"/>
  <c r="X71" i="48"/>
  <c r="N71" i="48"/>
  <c r="L71" i="48"/>
  <c r="Z67" i="48"/>
  <c r="X67" i="48"/>
  <c r="T67" i="48"/>
  <c r="T66" i="48" s="1"/>
  <c r="P67" i="48"/>
  <c r="P66" i="48" s="1"/>
  <c r="H67" i="48"/>
  <c r="N67" i="48" s="1"/>
  <c r="D67" i="48"/>
  <c r="L67" i="48" s="1"/>
  <c r="B67" i="48"/>
  <c r="H66" i="48"/>
  <c r="D66" i="48"/>
  <c r="L66" i="48" s="1"/>
  <c r="Z64" i="48"/>
  <c r="X64" i="48"/>
  <c r="N64" i="48"/>
  <c r="L64" i="48"/>
  <c r="B64" i="48"/>
  <c r="T63" i="48"/>
  <c r="P63" i="48"/>
  <c r="X63" i="48" s="1"/>
  <c r="N63" i="48"/>
  <c r="H63" i="48"/>
  <c r="L63" i="48" s="1"/>
  <c r="D63" i="48"/>
  <c r="B63" i="48"/>
  <c r="Z62" i="48"/>
  <c r="X62" i="48"/>
  <c r="N62" i="48"/>
  <c r="L62" i="48"/>
  <c r="B62" i="48"/>
  <c r="T61" i="48"/>
  <c r="P61" i="48"/>
  <c r="X61" i="48" s="1"/>
  <c r="L61" i="48"/>
  <c r="J61" i="48"/>
  <c r="H61" i="48"/>
  <c r="D61" i="48"/>
  <c r="B61" i="48"/>
  <c r="X60" i="48"/>
  <c r="Z60" i="48" s="1"/>
  <c r="N60" i="48"/>
  <c r="L60" i="48"/>
  <c r="J60" i="48"/>
  <c r="B60" i="48"/>
  <c r="X59" i="48"/>
  <c r="Z59" i="48" s="1"/>
  <c r="L59" i="48"/>
  <c r="N59" i="48" s="1"/>
  <c r="J59" i="48"/>
  <c r="B59" i="48"/>
  <c r="Z58" i="48"/>
  <c r="X58" i="48"/>
  <c r="N58" i="48"/>
  <c r="L58" i="48"/>
  <c r="B58" i="48"/>
  <c r="T57" i="48"/>
  <c r="P57" i="48"/>
  <c r="H57" i="48"/>
  <c r="N57" i="48" s="1"/>
  <c r="D57" i="48"/>
  <c r="L57" i="48" s="1"/>
  <c r="B57" i="48"/>
  <c r="Z56" i="48"/>
  <c r="X56" i="48"/>
  <c r="N56" i="48"/>
  <c r="L56" i="48"/>
  <c r="B56" i="48"/>
  <c r="T55" i="48"/>
  <c r="P55" i="48"/>
  <c r="X55" i="48" s="1"/>
  <c r="N55" i="48"/>
  <c r="H55" i="48"/>
  <c r="L55" i="48" s="1"/>
  <c r="D55" i="48"/>
  <c r="B55" i="48"/>
  <c r="Z54" i="48"/>
  <c r="X54" i="48"/>
  <c r="N54" i="48"/>
  <c r="L54" i="48"/>
  <c r="B54" i="48"/>
  <c r="X53" i="48"/>
  <c r="Z53" i="48" s="1"/>
  <c r="N53" i="48"/>
  <c r="L53" i="48"/>
  <c r="B53" i="48"/>
  <c r="Z52" i="48"/>
  <c r="X52" i="48"/>
  <c r="N52" i="48"/>
  <c r="L52" i="48"/>
  <c r="B52" i="48"/>
  <c r="X51" i="48"/>
  <c r="T51" i="48"/>
  <c r="P51" i="48"/>
  <c r="H51" i="48"/>
  <c r="D51" i="48"/>
  <c r="L51" i="48" s="1"/>
  <c r="B51" i="48"/>
  <c r="Z50" i="48"/>
  <c r="X50" i="48"/>
  <c r="N50" i="48"/>
  <c r="L50" i="48"/>
  <c r="B50" i="48"/>
  <c r="T49" i="48"/>
  <c r="X49" i="48" s="1"/>
  <c r="Z49" i="48" s="1"/>
  <c r="P49" i="48"/>
  <c r="L49" i="48"/>
  <c r="H49" i="48"/>
  <c r="D49" i="48"/>
  <c r="B49" i="48"/>
  <c r="Z48" i="48"/>
  <c r="X48" i="48"/>
  <c r="N48" i="48"/>
  <c r="L48" i="48"/>
  <c r="J48" i="48"/>
  <c r="B48" i="48"/>
  <c r="T47" i="48"/>
  <c r="P47" i="48"/>
  <c r="H47" i="48"/>
  <c r="L47" i="48" s="1"/>
  <c r="D47" i="48"/>
  <c r="B47" i="48"/>
  <c r="X46" i="48"/>
  <c r="Z46" i="48" s="1"/>
  <c r="N46" i="48"/>
  <c r="L46" i="48"/>
  <c r="B46" i="48"/>
  <c r="T45" i="48"/>
  <c r="P45" i="48"/>
  <c r="H45" i="48"/>
  <c r="N45" i="48" s="1"/>
  <c r="D45" i="48"/>
  <c r="L45" i="48" s="1"/>
  <c r="B45" i="48"/>
  <c r="Z44" i="48"/>
  <c r="X44" i="48"/>
  <c r="N44" i="48"/>
  <c r="L44" i="48"/>
  <c r="B44" i="48"/>
  <c r="Z43" i="48"/>
  <c r="X43" i="48"/>
  <c r="N43" i="48"/>
  <c r="L43" i="48"/>
  <c r="J43" i="48"/>
  <c r="B43" i="48"/>
  <c r="Z42" i="48"/>
  <c r="X42" i="48"/>
  <c r="T42" i="48"/>
  <c r="P42" i="48"/>
  <c r="L42" i="48"/>
  <c r="J42" i="48"/>
  <c r="H42" i="48"/>
  <c r="N42" i="48" s="1"/>
  <c r="F42" i="48"/>
  <c r="D42" i="48"/>
  <c r="B42" i="48"/>
  <c r="Z41" i="48"/>
  <c r="X41" i="48"/>
  <c r="N41" i="48"/>
  <c r="L41" i="48"/>
  <c r="J41" i="48"/>
  <c r="B41" i="48"/>
  <c r="Z40" i="48"/>
  <c r="T40" i="48"/>
  <c r="X40" i="48" s="1"/>
  <c r="R40" i="48"/>
  <c r="P40" i="48"/>
  <c r="H40" i="48"/>
  <c r="N40" i="48" s="1"/>
  <c r="D40" i="48"/>
  <c r="B40" i="48"/>
  <c r="X39" i="48"/>
  <c r="Z39" i="48" s="1"/>
  <c r="L39" i="48"/>
  <c r="N39" i="48" s="1"/>
  <c r="B39" i="48"/>
  <c r="Z38" i="48"/>
  <c r="X38" i="48"/>
  <c r="T38" i="48"/>
  <c r="P38" i="48"/>
  <c r="N38" i="48"/>
  <c r="J38" i="48"/>
  <c r="H38" i="48"/>
  <c r="D38" i="48"/>
  <c r="L38" i="48" s="1"/>
  <c r="B38" i="48"/>
  <c r="X37" i="48"/>
  <c r="Z37" i="48" s="1"/>
  <c r="N37" i="48"/>
  <c r="L37" i="48"/>
  <c r="B37" i="48"/>
  <c r="T36" i="48"/>
  <c r="P36" i="48"/>
  <c r="N36" i="48"/>
  <c r="L36" i="48"/>
  <c r="J36" i="48"/>
  <c r="H36" i="48"/>
  <c r="D36" i="48"/>
  <c r="B36" i="48"/>
  <c r="X35" i="48"/>
  <c r="Z35" i="48" s="1"/>
  <c r="L35" i="48"/>
  <c r="N35" i="48" s="1"/>
  <c r="B35" i="48"/>
  <c r="Z34" i="48"/>
  <c r="X34" i="48"/>
  <c r="L34" i="48"/>
  <c r="N34" i="48" s="1"/>
  <c r="J34" i="48"/>
  <c r="B34" i="48"/>
  <c r="X33" i="48"/>
  <c r="Z33" i="48" s="1"/>
  <c r="N33" i="48"/>
  <c r="L33" i="48"/>
  <c r="B33" i="48"/>
  <c r="Z32" i="48"/>
  <c r="X32" i="48"/>
  <c r="N32" i="48"/>
  <c r="L32" i="48"/>
  <c r="B32" i="48"/>
  <c r="Z31" i="48"/>
  <c r="X31" i="48"/>
  <c r="N31" i="48"/>
  <c r="L31" i="48"/>
  <c r="J31" i="48"/>
  <c r="B31" i="48"/>
  <c r="Z30" i="48"/>
  <c r="T30" i="48"/>
  <c r="P30" i="48"/>
  <c r="X30" i="48" s="1"/>
  <c r="H30" i="48"/>
  <c r="D30" i="48"/>
  <c r="L30" i="48" s="1"/>
  <c r="N30" i="48" s="1"/>
  <c r="B30" i="48"/>
  <c r="Z29" i="48"/>
  <c r="X29" i="48"/>
  <c r="N29" i="48"/>
  <c r="L29" i="48"/>
  <c r="B29" i="48"/>
  <c r="Z28" i="48"/>
  <c r="X28" i="48"/>
  <c r="N28" i="48"/>
  <c r="L28" i="48"/>
  <c r="J28" i="48"/>
  <c r="B28" i="48"/>
  <c r="X27" i="48"/>
  <c r="Z27" i="48" s="1"/>
  <c r="L27" i="48"/>
  <c r="N27" i="48" s="1"/>
  <c r="B27" i="48"/>
  <c r="Z26" i="48"/>
  <c r="X26" i="48"/>
  <c r="N26" i="48"/>
  <c r="L26" i="48"/>
  <c r="J26" i="48"/>
  <c r="B26" i="48"/>
  <c r="Z25" i="48"/>
  <c r="X25" i="48"/>
  <c r="N25" i="48"/>
  <c r="L25" i="48"/>
  <c r="B25" i="48"/>
  <c r="Z24" i="48"/>
  <c r="X24" i="48"/>
  <c r="N24" i="48"/>
  <c r="L24" i="48"/>
  <c r="B24" i="48"/>
  <c r="X23" i="48"/>
  <c r="Z23" i="48" s="1"/>
  <c r="L23" i="48"/>
  <c r="N23" i="48" s="1"/>
  <c r="J23" i="48"/>
  <c r="B23" i="48"/>
  <c r="X22" i="48"/>
  <c r="Z22" i="48" s="1"/>
  <c r="N22" i="48"/>
  <c r="L22" i="48"/>
  <c r="J22" i="48"/>
  <c r="B22" i="48"/>
  <c r="Z21" i="48"/>
  <c r="X21" i="48"/>
  <c r="L21" i="48"/>
  <c r="N21" i="48" s="1"/>
  <c r="J21" i="48"/>
  <c r="B21" i="48"/>
  <c r="T20" i="48"/>
  <c r="P20" i="48"/>
  <c r="X20" i="48" s="1"/>
  <c r="Z20" i="48" s="1"/>
  <c r="H20" i="48"/>
  <c r="D20" i="48"/>
  <c r="L20" i="48" s="1"/>
  <c r="B20" i="48"/>
  <c r="X19" i="48"/>
  <c r="T19" i="48"/>
  <c r="Z19" i="48" s="1"/>
  <c r="P19" i="48"/>
  <c r="H19" i="48"/>
  <c r="D19" i="48"/>
  <c r="L19" i="48" s="1"/>
  <c r="D17" i="48"/>
  <c r="X15" i="48"/>
  <c r="T15" i="48"/>
  <c r="Z15" i="48" s="1"/>
  <c r="P15" i="48"/>
  <c r="H15" i="48"/>
  <c r="N15" i="48" s="1"/>
  <c r="D15" i="48"/>
  <c r="L15" i="48" s="1"/>
  <c r="X13" i="48"/>
  <c r="T13" i="48"/>
  <c r="Z13" i="48" s="1"/>
  <c r="P13" i="48"/>
  <c r="P12" i="48" s="1"/>
  <c r="R23" i="48" s="1"/>
  <c r="H13" i="48"/>
  <c r="D13" i="48"/>
  <c r="D12" i="48" s="1"/>
  <c r="F52" i="48" s="1"/>
  <c r="B13" i="48"/>
  <c r="T12" i="48"/>
  <c r="V20" i="48" s="1"/>
  <c r="H12" i="48"/>
  <c r="J44" i="48" s="1"/>
  <c r="D4" i="48"/>
  <c r="X96" i="45"/>
  <c r="Z96" i="45" s="1"/>
  <c r="L96" i="45"/>
  <c r="N96" i="45" s="1"/>
  <c r="T92" i="45"/>
  <c r="Z92" i="45" s="1"/>
  <c r="P92" i="45"/>
  <c r="X92" i="45" s="1"/>
  <c r="H92" i="45"/>
  <c r="N92" i="45" s="1"/>
  <c r="D92" i="45"/>
  <c r="Z90" i="45"/>
  <c r="X90" i="45"/>
  <c r="N90" i="45"/>
  <c r="L90" i="45"/>
  <c r="B90" i="45"/>
  <c r="Z89" i="45"/>
  <c r="X89" i="45"/>
  <c r="T89" i="45"/>
  <c r="P89" i="45"/>
  <c r="N89" i="45"/>
  <c r="L89" i="45"/>
  <c r="H89" i="45"/>
  <c r="D89" i="45"/>
  <c r="B89" i="45"/>
  <c r="Z88" i="45"/>
  <c r="X88" i="45"/>
  <c r="N88" i="45"/>
  <c r="L88" i="45"/>
  <c r="B88" i="45"/>
  <c r="T87" i="45"/>
  <c r="P87" i="45"/>
  <c r="X87" i="45" s="1"/>
  <c r="Z87" i="45" s="1"/>
  <c r="H87" i="45"/>
  <c r="N87" i="45" s="1"/>
  <c r="D87" i="45"/>
  <c r="L87" i="45" s="1"/>
  <c r="B87" i="45"/>
  <c r="X86" i="45"/>
  <c r="Z86" i="45" s="1"/>
  <c r="N86" i="45"/>
  <c r="L86" i="45"/>
  <c r="B86" i="45"/>
  <c r="T85" i="45"/>
  <c r="P85" i="45"/>
  <c r="X85" i="45" s="1"/>
  <c r="Z85" i="45" s="1"/>
  <c r="H85" i="45"/>
  <c r="D85" i="45"/>
  <c r="L85" i="45" s="1"/>
  <c r="N85" i="45" s="1"/>
  <c r="B85" i="45"/>
  <c r="X84" i="45"/>
  <c r="Z84" i="45" s="1"/>
  <c r="N84" i="45"/>
  <c r="L84" i="45"/>
  <c r="B84" i="45"/>
  <c r="X83" i="45"/>
  <c r="Z83" i="45" s="1"/>
  <c r="N83" i="45"/>
  <c r="L83" i="45"/>
  <c r="B83" i="45"/>
  <c r="Z82" i="45"/>
  <c r="X82" i="45"/>
  <c r="N82" i="45"/>
  <c r="L82" i="45"/>
  <c r="B82" i="45"/>
  <c r="Z81" i="45"/>
  <c r="X81" i="45"/>
  <c r="L81" i="45"/>
  <c r="N81" i="45" s="1"/>
  <c r="B81" i="45"/>
  <c r="X80" i="45"/>
  <c r="Z80" i="45" s="1"/>
  <c r="N80" i="45"/>
  <c r="L80" i="45"/>
  <c r="B80" i="45"/>
  <c r="X79" i="45"/>
  <c r="Z79" i="45" s="1"/>
  <c r="N79" i="45"/>
  <c r="L79" i="45"/>
  <c r="B79" i="45"/>
  <c r="Z78" i="45"/>
  <c r="X78" i="45"/>
  <c r="L78" i="45"/>
  <c r="N78" i="45" s="1"/>
  <c r="B78" i="45"/>
  <c r="Z77" i="45"/>
  <c r="X77" i="45"/>
  <c r="N77" i="45"/>
  <c r="L77" i="45"/>
  <c r="B77" i="45"/>
  <c r="X76" i="45"/>
  <c r="Z76" i="45" s="1"/>
  <c r="N76" i="45"/>
  <c r="L76" i="45"/>
  <c r="B76" i="45"/>
  <c r="X75" i="45"/>
  <c r="Z75" i="45" s="1"/>
  <c r="T75" i="45"/>
  <c r="P75" i="45"/>
  <c r="N75" i="45"/>
  <c r="L75" i="45"/>
  <c r="H75" i="45"/>
  <c r="D75" i="45"/>
  <c r="B75" i="45"/>
  <c r="Z74" i="45"/>
  <c r="X74" i="45"/>
  <c r="N74" i="45"/>
  <c r="L74" i="45"/>
  <c r="B74" i="45"/>
  <c r="T73" i="45"/>
  <c r="Z73" i="45" s="1"/>
  <c r="P73" i="45"/>
  <c r="X73" i="45" s="1"/>
  <c r="N73" i="45"/>
  <c r="H73" i="45"/>
  <c r="D73" i="45"/>
  <c r="L73" i="45" s="1"/>
  <c r="B73" i="45"/>
  <c r="X72" i="45"/>
  <c r="Z72" i="45" s="1"/>
  <c r="L72" i="45"/>
  <c r="N72" i="45" s="1"/>
  <c r="B72" i="45"/>
  <c r="X71" i="45"/>
  <c r="Z71" i="45" s="1"/>
  <c r="L71" i="45"/>
  <c r="N71" i="45" s="1"/>
  <c r="B71" i="45"/>
  <c r="Z70" i="45"/>
  <c r="X70" i="45"/>
  <c r="N70" i="45"/>
  <c r="L70" i="45"/>
  <c r="B70" i="45"/>
  <c r="Z69" i="45"/>
  <c r="X69" i="45"/>
  <c r="N69" i="45"/>
  <c r="L69" i="45"/>
  <c r="B69" i="45"/>
  <c r="T68" i="45"/>
  <c r="Z68" i="45" s="1"/>
  <c r="P68" i="45"/>
  <c r="X68" i="45" s="1"/>
  <c r="L68" i="45"/>
  <c r="H68" i="45"/>
  <c r="D68" i="45"/>
  <c r="B68" i="45"/>
  <c r="X67" i="45"/>
  <c r="Z67" i="45" s="1"/>
  <c r="N67" i="45"/>
  <c r="L67" i="45"/>
  <c r="B67" i="45"/>
  <c r="Z66" i="45"/>
  <c r="X66" i="45"/>
  <c r="L66" i="45"/>
  <c r="N66" i="45" s="1"/>
  <c r="B66" i="45"/>
  <c r="Z65" i="45"/>
  <c r="X65" i="45"/>
  <c r="N65" i="45"/>
  <c r="L65" i="45"/>
  <c r="B65" i="45"/>
  <c r="T64" i="45"/>
  <c r="P64" i="45"/>
  <c r="H64" i="45"/>
  <c r="N64" i="45" s="1"/>
  <c r="D64" i="45"/>
  <c r="L64" i="45" s="1"/>
  <c r="B64" i="45"/>
  <c r="Z63" i="45"/>
  <c r="X63" i="45"/>
  <c r="L63" i="45"/>
  <c r="N63" i="45" s="1"/>
  <c r="B63" i="45"/>
  <c r="T62" i="45"/>
  <c r="P62" i="45"/>
  <c r="H62" i="45"/>
  <c r="D62" i="45"/>
  <c r="L62" i="45" s="1"/>
  <c r="N62" i="45" s="1"/>
  <c r="B62" i="45"/>
  <c r="Z61" i="45"/>
  <c r="X61" i="45"/>
  <c r="N61" i="45"/>
  <c r="L61" i="45"/>
  <c r="B61" i="45"/>
  <c r="T60" i="45"/>
  <c r="P60" i="45"/>
  <c r="X60" i="45" s="1"/>
  <c r="L60" i="45"/>
  <c r="H60" i="45"/>
  <c r="N60" i="45" s="1"/>
  <c r="D60" i="45"/>
  <c r="B60" i="45"/>
  <c r="X59" i="45"/>
  <c r="Z59" i="45" s="1"/>
  <c r="N59" i="45"/>
  <c r="L59" i="45"/>
  <c r="B59" i="45"/>
  <c r="T58" i="45"/>
  <c r="Z58" i="45" s="1"/>
  <c r="P58" i="45"/>
  <c r="X58" i="45" s="1"/>
  <c r="L58" i="45"/>
  <c r="H58" i="45"/>
  <c r="D58" i="45"/>
  <c r="B58" i="45"/>
  <c r="Z57" i="45"/>
  <c r="X57" i="45"/>
  <c r="N57" i="45"/>
  <c r="L57" i="45"/>
  <c r="B57" i="45"/>
  <c r="T56" i="45"/>
  <c r="P56" i="45"/>
  <c r="X56" i="45" s="1"/>
  <c r="Z56" i="45" s="1"/>
  <c r="H56" i="45"/>
  <c r="D56" i="45"/>
  <c r="B56" i="45"/>
  <c r="X55" i="45"/>
  <c r="Z55" i="45" s="1"/>
  <c r="N55" i="45"/>
  <c r="L55" i="45"/>
  <c r="B55" i="45"/>
  <c r="X54" i="45"/>
  <c r="T54" i="45"/>
  <c r="P54" i="45"/>
  <c r="H54" i="45"/>
  <c r="N54" i="45" s="1"/>
  <c r="D54" i="45"/>
  <c r="L54" i="45" s="1"/>
  <c r="B54" i="45"/>
  <c r="Z53" i="45"/>
  <c r="X53" i="45"/>
  <c r="N53" i="45"/>
  <c r="L53" i="45"/>
  <c r="B53" i="45"/>
  <c r="X52" i="45"/>
  <c r="T52" i="45"/>
  <c r="P52" i="45"/>
  <c r="H52" i="45"/>
  <c r="D52" i="45"/>
  <c r="L52" i="45" s="1"/>
  <c r="B52" i="45"/>
  <c r="Z51" i="45"/>
  <c r="X51" i="45"/>
  <c r="V51" i="45"/>
  <c r="L51" i="45"/>
  <c r="N51" i="45" s="1"/>
  <c r="B51" i="45"/>
  <c r="T50" i="45"/>
  <c r="P50" i="45"/>
  <c r="X50" i="45" s="1"/>
  <c r="H50" i="45"/>
  <c r="D50" i="45"/>
  <c r="L50" i="45" s="1"/>
  <c r="N50" i="45" s="1"/>
  <c r="B50" i="45"/>
  <c r="Z49" i="45"/>
  <c r="X49" i="45"/>
  <c r="N49" i="45"/>
  <c r="L49" i="45"/>
  <c r="B49" i="45"/>
  <c r="T48" i="45"/>
  <c r="Z48" i="45" s="1"/>
  <c r="P48" i="45"/>
  <c r="X48" i="45" s="1"/>
  <c r="L48" i="45"/>
  <c r="H48" i="45"/>
  <c r="D48" i="45"/>
  <c r="B48" i="45"/>
  <c r="X47" i="45"/>
  <c r="Z47" i="45" s="1"/>
  <c r="N47" i="45"/>
  <c r="L47" i="45"/>
  <c r="B47" i="45"/>
  <c r="T46" i="45"/>
  <c r="P46" i="45"/>
  <c r="X46" i="45" s="1"/>
  <c r="H46" i="45"/>
  <c r="D46" i="45"/>
  <c r="B46" i="45"/>
  <c r="Z45" i="45"/>
  <c r="X45" i="45"/>
  <c r="N45" i="45"/>
  <c r="L45" i="45"/>
  <c r="B45" i="45"/>
  <c r="T44" i="45"/>
  <c r="P44" i="45"/>
  <c r="X44" i="45" s="1"/>
  <c r="Z44" i="45" s="1"/>
  <c r="H44" i="45"/>
  <c r="D44" i="45"/>
  <c r="L44" i="45" s="1"/>
  <c r="B44" i="45"/>
  <c r="X43" i="45"/>
  <c r="Z43" i="45" s="1"/>
  <c r="L43" i="45"/>
  <c r="N43" i="45" s="1"/>
  <c r="B43" i="45"/>
  <c r="X42" i="45"/>
  <c r="Z42" i="45" s="1"/>
  <c r="N42" i="45"/>
  <c r="L42" i="45"/>
  <c r="B42" i="45"/>
  <c r="Z41" i="45"/>
  <c r="X41" i="45"/>
  <c r="N41" i="45"/>
  <c r="L41" i="45"/>
  <c r="B41" i="45"/>
  <c r="X40" i="45"/>
  <c r="Z40" i="45" s="1"/>
  <c r="L40" i="45"/>
  <c r="N40" i="45" s="1"/>
  <c r="B40" i="45"/>
  <c r="X39" i="45"/>
  <c r="Z39" i="45" s="1"/>
  <c r="L39" i="45"/>
  <c r="N39" i="45" s="1"/>
  <c r="B39" i="45"/>
  <c r="X38" i="45"/>
  <c r="Z38" i="45" s="1"/>
  <c r="N38" i="45"/>
  <c r="L38" i="45"/>
  <c r="B38" i="45"/>
  <c r="Z37" i="45"/>
  <c r="X37" i="45"/>
  <c r="N37" i="45"/>
  <c r="L37" i="45"/>
  <c r="B37" i="45"/>
  <c r="T36" i="45"/>
  <c r="P36" i="45"/>
  <c r="L36" i="45"/>
  <c r="H36" i="45"/>
  <c r="D36" i="45"/>
  <c r="B36" i="45"/>
  <c r="X35" i="45"/>
  <c r="Z35" i="45" s="1"/>
  <c r="N35" i="45"/>
  <c r="L35" i="45"/>
  <c r="B35" i="45"/>
  <c r="X34" i="45"/>
  <c r="Z34" i="45" s="1"/>
  <c r="L34" i="45"/>
  <c r="N34" i="45" s="1"/>
  <c r="B34" i="45"/>
  <c r="Z33" i="45"/>
  <c r="X33" i="45"/>
  <c r="N33" i="45"/>
  <c r="L33" i="45"/>
  <c r="B33" i="45"/>
  <c r="X32" i="45"/>
  <c r="Z32" i="45" s="1"/>
  <c r="N32" i="45"/>
  <c r="L32" i="45"/>
  <c r="B32" i="45"/>
  <c r="X31" i="45"/>
  <c r="Z31" i="45" s="1"/>
  <c r="N31" i="45"/>
  <c r="L31" i="45"/>
  <c r="B31" i="45"/>
  <c r="X30" i="45"/>
  <c r="Z30" i="45" s="1"/>
  <c r="L30" i="45"/>
  <c r="N30" i="45" s="1"/>
  <c r="B30" i="45"/>
  <c r="Z29" i="45"/>
  <c r="X29" i="45"/>
  <c r="N29" i="45"/>
  <c r="L29" i="45"/>
  <c r="B29" i="45"/>
  <c r="X28" i="45"/>
  <c r="Z28" i="45" s="1"/>
  <c r="N28" i="45"/>
  <c r="L28" i="45"/>
  <c r="B28" i="45"/>
  <c r="X27" i="45"/>
  <c r="Z27" i="45" s="1"/>
  <c r="N27" i="45"/>
  <c r="L27" i="45"/>
  <c r="B27" i="45"/>
  <c r="T26" i="45"/>
  <c r="Z26" i="45" s="1"/>
  <c r="P26" i="45"/>
  <c r="X26" i="45" s="1"/>
  <c r="H26" i="45"/>
  <c r="D26" i="45"/>
  <c r="B26" i="45"/>
  <c r="T25" i="45"/>
  <c r="P25" i="45"/>
  <c r="N25" i="45"/>
  <c r="H25" i="45"/>
  <c r="D25" i="45"/>
  <c r="L25" i="45" s="1"/>
  <c r="Z21" i="45"/>
  <c r="X21" i="45"/>
  <c r="N21" i="45"/>
  <c r="L21" i="45"/>
  <c r="B21" i="45"/>
  <c r="Z20" i="45"/>
  <c r="X20" i="45"/>
  <c r="L20" i="45"/>
  <c r="N20" i="45" s="1"/>
  <c r="B20" i="45"/>
  <c r="V19" i="45"/>
  <c r="T19" i="45"/>
  <c r="P19" i="45"/>
  <c r="X19" i="45" s="1"/>
  <c r="Z19" i="45" s="1"/>
  <c r="H19" i="45"/>
  <c r="D19" i="45"/>
  <c r="L19" i="45" s="1"/>
  <c r="T17" i="45"/>
  <c r="Z17" i="45" s="1"/>
  <c r="P17" i="45"/>
  <c r="X17" i="45" s="1"/>
  <c r="N17" i="45"/>
  <c r="L17" i="45"/>
  <c r="H17" i="45"/>
  <c r="D17" i="45"/>
  <c r="B17" i="45"/>
  <c r="T16" i="45"/>
  <c r="P16" i="45"/>
  <c r="X16" i="45" s="1"/>
  <c r="Z16" i="45" s="1"/>
  <c r="L16" i="45"/>
  <c r="H16" i="45"/>
  <c r="N16" i="45" s="1"/>
  <c r="D16" i="45"/>
  <c r="B16" i="45"/>
  <c r="T15" i="45"/>
  <c r="Z15" i="45" s="1"/>
  <c r="P15" i="45"/>
  <c r="X15" i="45" s="1"/>
  <c r="N15" i="45"/>
  <c r="H15" i="45"/>
  <c r="L15" i="45" s="1"/>
  <c r="D15" i="45"/>
  <c r="B15" i="45"/>
  <c r="T14" i="45"/>
  <c r="X14" i="45" s="1"/>
  <c r="Z14" i="45" s="1"/>
  <c r="P14" i="45"/>
  <c r="H14" i="45"/>
  <c r="D14" i="45"/>
  <c r="B14" i="45"/>
  <c r="T13" i="45"/>
  <c r="T12" i="45" s="1"/>
  <c r="V27" i="45" s="1"/>
  <c r="P13" i="45"/>
  <c r="L13" i="45"/>
  <c r="N13" i="45" s="1"/>
  <c r="H13" i="45"/>
  <c r="D13" i="45"/>
  <c r="B13" i="45"/>
  <c r="D4" i="45"/>
  <c r="X126" i="42"/>
  <c r="Z126" i="42" s="1"/>
  <c r="N126" i="42"/>
  <c r="L126" i="42"/>
  <c r="T122" i="42"/>
  <c r="Z122" i="42" s="1"/>
  <c r="P122" i="42"/>
  <c r="X122" i="42" s="1"/>
  <c r="N122" i="42"/>
  <c r="L122" i="42"/>
  <c r="H122" i="42"/>
  <c r="D122" i="42"/>
  <c r="B122" i="42"/>
  <c r="T121" i="42"/>
  <c r="P121" i="42"/>
  <c r="X121" i="42" s="1"/>
  <c r="L121" i="42"/>
  <c r="H121" i="42"/>
  <c r="N121" i="42" s="1"/>
  <c r="D121" i="42"/>
  <c r="B121" i="42"/>
  <c r="T120" i="42"/>
  <c r="P120" i="42"/>
  <c r="H120" i="42"/>
  <c r="D120" i="42"/>
  <c r="D119" i="42" s="1"/>
  <c r="B120" i="42"/>
  <c r="P119" i="42"/>
  <c r="X117" i="42"/>
  <c r="Z117" i="42" s="1"/>
  <c r="L117" i="42"/>
  <c r="N117" i="42" s="1"/>
  <c r="B117" i="42"/>
  <c r="T116" i="42"/>
  <c r="P116" i="42"/>
  <c r="X116" i="42" s="1"/>
  <c r="Z116" i="42" s="1"/>
  <c r="N116" i="42"/>
  <c r="L116" i="42"/>
  <c r="H116" i="42"/>
  <c r="D116" i="42"/>
  <c r="B116" i="42"/>
  <c r="Z115" i="42"/>
  <c r="X115" i="42"/>
  <c r="L115" i="42"/>
  <c r="N115" i="42" s="1"/>
  <c r="B115" i="42"/>
  <c r="Z114" i="42"/>
  <c r="X114" i="42"/>
  <c r="N114" i="42"/>
  <c r="L114" i="42"/>
  <c r="B114" i="42"/>
  <c r="X113" i="42"/>
  <c r="Z113" i="42" s="1"/>
  <c r="N113" i="42"/>
  <c r="L113" i="42"/>
  <c r="B113" i="42"/>
  <c r="X112" i="42"/>
  <c r="T112" i="42"/>
  <c r="Z112" i="42" s="1"/>
  <c r="P112" i="42"/>
  <c r="N112" i="42"/>
  <c r="L112" i="42"/>
  <c r="H112" i="42"/>
  <c r="D112" i="42"/>
  <c r="B112" i="42"/>
  <c r="Z111" i="42"/>
  <c r="X111" i="42"/>
  <c r="L111" i="42"/>
  <c r="N111" i="42" s="1"/>
  <c r="B111" i="42"/>
  <c r="T110" i="42"/>
  <c r="P110" i="42"/>
  <c r="X110" i="42" s="1"/>
  <c r="N110" i="42"/>
  <c r="H110" i="42"/>
  <c r="D110" i="42"/>
  <c r="L110" i="42" s="1"/>
  <c r="B110" i="42"/>
  <c r="X109" i="42"/>
  <c r="Z109" i="42" s="1"/>
  <c r="L109" i="42"/>
  <c r="N109" i="42" s="1"/>
  <c r="B109" i="42"/>
  <c r="T108" i="42"/>
  <c r="P108" i="42"/>
  <c r="X108" i="42" s="1"/>
  <c r="Z108" i="42" s="1"/>
  <c r="N108" i="42"/>
  <c r="L108" i="42"/>
  <c r="H108" i="42"/>
  <c r="D108" i="42"/>
  <c r="B108" i="42"/>
  <c r="Z107" i="42"/>
  <c r="X107" i="42"/>
  <c r="N107" i="42"/>
  <c r="L107" i="42"/>
  <c r="B107" i="42"/>
  <c r="Z106" i="42"/>
  <c r="X106" i="42"/>
  <c r="N106" i="42"/>
  <c r="L106" i="42"/>
  <c r="B106" i="42"/>
  <c r="X105" i="42"/>
  <c r="Z105" i="42" s="1"/>
  <c r="N105" i="42"/>
  <c r="L105" i="42"/>
  <c r="B105" i="42"/>
  <c r="X104" i="42"/>
  <c r="Z104" i="42" s="1"/>
  <c r="N104" i="42"/>
  <c r="L104" i="42"/>
  <c r="B104" i="42"/>
  <c r="Z103" i="42"/>
  <c r="X103" i="42"/>
  <c r="L103" i="42"/>
  <c r="N103" i="42" s="1"/>
  <c r="B103" i="42"/>
  <c r="Z102" i="42"/>
  <c r="X102" i="42"/>
  <c r="L102" i="42"/>
  <c r="N102" i="42" s="1"/>
  <c r="B102" i="42"/>
  <c r="X101" i="42"/>
  <c r="Z101" i="42" s="1"/>
  <c r="N101" i="42"/>
  <c r="L101" i="42"/>
  <c r="B101" i="42"/>
  <c r="X100" i="42"/>
  <c r="Z100" i="42" s="1"/>
  <c r="N100" i="42"/>
  <c r="L100" i="42"/>
  <c r="B100" i="42"/>
  <c r="Z99" i="42"/>
  <c r="X99" i="42"/>
  <c r="N99" i="42"/>
  <c r="L99" i="42"/>
  <c r="B99" i="42"/>
  <c r="Z98" i="42"/>
  <c r="X98" i="42"/>
  <c r="L98" i="42"/>
  <c r="N98" i="42" s="1"/>
  <c r="B98" i="42"/>
  <c r="T97" i="42"/>
  <c r="P97" i="42"/>
  <c r="H97" i="42"/>
  <c r="N97" i="42" s="1"/>
  <c r="D97" i="42"/>
  <c r="L97" i="42" s="1"/>
  <c r="B97" i="42"/>
  <c r="Z96" i="42"/>
  <c r="X96" i="42"/>
  <c r="L96" i="42"/>
  <c r="N96" i="42" s="1"/>
  <c r="B96" i="42"/>
  <c r="X95" i="42"/>
  <c r="Z95" i="42" s="1"/>
  <c r="N95" i="42"/>
  <c r="L95" i="42"/>
  <c r="B95" i="42"/>
  <c r="T94" i="42"/>
  <c r="P94" i="42"/>
  <c r="H94" i="42"/>
  <c r="D94" i="42"/>
  <c r="L94" i="42" s="1"/>
  <c r="N94" i="42" s="1"/>
  <c r="B94" i="42"/>
  <c r="X93" i="42"/>
  <c r="Z93" i="42" s="1"/>
  <c r="L93" i="42"/>
  <c r="N93" i="42" s="1"/>
  <c r="B93" i="42"/>
  <c r="X92" i="42"/>
  <c r="Z92" i="42" s="1"/>
  <c r="L92" i="42"/>
  <c r="N92" i="42" s="1"/>
  <c r="B92" i="42"/>
  <c r="X91" i="42"/>
  <c r="Z91" i="42" s="1"/>
  <c r="N91" i="42"/>
  <c r="L91" i="42"/>
  <c r="B91" i="42"/>
  <c r="Z90" i="42"/>
  <c r="X90" i="42"/>
  <c r="N90" i="42"/>
  <c r="L90" i="42"/>
  <c r="B90" i="42"/>
  <c r="X89" i="42"/>
  <c r="Z89" i="42" s="1"/>
  <c r="L89" i="42"/>
  <c r="N89" i="42" s="1"/>
  <c r="B89" i="42"/>
  <c r="T88" i="42"/>
  <c r="Z88" i="42" s="1"/>
  <c r="P88" i="42"/>
  <c r="X88" i="42" s="1"/>
  <c r="N88" i="42"/>
  <c r="L88" i="42"/>
  <c r="H88" i="42"/>
  <c r="D88" i="42"/>
  <c r="B88" i="42"/>
  <c r="Z87" i="42"/>
  <c r="X87" i="42"/>
  <c r="L87" i="42"/>
  <c r="N87" i="42" s="1"/>
  <c r="B87" i="42"/>
  <c r="Z86" i="42"/>
  <c r="X86" i="42"/>
  <c r="N86" i="42"/>
  <c r="L86" i="42"/>
  <c r="B86" i="42"/>
  <c r="X85" i="42"/>
  <c r="T85" i="42"/>
  <c r="Z85" i="42" s="1"/>
  <c r="P85" i="42"/>
  <c r="H85" i="42"/>
  <c r="D85" i="42"/>
  <c r="L85" i="42" s="1"/>
  <c r="B85" i="42"/>
  <c r="Z84" i="42"/>
  <c r="X84" i="42"/>
  <c r="L84" i="42"/>
  <c r="N84" i="42" s="1"/>
  <c r="B84" i="42"/>
  <c r="Z83" i="42"/>
  <c r="X83" i="42"/>
  <c r="L83" i="42"/>
  <c r="N83" i="42" s="1"/>
  <c r="B83" i="42"/>
  <c r="Z82" i="42"/>
  <c r="X82" i="42"/>
  <c r="N82" i="42"/>
  <c r="L82" i="42"/>
  <c r="B82" i="42"/>
  <c r="Z81" i="42"/>
  <c r="X81" i="42"/>
  <c r="N81" i="42"/>
  <c r="L81" i="42"/>
  <c r="B81" i="42"/>
  <c r="T80" i="42"/>
  <c r="Z80" i="42" s="1"/>
  <c r="P80" i="42"/>
  <c r="X80" i="42" s="1"/>
  <c r="H80" i="42"/>
  <c r="D80" i="42"/>
  <c r="L80" i="42" s="1"/>
  <c r="B80" i="42"/>
  <c r="X79" i="42"/>
  <c r="Z79" i="42" s="1"/>
  <c r="N79" i="42"/>
  <c r="L79" i="42"/>
  <c r="B79" i="42"/>
  <c r="Z78" i="42"/>
  <c r="X78" i="42"/>
  <c r="T78" i="42"/>
  <c r="P78" i="42"/>
  <c r="H78" i="42"/>
  <c r="D78" i="42"/>
  <c r="L78" i="42" s="1"/>
  <c r="N78" i="42" s="1"/>
  <c r="B78" i="42"/>
  <c r="X77" i="42"/>
  <c r="Z77" i="42" s="1"/>
  <c r="N77" i="42"/>
  <c r="L77" i="42"/>
  <c r="B77" i="42"/>
  <c r="Z76" i="42"/>
  <c r="X76" i="42"/>
  <c r="T76" i="42"/>
  <c r="P76" i="42"/>
  <c r="N76" i="42"/>
  <c r="L76" i="42"/>
  <c r="H76" i="42"/>
  <c r="D76" i="42"/>
  <c r="B76" i="42"/>
  <c r="X75" i="42"/>
  <c r="Z75" i="42" s="1"/>
  <c r="L75" i="42"/>
  <c r="N75" i="42" s="1"/>
  <c r="B75" i="42"/>
  <c r="T74" i="42"/>
  <c r="P74" i="42"/>
  <c r="H74" i="42"/>
  <c r="D74" i="42"/>
  <c r="B74" i="42"/>
  <c r="X73" i="42"/>
  <c r="Z73" i="42" s="1"/>
  <c r="L73" i="42"/>
  <c r="N73" i="42" s="1"/>
  <c r="B73" i="42"/>
  <c r="X72" i="42"/>
  <c r="T72" i="42"/>
  <c r="P72" i="42"/>
  <c r="H72" i="42"/>
  <c r="D72" i="42"/>
  <c r="L72" i="42" s="1"/>
  <c r="N72" i="42" s="1"/>
  <c r="B72" i="42"/>
  <c r="Z71" i="42"/>
  <c r="X71" i="42"/>
  <c r="N71" i="42"/>
  <c r="L71" i="42"/>
  <c r="B71" i="42"/>
  <c r="X70" i="42"/>
  <c r="Z70" i="42" s="1"/>
  <c r="N70" i="42"/>
  <c r="L70" i="42"/>
  <c r="B70" i="42"/>
  <c r="X69" i="42"/>
  <c r="Z69" i="42" s="1"/>
  <c r="T69" i="42"/>
  <c r="P69" i="42"/>
  <c r="H69" i="42"/>
  <c r="D69" i="42"/>
  <c r="B69" i="42"/>
  <c r="Z68" i="42"/>
  <c r="X68" i="42"/>
  <c r="N68" i="42"/>
  <c r="L68" i="42"/>
  <c r="B68" i="42"/>
  <c r="T67" i="42"/>
  <c r="Z67" i="42" s="1"/>
  <c r="P67" i="42"/>
  <c r="X67" i="42" s="1"/>
  <c r="N67" i="42"/>
  <c r="H67" i="42"/>
  <c r="D67" i="42"/>
  <c r="L67" i="42" s="1"/>
  <c r="B67" i="42"/>
  <c r="X66" i="42"/>
  <c r="Z66" i="42" s="1"/>
  <c r="L66" i="42"/>
  <c r="N66" i="42" s="1"/>
  <c r="B66" i="42"/>
  <c r="T65" i="42"/>
  <c r="P65" i="42"/>
  <c r="X65" i="42" s="1"/>
  <c r="L65" i="42"/>
  <c r="N65" i="42" s="1"/>
  <c r="H65" i="42"/>
  <c r="D65" i="42"/>
  <c r="B65" i="42"/>
  <c r="Z64" i="42"/>
  <c r="X64" i="42"/>
  <c r="N64" i="42"/>
  <c r="L64" i="42"/>
  <c r="B64" i="42"/>
  <c r="T63" i="42"/>
  <c r="P63" i="42"/>
  <c r="X63" i="42" s="1"/>
  <c r="L63" i="42"/>
  <c r="H63" i="42"/>
  <c r="N63" i="42" s="1"/>
  <c r="D63" i="42"/>
  <c r="B63" i="42"/>
  <c r="Z62" i="42"/>
  <c r="X62" i="42"/>
  <c r="N62" i="42"/>
  <c r="L62" i="42"/>
  <c r="B62" i="42"/>
  <c r="T61" i="42"/>
  <c r="Z61" i="42" s="1"/>
  <c r="P61" i="42"/>
  <c r="X61" i="42" s="1"/>
  <c r="H61" i="42"/>
  <c r="N61" i="42" s="1"/>
  <c r="D61" i="42"/>
  <c r="L61" i="42" s="1"/>
  <c r="B61" i="42"/>
  <c r="X60" i="42"/>
  <c r="Z60" i="42" s="1"/>
  <c r="N60" i="42"/>
  <c r="L60" i="42"/>
  <c r="B60" i="42"/>
  <c r="T59" i="42"/>
  <c r="P59" i="42"/>
  <c r="H59" i="42"/>
  <c r="N59" i="42" s="1"/>
  <c r="D59" i="42"/>
  <c r="L59" i="42" s="1"/>
  <c r="B59" i="42"/>
  <c r="X58" i="42"/>
  <c r="Z58" i="42" s="1"/>
  <c r="N58" i="42"/>
  <c r="L58" i="42"/>
  <c r="B58" i="42"/>
  <c r="X57" i="42"/>
  <c r="Z57" i="42" s="1"/>
  <c r="N57" i="42"/>
  <c r="L57" i="42"/>
  <c r="B57" i="42"/>
  <c r="Z56" i="42"/>
  <c r="X56" i="42"/>
  <c r="L56" i="42"/>
  <c r="N56" i="42" s="1"/>
  <c r="B56" i="42"/>
  <c r="Z55" i="42"/>
  <c r="T55" i="42"/>
  <c r="P55" i="42"/>
  <c r="X55" i="42" s="1"/>
  <c r="L55" i="42"/>
  <c r="H55" i="42"/>
  <c r="N55" i="42" s="1"/>
  <c r="D55" i="42"/>
  <c r="B55" i="42"/>
  <c r="X54" i="42"/>
  <c r="Z54" i="42" s="1"/>
  <c r="N54" i="42"/>
  <c r="L54" i="42"/>
  <c r="B54" i="42"/>
  <c r="T53" i="42"/>
  <c r="P53" i="42"/>
  <c r="X53" i="42" s="1"/>
  <c r="Z53" i="42" s="1"/>
  <c r="L53" i="42"/>
  <c r="H53" i="42"/>
  <c r="N53" i="42" s="1"/>
  <c r="D53" i="42"/>
  <c r="B53" i="42"/>
  <c r="X52" i="42"/>
  <c r="Z52" i="42" s="1"/>
  <c r="N52" i="42"/>
  <c r="L52" i="42"/>
  <c r="B52" i="42"/>
  <c r="Z51" i="42"/>
  <c r="X51" i="42"/>
  <c r="T51" i="42"/>
  <c r="R51" i="42"/>
  <c r="P51" i="42"/>
  <c r="H51" i="42"/>
  <c r="D51" i="42"/>
  <c r="L51" i="42" s="1"/>
  <c r="B51" i="42"/>
  <c r="X50" i="42"/>
  <c r="Z50" i="42" s="1"/>
  <c r="L50" i="42"/>
  <c r="N50" i="42" s="1"/>
  <c r="B50" i="42"/>
  <c r="X49" i="42"/>
  <c r="T49" i="42"/>
  <c r="Z49" i="42" s="1"/>
  <c r="R49" i="42"/>
  <c r="P49" i="42"/>
  <c r="H49" i="42"/>
  <c r="D49" i="42"/>
  <c r="L49" i="42" s="1"/>
  <c r="N49" i="42" s="1"/>
  <c r="B49" i="42"/>
  <c r="X48" i="42"/>
  <c r="Z48" i="42" s="1"/>
  <c r="L48" i="42"/>
  <c r="N48" i="42" s="1"/>
  <c r="B48" i="42"/>
  <c r="X47" i="42"/>
  <c r="Z47" i="42" s="1"/>
  <c r="N47" i="42"/>
  <c r="L47" i="42"/>
  <c r="B47" i="42"/>
  <c r="X46" i="42"/>
  <c r="Z46" i="42" s="1"/>
  <c r="N46" i="42"/>
  <c r="L46" i="42"/>
  <c r="B46" i="42"/>
  <c r="Z45" i="42"/>
  <c r="X45" i="42"/>
  <c r="N45" i="42"/>
  <c r="L45" i="42"/>
  <c r="B45" i="42"/>
  <c r="X44" i="42"/>
  <c r="Z44" i="42" s="1"/>
  <c r="L44" i="42"/>
  <c r="N44" i="42" s="1"/>
  <c r="B44" i="42"/>
  <c r="X43" i="42"/>
  <c r="Z43" i="42" s="1"/>
  <c r="N43" i="42"/>
  <c r="L43" i="42"/>
  <c r="B43" i="42"/>
  <c r="X42" i="42"/>
  <c r="Z42" i="42" s="1"/>
  <c r="N42" i="42"/>
  <c r="L42" i="42"/>
  <c r="B42" i="42"/>
  <c r="T41" i="42"/>
  <c r="P41" i="42"/>
  <c r="X41" i="42" s="1"/>
  <c r="Z41" i="42" s="1"/>
  <c r="H41" i="42"/>
  <c r="D41" i="42"/>
  <c r="L41" i="42" s="1"/>
  <c r="B41" i="42"/>
  <c r="X40" i="42"/>
  <c r="Z40" i="42" s="1"/>
  <c r="N40" i="42"/>
  <c r="L40" i="42"/>
  <c r="B40" i="42"/>
  <c r="Z39" i="42"/>
  <c r="X39" i="42"/>
  <c r="N39" i="42"/>
  <c r="L39" i="42"/>
  <c r="B39" i="42"/>
  <c r="Z38" i="42"/>
  <c r="X38" i="42"/>
  <c r="L38" i="42"/>
  <c r="N38" i="42" s="1"/>
  <c r="B38" i="42"/>
  <c r="Z37" i="42"/>
  <c r="X37" i="42"/>
  <c r="L37" i="42"/>
  <c r="N37" i="42" s="1"/>
  <c r="B37" i="42"/>
  <c r="X36" i="42"/>
  <c r="Z36" i="42" s="1"/>
  <c r="N36" i="42"/>
  <c r="L36" i="42"/>
  <c r="B36" i="42"/>
  <c r="Z35" i="42"/>
  <c r="X35" i="42"/>
  <c r="N35" i="42"/>
  <c r="L35" i="42"/>
  <c r="B35" i="42"/>
  <c r="Z34" i="42"/>
  <c r="X34" i="42"/>
  <c r="L34" i="42"/>
  <c r="N34" i="42" s="1"/>
  <c r="B34" i="42"/>
  <c r="X33" i="42"/>
  <c r="Z33" i="42" s="1"/>
  <c r="L33" i="42"/>
  <c r="N33" i="42" s="1"/>
  <c r="B33" i="42"/>
  <c r="X32" i="42"/>
  <c r="Z32" i="42" s="1"/>
  <c r="N32" i="42"/>
  <c r="L32" i="42"/>
  <c r="B32" i="42"/>
  <c r="Z31" i="42"/>
  <c r="X31" i="42"/>
  <c r="T31" i="42"/>
  <c r="P31" i="42"/>
  <c r="H31" i="42"/>
  <c r="N31" i="42" s="1"/>
  <c r="D31" i="42"/>
  <c r="L31" i="42" s="1"/>
  <c r="B31" i="42"/>
  <c r="T30" i="42"/>
  <c r="P30" i="42"/>
  <c r="H30" i="42"/>
  <c r="D30" i="42"/>
  <c r="L30" i="42" s="1"/>
  <c r="X26" i="42"/>
  <c r="Z26" i="42" s="1"/>
  <c r="L26" i="42"/>
  <c r="N26" i="42" s="1"/>
  <c r="B26" i="42"/>
  <c r="Z25" i="42"/>
  <c r="X25" i="42"/>
  <c r="N25" i="42"/>
  <c r="L25" i="42"/>
  <c r="B25" i="42"/>
  <c r="T24" i="42"/>
  <c r="Z24" i="42" s="1"/>
  <c r="P24" i="42"/>
  <c r="X24" i="42" s="1"/>
  <c r="H24" i="42"/>
  <c r="D24" i="42"/>
  <c r="T22" i="42"/>
  <c r="Z22" i="42" s="1"/>
  <c r="P22" i="42"/>
  <c r="X22" i="42" s="1"/>
  <c r="H22" i="42"/>
  <c r="D22" i="42"/>
  <c r="L22" i="42" s="1"/>
  <c r="N22" i="42" s="1"/>
  <c r="B22" i="42"/>
  <c r="T21" i="42"/>
  <c r="X21" i="42" s="1"/>
  <c r="Z21" i="42" s="1"/>
  <c r="P21" i="42"/>
  <c r="H21" i="42"/>
  <c r="D21" i="42"/>
  <c r="L21" i="42" s="1"/>
  <c r="B21" i="42"/>
  <c r="X20" i="42"/>
  <c r="Z20" i="42" s="1"/>
  <c r="T20" i="42"/>
  <c r="P20" i="42"/>
  <c r="L20" i="42"/>
  <c r="N20" i="42" s="1"/>
  <c r="H20" i="42"/>
  <c r="D20" i="42"/>
  <c r="B20" i="42"/>
  <c r="T19" i="42"/>
  <c r="P19" i="42"/>
  <c r="H19" i="42"/>
  <c r="N19" i="42" s="1"/>
  <c r="D19" i="42"/>
  <c r="L19" i="42" s="1"/>
  <c r="B19" i="42"/>
  <c r="T18" i="42"/>
  <c r="Z18" i="42" s="1"/>
  <c r="P18" i="42"/>
  <c r="X18" i="42" s="1"/>
  <c r="H18" i="42"/>
  <c r="D18" i="42"/>
  <c r="L18" i="42" s="1"/>
  <c r="N18" i="42" s="1"/>
  <c r="B18" i="42"/>
  <c r="T17" i="42"/>
  <c r="X17" i="42" s="1"/>
  <c r="Z17" i="42" s="1"/>
  <c r="P17" i="42"/>
  <c r="H17" i="42"/>
  <c r="D17" i="42"/>
  <c r="L17" i="42" s="1"/>
  <c r="B17" i="42"/>
  <c r="X16" i="42"/>
  <c r="Z16" i="42" s="1"/>
  <c r="T16" i="42"/>
  <c r="P16" i="42"/>
  <c r="L16" i="42"/>
  <c r="N16" i="42" s="1"/>
  <c r="H16" i="42"/>
  <c r="D16" i="42"/>
  <c r="B16" i="42"/>
  <c r="T15" i="42"/>
  <c r="P15" i="42"/>
  <c r="H15" i="42"/>
  <c r="N15" i="42" s="1"/>
  <c r="D15" i="42"/>
  <c r="L15" i="42" s="1"/>
  <c r="B15" i="42"/>
  <c r="T14" i="42"/>
  <c r="Z14" i="42" s="1"/>
  <c r="P14" i="42"/>
  <c r="X14" i="42" s="1"/>
  <c r="H14" i="42"/>
  <c r="D14" i="42"/>
  <c r="L14" i="42" s="1"/>
  <c r="N14" i="42" s="1"/>
  <c r="B14" i="42"/>
  <c r="T13" i="42"/>
  <c r="X13" i="42" s="1"/>
  <c r="Z13" i="42" s="1"/>
  <c r="P13" i="42"/>
  <c r="H13" i="42"/>
  <c r="D13" i="42"/>
  <c r="B13" i="42"/>
  <c r="P12" i="42"/>
  <c r="D4" i="42"/>
  <c r="Z133" i="39"/>
  <c r="X133" i="39"/>
  <c r="N133" i="39"/>
  <c r="L133" i="39"/>
  <c r="T129" i="39"/>
  <c r="P129" i="39"/>
  <c r="X129" i="39" s="1"/>
  <c r="H129" i="39"/>
  <c r="D129" i="39"/>
  <c r="L129" i="39" s="1"/>
  <c r="N129" i="39" s="1"/>
  <c r="B129" i="39"/>
  <c r="T128" i="39"/>
  <c r="P128" i="39"/>
  <c r="X128" i="39" s="1"/>
  <c r="L128" i="39"/>
  <c r="H128" i="39"/>
  <c r="N128" i="39" s="1"/>
  <c r="D128" i="39"/>
  <c r="B128" i="39"/>
  <c r="X127" i="39"/>
  <c r="Z127" i="39" s="1"/>
  <c r="T127" i="39"/>
  <c r="P127" i="39"/>
  <c r="H127" i="39"/>
  <c r="H126" i="39" s="1"/>
  <c r="D127" i="39"/>
  <c r="L127" i="39" s="1"/>
  <c r="N127" i="39" s="1"/>
  <c r="B127" i="39"/>
  <c r="T126" i="39"/>
  <c r="P126" i="39"/>
  <c r="X126" i="39" s="1"/>
  <c r="D126" i="39"/>
  <c r="L126" i="39" s="1"/>
  <c r="X124" i="39"/>
  <c r="Z124" i="39" s="1"/>
  <c r="L124" i="39"/>
  <c r="N124" i="39" s="1"/>
  <c r="B124" i="39"/>
  <c r="T123" i="39"/>
  <c r="P123" i="39"/>
  <c r="H123" i="39"/>
  <c r="D123" i="39"/>
  <c r="L123" i="39" s="1"/>
  <c r="N123" i="39" s="1"/>
  <c r="B123" i="39"/>
  <c r="X122" i="39"/>
  <c r="Z122" i="39" s="1"/>
  <c r="L122" i="39"/>
  <c r="N122" i="39" s="1"/>
  <c r="B122" i="39"/>
  <c r="Z121" i="39"/>
  <c r="X121" i="39"/>
  <c r="L121" i="39"/>
  <c r="N121" i="39" s="1"/>
  <c r="B121" i="39"/>
  <c r="X120" i="39"/>
  <c r="Z120" i="39" s="1"/>
  <c r="N120" i="39"/>
  <c r="L120" i="39"/>
  <c r="B120" i="39"/>
  <c r="Z119" i="39"/>
  <c r="X119" i="39"/>
  <c r="T119" i="39"/>
  <c r="P119" i="39"/>
  <c r="H119" i="39"/>
  <c r="D119" i="39"/>
  <c r="L119" i="39" s="1"/>
  <c r="B119" i="39"/>
  <c r="X118" i="39"/>
  <c r="Z118" i="39" s="1"/>
  <c r="L118" i="39"/>
  <c r="N118" i="39" s="1"/>
  <c r="B118" i="39"/>
  <c r="X117" i="39"/>
  <c r="Z117" i="39" s="1"/>
  <c r="T117" i="39"/>
  <c r="P117" i="39"/>
  <c r="H117" i="39"/>
  <c r="D117" i="39"/>
  <c r="L117" i="39" s="1"/>
  <c r="N117" i="39" s="1"/>
  <c r="B117" i="39"/>
  <c r="X116" i="39"/>
  <c r="Z116" i="39" s="1"/>
  <c r="L116" i="39"/>
  <c r="N116" i="39" s="1"/>
  <c r="B116" i="39"/>
  <c r="T115" i="39"/>
  <c r="P115" i="39"/>
  <c r="H115" i="39"/>
  <c r="D115" i="39"/>
  <c r="L115" i="39" s="1"/>
  <c r="N115" i="39" s="1"/>
  <c r="B115" i="39"/>
  <c r="X114" i="39"/>
  <c r="Z114" i="39" s="1"/>
  <c r="L114" i="39"/>
  <c r="N114" i="39" s="1"/>
  <c r="B114" i="39"/>
  <c r="Z113" i="39"/>
  <c r="X113" i="39"/>
  <c r="L113" i="39"/>
  <c r="N113" i="39" s="1"/>
  <c r="B113" i="39"/>
  <c r="X112" i="39"/>
  <c r="Z112" i="39" s="1"/>
  <c r="N112" i="39"/>
  <c r="L112" i="39"/>
  <c r="B112" i="39"/>
  <c r="Z111" i="39"/>
  <c r="X111" i="39"/>
  <c r="N111" i="39"/>
  <c r="L111" i="39"/>
  <c r="B111" i="39"/>
  <c r="X110" i="39"/>
  <c r="Z110" i="39" s="1"/>
  <c r="L110" i="39"/>
  <c r="N110" i="39" s="1"/>
  <c r="B110" i="39"/>
  <c r="Z109" i="39"/>
  <c r="X109" i="39"/>
  <c r="L109" i="39"/>
  <c r="N109" i="39" s="1"/>
  <c r="B109" i="39"/>
  <c r="X108" i="39"/>
  <c r="Z108" i="39" s="1"/>
  <c r="N108" i="39"/>
  <c r="L108" i="39"/>
  <c r="B108" i="39"/>
  <c r="Z107" i="39"/>
  <c r="X107" i="39"/>
  <c r="N107" i="39"/>
  <c r="L107" i="39"/>
  <c r="B107" i="39"/>
  <c r="Z106" i="39"/>
  <c r="X106" i="39"/>
  <c r="N106" i="39"/>
  <c r="L106" i="39"/>
  <c r="B106" i="39"/>
  <c r="Z105" i="39"/>
  <c r="X105" i="39"/>
  <c r="L105" i="39"/>
  <c r="N105" i="39" s="1"/>
  <c r="B105" i="39"/>
  <c r="X104" i="39"/>
  <c r="T104" i="39"/>
  <c r="Z104" i="39" s="1"/>
  <c r="P104" i="39"/>
  <c r="H104" i="39"/>
  <c r="D104" i="39"/>
  <c r="L104" i="39" s="1"/>
  <c r="B104" i="39"/>
  <c r="Z103" i="39"/>
  <c r="X103" i="39"/>
  <c r="L103" i="39"/>
  <c r="N103" i="39" s="1"/>
  <c r="B103" i="39"/>
  <c r="X102" i="39"/>
  <c r="Z102" i="39" s="1"/>
  <c r="N102" i="39"/>
  <c r="L102" i="39"/>
  <c r="B102" i="39"/>
  <c r="X101" i="39"/>
  <c r="Z101" i="39" s="1"/>
  <c r="T101" i="39"/>
  <c r="P101" i="39"/>
  <c r="H101" i="39"/>
  <c r="D101" i="39"/>
  <c r="L101" i="39" s="1"/>
  <c r="N101" i="39" s="1"/>
  <c r="B101" i="39"/>
  <c r="X100" i="39"/>
  <c r="Z100" i="39" s="1"/>
  <c r="L100" i="39"/>
  <c r="N100" i="39" s="1"/>
  <c r="B100" i="39"/>
  <c r="X99" i="39"/>
  <c r="Z99" i="39" s="1"/>
  <c r="N99" i="39"/>
  <c r="L99" i="39"/>
  <c r="B99" i="39"/>
  <c r="X98" i="39"/>
  <c r="Z98" i="39" s="1"/>
  <c r="L98" i="39"/>
  <c r="N98" i="39" s="1"/>
  <c r="B98" i="39"/>
  <c r="Z97" i="39"/>
  <c r="X97" i="39"/>
  <c r="N97" i="39"/>
  <c r="L97" i="39"/>
  <c r="B97" i="39"/>
  <c r="X96" i="39"/>
  <c r="Z96" i="39" s="1"/>
  <c r="L96" i="39"/>
  <c r="N96" i="39" s="1"/>
  <c r="B96" i="39"/>
  <c r="T95" i="39"/>
  <c r="Z95" i="39" s="1"/>
  <c r="P95" i="39"/>
  <c r="X95" i="39" s="1"/>
  <c r="H95" i="39"/>
  <c r="D95" i="39"/>
  <c r="L95" i="39" s="1"/>
  <c r="N95" i="39" s="1"/>
  <c r="B95" i="39"/>
  <c r="X94" i="39"/>
  <c r="Z94" i="39" s="1"/>
  <c r="L94" i="39"/>
  <c r="N94" i="39" s="1"/>
  <c r="B94" i="39"/>
  <c r="Z93" i="39"/>
  <c r="X93" i="39"/>
  <c r="L93" i="39"/>
  <c r="N93" i="39" s="1"/>
  <c r="B93" i="39"/>
  <c r="X92" i="39"/>
  <c r="T92" i="39"/>
  <c r="Z92" i="39" s="1"/>
  <c r="P92" i="39"/>
  <c r="H92" i="39"/>
  <c r="D92" i="39"/>
  <c r="B92" i="39"/>
  <c r="Z91" i="39"/>
  <c r="X91" i="39"/>
  <c r="L91" i="39"/>
  <c r="N91" i="39" s="1"/>
  <c r="B91" i="39"/>
  <c r="X90" i="39"/>
  <c r="Z90" i="39" s="1"/>
  <c r="L90" i="39"/>
  <c r="N90" i="39" s="1"/>
  <c r="B90" i="39"/>
  <c r="X89" i="39"/>
  <c r="Z89" i="39" s="1"/>
  <c r="N89" i="39"/>
  <c r="L89" i="39"/>
  <c r="B89" i="39"/>
  <c r="Z88" i="39"/>
  <c r="X88" i="39"/>
  <c r="N88" i="39"/>
  <c r="L88" i="39"/>
  <c r="B88" i="39"/>
  <c r="Z87" i="39"/>
  <c r="T87" i="39"/>
  <c r="P87" i="39"/>
  <c r="X87" i="39" s="1"/>
  <c r="L87" i="39"/>
  <c r="N87" i="39" s="1"/>
  <c r="H87" i="39"/>
  <c r="D87" i="39"/>
  <c r="B87" i="39"/>
  <c r="X86" i="39"/>
  <c r="Z86" i="39" s="1"/>
  <c r="L86" i="39"/>
  <c r="N86" i="39" s="1"/>
  <c r="B86" i="39"/>
  <c r="T85" i="39"/>
  <c r="P85" i="39"/>
  <c r="X85" i="39" s="1"/>
  <c r="Z85" i="39" s="1"/>
  <c r="H85" i="39"/>
  <c r="D85" i="39"/>
  <c r="L85" i="39" s="1"/>
  <c r="B85" i="39"/>
  <c r="X84" i="39"/>
  <c r="Z84" i="39" s="1"/>
  <c r="N84" i="39"/>
  <c r="L84" i="39"/>
  <c r="B84" i="39"/>
  <c r="Z83" i="39"/>
  <c r="X83" i="39"/>
  <c r="T83" i="39"/>
  <c r="P83" i="39"/>
  <c r="H83" i="39"/>
  <c r="N83" i="39" s="1"/>
  <c r="D83" i="39"/>
  <c r="L83" i="39" s="1"/>
  <c r="B83" i="39"/>
  <c r="X82" i="39"/>
  <c r="Z82" i="39" s="1"/>
  <c r="L82" i="39"/>
  <c r="N82" i="39" s="1"/>
  <c r="B82" i="39"/>
  <c r="X81" i="39"/>
  <c r="Z81" i="39" s="1"/>
  <c r="T81" i="39"/>
  <c r="P81" i="39"/>
  <c r="N81" i="39"/>
  <c r="H81" i="39"/>
  <c r="D81" i="39"/>
  <c r="L81" i="39" s="1"/>
  <c r="B81" i="39"/>
  <c r="X80" i="39"/>
  <c r="Z80" i="39" s="1"/>
  <c r="L80" i="39"/>
  <c r="N80" i="39" s="1"/>
  <c r="B80" i="39"/>
  <c r="T79" i="39"/>
  <c r="Z79" i="39" s="1"/>
  <c r="P79" i="39"/>
  <c r="X79" i="39" s="1"/>
  <c r="H79" i="39"/>
  <c r="D79" i="39"/>
  <c r="L79" i="39" s="1"/>
  <c r="N79" i="39" s="1"/>
  <c r="B79" i="39"/>
  <c r="X78" i="39"/>
  <c r="Z78" i="39" s="1"/>
  <c r="L78" i="39"/>
  <c r="N78" i="39" s="1"/>
  <c r="B78" i="39"/>
  <c r="Z77" i="39"/>
  <c r="X77" i="39"/>
  <c r="N77" i="39"/>
  <c r="L77" i="39"/>
  <c r="B77" i="39"/>
  <c r="X76" i="39"/>
  <c r="T76" i="39"/>
  <c r="Z76" i="39" s="1"/>
  <c r="P76" i="39"/>
  <c r="H76" i="39"/>
  <c r="D76" i="39"/>
  <c r="B76" i="39"/>
  <c r="Z75" i="39"/>
  <c r="X75" i="39"/>
  <c r="N75" i="39"/>
  <c r="L75" i="39"/>
  <c r="B75" i="39"/>
  <c r="X74" i="39"/>
  <c r="Z74" i="39" s="1"/>
  <c r="L74" i="39"/>
  <c r="N74" i="39" s="1"/>
  <c r="B74" i="39"/>
  <c r="X73" i="39"/>
  <c r="Z73" i="39" s="1"/>
  <c r="T73" i="39"/>
  <c r="P73" i="39"/>
  <c r="N73" i="39"/>
  <c r="H73" i="39"/>
  <c r="D73" i="39"/>
  <c r="L73" i="39" s="1"/>
  <c r="B73" i="39"/>
  <c r="X72" i="39"/>
  <c r="Z72" i="39" s="1"/>
  <c r="L72" i="39"/>
  <c r="N72" i="39" s="1"/>
  <c r="B72" i="39"/>
  <c r="T71" i="39"/>
  <c r="P71" i="39"/>
  <c r="X71" i="39" s="1"/>
  <c r="H71" i="39"/>
  <c r="D71" i="39"/>
  <c r="L71" i="39" s="1"/>
  <c r="N71" i="39" s="1"/>
  <c r="B71" i="39"/>
  <c r="X70" i="39"/>
  <c r="Z70" i="39" s="1"/>
  <c r="L70" i="39"/>
  <c r="N70" i="39" s="1"/>
  <c r="B70" i="39"/>
  <c r="T69" i="39"/>
  <c r="P69" i="39"/>
  <c r="X69" i="39" s="1"/>
  <c r="N69" i="39"/>
  <c r="L69" i="39"/>
  <c r="H69" i="39"/>
  <c r="D69" i="39"/>
  <c r="B69" i="39"/>
  <c r="Z68" i="39"/>
  <c r="X68" i="39"/>
  <c r="N68" i="39"/>
  <c r="L68" i="39"/>
  <c r="B68" i="39"/>
  <c r="Z67" i="39"/>
  <c r="T67" i="39"/>
  <c r="P67" i="39"/>
  <c r="X67" i="39" s="1"/>
  <c r="N67" i="39"/>
  <c r="L67" i="39"/>
  <c r="H67" i="39"/>
  <c r="D67" i="39"/>
  <c r="B67" i="39"/>
  <c r="X66" i="39"/>
  <c r="Z66" i="39" s="1"/>
  <c r="L66" i="39"/>
  <c r="N66" i="39" s="1"/>
  <c r="B66" i="39"/>
  <c r="T65" i="39"/>
  <c r="P65" i="39"/>
  <c r="X65" i="39" s="1"/>
  <c r="Z65" i="39" s="1"/>
  <c r="H65" i="39"/>
  <c r="N65" i="39" s="1"/>
  <c r="D65" i="39"/>
  <c r="L65" i="39" s="1"/>
  <c r="B65" i="39"/>
  <c r="X64" i="39"/>
  <c r="Z64" i="39" s="1"/>
  <c r="N64" i="39"/>
  <c r="L64" i="39"/>
  <c r="B64" i="39"/>
  <c r="Z63" i="39"/>
  <c r="X63" i="39"/>
  <c r="N63" i="39"/>
  <c r="L63" i="39"/>
  <c r="B63" i="39"/>
  <c r="X62" i="39"/>
  <c r="Z62" i="39" s="1"/>
  <c r="L62" i="39"/>
  <c r="N62" i="39" s="1"/>
  <c r="B62" i="39"/>
  <c r="T61" i="39"/>
  <c r="P61" i="39"/>
  <c r="X61" i="39" s="1"/>
  <c r="N61" i="39"/>
  <c r="L61" i="39"/>
  <c r="H61" i="39"/>
  <c r="D61" i="39"/>
  <c r="B61" i="39"/>
  <c r="Z60" i="39"/>
  <c r="X60" i="39"/>
  <c r="N60" i="39"/>
  <c r="L60" i="39"/>
  <c r="B60" i="39"/>
  <c r="Z59" i="39"/>
  <c r="T59" i="39"/>
  <c r="P59" i="39"/>
  <c r="X59" i="39" s="1"/>
  <c r="L59" i="39"/>
  <c r="N59" i="39" s="1"/>
  <c r="H59" i="39"/>
  <c r="D59" i="39"/>
  <c r="B59" i="39"/>
  <c r="X58" i="39"/>
  <c r="Z58" i="39" s="1"/>
  <c r="L58" i="39"/>
  <c r="N58" i="39" s="1"/>
  <c r="B58" i="39"/>
  <c r="T57" i="39"/>
  <c r="P57" i="39"/>
  <c r="X57" i="39" s="1"/>
  <c r="Z57" i="39" s="1"/>
  <c r="H57" i="39"/>
  <c r="D57" i="39"/>
  <c r="L57" i="39" s="1"/>
  <c r="B57" i="39"/>
  <c r="X56" i="39"/>
  <c r="Z56" i="39" s="1"/>
  <c r="N56" i="39"/>
  <c r="L56" i="39"/>
  <c r="B56" i="39"/>
  <c r="Z55" i="39"/>
  <c r="X55" i="39"/>
  <c r="T55" i="39"/>
  <c r="P55" i="39"/>
  <c r="H55" i="39"/>
  <c r="N55" i="39" s="1"/>
  <c r="D55" i="39"/>
  <c r="L55" i="39" s="1"/>
  <c r="B55" i="39"/>
  <c r="X54" i="39"/>
  <c r="Z54" i="39" s="1"/>
  <c r="N54" i="39"/>
  <c r="L54" i="39"/>
  <c r="B54" i="39"/>
  <c r="X53" i="39"/>
  <c r="Z53" i="39" s="1"/>
  <c r="N53" i="39"/>
  <c r="L53" i="39"/>
  <c r="B53" i="39"/>
  <c r="Z52" i="39"/>
  <c r="X52" i="39"/>
  <c r="N52" i="39"/>
  <c r="L52" i="39"/>
  <c r="B52" i="39"/>
  <c r="Z51" i="39"/>
  <c r="X51" i="39"/>
  <c r="L51" i="39"/>
  <c r="N51" i="39" s="1"/>
  <c r="B51" i="39"/>
  <c r="X50" i="39"/>
  <c r="Z50" i="39" s="1"/>
  <c r="L50" i="39"/>
  <c r="N50" i="39" s="1"/>
  <c r="B50" i="39"/>
  <c r="X49" i="39"/>
  <c r="Z49" i="39" s="1"/>
  <c r="N49" i="39"/>
  <c r="L49" i="39"/>
  <c r="B49" i="39"/>
  <c r="Z48" i="39"/>
  <c r="X48" i="39"/>
  <c r="L48" i="39"/>
  <c r="N48" i="39" s="1"/>
  <c r="B48" i="39"/>
  <c r="Z47" i="39"/>
  <c r="T47" i="39"/>
  <c r="P47" i="39"/>
  <c r="X47" i="39" s="1"/>
  <c r="L47" i="39"/>
  <c r="H47" i="39"/>
  <c r="D47" i="39"/>
  <c r="B47" i="39"/>
  <c r="X46" i="39"/>
  <c r="Z46" i="39" s="1"/>
  <c r="L46" i="39"/>
  <c r="N46" i="39" s="1"/>
  <c r="B46" i="39"/>
  <c r="Z45" i="39"/>
  <c r="X45" i="39"/>
  <c r="N45" i="39"/>
  <c r="L45" i="39"/>
  <c r="B45" i="39"/>
  <c r="Z44" i="39"/>
  <c r="X44" i="39"/>
  <c r="L44" i="39"/>
  <c r="N44" i="39" s="1"/>
  <c r="B44" i="39"/>
  <c r="X43" i="39"/>
  <c r="Z43" i="39" s="1"/>
  <c r="N43" i="39"/>
  <c r="L43" i="39"/>
  <c r="B43" i="39"/>
  <c r="X42" i="39"/>
  <c r="Z42" i="39" s="1"/>
  <c r="L42" i="39"/>
  <c r="N42" i="39" s="1"/>
  <c r="B42" i="39"/>
  <c r="Z41" i="39"/>
  <c r="X41" i="39"/>
  <c r="N41" i="39"/>
  <c r="L41" i="39"/>
  <c r="B41" i="39"/>
  <c r="X40" i="39"/>
  <c r="Z40" i="39" s="1"/>
  <c r="L40" i="39"/>
  <c r="N40" i="39" s="1"/>
  <c r="B40" i="39"/>
  <c r="X39" i="39"/>
  <c r="Z39" i="39" s="1"/>
  <c r="N39" i="39"/>
  <c r="L39" i="39"/>
  <c r="B39" i="39"/>
  <c r="X38" i="39"/>
  <c r="Z38" i="39" s="1"/>
  <c r="L38" i="39"/>
  <c r="N38" i="39" s="1"/>
  <c r="B38" i="39"/>
  <c r="Z37" i="39"/>
  <c r="T37" i="39"/>
  <c r="P37" i="39"/>
  <c r="X37" i="39" s="1"/>
  <c r="H37" i="39"/>
  <c r="D37" i="39"/>
  <c r="L37" i="39" s="1"/>
  <c r="B37" i="39"/>
  <c r="X36" i="39"/>
  <c r="T36" i="39"/>
  <c r="Z36" i="39" s="1"/>
  <c r="P36" i="39"/>
  <c r="H36" i="39"/>
  <c r="D36" i="39"/>
  <c r="L36" i="39" s="1"/>
  <c r="X32" i="39"/>
  <c r="Z32" i="39" s="1"/>
  <c r="N32" i="39"/>
  <c r="L32" i="39"/>
  <c r="B32" i="39"/>
  <c r="X31" i="39"/>
  <c r="Z31" i="39" s="1"/>
  <c r="N31" i="39"/>
  <c r="L31" i="39"/>
  <c r="B31" i="39"/>
  <c r="X30" i="39"/>
  <c r="T30" i="39"/>
  <c r="P30" i="39"/>
  <c r="L30" i="39"/>
  <c r="H30" i="39"/>
  <c r="N30" i="39" s="1"/>
  <c r="D30" i="39"/>
  <c r="X28" i="39"/>
  <c r="T28" i="39"/>
  <c r="P28" i="39"/>
  <c r="N28" i="39"/>
  <c r="L28" i="39"/>
  <c r="H28" i="39"/>
  <c r="D28" i="39"/>
  <c r="B28" i="39"/>
  <c r="T27" i="39"/>
  <c r="P27" i="39"/>
  <c r="X27" i="39" s="1"/>
  <c r="Z27" i="39" s="1"/>
  <c r="H27" i="39"/>
  <c r="D27" i="39"/>
  <c r="B27" i="39"/>
  <c r="X26" i="39"/>
  <c r="T26" i="39"/>
  <c r="P26" i="39"/>
  <c r="H26" i="39"/>
  <c r="D26" i="39"/>
  <c r="L26" i="39" s="1"/>
  <c r="B26" i="39"/>
  <c r="T25" i="39"/>
  <c r="P25" i="39"/>
  <c r="N25" i="39"/>
  <c r="H25" i="39"/>
  <c r="L25" i="39" s="1"/>
  <c r="D25" i="39"/>
  <c r="B25" i="39"/>
  <c r="T24" i="39"/>
  <c r="P24" i="39"/>
  <c r="X24" i="39" s="1"/>
  <c r="H24" i="39"/>
  <c r="D24" i="39"/>
  <c r="L24" i="39" s="1"/>
  <c r="N24" i="39" s="1"/>
  <c r="B24" i="39"/>
  <c r="T23" i="39"/>
  <c r="P23" i="39"/>
  <c r="X23" i="39" s="1"/>
  <c r="Z23" i="39" s="1"/>
  <c r="N23" i="39"/>
  <c r="L23" i="39"/>
  <c r="H23" i="39"/>
  <c r="D23" i="39"/>
  <c r="B23" i="39"/>
  <c r="X22" i="39"/>
  <c r="T22" i="39"/>
  <c r="P22" i="39"/>
  <c r="H22" i="39"/>
  <c r="D22" i="39"/>
  <c r="L22" i="39" s="1"/>
  <c r="B22" i="39"/>
  <c r="T21" i="39"/>
  <c r="P21" i="39"/>
  <c r="N21" i="39"/>
  <c r="H21" i="39"/>
  <c r="L21" i="39" s="1"/>
  <c r="D21" i="39"/>
  <c r="B21" i="39"/>
  <c r="T20" i="39"/>
  <c r="P20" i="39"/>
  <c r="X20" i="39" s="1"/>
  <c r="H20" i="39"/>
  <c r="D20" i="39"/>
  <c r="L20" i="39" s="1"/>
  <c r="N20" i="39" s="1"/>
  <c r="B20" i="39"/>
  <c r="T19" i="39"/>
  <c r="P19" i="39"/>
  <c r="X19" i="39" s="1"/>
  <c r="Z19" i="39" s="1"/>
  <c r="H19" i="39"/>
  <c r="D19" i="39"/>
  <c r="L19" i="39" s="1"/>
  <c r="B19" i="39"/>
  <c r="X18" i="39"/>
  <c r="T18" i="39"/>
  <c r="P18" i="39"/>
  <c r="H18" i="39"/>
  <c r="N18" i="39" s="1"/>
  <c r="D18" i="39"/>
  <c r="L18" i="39" s="1"/>
  <c r="B18" i="39"/>
  <c r="Z17" i="39"/>
  <c r="X17" i="39"/>
  <c r="T17" i="39"/>
  <c r="P17" i="39"/>
  <c r="H17" i="39"/>
  <c r="L17" i="39" s="1"/>
  <c r="N17" i="39" s="1"/>
  <c r="D17" i="39"/>
  <c r="B17" i="39"/>
  <c r="X16" i="39"/>
  <c r="T16" i="39"/>
  <c r="P16" i="39"/>
  <c r="L16" i="39"/>
  <c r="N16" i="39" s="1"/>
  <c r="H16" i="39"/>
  <c r="D16" i="39"/>
  <c r="B16" i="39"/>
  <c r="T15" i="39"/>
  <c r="P15" i="39"/>
  <c r="X15" i="39" s="1"/>
  <c r="Z15" i="39" s="1"/>
  <c r="H15" i="39"/>
  <c r="D15" i="39"/>
  <c r="L15" i="39" s="1"/>
  <c r="B15" i="39"/>
  <c r="X14" i="39"/>
  <c r="T14" i="39"/>
  <c r="Z14" i="39" s="1"/>
  <c r="P14" i="39"/>
  <c r="H14" i="39"/>
  <c r="D14" i="39"/>
  <c r="L14" i="39" s="1"/>
  <c r="B14" i="39"/>
  <c r="Z13" i="39"/>
  <c r="X13" i="39"/>
  <c r="T13" i="39"/>
  <c r="P13" i="39"/>
  <c r="N13" i="39"/>
  <c r="H13" i="39"/>
  <c r="L13" i="39" s="1"/>
  <c r="D13" i="39"/>
  <c r="B13" i="39"/>
  <c r="D4" i="39"/>
  <c r="X128" i="36"/>
  <c r="Z128" i="36" s="1"/>
  <c r="N128" i="36"/>
  <c r="L128" i="36"/>
  <c r="T124" i="36"/>
  <c r="P124" i="36"/>
  <c r="X124" i="36" s="1"/>
  <c r="Z124" i="36" s="1"/>
  <c r="H124" i="36"/>
  <c r="D124" i="36"/>
  <c r="B124" i="36"/>
  <c r="T123" i="36"/>
  <c r="P123" i="36"/>
  <c r="X123" i="36" s="1"/>
  <c r="Z123" i="36" s="1"/>
  <c r="H123" i="36"/>
  <c r="D123" i="36"/>
  <c r="B123" i="36"/>
  <c r="T122" i="36"/>
  <c r="P122" i="36"/>
  <c r="X122" i="36" s="1"/>
  <c r="Z122" i="36" s="1"/>
  <c r="H122" i="36"/>
  <c r="D122" i="36"/>
  <c r="B122" i="36"/>
  <c r="T121" i="36"/>
  <c r="Z119" i="36"/>
  <c r="X119" i="36"/>
  <c r="N119" i="36"/>
  <c r="L119" i="36"/>
  <c r="B119" i="36"/>
  <c r="T118" i="36"/>
  <c r="P118" i="36"/>
  <c r="X118" i="36" s="1"/>
  <c r="H118" i="36"/>
  <c r="D118" i="36"/>
  <c r="B118" i="36"/>
  <c r="Z117" i="36"/>
  <c r="X117" i="36"/>
  <c r="N117" i="36"/>
  <c r="L117" i="36"/>
  <c r="B117" i="36"/>
  <c r="Z116" i="36"/>
  <c r="X116" i="36"/>
  <c r="N116" i="36"/>
  <c r="L116" i="36"/>
  <c r="B116" i="36"/>
  <c r="Z115" i="36"/>
  <c r="X115" i="36"/>
  <c r="L115" i="36"/>
  <c r="N115" i="36" s="1"/>
  <c r="B115" i="36"/>
  <c r="T114" i="36"/>
  <c r="P114" i="36"/>
  <c r="X114" i="36" s="1"/>
  <c r="H114" i="36"/>
  <c r="D114" i="36"/>
  <c r="B114" i="36"/>
  <c r="Z113" i="36"/>
  <c r="X113" i="36"/>
  <c r="L113" i="36"/>
  <c r="N113" i="36" s="1"/>
  <c r="B113" i="36"/>
  <c r="T112" i="36"/>
  <c r="P112" i="36"/>
  <c r="X112" i="36" s="1"/>
  <c r="Z112" i="36" s="1"/>
  <c r="N112" i="36"/>
  <c r="L112" i="36"/>
  <c r="H112" i="36"/>
  <c r="F112" i="36"/>
  <c r="D112" i="36"/>
  <c r="B112" i="36"/>
  <c r="Z111" i="36"/>
  <c r="X111" i="36"/>
  <c r="N111" i="36"/>
  <c r="L111" i="36"/>
  <c r="B111" i="36"/>
  <c r="Z110" i="36"/>
  <c r="T110" i="36"/>
  <c r="P110" i="36"/>
  <c r="X110" i="36" s="1"/>
  <c r="H110" i="36"/>
  <c r="D110" i="36"/>
  <c r="B110" i="36"/>
  <c r="Z109" i="36"/>
  <c r="X109" i="36"/>
  <c r="N109" i="36"/>
  <c r="L109" i="36"/>
  <c r="B109" i="36"/>
  <c r="Z108" i="36"/>
  <c r="X108" i="36"/>
  <c r="N108" i="36"/>
  <c r="L108" i="36"/>
  <c r="B108" i="36"/>
  <c r="Z107" i="36"/>
  <c r="X107" i="36"/>
  <c r="N107" i="36"/>
  <c r="L107" i="36"/>
  <c r="F107" i="36"/>
  <c r="B107" i="36"/>
  <c r="X106" i="36"/>
  <c r="Z106" i="36" s="1"/>
  <c r="N106" i="36"/>
  <c r="L106" i="36"/>
  <c r="B106" i="36"/>
  <c r="Z105" i="36"/>
  <c r="X105" i="36"/>
  <c r="L105" i="36"/>
  <c r="N105" i="36" s="1"/>
  <c r="B105" i="36"/>
  <c r="Z104" i="36"/>
  <c r="X104" i="36"/>
  <c r="N104" i="36"/>
  <c r="L104" i="36"/>
  <c r="B104" i="36"/>
  <c r="Z103" i="36"/>
  <c r="X103" i="36"/>
  <c r="L103" i="36"/>
  <c r="N103" i="36" s="1"/>
  <c r="B103" i="36"/>
  <c r="X102" i="36"/>
  <c r="Z102" i="36" s="1"/>
  <c r="L102" i="36"/>
  <c r="N102" i="36" s="1"/>
  <c r="B102" i="36"/>
  <c r="Z101" i="36"/>
  <c r="X101" i="36"/>
  <c r="N101" i="36"/>
  <c r="L101" i="36"/>
  <c r="B101" i="36"/>
  <c r="Z100" i="36"/>
  <c r="X100" i="36"/>
  <c r="N100" i="36"/>
  <c r="L100" i="36"/>
  <c r="B100" i="36"/>
  <c r="T99" i="36"/>
  <c r="P99" i="36"/>
  <c r="X99" i="36" s="1"/>
  <c r="Z99" i="36" s="1"/>
  <c r="N99" i="36"/>
  <c r="H99" i="36"/>
  <c r="D99" i="36"/>
  <c r="L99" i="36" s="1"/>
  <c r="B99" i="36"/>
  <c r="Z98" i="36"/>
  <c r="X98" i="36"/>
  <c r="L98" i="36"/>
  <c r="N98" i="36" s="1"/>
  <c r="B98" i="36"/>
  <c r="Z97" i="36"/>
  <c r="X97" i="36"/>
  <c r="N97" i="36"/>
  <c r="L97" i="36"/>
  <c r="B97" i="36"/>
  <c r="Z96" i="36"/>
  <c r="X96" i="36"/>
  <c r="T96" i="36"/>
  <c r="P96" i="36"/>
  <c r="N96" i="36"/>
  <c r="L96" i="36"/>
  <c r="H96" i="36"/>
  <c r="D96" i="36"/>
  <c r="B96" i="36"/>
  <c r="Z95" i="36"/>
  <c r="X95" i="36"/>
  <c r="N95" i="36"/>
  <c r="L95" i="36"/>
  <c r="B95" i="36"/>
  <c r="Z94" i="36"/>
  <c r="X94" i="36"/>
  <c r="L94" i="36"/>
  <c r="N94" i="36" s="1"/>
  <c r="B94" i="36"/>
  <c r="Z93" i="36"/>
  <c r="X93" i="36"/>
  <c r="N93" i="36"/>
  <c r="L93" i="36"/>
  <c r="B93" i="36"/>
  <c r="Z92" i="36"/>
  <c r="X92" i="36"/>
  <c r="N92" i="36"/>
  <c r="L92" i="36"/>
  <c r="B92" i="36"/>
  <c r="Z91" i="36"/>
  <c r="X91" i="36"/>
  <c r="N91" i="36"/>
  <c r="L91" i="36"/>
  <c r="B91" i="36"/>
  <c r="T90" i="36"/>
  <c r="P90" i="36"/>
  <c r="L90" i="36"/>
  <c r="N90" i="36" s="1"/>
  <c r="H90" i="36"/>
  <c r="D90" i="36"/>
  <c r="B90" i="36"/>
  <c r="X89" i="36"/>
  <c r="Z89" i="36" s="1"/>
  <c r="N89" i="36"/>
  <c r="L89" i="36"/>
  <c r="F89" i="36"/>
  <c r="B89" i="36"/>
  <c r="Z88" i="36"/>
  <c r="X88" i="36"/>
  <c r="L88" i="36"/>
  <c r="N88" i="36" s="1"/>
  <c r="B88" i="36"/>
  <c r="T87" i="36"/>
  <c r="P87" i="36"/>
  <c r="H87" i="36"/>
  <c r="D87" i="36"/>
  <c r="L87" i="36" s="1"/>
  <c r="N87" i="36" s="1"/>
  <c r="B87" i="36"/>
  <c r="X86" i="36"/>
  <c r="Z86" i="36" s="1"/>
  <c r="N86" i="36"/>
  <c r="L86" i="36"/>
  <c r="B86" i="36"/>
  <c r="X85" i="36"/>
  <c r="Z85" i="36" s="1"/>
  <c r="L85" i="36"/>
  <c r="N85" i="36" s="1"/>
  <c r="F85" i="36"/>
  <c r="B85" i="36"/>
  <c r="X84" i="36"/>
  <c r="Z84" i="36" s="1"/>
  <c r="N84" i="36"/>
  <c r="L84" i="36"/>
  <c r="B84" i="36"/>
  <c r="X83" i="36"/>
  <c r="Z83" i="36" s="1"/>
  <c r="N83" i="36"/>
  <c r="L83" i="36"/>
  <c r="B83" i="36"/>
  <c r="X82" i="36"/>
  <c r="Z82" i="36" s="1"/>
  <c r="T82" i="36"/>
  <c r="P82" i="36"/>
  <c r="L82" i="36"/>
  <c r="N82" i="36" s="1"/>
  <c r="H82" i="36"/>
  <c r="D82" i="36"/>
  <c r="B82" i="36"/>
  <c r="X81" i="36"/>
  <c r="Z81" i="36" s="1"/>
  <c r="N81" i="36"/>
  <c r="L81" i="36"/>
  <c r="B81" i="36"/>
  <c r="Z80" i="36"/>
  <c r="T80" i="36"/>
  <c r="X80" i="36" s="1"/>
  <c r="P80" i="36"/>
  <c r="L80" i="36"/>
  <c r="N80" i="36" s="1"/>
  <c r="H80" i="36"/>
  <c r="D80" i="36"/>
  <c r="B80" i="36"/>
  <c r="Z79" i="36"/>
  <c r="X79" i="36"/>
  <c r="N79" i="36"/>
  <c r="L79" i="36"/>
  <c r="B79" i="36"/>
  <c r="T78" i="36"/>
  <c r="P78" i="36"/>
  <c r="H78" i="36"/>
  <c r="D78" i="36"/>
  <c r="L78" i="36" s="1"/>
  <c r="B78" i="36"/>
  <c r="X77" i="36"/>
  <c r="Z77" i="36" s="1"/>
  <c r="N77" i="36"/>
  <c r="L77" i="36"/>
  <c r="B77" i="36"/>
  <c r="T76" i="36"/>
  <c r="P76" i="36"/>
  <c r="X76" i="36" s="1"/>
  <c r="Z76" i="36" s="1"/>
  <c r="N76" i="36"/>
  <c r="H76" i="36"/>
  <c r="D76" i="36"/>
  <c r="L76" i="36" s="1"/>
  <c r="B76" i="36"/>
  <c r="Z75" i="36"/>
  <c r="X75" i="36"/>
  <c r="L75" i="36"/>
  <c r="N75" i="36" s="1"/>
  <c r="B75" i="36"/>
  <c r="T74" i="36"/>
  <c r="P74" i="36"/>
  <c r="L74" i="36"/>
  <c r="N74" i="36" s="1"/>
  <c r="H74" i="36"/>
  <c r="D74" i="36"/>
  <c r="B74" i="36"/>
  <c r="X73" i="36"/>
  <c r="Z73" i="36" s="1"/>
  <c r="L73" i="36"/>
  <c r="N73" i="36" s="1"/>
  <c r="F73" i="36"/>
  <c r="B73" i="36"/>
  <c r="T72" i="36"/>
  <c r="Z72" i="36" s="1"/>
  <c r="P72" i="36"/>
  <c r="X72" i="36" s="1"/>
  <c r="H72" i="36"/>
  <c r="F72" i="36"/>
  <c r="D72" i="36"/>
  <c r="B72" i="36"/>
  <c r="Z71" i="36"/>
  <c r="X71" i="36"/>
  <c r="N71" i="36"/>
  <c r="L71" i="36"/>
  <c r="B71" i="36"/>
  <c r="Z70" i="36"/>
  <c r="X70" i="36"/>
  <c r="N70" i="36"/>
  <c r="L70" i="36"/>
  <c r="B70" i="36"/>
  <c r="T69" i="36"/>
  <c r="P69" i="36"/>
  <c r="X69" i="36" s="1"/>
  <c r="H69" i="36"/>
  <c r="D69" i="36"/>
  <c r="L69" i="36" s="1"/>
  <c r="B69" i="36"/>
  <c r="Z68" i="36"/>
  <c r="X68" i="36"/>
  <c r="N68" i="36"/>
  <c r="L68" i="36"/>
  <c r="B68" i="36"/>
  <c r="Z67" i="36"/>
  <c r="T67" i="36"/>
  <c r="P67" i="36"/>
  <c r="X67" i="36" s="1"/>
  <c r="H67" i="36"/>
  <c r="N67" i="36" s="1"/>
  <c r="D67" i="36"/>
  <c r="L67" i="36" s="1"/>
  <c r="B67" i="36"/>
  <c r="Z66" i="36"/>
  <c r="X66" i="36"/>
  <c r="N66" i="36"/>
  <c r="L66" i="36"/>
  <c r="B66" i="36"/>
  <c r="T65" i="36"/>
  <c r="P65" i="36"/>
  <c r="L65" i="36"/>
  <c r="N65" i="36" s="1"/>
  <c r="H65" i="36"/>
  <c r="D65" i="36"/>
  <c r="B65" i="36"/>
  <c r="X64" i="36"/>
  <c r="Z64" i="36" s="1"/>
  <c r="L64" i="36"/>
  <c r="N64" i="36" s="1"/>
  <c r="B64" i="36"/>
  <c r="T63" i="36"/>
  <c r="P63" i="36"/>
  <c r="X63" i="36" s="1"/>
  <c r="H63" i="36"/>
  <c r="D63" i="36"/>
  <c r="L63" i="36" s="1"/>
  <c r="B63" i="36"/>
  <c r="Z62" i="36"/>
  <c r="X62" i="36"/>
  <c r="N62" i="36"/>
  <c r="L62" i="36"/>
  <c r="F62" i="36"/>
  <c r="B62" i="36"/>
  <c r="T61" i="36"/>
  <c r="P61" i="36"/>
  <c r="X61" i="36" s="1"/>
  <c r="H61" i="36"/>
  <c r="D61" i="36"/>
  <c r="B61" i="36"/>
  <c r="X60" i="36"/>
  <c r="Z60" i="36" s="1"/>
  <c r="N60" i="36"/>
  <c r="L60" i="36"/>
  <c r="B60" i="36"/>
  <c r="X59" i="36"/>
  <c r="Z59" i="36" s="1"/>
  <c r="T59" i="36"/>
  <c r="P59" i="36"/>
  <c r="H59" i="36"/>
  <c r="N59" i="36" s="1"/>
  <c r="D59" i="36"/>
  <c r="B59" i="36"/>
  <c r="Z58" i="36"/>
  <c r="X58" i="36"/>
  <c r="N58" i="36"/>
  <c r="L58" i="36"/>
  <c r="B58" i="36"/>
  <c r="X57" i="36"/>
  <c r="Z57" i="36" s="1"/>
  <c r="L57" i="36"/>
  <c r="N57" i="36" s="1"/>
  <c r="B57" i="36"/>
  <c r="X56" i="36"/>
  <c r="Z56" i="36" s="1"/>
  <c r="L56" i="36"/>
  <c r="N56" i="36" s="1"/>
  <c r="B56" i="36"/>
  <c r="T55" i="36"/>
  <c r="Z55" i="36" s="1"/>
  <c r="P55" i="36"/>
  <c r="X55" i="36" s="1"/>
  <c r="H55" i="36"/>
  <c r="D55" i="36"/>
  <c r="L55" i="36" s="1"/>
  <c r="B55" i="36"/>
  <c r="Z54" i="36"/>
  <c r="X54" i="36"/>
  <c r="N54" i="36"/>
  <c r="L54" i="36"/>
  <c r="F54" i="36"/>
  <c r="B54" i="36"/>
  <c r="T53" i="36"/>
  <c r="Z53" i="36" s="1"/>
  <c r="P53" i="36"/>
  <c r="X53" i="36" s="1"/>
  <c r="H53" i="36"/>
  <c r="D53" i="36"/>
  <c r="L53" i="36" s="1"/>
  <c r="N53" i="36" s="1"/>
  <c r="B53" i="36"/>
  <c r="X52" i="36"/>
  <c r="Z52" i="36" s="1"/>
  <c r="L52" i="36"/>
  <c r="N52" i="36" s="1"/>
  <c r="B52" i="36"/>
  <c r="Z51" i="36"/>
  <c r="X51" i="36"/>
  <c r="T51" i="36"/>
  <c r="P51" i="36"/>
  <c r="H51" i="36"/>
  <c r="D51" i="36"/>
  <c r="B51" i="36"/>
  <c r="Z50" i="36"/>
  <c r="X50" i="36"/>
  <c r="N50" i="36"/>
  <c r="L50" i="36"/>
  <c r="B50" i="36"/>
  <c r="T49" i="36"/>
  <c r="P49" i="36"/>
  <c r="X49" i="36" s="1"/>
  <c r="H49" i="36"/>
  <c r="N49" i="36" s="1"/>
  <c r="D49" i="36"/>
  <c r="L49" i="36" s="1"/>
  <c r="B49" i="36"/>
  <c r="X48" i="36"/>
  <c r="Z48" i="36" s="1"/>
  <c r="L48" i="36"/>
  <c r="N48" i="36" s="1"/>
  <c r="B48" i="36"/>
  <c r="Z47" i="36"/>
  <c r="X47" i="36"/>
  <c r="N47" i="36"/>
  <c r="L47" i="36"/>
  <c r="B47" i="36"/>
  <c r="Z46" i="36"/>
  <c r="X46" i="36"/>
  <c r="N46" i="36"/>
  <c r="L46" i="36"/>
  <c r="F46" i="36"/>
  <c r="B46" i="36"/>
  <c r="X45" i="36"/>
  <c r="Z45" i="36" s="1"/>
  <c r="L45" i="36"/>
  <c r="N45" i="36" s="1"/>
  <c r="B45" i="36"/>
  <c r="X44" i="36"/>
  <c r="Z44" i="36" s="1"/>
  <c r="L44" i="36"/>
  <c r="N44" i="36" s="1"/>
  <c r="B44" i="36"/>
  <c r="Z43" i="36"/>
  <c r="X43" i="36"/>
  <c r="L43" i="36"/>
  <c r="N43" i="36" s="1"/>
  <c r="B43" i="36"/>
  <c r="Z42" i="36"/>
  <c r="X42" i="36"/>
  <c r="N42" i="36"/>
  <c r="L42" i="36"/>
  <c r="F42" i="36"/>
  <c r="B42" i="36"/>
  <c r="T41" i="36"/>
  <c r="Z41" i="36" s="1"/>
  <c r="P41" i="36"/>
  <c r="X41" i="36" s="1"/>
  <c r="H41" i="36"/>
  <c r="D41" i="36"/>
  <c r="L41" i="36" s="1"/>
  <c r="N41" i="36" s="1"/>
  <c r="B41" i="36"/>
  <c r="X40" i="36"/>
  <c r="Z40" i="36" s="1"/>
  <c r="L40" i="36"/>
  <c r="N40" i="36" s="1"/>
  <c r="B40" i="36"/>
  <c r="Z39" i="36"/>
  <c r="X39" i="36"/>
  <c r="N39" i="36"/>
  <c r="L39" i="36"/>
  <c r="B39" i="36"/>
  <c r="Z38" i="36"/>
  <c r="X38" i="36"/>
  <c r="N38" i="36"/>
  <c r="L38" i="36"/>
  <c r="B38" i="36"/>
  <c r="X37" i="36"/>
  <c r="Z37" i="36" s="1"/>
  <c r="L37" i="36"/>
  <c r="N37" i="36" s="1"/>
  <c r="F37" i="36"/>
  <c r="B37" i="36"/>
  <c r="X36" i="36"/>
  <c r="Z36" i="36" s="1"/>
  <c r="L36" i="36"/>
  <c r="N36" i="36" s="1"/>
  <c r="B36" i="36"/>
  <c r="Z35" i="36"/>
  <c r="X35" i="36"/>
  <c r="N35" i="36"/>
  <c r="L35" i="36"/>
  <c r="B35" i="36"/>
  <c r="Z34" i="36"/>
  <c r="X34" i="36"/>
  <c r="N34" i="36"/>
  <c r="L34" i="36"/>
  <c r="B34" i="36"/>
  <c r="X33" i="36"/>
  <c r="Z33" i="36" s="1"/>
  <c r="L33" i="36"/>
  <c r="N33" i="36" s="1"/>
  <c r="F33" i="36"/>
  <c r="B33" i="36"/>
  <c r="X32" i="36"/>
  <c r="Z32" i="36" s="1"/>
  <c r="L32" i="36"/>
  <c r="N32" i="36" s="1"/>
  <c r="B32" i="36"/>
  <c r="Z31" i="36"/>
  <c r="X31" i="36"/>
  <c r="T31" i="36"/>
  <c r="P31" i="36"/>
  <c r="H31" i="36"/>
  <c r="D31" i="36"/>
  <c r="B31" i="36"/>
  <c r="Z30" i="36"/>
  <c r="T30" i="36"/>
  <c r="P30" i="36"/>
  <c r="X30" i="36" s="1"/>
  <c r="H30" i="36"/>
  <c r="D30" i="36"/>
  <c r="L30" i="36" s="1"/>
  <c r="N30" i="36" s="1"/>
  <c r="D28" i="36"/>
  <c r="Z26" i="36"/>
  <c r="X26" i="36"/>
  <c r="L26" i="36"/>
  <c r="N26" i="36" s="1"/>
  <c r="B26" i="36"/>
  <c r="X25" i="36"/>
  <c r="Z25" i="36" s="1"/>
  <c r="L25" i="36"/>
  <c r="N25" i="36" s="1"/>
  <c r="B25" i="36"/>
  <c r="T24" i="36"/>
  <c r="P24" i="36"/>
  <c r="X24" i="36" s="1"/>
  <c r="Z24" i="36" s="1"/>
  <c r="N24" i="36"/>
  <c r="H24" i="36"/>
  <c r="D24" i="36"/>
  <c r="L24" i="36" s="1"/>
  <c r="X22" i="36"/>
  <c r="T22" i="36"/>
  <c r="Z22" i="36" s="1"/>
  <c r="P22" i="36"/>
  <c r="H22" i="36"/>
  <c r="D22" i="36"/>
  <c r="B22" i="36"/>
  <c r="T21" i="36"/>
  <c r="P21" i="36"/>
  <c r="X21" i="36" s="1"/>
  <c r="Z21" i="36" s="1"/>
  <c r="N21" i="36"/>
  <c r="L21" i="36"/>
  <c r="H21" i="36"/>
  <c r="D21" i="36"/>
  <c r="B21" i="36"/>
  <c r="T20" i="36"/>
  <c r="P20" i="36"/>
  <c r="X20" i="36" s="1"/>
  <c r="Z20" i="36" s="1"/>
  <c r="H20" i="36"/>
  <c r="D20" i="36"/>
  <c r="L20" i="36" s="1"/>
  <c r="B20" i="36"/>
  <c r="T19" i="36"/>
  <c r="P19" i="36"/>
  <c r="H19" i="36"/>
  <c r="N19" i="36" s="1"/>
  <c r="D19" i="36"/>
  <c r="L19" i="36" s="1"/>
  <c r="B19" i="36"/>
  <c r="X18" i="36"/>
  <c r="T18" i="36"/>
  <c r="Z18" i="36" s="1"/>
  <c r="P18" i="36"/>
  <c r="L18" i="36"/>
  <c r="H18" i="36"/>
  <c r="D18" i="36"/>
  <c r="B18" i="36"/>
  <c r="T17" i="36"/>
  <c r="P17" i="36"/>
  <c r="X17" i="36" s="1"/>
  <c r="Z17" i="36" s="1"/>
  <c r="N17" i="36"/>
  <c r="L17" i="36"/>
  <c r="H17" i="36"/>
  <c r="D17" i="36"/>
  <c r="B17" i="36"/>
  <c r="Z16" i="36"/>
  <c r="T16" i="36"/>
  <c r="P16" i="36"/>
  <c r="X16" i="36" s="1"/>
  <c r="H16" i="36"/>
  <c r="N16" i="36" s="1"/>
  <c r="D16" i="36"/>
  <c r="L16" i="36" s="1"/>
  <c r="B16" i="36"/>
  <c r="T15" i="36"/>
  <c r="P15" i="36"/>
  <c r="H15" i="36"/>
  <c r="N15" i="36" s="1"/>
  <c r="D15" i="36"/>
  <c r="L15" i="36" s="1"/>
  <c r="B15" i="36"/>
  <c r="X14" i="36"/>
  <c r="T14" i="36"/>
  <c r="Z14" i="36" s="1"/>
  <c r="P14" i="36"/>
  <c r="H14" i="36"/>
  <c r="D14" i="36"/>
  <c r="B14" i="36"/>
  <c r="T13" i="36"/>
  <c r="P13" i="36"/>
  <c r="N13" i="36"/>
  <c r="L13" i="36"/>
  <c r="H13" i="36"/>
  <c r="D13" i="36"/>
  <c r="B13" i="36"/>
  <c r="D12" i="36"/>
  <c r="F96" i="36" s="1"/>
  <c r="D4" i="36"/>
  <c r="Z103" i="33"/>
  <c r="X103" i="33"/>
  <c r="N103" i="33"/>
  <c r="L103" i="33"/>
  <c r="T99" i="33"/>
  <c r="P99" i="33"/>
  <c r="H99" i="33"/>
  <c r="N99" i="33" s="1"/>
  <c r="D99" i="33"/>
  <c r="L99" i="33" s="1"/>
  <c r="B99" i="33"/>
  <c r="T98" i="33"/>
  <c r="P98" i="33"/>
  <c r="H98" i="33"/>
  <c r="N98" i="33" s="1"/>
  <c r="D98" i="33"/>
  <c r="L98" i="33" s="1"/>
  <c r="B98" i="33"/>
  <c r="T97" i="33"/>
  <c r="P97" i="33"/>
  <c r="H97" i="33"/>
  <c r="D97" i="33"/>
  <c r="L97" i="33" s="1"/>
  <c r="B97" i="33"/>
  <c r="X96" i="33"/>
  <c r="Z96" i="33" s="1"/>
  <c r="T96" i="33"/>
  <c r="P96" i="33"/>
  <c r="H96" i="33"/>
  <c r="N96" i="33" s="1"/>
  <c r="D96" i="33"/>
  <c r="B96" i="33"/>
  <c r="Z95" i="33"/>
  <c r="X95" i="33"/>
  <c r="T95" i="33"/>
  <c r="P95" i="33"/>
  <c r="H95" i="33"/>
  <c r="N95" i="33" s="1"/>
  <c r="D95" i="33"/>
  <c r="B95" i="33"/>
  <c r="Z94" i="33"/>
  <c r="T94" i="33"/>
  <c r="T93" i="33" s="1"/>
  <c r="P94" i="33"/>
  <c r="X94" i="33" s="1"/>
  <c r="H94" i="33"/>
  <c r="D94" i="33"/>
  <c r="L94" i="33" s="1"/>
  <c r="N94" i="33" s="1"/>
  <c r="B94" i="33"/>
  <c r="Z91" i="33"/>
  <c r="X91" i="33"/>
  <c r="N91" i="33"/>
  <c r="L91" i="33"/>
  <c r="B91" i="33"/>
  <c r="Z90" i="33"/>
  <c r="X90" i="33"/>
  <c r="V90" i="33"/>
  <c r="T90" i="33"/>
  <c r="P90" i="33"/>
  <c r="H90" i="33"/>
  <c r="N90" i="33" s="1"/>
  <c r="D90" i="33"/>
  <c r="B90" i="33"/>
  <c r="X89" i="33"/>
  <c r="Z89" i="33" s="1"/>
  <c r="N89" i="33"/>
  <c r="L89" i="33"/>
  <c r="B89" i="33"/>
  <c r="T88" i="33"/>
  <c r="P88" i="33"/>
  <c r="H88" i="33"/>
  <c r="N88" i="33" s="1"/>
  <c r="D88" i="33"/>
  <c r="L88" i="33" s="1"/>
  <c r="B88" i="33"/>
  <c r="X87" i="33"/>
  <c r="Z87" i="33" s="1"/>
  <c r="L87" i="33"/>
  <c r="N87" i="33" s="1"/>
  <c r="B87" i="33"/>
  <c r="T86" i="33"/>
  <c r="P86" i="33"/>
  <c r="X86" i="33" s="1"/>
  <c r="Z86" i="33" s="1"/>
  <c r="N86" i="33"/>
  <c r="H86" i="33"/>
  <c r="D86" i="33"/>
  <c r="L86" i="33" s="1"/>
  <c r="B86" i="33"/>
  <c r="X85" i="33"/>
  <c r="Z85" i="33" s="1"/>
  <c r="N85" i="33"/>
  <c r="L85" i="33"/>
  <c r="B85" i="33"/>
  <c r="X84" i="33"/>
  <c r="Z84" i="33" s="1"/>
  <c r="N84" i="33"/>
  <c r="L84" i="33"/>
  <c r="B84" i="33"/>
  <c r="X83" i="33"/>
  <c r="Z83" i="33" s="1"/>
  <c r="L83" i="33"/>
  <c r="N83" i="33" s="1"/>
  <c r="B83" i="33"/>
  <c r="X82" i="33"/>
  <c r="Z82" i="33" s="1"/>
  <c r="L82" i="33"/>
  <c r="N82" i="33" s="1"/>
  <c r="B82" i="33"/>
  <c r="Z81" i="33"/>
  <c r="X81" i="33"/>
  <c r="N81" i="33"/>
  <c r="L81" i="33"/>
  <c r="B81" i="33"/>
  <c r="X80" i="33"/>
  <c r="Z80" i="33" s="1"/>
  <c r="N80" i="33"/>
  <c r="L80" i="33"/>
  <c r="B80" i="33"/>
  <c r="T79" i="33"/>
  <c r="P79" i="33"/>
  <c r="X79" i="33" s="1"/>
  <c r="H79" i="33"/>
  <c r="D79" i="33"/>
  <c r="L79" i="33" s="1"/>
  <c r="N79" i="33" s="1"/>
  <c r="B79" i="33"/>
  <c r="X78" i="33"/>
  <c r="Z78" i="33" s="1"/>
  <c r="L78" i="33"/>
  <c r="N78" i="33" s="1"/>
  <c r="B78" i="33"/>
  <c r="Z77" i="33"/>
  <c r="X77" i="33"/>
  <c r="T77" i="33"/>
  <c r="P77" i="33"/>
  <c r="H77" i="33"/>
  <c r="D77" i="33"/>
  <c r="B77" i="33"/>
  <c r="Z76" i="33"/>
  <c r="X76" i="33"/>
  <c r="L76" i="33"/>
  <c r="N76" i="33" s="1"/>
  <c r="B76" i="33"/>
  <c r="X75" i="33"/>
  <c r="Z75" i="33" s="1"/>
  <c r="L75" i="33"/>
  <c r="N75" i="33" s="1"/>
  <c r="B75" i="33"/>
  <c r="Z74" i="33"/>
  <c r="X74" i="33"/>
  <c r="N74" i="33"/>
  <c r="L74" i="33"/>
  <c r="B74" i="33"/>
  <c r="T73" i="33"/>
  <c r="Z73" i="33" s="1"/>
  <c r="P73" i="33"/>
  <c r="X73" i="33" s="1"/>
  <c r="H73" i="33"/>
  <c r="D73" i="33"/>
  <c r="B73" i="33"/>
  <c r="X72" i="33"/>
  <c r="Z72" i="33" s="1"/>
  <c r="N72" i="33"/>
  <c r="L72" i="33"/>
  <c r="B72" i="33"/>
  <c r="T71" i="33"/>
  <c r="Z71" i="33" s="1"/>
  <c r="P71" i="33"/>
  <c r="X71" i="33" s="1"/>
  <c r="H71" i="33"/>
  <c r="D71" i="33"/>
  <c r="L71" i="33" s="1"/>
  <c r="N71" i="33" s="1"/>
  <c r="B71" i="33"/>
  <c r="X70" i="33"/>
  <c r="Z70" i="33" s="1"/>
  <c r="N70" i="33"/>
  <c r="L70" i="33"/>
  <c r="B70" i="33"/>
  <c r="Z69" i="33"/>
  <c r="X69" i="33"/>
  <c r="T69" i="33"/>
  <c r="P69" i="33"/>
  <c r="H69" i="33"/>
  <c r="N69" i="33" s="1"/>
  <c r="D69" i="33"/>
  <c r="B69" i="33"/>
  <c r="Z68" i="33"/>
  <c r="X68" i="33"/>
  <c r="L68" i="33"/>
  <c r="N68" i="33" s="1"/>
  <c r="B68" i="33"/>
  <c r="X67" i="33"/>
  <c r="Z67" i="33" s="1"/>
  <c r="V67" i="33"/>
  <c r="L67" i="33"/>
  <c r="N67" i="33" s="1"/>
  <c r="B67" i="33"/>
  <c r="T66" i="33"/>
  <c r="P66" i="33"/>
  <c r="X66" i="33" s="1"/>
  <c r="Z66" i="33" s="1"/>
  <c r="H66" i="33"/>
  <c r="D66" i="33"/>
  <c r="L66" i="33" s="1"/>
  <c r="N66" i="33" s="1"/>
  <c r="B66" i="33"/>
  <c r="X65" i="33"/>
  <c r="Z65" i="33" s="1"/>
  <c r="L65" i="33"/>
  <c r="N65" i="33" s="1"/>
  <c r="B65" i="33"/>
  <c r="T64" i="33"/>
  <c r="P64" i="33"/>
  <c r="L64" i="33"/>
  <c r="N64" i="33" s="1"/>
  <c r="H64" i="33"/>
  <c r="D64" i="33"/>
  <c r="B64" i="33"/>
  <c r="X63" i="33"/>
  <c r="Z63" i="33" s="1"/>
  <c r="L63" i="33"/>
  <c r="N63" i="33" s="1"/>
  <c r="B63" i="33"/>
  <c r="T62" i="33"/>
  <c r="Z62" i="33" s="1"/>
  <c r="P62" i="33"/>
  <c r="X62" i="33" s="1"/>
  <c r="H62" i="33"/>
  <c r="D62" i="33"/>
  <c r="B62" i="33"/>
  <c r="Z61" i="33"/>
  <c r="X61" i="33"/>
  <c r="L61" i="33"/>
  <c r="N61" i="33" s="1"/>
  <c r="B61" i="33"/>
  <c r="T60" i="33"/>
  <c r="P60" i="33"/>
  <c r="X60" i="33" s="1"/>
  <c r="Z60" i="33" s="1"/>
  <c r="H60" i="33"/>
  <c r="D60" i="33"/>
  <c r="L60" i="33" s="1"/>
  <c r="N60" i="33" s="1"/>
  <c r="B60" i="33"/>
  <c r="X59" i="33"/>
  <c r="Z59" i="33" s="1"/>
  <c r="L59" i="33"/>
  <c r="N59" i="33" s="1"/>
  <c r="B59" i="33"/>
  <c r="X58" i="33"/>
  <c r="Z58" i="33" s="1"/>
  <c r="T58" i="33"/>
  <c r="P58" i="33"/>
  <c r="H58" i="33"/>
  <c r="D58" i="33"/>
  <c r="B58" i="33"/>
  <c r="Z57" i="33"/>
  <c r="X57" i="33"/>
  <c r="N57" i="33"/>
  <c r="L57" i="33"/>
  <c r="B57" i="33"/>
  <c r="Z56" i="33"/>
  <c r="X56" i="33"/>
  <c r="N56" i="33"/>
  <c r="L56" i="33"/>
  <c r="B56" i="33"/>
  <c r="X55" i="33"/>
  <c r="Z55" i="33" s="1"/>
  <c r="L55" i="33"/>
  <c r="N55" i="33" s="1"/>
  <c r="B55" i="33"/>
  <c r="X54" i="33"/>
  <c r="Z54" i="33" s="1"/>
  <c r="L54" i="33"/>
  <c r="N54" i="33" s="1"/>
  <c r="B54" i="33"/>
  <c r="X53" i="33"/>
  <c r="Z53" i="33" s="1"/>
  <c r="N53" i="33"/>
  <c r="L53" i="33"/>
  <c r="B53" i="33"/>
  <c r="T52" i="33"/>
  <c r="P52" i="33"/>
  <c r="H52" i="33"/>
  <c r="N52" i="33" s="1"/>
  <c r="D52" i="33"/>
  <c r="L52" i="33" s="1"/>
  <c r="B52" i="33"/>
  <c r="X51" i="33"/>
  <c r="Z51" i="33" s="1"/>
  <c r="L51" i="33"/>
  <c r="N51" i="33" s="1"/>
  <c r="B51" i="33"/>
  <c r="X50" i="33"/>
  <c r="Z50" i="33" s="1"/>
  <c r="L50" i="33"/>
  <c r="N50" i="33" s="1"/>
  <c r="B50" i="33"/>
  <c r="Z49" i="33"/>
  <c r="X49" i="33"/>
  <c r="L49" i="33"/>
  <c r="N49" i="33" s="1"/>
  <c r="B49" i="33"/>
  <c r="Z48" i="33"/>
  <c r="X48" i="33"/>
  <c r="L48" i="33"/>
  <c r="N48" i="33" s="1"/>
  <c r="B48" i="33"/>
  <c r="X47" i="33"/>
  <c r="Z47" i="33" s="1"/>
  <c r="L47" i="33"/>
  <c r="N47" i="33" s="1"/>
  <c r="B47" i="33"/>
  <c r="X46" i="33"/>
  <c r="Z46" i="33" s="1"/>
  <c r="L46" i="33"/>
  <c r="N46" i="33" s="1"/>
  <c r="B46" i="33"/>
  <c r="Z45" i="33"/>
  <c r="X45" i="33"/>
  <c r="L45" i="33"/>
  <c r="N45" i="33" s="1"/>
  <c r="B45" i="33"/>
  <c r="Z44" i="33"/>
  <c r="X44" i="33"/>
  <c r="L44" i="33"/>
  <c r="N44" i="33" s="1"/>
  <c r="B44" i="33"/>
  <c r="T43" i="33"/>
  <c r="P43" i="33"/>
  <c r="H43" i="33"/>
  <c r="D43" i="33"/>
  <c r="L43" i="33" s="1"/>
  <c r="B43" i="33"/>
  <c r="X42" i="33"/>
  <c r="Z42" i="33" s="1"/>
  <c r="T42" i="33"/>
  <c r="P42" i="33"/>
  <c r="H42" i="33"/>
  <c r="D42" i="33"/>
  <c r="L42" i="33" s="1"/>
  <c r="X38" i="33"/>
  <c r="Z38" i="33" s="1"/>
  <c r="L38" i="33"/>
  <c r="N38" i="33" s="1"/>
  <c r="B38" i="33"/>
  <c r="X37" i="33"/>
  <c r="Z37" i="33" s="1"/>
  <c r="N37" i="33"/>
  <c r="L37" i="33"/>
  <c r="B37" i="33"/>
  <c r="X36" i="33"/>
  <c r="Z36" i="33" s="1"/>
  <c r="N36" i="33"/>
  <c r="L36" i="33"/>
  <c r="B36" i="33"/>
  <c r="Z35" i="33"/>
  <c r="X35" i="33"/>
  <c r="N35" i="33"/>
  <c r="L35" i="33"/>
  <c r="B35" i="33"/>
  <c r="X34" i="33"/>
  <c r="Z34" i="33" s="1"/>
  <c r="L34" i="33"/>
  <c r="N34" i="33" s="1"/>
  <c r="B34" i="33"/>
  <c r="T33" i="33"/>
  <c r="P33" i="33"/>
  <c r="X33" i="33" s="1"/>
  <c r="Z33" i="33" s="1"/>
  <c r="H33" i="33"/>
  <c r="N33" i="33" s="1"/>
  <c r="D33" i="33"/>
  <c r="L33" i="33" s="1"/>
  <c r="X31" i="33"/>
  <c r="Z31" i="33" s="1"/>
  <c r="T31" i="33"/>
  <c r="P31" i="33"/>
  <c r="L31" i="33"/>
  <c r="N31" i="33" s="1"/>
  <c r="H31" i="33"/>
  <c r="D31" i="33"/>
  <c r="B31" i="33"/>
  <c r="T30" i="33"/>
  <c r="P30" i="33"/>
  <c r="X30" i="33" s="1"/>
  <c r="N30" i="33"/>
  <c r="H30" i="33"/>
  <c r="D30" i="33"/>
  <c r="L30" i="33" s="1"/>
  <c r="B30" i="33"/>
  <c r="T29" i="33"/>
  <c r="Z29" i="33" s="1"/>
  <c r="P29" i="33"/>
  <c r="X29" i="33" s="1"/>
  <c r="H29" i="33"/>
  <c r="N29" i="33" s="1"/>
  <c r="D29" i="33"/>
  <c r="L29" i="33" s="1"/>
  <c r="B29" i="33"/>
  <c r="X28" i="33"/>
  <c r="T28" i="33"/>
  <c r="Z28" i="33" s="1"/>
  <c r="P28" i="33"/>
  <c r="L28" i="33"/>
  <c r="H28" i="33"/>
  <c r="N28" i="33" s="1"/>
  <c r="D28" i="33"/>
  <c r="B28" i="33"/>
  <c r="X27" i="33"/>
  <c r="Z27" i="33" s="1"/>
  <c r="T27" i="33"/>
  <c r="P27" i="33"/>
  <c r="N27" i="33"/>
  <c r="L27" i="33"/>
  <c r="H27" i="33"/>
  <c r="D27" i="33"/>
  <c r="B27" i="33"/>
  <c r="T26" i="33"/>
  <c r="Z26" i="33" s="1"/>
  <c r="P26" i="33"/>
  <c r="X26" i="33" s="1"/>
  <c r="H26" i="33"/>
  <c r="D26" i="33"/>
  <c r="L26" i="33" s="1"/>
  <c r="N26" i="33" s="1"/>
  <c r="B26" i="33"/>
  <c r="T25" i="33"/>
  <c r="Z25" i="33" s="1"/>
  <c r="P25" i="33"/>
  <c r="X25" i="33" s="1"/>
  <c r="H25" i="33"/>
  <c r="N25" i="33" s="1"/>
  <c r="D25" i="33"/>
  <c r="L25" i="33" s="1"/>
  <c r="B25" i="33"/>
  <c r="X24" i="33"/>
  <c r="T24" i="33"/>
  <c r="P24" i="33"/>
  <c r="L24" i="33"/>
  <c r="H24" i="33"/>
  <c r="N24" i="33" s="1"/>
  <c r="D24" i="33"/>
  <c r="B24" i="33"/>
  <c r="X23" i="33"/>
  <c r="Z23" i="33" s="1"/>
  <c r="T23" i="33"/>
  <c r="P23" i="33"/>
  <c r="N23" i="33"/>
  <c r="L23" i="33"/>
  <c r="H23" i="33"/>
  <c r="D23" i="33"/>
  <c r="B23" i="33"/>
  <c r="T22" i="33"/>
  <c r="Z22" i="33" s="1"/>
  <c r="P22" i="33"/>
  <c r="X22" i="33" s="1"/>
  <c r="N22" i="33"/>
  <c r="H22" i="33"/>
  <c r="D22" i="33"/>
  <c r="L22" i="33" s="1"/>
  <c r="B22" i="33"/>
  <c r="T21" i="33"/>
  <c r="P21" i="33"/>
  <c r="X21" i="33" s="1"/>
  <c r="H21" i="33"/>
  <c r="D21" i="33"/>
  <c r="L21" i="33" s="1"/>
  <c r="B21" i="33"/>
  <c r="X20" i="33"/>
  <c r="T20" i="33"/>
  <c r="P20" i="33"/>
  <c r="L20" i="33"/>
  <c r="H20" i="33"/>
  <c r="N20" i="33" s="1"/>
  <c r="D20" i="33"/>
  <c r="B20" i="33"/>
  <c r="X19" i="33"/>
  <c r="Z19" i="33" s="1"/>
  <c r="T19" i="33"/>
  <c r="P19" i="33"/>
  <c r="N19" i="33"/>
  <c r="L19" i="33"/>
  <c r="H19" i="33"/>
  <c r="D19" i="33"/>
  <c r="B19" i="33"/>
  <c r="T18" i="33"/>
  <c r="Z18" i="33" s="1"/>
  <c r="P18" i="33"/>
  <c r="X18" i="33" s="1"/>
  <c r="N18" i="33"/>
  <c r="H18" i="33"/>
  <c r="D18" i="33"/>
  <c r="L18" i="33" s="1"/>
  <c r="B18" i="33"/>
  <c r="T17" i="33"/>
  <c r="P17" i="33"/>
  <c r="X17" i="33" s="1"/>
  <c r="H17" i="33"/>
  <c r="N17" i="33" s="1"/>
  <c r="D17" i="33"/>
  <c r="L17" i="33" s="1"/>
  <c r="B17" i="33"/>
  <c r="T16" i="33"/>
  <c r="P16" i="33"/>
  <c r="L16" i="33"/>
  <c r="H16" i="33"/>
  <c r="N16" i="33" s="1"/>
  <c r="D16" i="33"/>
  <c r="B16" i="33"/>
  <c r="X15" i="33"/>
  <c r="Z15" i="33" s="1"/>
  <c r="T15" i="33"/>
  <c r="P15" i="33"/>
  <c r="N15" i="33"/>
  <c r="L15" i="33"/>
  <c r="H15" i="33"/>
  <c r="D15" i="33"/>
  <c r="B15" i="33"/>
  <c r="T14" i="33"/>
  <c r="P14" i="33"/>
  <c r="N14" i="33"/>
  <c r="H14" i="33"/>
  <c r="D14" i="33"/>
  <c r="L14" i="33" s="1"/>
  <c r="B14" i="33"/>
  <c r="T13" i="33"/>
  <c r="Z13" i="33" s="1"/>
  <c r="P13" i="33"/>
  <c r="X13" i="33" s="1"/>
  <c r="H13" i="33"/>
  <c r="D13" i="33"/>
  <c r="B13" i="33"/>
  <c r="T12" i="33"/>
  <c r="V96" i="33" s="1"/>
  <c r="D4" i="33"/>
  <c r="Z169" i="30"/>
  <c r="X169" i="30"/>
  <c r="N169" i="30"/>
  <c r="L169" i="30"/>
  <c r="T165" i="30"/>
  <c r="P165" i="30"/>
  <c r="N165" i="30"/>
  <c r="L165" i="30"/>
  <c r="H165" i="30"/>
  <c r="D165" i="30"/>
  <c r="B165" i="30"/>
  <c r="T164" i="30"/>
  <c r="P164" i="30"/>
  <c r="N164" i="30"/>
  <c r="H164" i="30"/>
  <c r="H163" i="30" s="1"/>
  <c r="D164" i="30"/>
  <c r="L164" i="30" s="1"/>
  <c r="B164" i="30"/>
  <c r="D163" i="30"/>
  <c r="Z161" i="30"/>
  <c r="X161" i="30"/>
  <c r="N161" i="30"/>
  <c r="L161" i="30"/>
  <c r="B161" i="30"/>
  <c r="T160" i="30"/>
  <c r="P160" i="30"/>
  <c r="X160" i="30" s="1"/>
  <c r="L160" i="30"/>
  <c r="H160" i="30"/>
  <c r="N160" i="30" s="1"/>
  <c r="D160" i="30"/>
  <c r="B160" i="30"/>
  <c r="X159" i="30"/>
  <c r="Z159" i="30" s="1"/>
  <c r="N159" i="30"/>
  <c r="L159" i="30"/>
  <c r="B159" i="30"/>
  <c r="X158" i="30"/>
  <c r="Z158" i="30" s="1"/>
  <c r="N158" i="30"/>
  <c r="L158" i="30"/>
  <c r="B158" i="30"/>
  <c r="Z157" i="30"/>
  <c r="X157" i="30"/>
  <c r="T157" i="30"/>
  <c r="P157" i="30"/>
  <c r="H157" i="30"/>
  <c r="D157" i="30"/>
  <c r="B157" i="30"/>
  <c r="Z156" i="30"/>
  <c r="X156" i="30"/>
  <c r="N156" i="30"/>
  <c r="L156" i="30"/>
  <c r="B156" i="30"/>
  <c r="T155" i="30"/>
  <c r="P155" i="30"/>
  <c r="H155" i="30"/>
  <c r="D155" i="30"/>
  <c r="L155" i="30" s="1"/>
  <c r="B155" i="30"/>
  <c r="X154" i="30"/>
  <c r="Z154" i="30" s="1"/>
  <c r="L154" i="30"/>
  <c r="N154" i="30" s="1"/>
  <c r="B154" i="30"/>
  <c r="T153" i="30"/>
  <c r="P153" i="30"/>
  <c r="X153" i="30" s="1"/>
  <c r="Z153" i="30" s="1"/>
  <c r="H153" i="30"/>
  <c r="D153" i="30"/>
  <c r="L153" i="30" s="1"/>
  <c r="N153" i="30" s="1"/>
  <c r="B153" i="30"/>
  <c r="Z152" i="30"/>
  <c r="X152" i="30"/>
  <c r="N152" i="30"/>
  <c r="L152" i="30"/>
  <c r="B152" i="30"/>
  <c r="X151" i="30"/>
  <c r="Z151" i="30" s="1"/>
  <c r="N151" i="30"/>
  <c r="L151" i="30"/>
  <c r="B151" i="30"/>
  <c r="X150" i="30"/>
  <c r="Z150" i="30" s="1"/>
  <c r="L150" i="30"/>
  <c r="N150" i="30" s="1"/>
  <c r="B150" i="30"/>
  <c r="Z149" i="30"/>
  <c r="X149" i="30"/>
  <c r="N149" i="30"/>
  <c r="L149" i="30"/>
  <c r="B149" i="30"/>
  <c r="Z148" i="30"/>
  <c r="X148" i="30"/>
  <c r="N148" i="30"/>
  <c r="L148" i="30"/>
  <c r="B148" i="30"/>
  <c r="X147" i="30"/>
  <c r="Z147" i="30" s="1"/>
  <c r="N147" i="30"/>
  <c r="L147" i="30"/>
  <c r="B147" i="30"/>
  <c r="T146" i="30"/>
  <c r="Z146" i="30" s="1"/>
  <c r="P146" i="30"/>
  <c r="X146" i="30" s="1"/>
  <c r="N146" i="30"/>
  <c r="H146" i="30"/>
  <c r="L146" i="30" s="1"/>
  <c r="D146" i="30"/>
  <c r="B146" i="30"/>
  <c r="Z145" i="30"/>
  <c r="X145" i="30"/>
  <c r="N145" i="30"/>
  <c r="L145" i="30"/>
  <c r="B145" i="30"/>
  <c r="Z144" i="30"/>
  <c r="X144" i="30"/>
  <c r="N144" i="30"/>
  <c r="L144" i="30"/>
  <c r="B144" i="30"/>
  <c r="T143" i="30"/>
  <c r="P143" i="30"/>
  <c r="H143" i="30"/>
  <c r="N143" i="30" s="1"/>
  <c r="D143" i="30"/>
  <c r="L143" i="30" s="1"/>
  <c r="B143" i="30"/>
  <c r="X142" i="30"/>
  <c r="Z142" i="30" s="1"/>
  <c r="L142" i="30"/>
  <c r="N142" i="30" s="1"/>
  <c r="B142" i="30"/>
  <c r="Z141" i="30"/>
  <c r="X141" i="30"/>
  <c r="N141" i="30"/>
  <c r="L141" i="30"/>
  <c r="B141" i="30"/>
  <c r="Z140" i="30"/>
  <c r="X140" i="30"/>
  <c r="N140" i="30"/>
  <c r="L140" i="30"/>
  <c r="B140" i="30"/>
  <c r="T139" i="30"/>
  <c r="P139" i="30"/>
  <c r="X139" i="30" s="1"/>
  <c r="Z139" i="30" s="1"/>
  <c r="N139" i="30"/>
  <c r="L139" i="30"/>
  <c r="H139" i="30"/>
  <c r="D139" i="30"/>
  <c r="B139" i="30"/>
  <c r="X138" i="30"/>
  <c r="Z138" i="30" s="1"/>
  <c r="L138" i="30"/>
  <c r="N138" i="30" s="1"/>
  <c r="B138" i="30"/>
  <c r="Z137" i="30"/>
  <c r="X137" i="30"/>
  <c r="N137" i="30"/>
  <c r="L137" i="30"/>
  <c r="B137" i="30"/>
  <c r="Z136" i="30"/>
  <c r="T136" i="30"/>
  <c r="X136" i="30" s="1"/>
  <c r="P136" i="30"/>
  <c r="H136" i="30"/>
  <c r="D136" i="30"/>
  <c r="L136" i="30" s="1"/>
  <c r="N136" i="30" s="1"/>
  <c r="B136" i="30"/>
  <c r="Z135" i="30"/>
  <c r="X135" i="30"/>
  <c r="N135" i="30"/>
  <c r="L135" i="30"/>
  <c r="B135" i="30"/>
  <c r="X134" i="30"/>
  <c r="Z134" i="30" s="1"/>
  <c r="L134" i="30"/>
  <c r="N134" i="30" s="1"/>
  <c r="B134" i="30"/>
  <c r="Z133" i="30"/>
  <c r="X133" i="30"/>
  <c r="N133" i="30"/>
  <c r="L133" i="30"/>
  <c r="B133" i="30"/>
  <c r="Z132" i="30"/>
  <c r="T132" i="30"/>
  <c r="X132" i="30" s="1"/>
  <c r="P132" i="30"/>
  <c r="H132" i="30"/>
  <c r="D132" i="30"/>
  <c r="L132" i="30" s="1"/>
  <c r="N132" i="30" s="1"/>
  <c r="B132" i="30"/>
  <c r="Z131" i="30"/>
  <c r="X131" i="30"/>
  <c r="L131" i="30"/>
  <c r="N131" i="30" s="1"/>
  <c r="B131" i="30"/>
  <c r="X130" i="30"/>
  <c r="T130" i="30"/>
  <c r="Z130" i="30" s="1"/>
  <c r="P130" i="30"/>
  <c r="H130" i="30"/>
  <c r="D130" i="30"/>
  <c r="B130" i="30"/>
  <c r="X129" i="30"/>
  <c r="Z129" i="30" s="1"/>
  <c r="N129" i="30"/>
  <c r="L129" i="30"/>
  <c r="B129" i="30"/>
  <c r="T128" i="30"/>
  <c r="P128" i="30"/>
  <c r="H128" i="30"/>
  <c r="N128" i="30" s="1"/>
  <c r="D128" i="30"/>
  <c r="L128" i="30" s="1"/>
  <c r="B128" i="30"/>
  <c r="Z127" i="30"/>
  <c r="X127" i="30"/>
  <c r="N127" i="30"/>
  <c r="L127" i="30"/>
  <c r="B127" i="30"/>
  <c r="Z126" i="30"/>
  <c r="X126" i="30"/>
  <c r="L126" i="30"/>
  <c r="N126" i="30" s="1"/>
  <c r="B126" i="30"/>
  <c r="T125" i="30"/>
  <c r="P125" i="30"/>
  <c r="X125" i="30" s="1"/>
  <c r="H125" i="30"/>
  <c r="D125" i="30"/>
  <c r="B125" i="30"/>
  <c r="Z124" i="30"/>
  <c r="X124" i="30"/>
  <c r="N124" i="30"/>
  <c r="L124" i="30"/>
  <c r="B124" i="30"/>
  <c r="T123" i="30"/>
  <c r="P123" i="30"/>
  <c r="X123" i="30" s="1"/>
  <c r="Z123" i="30" s="1"/>
  <c r="H123" i="30"/>
  <c r="D123" i="30"/>
  <c r="L123" i="30" s="1"/>
  <c r="N123" i="30" s="1"/>
  <c r="B123" i="30"/>
  <c r="X122" i="30"/>
  <c r="Z122" i="30" s="1"/>
  <c r="N122" i="30"/>
  <c r="L122" i="30"/>
  <c r="J122" i="30"/>
  <c r="B122" i="30"/>
  <c r="Z121" i="30"/>
  <c r="X121" i="30"/>
  <c r="T121" i="30"/>
  <c r="P121" i="30"/>
  <c r="H121" i="30"/>
  <c r="N121" i="30" s="1"/>
  <c r="D121" i="30"/>
  <c r="B121" i="30"/>
  <c r="Z120" i="30"/>
  <c r="X120" i="30"/>
  <c r="N120" i="30"/>
  <c r="L120" i="30"/>
  <c r="B120" i="30"/>
  <c r="Z119" i="30"/>
  <c r="X119" i="30"/>
  <c r="N119" i="30"/>
  <c r="L119" i="30"/>
  <c r="B119" i="30"/>
  <c r="X118" i="30"/>
  <c r="Z118" i="30" s="1"/>
  <c r="T118" i="30"/>
  <c r="P118" i="30"/>
  <c r="N118" i="30"/>
  <c r="H118" i="30"/>
  <c r="L118" i="30" s="1"/>
  <c r="D118" i="30"/>
  <c r="B118" i="30"/>
  <c r="Z117" i="30"/>
  <c r="X117" i="30"/>
  <c r="N117" i="30"/>
  <c r="L117" i="30"/>
  <c r="B117" i="30"/>
  <c r="T116" i="30"/>
  <c r="P116" i="30"/>
  <c r="H116" i="30"/>
  <c r="N116" i="30" s="1"/>
  <c r="D116" i="30"/>
  <c r="L116" i="30" s="1"/>
  <c r="B116" i="30"/>
  <c r="X115" i="30"/>
  <c r="Z115" i="30" s="1"/>
  <c r="N115" i="30"/>
  <c r="L115" i="30"/>
  <c r="B115" i="30"/>
  <c r="X114" i="30"/>
  <c r="Z114" i="30" s="1"/>
  <c r="N114" i="30"/>
  <c r="L114" i="30"/>
  <c r="B114" i="30"/>
  <c r="X113" i="30"/>
  <c r="Z113" i="30" s="1"/>
  <c r="T113" i="30"/>
  <c r="P113" i="30"/>
  <c r="H113" i="30"/>
  <c r="D113" i="30"/>
  <c r="B113" i="30"/>
  <c r="Z112" i="30"/>
  <c r="X112" i="30"/>
  <c r="N112" i="30"/>
  <c r="L112" i="30"/>
  <c r="B112" i="30"/>
  <c r="T111" i="30"/>
  <c r="P111" i="30"/>
  <c r="H111" i="30"/>
  <c r="D111" i="30"/>
  <c r="B111" i="30"/>
  <c r="X110" i="30"/>
  <c r="Z110" i="30" s="1"/>
  <c r="L110" i="30"/>
  <c r="N110" i="30" s="1"/>
  <c r="B110" i="30"/>
  <c r="X109" i="30"/>
  <c r="Z109" i="30" s="1"/>
  <c r="T109" i="30"/>
  <c r="P109" i="30"/>
  <c r="H109" i="30"/>
  <c r="D109" i="30"/>
  <c r="L109" i="30" s="1"/>
  <c r="N109" i="30" s="1"/>
  <c r="B109" i="30"/>
  <c r="Z108" i="30"/>
  <c r="X108" i="30"/>
  <c r="N108" i="30"/>
  <c r="L108" i="30"/>
  <c r="B108" i="30"/>
  <c r="X107" i="30"/>
  <c r="T107" i="30"/>
  <c r="P107" i="30"/>
  <c r="N107" i="30"/>
  <c r="L107" i="30"/>
  <c r="H107" i="30"/>
  <c r="D107" i="30"/>
  <c r="B107" i="30"/>
  <c r="Z106" i="30"/>
  <c r="X106" i="30"/>
  <c r="N106" i="30"/>
  <c r="L106" i="30"/>
  <c r="B106" i="30"/>
  <c r="Z105" i="30"/>
  <c r="X105" i="30"/>
  <c r="L105" i="30"/>
  <c r="N105" i="30" s="1"/>
  <c r="B105" i="30"/>
  <c r="Z104" i="30"/>
  <c r="X104" i="30"/>
  <c r="N104" i="30"/>
  <c r="L104" i="30"/>
  <c r="B104" i="30"/>
  <c r="Z103" i="30"/>
  <c r="X103" i="30"/>
  <c r="N103" i="30"/>
  <c r="L103" i="30"/>
  <c r="B103" i="30"/>
  <c r="Z102" i="30"/>
  <c r="X102" i="30"/>
  <c r="L102" i="30"/>
  <c r="N102" i="30" s="1"/>
  <c r="B102" i="30"/>
  <c r="Z101" i="30"/>
  <c r="X101" i="30"/>
  <c r="L101" i="30"/>
  <c r="N101" i="30" s="1"/>
  <c r="B101" i="30"/>
  <c r="Z100" i="30"/>
  <c r="T100" i="30"/>
  <c r="X100" i="30" s="1"/>
  <c r="P100" i="30"/>
  <c r="H100" i="30"/>
  <c r="D100" i="30"/>
  <c r="L100" i="30" s="1"/>
  <c r="N100" i="30" s="1"/>
  <c r="B100" i="30"/>
  <c r="Z99" i="30"/>
  <c r="X99" i="30"/>
  <c r="L99" i="30"/>
  <c r="N99" i="30" s="1"/>
  <c r="B99" i="30"/>
  <c r="X98" i="30"/>
  <c r="Z98" i="30" s="1"/>
  <c r="L98" i="30"/>
  <c r="N98" i="30" s="1"/>
  <c r="B98" i="30"/>
  <c r="Z97" i="30"/>
  <c r="X97" i="30"/>
  <c r="N97" i="30"/>
  <c r="L97" i="30"/>
  <c r="B97" i="30"/>
  <c r="Z96" i="30"/>
  <c r="X96" i="30"/>
  <c r="N96" i="30"/>
  <c r="L96" i="30"/>
  <c r="B96" i="30"/>
  <c r="Z95" i="30"/>
  <c r="X95" i="30"/>
  <c r="L95" i="30"/>
  <c r="N95" i="30" s="1"/>
  <c r="B95" i="30"/>
  <c r="X94" i="30"/>
  <c r="Z94" i="30" s="1"/>
  <c r="L94" i="30"/>
  <c r="N94" i="30" s="1"/>
  <c r="B94" i="30"/>
  <c r="Z93" i="30"/>
  <c r="X93" i="30"/>
  <c r="N93" i="30"/>
  <c r="L93" i="30"/>
  <c r="B93" i="30"/>
  <c r="Z92" i="30"/>
  <c r="X92" i="30"/>
  <c r="N92" i="30"/>
  <c r="L92" i="30"/>
  <c r="B92" i="30"/>
  <c r="T91" i="30"/>
  <c r="Z91" i="30" s="1"/>
  <c r="P91" i="30"/>
  <c r="X91" i="30" s="1"/>
  <c r="N91" i="30"/>
  <c r="L91" i="30"/>
  <c r="H91" i="30"/>
  <c r="D91" i="30"/>
  <c r="B91" i="30"/>
  <c r="T90" i="30"/>
  <c r="P90" i="30"/>
  <c r="X90" i="30" s="1"/>
  <c r="N90" i="30"/>
  <c r="H90" i="30"/>
  <c r="D90" i="30"/>
  <c r="L90" i="30" s="1"/>
  <c r="X86" i="30"/>
  <c r="Z86" i="30" s="1"/>
  <c r="L86" i="30"/>
  <c r="N86" i="30" s="1"/>
  <c r="B86" i="30"/>
  <c r="Z85" i="30"/>
  <c r="X85" i="30"/>
  <c r="N85" i="30"/>
  <c r="L85" i="30"/>
  <c r="B85" i="30"/>
  <c r="Z84" i="30"/>
  <c r="X84" i="30"/>
  <c r="N84" i="30"/>
  <c r="L84" i="30"/>
  <c r="B84" i="30"/>
  <c r="X83" i="30"/>
  <c r="Z83" i="30" s="1"/>
  <c r="N83" i="30"/>
  <c r="L83" i="30"/>
  <c r="B83" i="30"/>
  <c r="X82" i="30"/>
  <c r="Z82" i="30" s="1"/>
  <c r="L82" i="30"/>
  <c r="N82" i="30" s="1"/>
  <c r="B82" i="30"/>
  <c r="Z81" i="30"/>
  <c r="X81" i="30"/>
  <c r="N81" i="30"/>
  <c r="L81" i="30"/>
  <c r="B81" i="30"/>
  <c r="Z80" i="30"/>
  <c r="X80" i="30"/>
  <c r="N80" i="30"/>
  <c r="L80" i="30"/>
  <c r="B80" i="30"/>
  <c r="Z79" i="30"/>
  <c r="X79" i="30"/>
  <c r="N79" i="30"/>
  <c r="L79" i="30"/>
  <c r="J79" i="30"/>
  <c r="B79" i="30"/>
  <c r="Z78" i="30"/>
  <c r="X78" i="30"/>
  <c r="N78" i="30"/>
  <c r="L78" i="30"/>
  <c r="B78" i="30"/>
  <c r="Z77" i="30"/>
  <c r="X77" i="30"/>
  <c r="N77" i="30"/>
  <c r="L77" i="30"/>
  <c r="B77" i="30"/>
  <c r="Z76" i="30"/>
  <c r="X76" i="30"/>
  <c r="N76" i="30"/>
  <c r="L76" i="30"/>
  <c r="B76" i="30"/>
  <c r="X75" i="30"/>
  <c r="Z75" i="30" s="1"/>
  <c r="N75" i="30"/>
  <c r="L75" i="30"/>
  <c r="B75" i="30"/>
  <c r="X74" i="30"/>
  <c r="Z74" i="30" s="1"/>
  <c r="L74" i="30"/>
  <c r="N74" i="30" s="1"/>
  <c r="B74" i="30"/>
  <c r="X73" i="30"/>
  <c r="Z73" i="30" s="1"/>
  <c r="N73" i="30"/>
  <c r="L73" i="30"/>
  <c r="B73" i="30"/>
  <c r="Z72" i="30"/>
  <c r="X72" i="30"/>
  <c r="N72" i="30"/>
  <c r="L72" i="30"/>
  <c r="B72" i="30"/>
  <c r="Z71" i="30"/>
  <c r="X71" i="30"/>
  <c r="N71" i="30"/>
  <c r="L71" i="30"/>
  <c r="B71" i="30"/>
  <c r="X70" i="30"/>
  <c r="Z70" i="30" s="1"/>
  <c r="N70" i="30"/>
  <c r="L70" i="30"/>
  <c r="B70" i="30"/>
  <c r="Z69" i="30"/>
  <c r="X69" i="30"/>
  <c r="N69" i="30"/>
  <c r="L69" i="30"/>
  <c r="B69" i="30"/>
  <c r="Z68" i="30"/>
  <c r="X68" i="30"/>
  <c r="N68" i="30"/>
  <c r="L68" i="30"/>
  <c r="B68" i="30"/>
  <c r="X67" i="30"/>
  <c r="Z67" i="30" s="1"/>
  <c r="N67" i="30"/>
  <c r="L67" i="30"/>
  <c r="B67" i="30"/>
  <c r="X66" i="30"/>
  <c r="Z66" i="30" s="1"/>
  <c r="N66" i="30"/>
  <c r="L66" i="30"/>
  <c r="B66" i="30"/>
  <c r="Z65" i="30"/>
  <c r="X65" i="30"/>
  <c r="N65" i="30"/>
  <c r="L65" i="30"/>
  <c r="B65" i="30"/>
  <c r="Z64" i="30"/>
  <c r="X64" i="30"/>
  <c r="N64" i="30"/>
  <c r="L64" i="30"/>
  <c r="B64" i="30"/>
  <c r="X63" i="30"/>
  <c r="Z63" i="30" s="1"/>
  <c r="N63" i="30"/>
  <c r="L63" i="30"/>
  <c r="B63" i="30"/>
  <c r="Z62" i="30"/>
  <c r="X62" i="30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X59" i="30"/>
  <c r="Z59" i="30" s="1"/>
  <c r="N59" i="30"/>
  <c r="L59" i="30"/>
  <c r="B59" i="30"/>
  <c r="X58" i="30"/>
  <c r="Z58" i="30" s="1"/>
  <c r="N58" i="30"/>
  <c r="L58" i="30"/>
  <c r="B58" i="30"/>
  <c r="Z57" i="30"/>
  <c r="X57" i="30"/>
  <c r="N57" i="30"/>
  <c r="L57" i="30"/>
  <c r="B57" i="30"/>
  <c r="T56" i="30"/>
  <c r="Z56" i="30" s="1"/>
  <c r="P56" i="30"/>
  <c r="X56" i="30" s="1"/>
  <c r="L56" i="30"/>
  <c r="H56" i="30"/>
  <c r="D56" i="30"/>
  <c r="Z54" i="30"/>
  <c r="T54" i="30"/>
  <c r="P54" i="30"/>
  <c r="X54" i="30" s="1"/>
  <c r="N54" i="30"/>
  <c r="H54" i="30"/>
  <c r="D54" i="30"/>
  <c r="L54" i="30" s="1"/>
  <c r="B54" i="30"/>
  <c r="T53" i="30"/>
  <c r="P53" i="30"/>
  <c r="X53" i="30" s="1"/>
  <c r="H53" i="30"/>
  <c r="N53" i="30" s="1"/>
  <c r="D53" i="30"/>
  <c r="L53" i="30" s="1"/>
  <c r="B53" i="30"/>
  <c r="X52" i="30"/>
  <c r="T52" i="30"/>
  <c r="P52" i="30"/>
  <c r="H52" i="30"/>
  <c r="D52" i="30"/>
  <c r="B52" i="30"/>
  <c r="T51" i="30"/>
  <c r="X51" i="30" s="1"/>
  <c r="P51" i="30"/>
  <c r="N51" i="30"/>
  <c r="H51" i="30"/>
  <c r="D51" i="30"/>
  <c r="L51" i="30" s="1"/>
  <c r="B51" i="30"/>
  <c r="T50" i="30"/>
  <c r="P50" i="30"/>
  <c r="L50" i="30"/>
  <c r="N50" i="30" s="1"/>
  <c r="H50" i="30"/>
  <c r="D50" i="30"/>
  <c r="B50" i="30"/>
  <c r="X49" i="30"/>
  <c r="T49" i="30"/>
  <c r="P49" i="30"/>
  <c r="H49" i="30"/>
  <c r="D49" i="30"/>
  <c r="L49" i="30" s="1"/>
  <c r="B49" i="30"/>
  <c r="X48" i="30"/>
  <c r="T48" i="30"/>
  <c r="Z48" i="30" s="1"/>
  <c r="P48" i="30"/>
  <c r="N48" i="30"/>
  <c r="L48" i="30"/>
  <c r="H48" i="30"/>
  <c r="D48" i="30"/>
  <c r="B48" i="30"/>
  <c r="T47" i="30"/>
  <c r="P47" i="30"/>
  <c r="N47" i="30"/>
  <c r="H47" i="30"/>
  <c r="D47" i="30"/>
  <c r="L47" i="30" s="1"/>
  <c r="B47" i="30"/>
  <c r="Z46" i="30"/>
  <c r="X46" i="30"/>
  <c r="T46" i="30"/>
  <c r="P46" i="30"/>
  <c r="H46" i="30"/>
  <c r="D46" i="30"/>
  <c r="L46" i="30" s="1"/>
  <c r="N46" i="30" s="1"/>
  <c r="B46" i="30"/>
  <c r="X45" i="30"/>
  <c r="T45" i="30"/>
  <c r="P45" i="30"/>
  <c r="N45" i="30"/>
  <c r="L45" i="30"/>
  <c r="H45" i="30"/>
  <c r="D45" i="30"/>
  <c r="B45" i="30"/>
  <c r="T44" i="30"/>
  <c r="Z44" i="30" s="1"/>
  <c r="P44" i="30"/>
  <c r="N44" i="30"/>
  <c r="L44" i="30"/>
  <c r="H44" i="30"/>
  <c r="D44" i="30"/>
  <c r="B44" i="30"/>
  <c r="Z43" i="30"/>
  <c r="X43" i="30"/>
  <c r="T43" i="30"/>
  <c r="P43" i="30"/>
  <c r="N43" i="30"/>
  <c r="L43" i="30"/>
  <c r="H43" i="30"/>
  <c r="D43" i="30"/>
  <c r="B43" i="30"/>
  <c r="X42" i="30"/>
  <c r="T42" i="30"/>
  <c r="P42" i="30"/>
  <c r="N42" i="30"/>
  <c r="H42" i="30"/>
  <c r="D42" i="30"/>
  <c r="L42" i="30" s="1"/>
  <c r="B42" i="30"/>
  <c r="T41" i="30"/>
  <c r="P41" i="30"/>
  <c r="X41" i="30" s="1"/>
  <c r="L41" i="30"/>
  <c r="H41" i="30"/>
  <c r="N41" i="30" s="1"/>
  <c r="D41" i="30"/>
  <c r="B41" i="30"/>
  <c r="T40" i="30"/>
  <c r="P40" i="30"/>
  <c r="H40" i="30"/>
  <c r="D40" i="30"/>
  <c r="L40" i="30" s="1"/>
  <c r="N40" i="30" s="1"/>
  <c r="B40" i="30"/>
  <c r="Z39" i="30"/>
  <c r="X39" i="30"/>
  <c r="T39" i="30"/>
  <c r="P39" i="30"/>
  <c r="N39" i="30"/>
  <c r="H39" i="30"/>
  <c r="D39" i="30"/>
  <c r="L39" i="30" s="1"/>
  <c r="B39" i="30"/>
  <c r="T38" i="30"/>
  <c r="P38" i="30"/>
  <c r="X38" i="30" s="1"/>
  <c r="Z38" i="30" s="1"/>
  <c r="N38" i="30"/>
  <c r="L38" i="30"/>
  <c r="H38" i="30"/>
  <c r="D38" i="30"/>
  <c r="B38" i="30"/>
  <c r="T37" i="30"/>
  <c r="P37" i="30"/>
  <c r="X37" i="30" s="1"/>
  <c r="L37" i="30"/>
  <c r="N37" i="30" s="1"/>
  <c r="H37" i="30"/>
  <c r="D37" i="30"/>
  <c r="B37" i="30"/>
  <c r="X36" i="30"/>
  <c r="T36" i="30"/>
  <c r="P36" i="30"/>
  <c r="H36" i="30"/>
  <c r="D36" i="30"/>
  <c r="L36" i="30" s="1"/>
  <c r="B36" i="30"/>
  <c r="T35" i="30"/>
  <c r="X35" i="30" s="1"/>
  <c r="P35" i="30"/>
  <c r="H35" i="30"/>
  <c r="D35" i="30"/>
  <c r="L35" i="30" s="1"/>
  <c r="N35" i="30" s="1"/>
  <c r="B35" i="30"/>
  <c r="Z34" i="30"/>
  <c r="T34" i="30"/>
  <c r="P34" i="30"/>
  <c r="X34" i="30" s="1"/>
  <c r="N34" i="30"/>
  <c r="L34" i="30"/>
  <c r="H34" i="30"/>
  <c r="D34" i="30"/>
  <c r="B34" i="30"/>
  <c r="T33" i="30"/>
  <c r="Z33" i="30" s="1"/>
  <c r="P33" i="30"/>
  <c r="X33" i="30" s="1"/>
  <c r="H33" i="30"/>
  <c r="D33" i="30"/>
  <c r="B33" i="30"/>
  <c r="X32" i="30"/>
  <c r="T32" i="30"/>
  <c r="Z32" i="30" s="1"/>
  <c r="P32" i="30"/>
  <c r="H32" i="30"/>
  <c r="N32" i="30" s="1"/>
  <c r="D32" i="30"/>
  <c r="L32" i="30" s="1"/>
  <c r="B32" i="30"/>
  <c r="Z31" i="30"/>
  <c r="X31" i="30"/>
  <c r="T31" i="30"/>
  <c r="P31" i="30"/>
  <c r="N31" i="30"/>
  <c r="L31" i="30"/>
  <c r="H31" i="30"/>
  <c r="D31" i="30"/>
  <c r="B31" i="30"/>
  <c r="X30" i="30"/>
  <c r="T30" i="30"/>
  <c r="Z30" i="30" s="1"/>
  <c r="P30" i="30"/>
  <c r="N30" i="30"/>
  <c r="H30" i="30"/>
  <c r="D30" i="30"/>
  <c r="L30" i="30" s="1"/>
  <c r="B30" i="30"/>
  <c r="T29" i="30"/>
  <c r="Z29" i="30" s="1"/>
  <c r="P29" i="30"/>
  <c r="X29" i="30" s="1"/>
  <c r="N29" i="30"/>
  <c r="H29" i="30"/>
  <c r="D29" i="30"/>
  <c r="L29" i="30" s="1"/>
  <c r="B29" i="30"/>
  <c r="X28" i="30"/>
  <c r="T28" i="30"/>
  <c r="Z28" i="30" s="1"/>
  <c r="P28" i="30"/>
  <c r="H28" i="30"/>
  <c r="N28" i="30" s="1"/>
  <c r="D28" i="30"/>
  <c r="L28" i="30" s="1"/>
  <c r="B28" i="30"/>
  <c r="T27" i="30"/>
  <c r="P27" i="30"/>
  <c r="N27" i="30"/>
  <c r="L27" i="30"/>
  <c r="H27" i="30"/>
  <c r="D27" i="30"/>
  <c r="B27" i="30"/>
  <c r="T26" i="30"/>
  <c r="P26" i="30"/>
  <c r="X26" i="30" s="1"/>
  <c r="N26" i="30"/>
  <c r="H26" i="30"/>
  <c r="D26" i="30"/>
  <c r="L26" i="30" s="1"/>
  <c r="B26" i="30"/>
  <c r="T25" i="30"/>
  <c r="P25" i="30"/>
  <c r="X25" i="30" s="1"/>
  <c r="Z25" i="30" s="1"/>
  <c r="L25" i="30"/>
  <c r="H25" i="30"/>
  <c r="N25" i="30" s="1"/>
  <c r="D25" i="30"/>
  <c r="B25" i="30"/>
  <c r="T24" i="30"/>
  <c r="P24" i="30"/>
  <c r="X24" i="30" s="1"/>
  <c r="H24" i="30"/>
  <c r="D24" i="30"/>
  <c r="L24" i="30" s="1"/>
  <c r="N24" i="30" s="1"/>
  <c r="B24" i="30"/>
  <c r="Z23" i="30"/>
  <c r="X23" i="30"/>
  <c r="T23" i="30"/>
  <c r="P23" i="30"/>
  <c r="L23" i="30"/>
  <c r="H23" i="30"/>
  <c r="D23" i="30"/>
  <c r="B23" i="30"/>
  <c r="T22" i="30"/>
  <c r="Z22" i="30" s="1"/>
  <c r="P22" i="30"/>
  <c r="X22" i="30" s="1"/>
  <c r="N22" i="30"/>
  <c r="L22" i="30"/>
  <c r="H22" i="30"/>
  <c r="D22" i="30"/>
  <c r="B22" i="30"/>
  <c r="Z21" i="30"/>
  <c r="X21" i="30"/>
  <c r="T21" i="30"/>
  <c r="P21" i="30"/>
  <c r="H21" i="30"/>
  <c r="D21" i="30"/>
  <c r="L21" i="30" s="1"/>
  <c r="B21" i="30"/>
  <c r="T20" i="30"/>
  <c r="P20" i="30"/>
  <c r="X20" i="30" s="1"/>
  <c r="N20" i="30"/>
  <c r="L20" i="30"/>
  <c r="H20" i="30"/>
  <c r="D20" i="30"/>
  <c r="B20" i="30"/>
  <c r="X19" i="30"/>
  <c r="T19" i="30"/>
  <c r="Z19" i="30" s="1"/>
  <c r="P19" i="30"/>
  <c r="H19" i="30"/>
  <c r="H12" i="30" s="1"/>
  <c r="J70" i="30" s="1"/>
  <c r="D19" i="30"/>
  <c r="L19" i="30" s="1"/>
  <c r="B19" i="30"/>
  <c r="T18" i="30"/>
  <c r="Z18" i="30" s="1"/>
  <c r="P18" i="30"/>
  <c r="X18" i="30" s="1"/>
  <c r="N18" i="30"/>
  <c r="H18" i="30"/>
  <c r="D18" i="30"/>
  <c r="L18" i="30" s="1"/>
  <c r="B18" i="30"/>
  <c r="Z17" i="30"/>
  <c r="X17" i="30"/>
  <c r="T17" i="30"/>
  <c r="P17" i="30"/>
  <c r="H17" i="30"/>
  <c r="N17" i="30" s="1"/>
  <c r="D17" i="30"/>
  <c r="L17" i="30" s="1"/>
  <c r="B17" i="30"/>
  <c r="T16" i="30"/>
  <c r="P16" i="30"/>
  <c r="N16" i="30"/>
  <c r="L16" i="30"/>
  <c r="H16" i="30"/>
  <c r="D16" i="30"/>
  <c r="B16" i="30"/>
  <c r="T15" i="30"/>
  <c r="P15" i="30"/>
  <c r="H15" i="30"/>
  <c r="D15" i="30"/>
  <c r="L15" i="30" s="1"/>
  <c r="N15" i="30" s="1"/>
  <c r="B15" i="30"/>
  <c r="T14" i="30"/>
  <c r="P14" i="30"/>
  <c r="X14" i="30" s="1"/>
  <c r="Z14" i="30" s="1"/>
  <c r="N14" i="30"/>
  <c r="L14" i="30"/>
  <c r="H14" i="30"/>
  <c r="D14" i="30"/>
  <c r="B14" i="30"/>
  <c r="X13" i="30"/>
  <c r="T13" i="30"/>
  <c r="Z13" i="30" s="1"/>
  <c r="P13" i="30"/>
  <c r="H13" i="30"/>
  <c r="N13" i="30" s="1"/>
  <c r="D13" i="30"/>
  <c r="B13" i="30"/>
  <c r="P12" i="30"/>
  <c r="D4" i="30"/>
  <c r="X125" i="27"/>
  <c r="Z125" i="27" s="1"/>
  <c r="N125" i="27"/>
  <c r="L125" i="27"/>
  <c r="T121" i="27"/>
  <c r="P121" i="27"/>
  <c r="X121" i="27" s="1"/>
  <c r="N121" i="27"/>
  <c r="H121" i="27"/>
  <c r="D121" i="27"/>
  <c r="L121" i="27" s="1"/>
  <c r="B121" i="27"/>
  <c r="Z120" i="27"/>
  <c r="X120" i="27"/>
  <c r="T120" i="27"/>
  <c r="P120" i="27"/>
  <c r="H120" i="27"/>
  <c r="N120" i="27" s="1"/>
  <c r="D120" i="27"/>
  <c r="L120" i="27" s="1"/>
  <c r="B120" i="27"/>
  <c r="T119" i="27"/>
  <c r="P119" i="27"/>
  <c r="H119" i="27"/>
  <c r="N119" i="27" s="1"/>
  <c r="D119" i="27"/>
  <c r="L119" i="27" s="1"/>
  <c r="B119" i="27"/>
  <c r="H118" i="27"/>
  <c r="Z116" i="27"/>
  <c r="X116" i="27"/>
  <c r="N116" i="27"/>
  <c r="L116" i="27"/>
  <c r="B116" i="27"/>
  <c r="T115" i="27"/>
  <c r="P115" i="27"/>
  <c r="N115" i="27"/>
  <c r="H115" i="27"/>
  <c r="D115" i="27"/>
  <c r="L115" i="27" s="1"/>
  <c r="B115" i="27"/>
  <c r="Z114" i="27"/>
  <c r="X114" i="27"/>
  <c r="N114" i="27"/>
  <c r="L114" i="27"/>
  <c r="B114" i="27"/>
  <c r="T113" i="27"/>
  <c r="Z113" i="27" s="1"/>
  <c r="P113" i="27"/>
  <c r="X113" i="27" s="1"/>
  <c r="L113" i="27"/>
  <c r="H113" i="27"/>
  <c r="N113" i="27" s="1"/>
  <c r="D113" i="27"/>
  <c r="B113" i="27"/>
  <c r="X112" i="27"/>
  <c r="Z112" i="27" s="1"/>
  <c r="N112" i="27"/>
  <c r="L112" i="27"/>
  <c r="B112" i="27"/>
  <c r="Z111" i="27"/>
  <c r="X111" i="27"/>
  <c r="N111" i="27"/>
  <c r="L111" i="27"/>
  <c r="B111" i="27"/>
  <c r="Z110" i="27"/>
  <c r="X110" i="27"/>
  <c r="T110" i="27"/>
  <c r="P110" i="27"/>
  <c r="L110" i="27"/>
  <c r="H110" i="27"/>
  <c r="N110" i="27" s="1"/>
  <c r="D110" i="27"/>
  <c r="B110" i="27"/>
  <c r="Z109" i="27"/>
  <c r="X109" i="27"/>
  <c r="N109" i="27"/>
  <c r="L109" i="27"/>
  <c r="B109" i="27"/>
  <c r="Z108" i="27"/>
  <c r="X108" i="27"/>
  <c r="N108" i="27"/>
  <c r="L108" i="27"/>
  <c r="B108" i="27"/>
  <c r="Z107" i="27"/>
  <c r="X107" i="27"/>
  <c r="L107" i="27"/>
  <c r="N107" i="27" s="1"/>
  <c r="B107" i="27"/>
  <c r="T106" i="27"/>
  <c r="P106" i="27"/>
  <c r="X106" i="27" s="1"/>
  <c r="H106" i="27"/>
  <c r="D106" i="27"/>
  <c r="L106" i="27" s="1"/>
  <c r="N106" i="27" s="1"/>
  <c r="B106" i="27"/>
  <c r="Z105" i="27"/>
  <c r="X105" i="27"/>
  <c r="N105" i="27"/>
  <c r="L105" i="27"/>
  <c r="B105" i="27"/>
  <c r="X104" i="27"/>
  <c r="Z104" i="27" s="1"/>
  <c r="L104" i="27"/>
  <c r="N104" i="27" s="1"/>
  <c r="B104" i="27"/>
  <c r="X103" i="27"/>
  <c r="T103" i="27"/>
  <c r="Z103" i="27" s="1"/>
  <c r="P103" i="27"/>
  <c r="H103" i="27"/>
  <c r="N103" i="27" s="1"/>
  <c r="D103" i="27"/>
  <c r="L103" i="27" s="1"/>
  <c r="B103" i="27"/>
  <c r="Z102" i="27"/>
  <c r="X102" i="27"/>
  <c r="N102" i="27"/>
  <c r="L102" i="27"/>
  <c r="B102" i="27"/>
  <c r="X101" i="27"/>
  <c r="Z101" i="27" s="1"/>
  <c r="N101" i="27"/>
  <c r="L101" i="27"/>
  <c r="B101" i="27"/>
  <c r="X100" i="27"/>
  <c r="T100" i="27"/>
  <c r="Z100" i="27" s="1"/>
  <c r="P100" i="27"/>
  <c r="N100" i="27"/>
  <c r="L100" i="27"/>
  <c r="H100" i="27"/>
  <c r="D100" i="27"/>
  <c r="B100" i="27"/>
  <c r="Z99" i="27"/>
  <c r="X99" i="27"/>
  <c r="N99" i="27"/>
  <c r="L99" i="27"/>
  <c r="B99" i="27"/>
  <c r="X98" i="27"/>
  <c r="Z98" i="27" s="1"/>
  <c r="N98" i="27"/>
  <c r="L98" i="27"/>
  <c r="B98" i="27"/>
  <c r="T97" i="27"/>
  <c r="P97" i="27"/>
  <c r="X97" i="27" s="1"/>
  <c r="Z97" i="27" s="1"/>
  <c r="H97" i="27"/>
  <c r="D97" i="27"/>
  <c r="B97" i="27"/>
  <c r="X96" i="27"/>
  <c r="Z96" i="27" s="1"/>
  <c r="N96" i="27"/>
  <c r="L96" i="27"/>
  <c r="B96" i="27"/>
  <c r="X95" i="27"/>
  <c r="T95" i="27"/>
  <c r="P95" i="27"/>
  <c r="H95" i="27"/>
  <c r="N95" i="27" s="1"/>
  <c r="D95" i="27"/>
  <c r="L95" i="27" s="1"/>
  <c r="B95" i="27"/>
  <c r="Z94" i="27"/>
  <c r="X94" i="27"/>
  <c r="L94" i="27"/>
  <c r="N94" i="27" s="1"/>
  <c r="B94" i="27"/>
  <c r="X93" i="27"/>
  <c r="Z93" i="27" s="1"/>
  <c r="N93" i="27"/>
  <c r="L93" i="27"/>
  <c r="B93" i="27"/>
  <c r="X92" i="27"/>
  <c r="T92" i="27"/>
  <c r="Z92" i="27" s="1"/>
  <c r="P92" i="27"/>
  <c r="N92" i="27"/>
  <c r="L92" i="27"/>
  <c r="H92" i="27"/>
  <c r="D92" i="27"/>
  <c r="B92" i="27"/>
  <c r="Z91" i="27"/>
  <c r="X91" i="27"/>
  <c r="L91" i="27"/>
  <c r="N91" i="27" s="1"/>
  <c r="B91" i="27"/>
  <c r="T90" i="27"/>
  <c r="Z90" i="27" s="1"/>
  <c r="P90" i="27"/>
  <c r="X90" i="27" s="1"/>
  <c r="H90" i="27"/>
  <c r="D90" i="27"/>
  <c r="L90" i="27" s="1"/>
  <c r="N90" i="27" s="1"/>
  <c r="B90" i="27"/>
  <c r="X89" i="27"/>
  <c r="Z89" i="27" s="1"/>
  <c r="L89" i="27"/>
  <c r="N89" i="27" s="1"/>
  <c r="B89" i="27"/>
  <c r="T88" i="27"/>
  <c r="P88" i="27"/>
  <c r="X88" i="27" s="1"/>
  <c r="N88" i="27"/>
  <c r="L88" i="27"/>
  <c r="H88" i="27"/>
  <c r="D88" i="27"/>
  <c r="B88" i="27"/>
  <c r="Z87" i="27"/>
  <c r="X87" i="27"/>
  <c r="N87" i="27"/>
  <c r="L87" i="27"/>
  <c r="B87" i="27"/>
  <c r="Z86" i="27"/>
  <c r="X86" i="27"/>
  <c r="L86" i="27"/>
  <c r="N86" i="27" s="1"/>
  <c r="B86" i="27"/>
  <c r="T85" i="27"/>
  <c r="P85" i="27"/>
  <c r="H85" i="27"/>
  <c r="D85" i="27"/>
  <c r="L85" i="27" s="1"/>
  <c r="B85" i="27"/>
  <c r="Z84" i="27"/>
  <c r="X84" i="27"/>
  <c r="N84" i="27"/>
  <c r="L84" i="27"/>
  <c r="B84" i="27"/>
  <c r="T83" i="27"/>
  <c r="P83" i="27"/>
  <c r="X83" i="27" s="1"/>
  <c r="N83" i="27"/>
  <c r="H83" i="27"/>
  <c r="D83" i="27"/>
  <c r="L83" i="27" s="1"/>
  <c r="B83" i="27"/>
  <c r="Z82" i="27"/>
  <c r="X82" i="27"/>
  <c r="N82" i="27"/>
  <c r="L82" i="27"/>
  <c r="B82" i="27"/>
  <c r="X81" i="27"/>
  <c r="Z81" i="27" s="1"/>
  <c r="L81" i="27"/>
  <c r="N81" i="27" s="1"/>
  <c r="B81" i="27"/>
  <c r="X80" i="27"/>
  <c r="Z80" i="27" s="1"/>
  <c r="L80" i="27"/>
  <c r="N80" i="27" s="1"/>
  <c r="B80" i="27"/>
  <c r="X79" i="27"/>
  <c r="Z79" i="27" s="1"/>
  <c r="N79" i="27"/>
  <c r="L79" i="27"/>
  <c r="B79" i="27"/>
  <c r="Z78" i="27"/>
  <c r="X78" i="27"/>
  <c r="N78" i="27"/>
  <c r="L78" i="27"/>
  <c r="B78" i="27"/>
  <c r="X77" i="27"/>
  <c r="Z77" i="27" s="1"/>
  <c r="L77" i="27"/>
  <c r="N77" i="27" s="1"/>
  <c r="B77" i="27"/>
  <c r="Z76" i="27"/>
  <c r="X76" i="27"/>
  <c r="N76" i="27"/>
  <c r="L76" i="27"/>
  <c r="B76" i="27"/>
  <c r="X75" i="27"/>
  <c r="T75" i="27"/>
  <c r="Z75" i="27" s="1"/>
  <c r="P75" i="27"/>
  <c r="H75" i="27"/>
  <c r="D75" i="27"/>
  <c r="L75" i="27" s="1"/>
  <c r="B75" i="27"/>
  <c r="Z74" i="27"/>
  <c r="X74" i="27"/>
  <c r="L74" i="27"/>
  <c r="N74" i="27" s="1"/>
  <c r="B74" i="27"/>
  <c r="X73" i="27"/>
  <c r="Z73" i="27" s="1"/>
  <c r="N73" i="27"/>
  <c r="L73" i="27"/>
  <c r="B73" i="27"/>
  <c r="X72" i="27"/>
  <c r="Z72" i="27" s="1"/>
  <c r="N72" i="27"/>
  <c r="L72" i="27"/>
  <c r="B72" i="27"/>
  <c r="Z71" i="27"/>
  <c r="X71" i="27"/>
  <c r="N71" i="27"/>
  <c r="L71" i="27"/>
  <c r="B71" i="27"/>
  <c r="Z70" i="27"/>
  <c r="X70" i="27"/>
  <c r="L70" i="27"/>
  <c r="N70" i="27" s="1"/>
  <c r="B70" i="27"/>
  <c r="X69" i="27"/>
  <c r="Z69" i="27" s="1"/>
  <c r="N69" i="27"/>
  <c r="L69" i="27"/>
  <c r="B69" i="27"/>
  <c r="X68" i="27"/>
  <c r="Z68" i="27" s="1"/>
  <c r="N68" i="27"/>
  <c r="L68" i="27"/>
  <c r="B68" i="27"/>
  <c r="Z67" i="27"/>
  <c r="X67" i="27"/>
  <c r="N67" i="27"/>
  <c r="L67" i="27"/>
  <c r="B67" i="27"/>
  <c r="Z66" i="27"/>
  <c r="X66" i="27"/>
  <c r="L66" i="27"/>
  <c r="N66" i="27" s="1"/>
  <c r="B66" i="27"/>
  <c r="T65" i="27"/>
  <c r="P65" i="27"/>
  <c r="H65" i="27"/>
  <c r="N65" i="27" s="1"/>
  <c r="D65" i="27"/>
  <c r="L65" i="27" s="1"/>
  <c r="B65" i="27"/>
  <c r="Z64" i="27"/>
  <c r="T64" i="27"/>
  <c r="P64" i="27"/>
  <c r="X64" i="27" s="1"/>
  <c r="H64" i="27"/>
  <c r="D64" i="27"/>
  <c r="L64" i="27" s="1"/>
  <c r="Z60" i="27"/>
  <c r="X60" i="27"/>
  <c r="N60" i="27"/>
  <c r="L60" i="27"/>
  <c r="B60" i="27"/>
  <c r="Z59" i="27"/>
  <c r="X59" i="27"/>
  <c r="L59" i="27"/>
  <c r="N59" i="27" s="1"/>
  <c r="B59" i="27"/>
  <c r="X58" i="27"/>
  <c r="Z58" i="27" s="1"/>
  <c r="N58" i="27"/>
  <c r="L58" i="27"/>
  <c r="B58" i="27"/>
  <c r="Z57" i="27"/>
  <c r="X57" i="27"/>
  <c r="L57" i="27"/>
  <c r="N57" i="27" s="1"/>
  <c r="B57" i="27"/>
  <c r="Z56" i="27"/>
  <c r="X56" i="27"/>
  <c r="L56" i="27"/>
  <c r="N56" i="27" s="1"/>
  <c r="B56" i="27"/>
  <c r="Z55" i="27"/>
  <c r="X55" i="27"/>
  <c r="N55" i="27"/>
  <c r="L55" i="27"/>
  <c r="B55" i="27"/>
  <c r="X54" i="27"/>
  <c r="Z54" i="27" s="1"/>
  <c r="N54" i="27"/>
  <c r="L54" i="27"/>
  <c r="B54" i="27"/>
  <c r="Z53" i="27"/>
  <c r="X53" i="27"/>
  <c r="L53" i="27"/>
  <c r="N53" i="27" s="1"/>
  <c r="B53" i="27"/>
  <c r="Z52" i="27"/>
  <c r="X52" i="27"/>
  <c r="L52" i="27"/>
  <c r="N52" i="27" s="1"/>
  <c r="B52" i="27"/>
  <c r="Z51" i="27"/>
  <c r="X51" i="27"/>
  <c r="L51" i="27"/>
  <c r="N51" i="27" s="1"/>
  <c r="B51" i="27"/>
  <c r="X50" i="27"/>
  <c r="Z50" i="27" s="1"/>
  <c r="N50" i="27"/>
  <c r="L50" i="27"/>
  <c r="B50" i="27"/>
  <c r="Z49" i="27"/>
  <c r="X49" i="27"/>
  <c r="L49" i="27"/>
  <c r="N49" i="27" s="1"/>
  <c r="B49" i="27"/>
  <c r="Z48" i="27"/>
  <c r="X48" i="27"/>
  <c r="L48" i="27"/>
  <c r="N48" i="27" s="1"/>
  <c r="B48" i="27"/>
  <c r="Z47" i="27"/>
  <c r="X47" i="27"/>
  <c r="N47" i="27"/>
  <c r="L47" i="27"/>
  <c r="B47" i="27"/>
  <c r="X46" i="27"/>
  <c r="Z46" i="27" s="1"/>
  <c r="N46" i="27"/>
  <c r="L46" i="27"/>
  <c r="B46" i="27"/>
  <c r="Z45" i="27"/>
  <c r="X45" i="27"/>
  <c r="L45" i="27"/>
  <c r="N45" i="27" s="1"/>
  <c r="B45" i="27"/>
  <c r="Z44" i="27"/>
  <c r="X44" i="27"/>
  <c r="N44" i="27"/>
  <c r="L44" i="27"/>
  <c r="B44" i="27"/>
  <c r="T43" i="27"/>
  <c r="P43" i="27"/>
  <c r="H43" i="27"/>
  <c r="D43" i="27"/>
  <c r="L43" i="27" s="1"/>
  <c r="N43" i="27" s="1"/>
  <c r="T41" i="27"/>
  <c r="P41" i="27"/>
  <c r="X41" i="27" s="1"/>
  <c r="Z41" i="27" s="1"/>
  <c r="L41" i="27"/>
  <c r="H41" i="27"/>
  <c r="D41" i="27"/>
  <c r="B41" i="27"/>
  <c r="T40" i="27"/>
  <c r="P40" i="27"/>
  <c r="X40" i="27" s="1"/>
  <c r="H40" i="27"/>
  <c r="D40" i="27"/>
  <c r="B40" i="27"/>
  <c r="T39" i="27"/>
  <c r="P39" i="27"/>
  <c r="H39" i="27"/>
  <c r="N39" i="27" s="1"/>
  <c r="D39" i="27"/>
  <c r="L39" i="27" s="1"/>
  <c r="B39" i="27"/>
  <c r="T38" i="27"/>
  <c r="Z38" i="27" s="1"/>
  <c r="P38" i="27"/>
  <c r="X38" i="27" s="1"/>
  <c r="N38" i="27"/>
  <c r="L38" i="27"/>
  <c r="H38" i="27"/>
  <c r="D38" i="27"/>
  <c r="B38" i="27"/>
  <c r="T37" i="27"/>
  <c r="P37" i="27"/>
  <c r="X37" i="27" s="1"/>
  <c r="Z37" i="27" s="1"/>
  <c r="L37" i="27"/>
  <c r="H37" i="27"/>
  <c r="N37" i="27" s="1"/>
  <c r="D37" i="27"/>
  <c r="B37" i="27"/>
  <c r="T36" i="27"/>
  <c r="P36" i="27"/>
  <c r="X36" i="27" s="1"/>
  <c r="H36" i="27"/>
  <c r="D36" i="27"/>
  <c r="B36" i="27"/>
  <c r="T35" i="27"/>
  <c r="P35" i="27"/>
  <c r="H35" i="27"/>
  <c r="N35" i="27" s="1"/>
  <c r="D35" i="27"/>
  <c r="L35" i="27" s="1"/>
  <c r="B35" i="27"/>
  <c r="T34" i="27"/>
  <c r="Z34" i="27" s="1"/>
  <c r="P34" i="27"/>
  <c r="X34" i="27" s="1"/>
  <c r="L34" i="27"/>
  <c r="N34" i="27" s="1"/>
  <c r="H34" i="27"/>
  <c r="D34" i="27"/>
  <c r="B34" i="27"/>
  <c r="T33" i="27"/>
  <c r="P33" i="27"/>
  <c r="X33" i="27" s="1"/>
  <c r="Z33" i="27" s="1"/>
  <c r="L33" i="27"/>
  <c r="H33" i="27"/>
  <c r="N33" i="27" s="1"/>
  <c r="D33" i="27"/>
  <c r="B33" i="27"/>
  <c r="T32" i="27"/>
  <c r="P32" i="27"/>
  <c r="X32" i="27" s="1"/>
  <c r="H32" i="27"/>
  <c r="D32" i="27"/>
  <c r="B32" i="27"/>
  <c r="T31" i="27"/>
  <c r="P31" i="27"/>
  <c r="H31" i="27"/>
  <c r="D31" i="27"/>
  <c r="L31" i="27" s="1"/>
  <c r="B31" i="27"/>
  <c r="T30" i="27"/>
  <c r="Z30" i="27" s="1"/>
  <c r="P30" i="27"/>
  <c r="X30" i="27" s="1"/>
  <c r="L30" i="27"/>
  <c r="N30" i="27" s="1"/>
  <c r="H30" i="27"/>
  <c r="D30" i="27"/>
  <c r="B30" i="27"/>
  <c r="T29" i="27"/>
  <c r="P29" i="27"/>
  <c r="X29" i="27" s="1"/>
  <c r="Z29" i="27" s="1"/>
  <c r="L29" i="27"/>
  <c r="H29" i="27"/>
  <c r="N29" i="27" s="1"/>
  <c r="D29" i="27"/>
  <c r="B29" i="27"/>
  <c r="T28" i="27"/>
  <c r="P28" i="27"/>
  <c r="X28" i="27" s="1"/>
  <c r="H28" i="27"/>
  <c r="D28" i="27"/>
  <c r="B28" i="27"/>
  <c r="T27" i="27"/>
  <c r="P27" i="27"/>
  <c r="H27" i="27"/>
  <c r="N27" i="27" s="1"/>
  <c r="D27" i="27"/>
  <c r="L27" i="27" s="1"/>
  <c r="B27" i="27"/>
  <c r="Z26" i="27"/>
  <c r="T26" i="27"/>
  <c r="P26" i="27"/>
  <c r="X26" i="27" s="1"/>
  <c r="L26" i="27"/>
  <c r="N26" i="27" s="1"/>
  <c r="H26" i="27"/>
  <c r="D26" i="27"/>
  <c r="B26" i="27"/>
  <c r="T25" i="27"/>
  <c r="P25" i="27"/>
  <c r="X25" i="27" s="1"/>
  <c r="Z25" i="27" s="1"/>
  <c r="L25" i="27"/>
  <c r="H25" i="27"/>
  <c r="N25" i="27" s="1"/>
  <c r="D25" i="27"/>
  <c r="B25" i="27"/>
  <c r="T24" i="27"/>
  <c r="P24" i="27"/>
  <c r="X24" i="27" s="1"/>
  <c r="H24" i="27"/>
  <c r="D24" i="27"/>
  <c r="B24" i="27"/>
  <c r="T23" i="27"/>
  <c r="P23" i="27"/>
  <c r="H23" i="27"/>
  <c r="D23" i="27"/>
  <c r="L23" i="27" s="1"/>
  <c r="B23" i="27"/>
  <c r="T22" i="27"/>
  <c r="P22" i="27"/>
  <c r="L22" i="27"/>
  <c r="N22" i="27" s="1"/>
  <c r="H22" i="27"/>
  <c r="D22" i="27"/>
  <c r="B22" i="27"/>
  <c r="T21" i="27"/>
  <c r="P21" i="27"/>
  <c r="X21" i="27" s="1"/>
  <c r="Z21" i="27" s="1"/>
  <c r="L21" i="27"/>
  <c r="H21" i="27"/>
  <c r="D21" i="27"/>
  <c r="B21" i="27"/>
  <c r="T20" i="27"/>
  <c r="Z20" i="27" s="1"/>
  <c r="P20" i="27"/>
  <c r="X20" i="27" s="1"/>
  <c r="H20" i="27"/>
  <c r="D20" i="27"/>
  <c r="B20" i="27"/>
  <c r="T19" i="27"/>
  <c r="P19" i="27"/>
  <c r="H19" i="27"/>
  <c r="D19" i="27"/>
  <c r="L19" i="27" s="1"/>
  <c r="B19" i="27"/>
  <c r="T18" i="27"/>
  <c r="Z18" i="27" s="1"/>
  <c r="P18" i="27"/>
  <c r="X18" i="27" s="1"/>
  <c r="L18" i="27"/>
  <c r="N18" i="27" s="1"/>
  <c r="H18" i="27"/>
  <c r="D18" i="27"/>
  <c r="B18" i="27"/>
  <c r="T17" i="27"/>
  <c r="P17" i="27"/>
  <c r="X17" i="27" s="1"/>
  <c r="Z17" i="27" s="1"/>
  <c r="L17" i="27"/>
  <c r="H17" i="27"/>
  <c r="N17" i="27" s="1"/>
  <c r="D17" i="27"/>
  <c r="B17" i="27"/>
  <c r="T16" i="27"/>
  <c r="P16" i="27"/>
  <c r="X16" i="27" s="1"/>
  <c r="H16" i="27"/>
  <c r="D16" i="27"/>
  <c r="B16" i="27"/>
  <c r="T15" i="27"/>
  <c r="P15" i="27"/>
  <c r="H15" i="27"/>
  <c r="D15" i="27"/>
  <c r="B15" i="27"/>
  <c r="Z14" i="27"/>
  <c r="T14" i="27"/>
  <c r="P14" i="27"/>
  <c r="X14" i="27" s="1"/>
  <c r="L14" i="27"/>
  <c r="N14" i="27" s="1"/>
  <c r="H14" i="27"/>
  <c r="D14" i="27"/>
  <c r="B14" i="27"/>
  <c r="Z13" i="27"/>
  <c r="T13" i="27"/>
  <c r="T12" i="27" s="1"/>
  <c r="V48" i="27" s="1"/>
  <c r="P13" i="27"/>
  <c r="X13" i="27" s="1"/>
  <c r="L13" i="27"/>
  <c r="H13" i="27"/>
  <c r="N13" i="27" s="1"/>
  <c r="D13" i="27"/>
  <c r="D12" i="27" s="1"/>
  <c r="B13" i="27"/>
  <c r="D4" i="27"/>
  <c r="Z138" i="24"/>
  <c r="X138" i="24"/>
  <c r="L138" i="24"/>
  <c r="N138" i="24" s="1"/>
  <c r="X134" i="24"/>
  <c r="Z134" i="24" s="1"/>
  <c r="T134" i="24"/>
  <c r="P134" i="24"/>
  <c r="H134" i="24"/>
  <c r="D134" i="24"/>
  <c r="B134" i="24"/>
  <c r="Z133" i="24"/>
  <c r="T133" i="24"/>
  <c r="X133" i="24" s="1"/>
  <c r="P133" i="24"/>
  <c r="Z131" i="24"/>
  <c r="X131" i="24"/>
  <c r="N131" i="24"/>
  <c r="L131" i="24"/>
  <c r="B131" i="24"/>
  <c r="X130" i="24"/>
  <c r="T130" i="24"/>
  <c r="P130" i="24"/>
  <c r="N130" i="24"/>
  <c r="H130" i="24"/>
  <c r="D130" i="24"/>
  <c r="L130" i="24" s="1"/>
  <c r="B130" i="24"/>
  <c r="Z129" i="24"/>
  <c r="X129" i="24"/>
  <c r="N129" i="24"/>
  <c r="L129" i="24"/>
  <c r="B129" i="24"/>
  <c r="T128" i="24"/>
  <c r="P128" i="24"/>
  <c r="X128" i="24" s="1"/>
  <c r="N128" i="24"/>
  <c r="H128" i="24"/>
  <c r="D128" i="24"/>
  <c r="L128" i="24" s="1"/>
  <c r="B128" i="24"/>
  <c r="Z127" i="24"/>
  <c r="X127" i="24"/>
  <c r="N127" i="24"/>
  <c r="L127" i="24"/>
  <c r="B127" i="24"/>
  <c r="T126" i="24"/>
  <c r="P126" i="24"/>
  <c r="L126" i="24"/>
  <c r="N126" i="24" s="1"/>
  <c r="H126" i="24"/>
  <c r="D126" i="24"/>
  <c r="B126" i="24"/>
  <c r="X125" i="24"/>
  <c r="Z125" i="24" s="1"/>
  <c r="N125" i="24"/>
  <c r="L125" i="24"/>
  <c r="B125" i="24"/>
  <c r="Z124" i="24"/>
  <c r="X124" i="24"/>
  <c r="N124" i="24"/>
  <c r="L124" i="24"/>
  <c r="B124" i="24"/>
  <c r="Z123" i="24"/>
  <c r="X123" i="24"/>
  <c r="N123" i="24"/>
  <c r="L123" i="24"/>
  <c r="B123" i="24"/>
  <c r="Z122" i="24"/>
  <c r="X122" i="24"/>
  <c r="N122" i="24"/>
  <c r="L122" i="24"/>
  <c r="B122" i="24"/>
  <c r="X121" i="24"/>
  <c r="T121" i="24"/>
  <c r="P121" i="24"/>
  <c r="H121" i="24"/>
  <c r="L121" i="24" s="1"/>
  <c r="N121" i="24" s="1"/>
  <c r="D121" i="24"/>
  <c r="B121" i="24"/>
  <c r="Z120" i="24"/>
  <c r="X120" i="24"/>
  <c r="N120" i="24"/>
  <c r="L120" i="24"/>
  <c r="B120" i="24"/>
  <c r="T119" i="24"/>
  <c r="P119" i="24"/>
  <c r="X119" i="24" s="1"/>
  <c r="N119" i="24"/>
  <c r="H119" i="24"/>
  <c r="D119" i="24"/>
  <c r="L119" i="24" s="1"/>
  <c r="B119" i="24"/>
  <c r="X118" i="24"/>
  <c r="Z118" i="24" s="1"/>
  <c r="N118" i="24"/>
  <c r="L118" i="24"/>
  <c r="B118" i="24"/>
  <c r="X117" i="24"/>
  <c r="Z117" i="24" s="1"/>
  <c r="N117" i="24"/>
  <c r="L117" i="24"/>
  <c r="B117" i="24"/>
  <c r="X116" i="24"/>
  <c r="Z116" i="24" s="1"/>
  <c r="T116" i="24"/>
  <c r="P116" i="24"/>
  <c r="H116" i="24"/>
  <c r="N116" i="24" s="1"/>
  <c r="D116" i="24"/>
  <c r="L116" i="24" s="1"/>
  <c r="B116" i="24"/>
  <c r="Z115" i="24"/>
  <c r="X115" i="24"/>
  <c r="N115" i="24"/>
  <c r="L115" i="24"/>
  <c r="B115" i="24"/>
  <c r="X114" i="24"/>
  <c r="Z114" i="24" s="1"/>
  <c r="N114" i="24"/>
  <c r="L114" i="24"/>
  <c r="B114" i="24"/>
  <c r="T113" i="24"/>
  <c r="P113" i="24"/>
  <c r="N113" i="24"/>
  <c r="H113" i="24"/>
  <c r="L113" i="24" s="1"/>
  <c r="D113" i="24"/>
  <c r="B113" i="24"/>
  <c r="X112" i="24"/>
  <c r="Z112" i="24" s="1"/>
  <c r="N112" i="24"/>
  <c r="L112" i="24"/>
  <c r="B112" i="24"/>
  <c r="T111" i="24"/>
  <c r="P111" i="24"/>
  <c r="N111" i="24"/>
  <c r="H111" i="24"/>
  <c r="D111" i="24"/>
  <c r="L111" i="24" s="1"/>
  <c r="B111" i="24"/>
  <c r="X110" i="24"/>
  <c r="Z110" i="24" s="1"/>
  <c r="N110" i="24"/>
  <c r="L110" i="24"/>
  <c r="B110" i="24"/>
  <c r="T109" i="24"/>
  <c r="P109" i="24"/>
  <c r="X109" i="24" s="1"/>
  <c r="N109" i="24"/>
  <c r="L109" i="24"/>
  <c r="H109" i="24"/>
  <c r="D109" i="24"/>
  <c r="B109" i="24"/>
  <c r="Z108" i="24"/>
  <c r="X108" i="24"/>
  <c r="N108" i="24"/>
  <c r="L108" i="24"/>
  <c r="B108" i="24"/>
  <c r="Z107" i="24"/>
  <c r="T107" i="24"/>
  <c r="X107" i="24" s="1"/>
  <c r="P107" i="24"/>
  <c r="L107" i="24"/>
  <c r="H107" i="24"/>
  <c r="N107" i="24" s="1"/>
  <c r="D107" i="24"/>
  <c r="B107" i="24"/>
  <c r="Z106" i="24"/>
  <c r="X106" i="24"/>
  <c r="N106" i="24"/>
  <c r="L106" i="24"/>
  <c r="B106" i="24"/>
  <c r="Z105" i="24"/>
  <c r="X105" i="24"/>
  <c r="L105" i="24"/>
  <c r="N105" i="24" s="1"/>
  <c r="B105" i="24"/>
  <c r="X104" i="24"/>
  <c r="Z104" i="24" s="1"/>
  <c r="T104" i="24"/>
  <c r="P104" i="24"/>
  <c r="H104" i="24"/>
  <c r="D104" i="24"/>
  <c r="L104" i="24" s="1"/>
  <c r="N104" i="24" s="1"/>
  <c r="B104" i="24"/>
  <c r="X103" i="24"/>
  <c r="Z103" i="24" s="1"/>
  <c r="N103" i="24"/>
  <c r="L103" i="24"/>
  <c r="B103" i="24"/>
  <c r="T102" i="24"/>
  <c r="P102" i="24"/>
  <c r="X102" i="24" s="1"/>
  <c r="L102" i="24"/>
  <c r="N102" i="24" s="1"/>
  <c r="H102" i="24"/>
  <c r="D102" i="24"/>
  <c r="B102" i="24"/>
  <c r="X101" i="24"/>
  <c r="Z101" i="24" s="1"/>
  <c r="N101" i="24"/>
  <c r="L101" i="24"/>
  <c r="B101" i="24"/>
  <c r="T100" i="24"/>
  <c r="Z100" i="24" s="1"/>
  <c r="P100" i="24"/>
  <c r="X100" i="24" s="1"/>
  <c r="N100" i="24"/>
  <c r="L100" i="24"/>
  <c r="H100" i="24"/>
  <c r="D100" i="24"/>
  <c r="B100" i="24"/>
  <c r="X99" i="24"/>
  <c r="Z99" i="24" s="1"/>
  <c r="N99" i="24"/>
  <c r="L99" i="24"/>
  <c r="B99" i="24"/>
  <c r="Z98" i="24"/>
  <c r="X98" i="24"/>
  <c r="N98" i="24"/>
  <c r="L98" i="24"/>
  <c r="B98" i="24"/>
  <c r="Z97" i="24"/>
  <c r="X97" i="24"/>
  <c r="L97" i="24"/>
  <c r="N97" i="24" s="1"/>
  <c r="B97" i="24"/>
  <c r="X96" i="24"/>
  <c r="Z96" i="24" s="1"/>
  <c r="N96" i="24"/>
  <c r="L96" i="24"/>
  <c r="B96" i="24"/>
  <c r="X95" i="24"/>
  <c r="Z95" i="24" s="1"/>
  <c r="L95" i="24"/>
  <c r="N95" i="24" s="1"/>
  <c r="B95" i="24"/>
  <c r="T94" i="24"/>
  <c r="P94" i="24"/>
  <c r="X94" i="24" s="1"/>
  <c r="Z94" i="24" s="1"/>
  <c r="H94" i="24"/>
  <c r="N94" i="24" s="1"/>
  <c r="D94" i="24"/>
  <c r="L94" i="24" s="1"/>
  <c r="B94" i="24"/>
  <c r="X93" i="24"/>
  <c r="Z93" i="24" s="1"/>
  <c r="L93" i="24"/>
  <c r="N93" i="24" s="1"/>
  <c r="B93" i="24"/>
  <c r="X92" i="24"/>
  <c r="Z92" i="24" s="1"/>
  <c r="N92" i="24"/>
  <c r="L92" i="24"/>
  <c r="B92" i="24"/>
  <c r="X91" i="24"/>
  <c r="Z91" i="24" s="1"/>
  <c r="N91" i="24"/>
  <c r="L91" i="24"/>
  <c r="B91" i="24"/>
  <c r="Z90" i="24"/>
  <c r="X90" i="24"/>
  <c r="N90" i="24"/>
  <c r="L90" i="24"/>
  <c r="B90" i="24"/>
  <c r="X89" i="24"/>
  <c r="Z89" i="24" s="1"/>
  <c r="L89" i="24"/>
  <c r="N89" i="24" s="1"/>
  <c r="B89" i="24"/>
  <c r="X88" i="24"/>
  <c r="Z88" i="24" s="1"/>
  <c r="N88" i="24"/>
  <c r="L88" i="24"/>
  <c r="B88" i="24"/>
  <c r="Z87" i="24"/>
  <c r="X87" i="24"/>
  <c r="N87" i="24"/>
  <c r="L87" i="24"/>
  <c r="B87" i="24"/>
  <c r="X86" i="24"/>
  <c r="Z86" i="24" s="1"/>
  <c r="L86" i="24"/>
  <c r="N86" i="24" s="1"/>
  <c r="B86" i="24"/>
  <c r="X85" i="24"/>
  <c r="Z85" i="24" s="1"/>
  <c r="L85" i="24"/>
  <c r="N85" i="24" s="1"/>
  <c r="B85" i="24"/>
  <c r="X84" i="24"/>
  <c r="Z84" i="24" s="1"/>
  <c r="T84" i="24"/>
  <c r="P84" i="24"/>
  <c r="H84" i="24"/>
  <c r="D84" i="24"/>
  <c r="L84" i="24" s="1"/>
  <c r="B84" i="24"/>
  <c r="T83" i="24"/>
  <c r="X83" i="24" s="1"/>
  <c r="P83" i="24"/>
  <c r="H83" i="24"/>
  <c r="D83" i="24"/>
  <c r="Z79" i="24"/>
  <c r="X79" i="24"/>
  <c r="L79" i="24"/>
  <c r="N79" i="24" s="1"/>
  <c r="B79" i="24"/>
  <c r="X78" i="24"/>
  <c r="Z78" i="24" s="1"/>
  <c r="N78" i="24"/>
  <c r="L78" i="24"/>
  <c r="B78" i="24"/>
  <c r="Z77" i="24"/>
  <c r="X77" i="24"/>
  <c r="N77" i="24"/>
  <c r="L77" i="24"/>
  <c r="B77" i="24"/>
  <c r="Z76" i="24"/>
  <c r="X76" i="24"/>
  <c r="L76" i="24"/>
  <c r="N76" i="24" s="1"/>
  <c r="B76" i="24"/>
  <c r="Z75" i="24"/>
  <c r="X75" i="24"/>
  <c r="N75" i="24"/>
  <c r="L75" i="24"/>
  <c r="B75" i="24"/>
  <c r="Z74" i="24"/>
  <c r="X74" i="24"/>
  <c r="N74" i="24"/>
  <c r="L74" i="24"/>
  <c r="B74" i="24"/>
  <c r="Z73" i="24"/>
  <c r="X73" i="24"/>
  <c r="N73" i="24"/>
  <c r="L73" i="24"/>
  <c r="B73" i="24"/>
  <c r="Z72" i="24"/>
  <c r="X72" i="24"/>
  <c r="N72" i="24"/>
  <c r="L72" i="24"/>
  <c r="B72" i="24"/>
  <c r="Z71" i="24"/>
  <c r="X71" i="24"/>
  <c r="N71" i="24"/>
  <c r="L71" i="24"/>
  <c r="B71" i="24"/>
  <c r="Z70" i="24"/>
  <c r="X70" i="24"/>
  <c r="N70" i="24"/>
  <c r="L70" i="24"/>
  <c r="B70" i="24"/>
  <c r="X69" i="24"/>
  <c r="Z69" i="24" s="1"/>
  <c r="N69" i="24"/>
  <c r="L69" i="24"/>
  <c r="B69" i="24"/>
  <c r="Z68" i="24"/>
  <c r="X68" i="24"/>
  <c r="N68" i="24"/>
  <c r="L68" i="24"/>
  <c r="B68" i="24"/>
  <c r="Z67" i="24"/>
  <c r="X67" i="24"/>
  <c r="L67" i="24"/>
  <c r="N67" i="24" s="1"/>
  <c r="B67" i="24"/>
  <c r="Z66" i="24"/>
  <c r="X66" i="24"/>
  <c r="N66" i="24"/>
  <c r="L66" i="24"/>
  <c r="B66" i="24"/>
  <c r="X65" i="24"/>
  <c r="Z65" i="24" s="1"/>
  <c r="N65" i="24"/>
  <c r="L65" i="24"/>
  <c r="B65" i="24"/>
  <c r="Z64" i="24"/>
  <c r="X64" i="24"/>
  <c r="N64" i="24"/>
  <c r="L64" i="24"/>
  <c r="B64" i="24"/>
  <c r="Z63" i="24"/>
  <c r="X63" i="24"/>
  <c r="L63" i="24"/>
  <c r="N63" i="24" s="1"/>
  <c r="B63" i="24"/>
  <c r="Z62" i="24"/>
  <c r="X62" i="24"/>
  <c r="N62" i="24"/>
  <c r="L62" i="24"/>
  <c r="B62" i="24"/>
  <c r="X61" i="24"/>
  <c r="Z61" i="24" s="1"/>
  <c r="N61" i="24"/>
  <c r="L61" i="24"/>
  <c r="B61" i="24"/>
  <c r="Z60" i="24"/>
  <c r="X60" i="24"/>
  <c r="N60" i="24"/>
  <c r="L60" i="24"/>
  <c r="B60" i="24"/>
  <c r="Z59" i="24"/>
  <c r="X59" i="24"/>
  <c r="L59" i="24"/>
  <c r="N59" i="24" s="1"/>
  <c r="B59" i="24"/>
  <c r="Z58" i="24"/>
  <c r="X58" i="24"/>
  <c r="N58" i="24"/>
  <c r="L58" i="24"/>
  <c r="B58" i="24"/>
  <c r="X57" i="24"/>
  <c r="Z57" i="24" s="1"/>
  <c r="N57" i="24"/>
  <c r="L57" i="24"/>
  <c r="B57" i="24"/>
  <c r="Z56" i="24"/>
  <c r="X56" i="24"/>
  <c r="N56" i="24"/>
  <c r="L56" i="24"/>
  <c r="B56" i="24"/>
  <c r="Z55" i="24"/>
  <c r="T55" i="24"/>
  <c r="X55" i="24" s="1"/>
  <c r="P55" i="24"/>
  <c r="H55" i="24"/>
  <c r="D55" i="24"/>
  <c r="L55" i="24" s="1"/>
  <c r="N55" i="24" s="1"/>
  <c r="X53" i="24"/>
  <c r="Z53" i="24" s="1"/>
  <c r="T53" i="24"/>
  <c r="P53" i="24"/>
  <c r="H53" i="24"/>
  <c r="N53" i="24" s="1"/>
  <c r="D53" i="24"/>
  <c r="L53" i="24" s="1"/>
  <c r="B53" i="24"/>
  <c r="T52" i="24"/>
  <c r="P52" i="24"/>
  <c r="H52" i="24"/>
  <c r="L52" i="24" s="1"/>
  <c r="D52" i="24"/>
  <c r="B52" i="24"/>
  <c r="T51" i="24"/>
  <c r="P51" i="24"/>
  <c r="X51" i="24" s="1"/>
  <c r="H51" i="24"/>
  <c r="N51" i="24" s="1"/>
  <c r="D51" i="24"/>
  <c r="B51" i="24"/>
  <c r="T50" i="24"/>
  <c r="Z50" i="24" s="1"/>
  <c r="P50" i="24"/>
  <c r="X50" i="24" s="1"/>
  <c r="H50" i="24"/>
  <c r="N50" i="24" s="1"/>
  <c r="D50" i="24"/>
  <c r="B50" i="24"/>
  <c r="X49" i="24"/>
  <c r="Z49" i="24" s="1"/>
  <c r="T49" i="24"/>
  <c r="P49" i="24"/>
  <c r="H49" i="24"/>
  <c r="D49" i="24"/>
  <c r="L49" i="24" s="1"/>
  <c r="B49" i="24"/>
  <c r="T48" i="24"/>
  <c r="P48" i="24"/>
  <c r="H48" i="24"/>
  <c r="L48" i="24" s="1"/>
  <c r="D48" i="24"/>
  <c r="B48" i="24"/>
  <c r="T47" i="24"/>
  <c r="P47" i="24"/>
  <c r="H47" i="24"/>
  <c r="D47" i="24"/>
  <c r="B47" i="24"/>
  <c r="Z46" i="24"/>
  <c r="T46" i="24"/>
  <c r="P46" i="24"/>
  <c r="X46" i="24" s="1"/>
  <c r="H46" i="24"/>
  <c r="D46" i="24"/>
  <c r="B46" i="24"/>
  <c r="Z45" i="24"/>
  <c r="X45" i="24"/>
  <c r="T45" i="24"/>
  <c r="P45" i="24"/>
  <c r="L45" i="24"/>
  <c r="H45" i="24"/>
  <c r="D45" i="24"/>
  <c r="B45" i="24"/>
  <c r="X44" i="24"/>
  <c r="Z44" i="24" s="1"/>
  <c r="T44" i="24"/>
  <c r="P44" i="24"/>
  <c r="H44" i="24"/>
  <c r="L44" i="24" s="1"/>
  <c r="D44" i="24"/>
  <c r="B44" i="24"/>
  <c r="T43" i="24"/>
  <c r="P43" i="24"/>
  <c r="X43" i="24" s="1"/>
  <c r="Z43" i="24" s="1"/>
  <c r="N43" i="24"/>
  <c r="L43" i="24"/>
  <c r="H43" i="24"/>
  <c r="D43" i="24"/>
  <c r="B43" i="24"/>
  <c r="Z42" i="24"/>
  <c r="T42" i="24"/>
  <c r="P42" i="24"/>
  <c r="X42" i="24" s="1"/>
  <c r="H42" i="24"/>
  <c r="D42" i="24"/>
  <c r="L42" i="24" s="1"/>
  <c r="N42" i="24" s="1"/>
  <c r="B42" i="24"/>
  <c r="T41" i="24"/>
  <c r="P41" i="24"/>
  <c r="X41" i="24" s="1"/>
  <c r="Z41" i="24" s="1"/>
  <c r="L41" i="24"/>
  <c r="H41" i="24"/>
  <c r="N41" i="24" s="1"/>
  <c r="D41" i="24"/>
  <c r="B41" i="24"/>
  <c r="T40" i="24"/>
  <c r="Z40" i="24" s="1"/>
  <c r="P40" i="24"/>
  <c r="X40" i="24" s="1"/>
  <c r="N40" i="24"/>
  <c r="L40" i="24"/>
  <c r="H40" i="24"/>
  <c r="D40" i="24"/>
  <c r="B40" i="24"/>
  <c r="T39" i="24"/>
  <c r="P39" i="24"/>
  <c r="H39" i="24"/>
  <c r="N39" i="24" s="1"/>
  <c r="D39" i="24"/>
  <c r="L39" i="24" s="1"/>
  <c r="B39" i="24"/>
  <c r="T38" i="24"/>
  <c r="P38" i="24"/>
  <c r="H38" i="24"/>
  <c r="D38" i="24"/>
  <c r="B38" i="24"/>
  <c r="T37" i="24"/>
  <c r="P37" i="24"/>
  <c r="H37" i="24"/>
  <c r="D37" i="24"/>
  <c r="B37" i="24"/>
  <c r="X36" i="24"/>
  <c r="Z36" i="24" s="1"/>
  <c r="T36" i="24"/>
  <c r="P36" i="24"/>
  <c r="H36" i="24"/>
  <c r="D36" i="24"/>
  <c r="B36" i="24"/>
  <c r="X35" i="24"/>
  <c r="Z35" i="24" s="1"/>
  <c r="T35" i="24"/>
  <c r="P35" i="24"/>
  <c r="H35" i="24"/>
  <c r="D35" i="24"/>
  <c r="L35" i="24" s="1"/>
  <c r="N35" i="24" s="1"/>
  <c r="B35" i="24"/>
  <c r="T34" i="24"/>
  <c r="P34" i="24"/>
  <c r="L34" i="24"/>
  <c r="N34" i="24" s="1"/>
  <c r="H34" i="24"/>
  <c r="D34" i="24"/>
  <c r="B34" i="24"/>
  <c r="T33" i="24"/>
  <c r="P33" i="24"/>
  <c r="X33" i="24" s="1"/>
  <c r="L33" i="24"/>
  <c r="H33" i="24"/>
  <c r="D33" i="24"/>
  <c r="B33" i="24"/>
  <c r="T32" i="24"/>
  <c r="P32" i="24"/>
  <c r="X32" i="24" s="1"/>
  <c r="Z32" i="24" s="1"/>
  <c r="H32" i="24"/>
  <c r="D32" i="24"/>
  <c r="B32" i="24"/>
  <c r="T31" i="24"/>
  <c r="P31" i="24"/>
  <c r="H31" i="24"/>
  <c r="D31" i="24"/>
  <c r="B31" i="24"/>
  <c r="T30" i="24"/>
  <c r="Z30" i="24" s="1"/>
  <c r="P30" i="24"/>
  <c r="X30" i="24" s="1"/>
  <c r="H30" i="24"/>
  <c r="D30" i="24"/>
  <c r="L30" i="24" s="1"/>
  <c r="B30" i="24"/>
  <c r="X29" i="24"/>
  <c r="Z29" i="24" s="1"/>
  <c r="T29" i="24"/>
  <c r="P29" i="24"/>
  <c r="H29" i="24"/>
  <c r="D29" i="24"/>
  <c r="L29" i="24" s="1"/>
  <c r="B29" i="24"/>
  <c r="T28" i="24"/>
  <c r="P28" i="24"/>
  <c r="L28" i="24"/>
  <c r="N28" i="24" s="1"/>
  <c r="H28" i="24"/>
  <c r="D28" i="24"/>
  <c r="B28" i="24"/>
  <c r="X27" i="24"/>
  <c r="Z27" i="24" s="1"/>
  <c r="T27" i="24"/>
  <c r="P27" i="24"/>
  <c r="L27" i="24"/>
  <c r="N27" i="24" s="1"/>
  <c r="H27" i="24"/>
  <c r="D27" i="24"/>
  <c r="B27" i="24"/>
  <c r="T26" i="24"/>
  <c r="Z26" i="24" s="1"/>
  <c r="P26" i="24"/>
  <c r="X26" i="24" s="1"/>
  <c r="L26" i="24"/>
  <c r="N26" i="24" s="1"/>
  <c r="H26" i="24"/>
  <c r="D26" i="24"/>
  <c r="B26" i="24"/>
  <c r="Z25" i="24"/>
  <c r="T25" i="24"/>
  <c r="P25" i="24"/>
  <c r="X25" i="24" s="1"/>
  <c r="H25" i="24"/>
  <c r="D25" i="24"/>
  <c r="L25" i="24" s="1"/>
  <c r="B25" i="24"/>
  <c r="T24" i="24"/>
  <c r="P24" i="24"/>
  <c r="X24" i="24" s="1"/>
  <c r="Z24" i="24" s="1"/>
  <c r="H24" i="24"/>
  <c r="D24" i="24"/>
  <c r="L24" i="24" s="1"/>
  <c r="N24" i="24" s="1"/>
  <c r="B24" i="24"/>
  <c r="T23" i="24"/>
  <c r="Z23" i="24" s="1"/>
  <c r="P23" i="24"/>
  <c r="X23" i="24" s="1"/>
  <c r="H23" i="24"/>
  <c r="D23" i="24"/>
  <c r="B23" i="24"/>
  <c r="X22" i="24"/>
  <c r="Z22" i="24" s="1"/>
  <c r="T22" i="24"/>
  <c r="P22" i="24"/>
  <c r="H22" i="24"/>
  <c r="D22" i="24"/>
  <c r="B22" i="24"/>
  <c r="X21" i="24"/>
  <c r="Z21" i="24" s="1"/>
  <c r="T21" i="24"/>
  <c r="P21" i="24"/>
  <c r="H21" i="24"/>
  <c r="D21" i="24"/>
  <c r="L21" i="24" s="1"/>
  <c r="N21" i="24" s="1"/>
  <c r="B21" i="24"/>
  <c r="T20" i="24"/>
  <c r="P20" i="24"/>
  <c r="X20" i="24" s="1"/>
  <c r="Z20" i="24" s="1"/>
  <c r="H20" i="24"/>
  <c r="D20" i="24"/>
  <c r="L20" i="24" s="1"/>
  <c r="N20" i="24" s="1"/>
  <c r="B20" i="24"/>
  <c r="T19" i="24"/>
  <c r="Z19" i="24" s="1"/>
  <c r="P19" i="24"/>
  <c r="X19" i="24" s="1"/>
  <c r="H19" i="24"/>
  <c r="D19" i="24"/>
  <c r="B19" i="24"/>
  <c r="X18" i="24"/>
  <c r="Z18" i="24" s="1"/>
  <c r="T18" i="24"/>
  <c r="P18" i="24"/>
  <c r="H18" i="24"/>
  <c r="D18" i="24"/>
  <c r="B18" i="24"/>
  <c r="X17" i="24"/>
  <c r="Z17" i="24" s="1"/>
  <c r="T17" i="24"/>
  <c r="P17" i="24"/>
  <c r="H17" i="24"/>
  <c r="D17" i="24"/>
  <c r="L17" i="24" s="1"/>
  <c r="N17" i="24" s="1"/>
  <c r="B17" i="24"/>
  <c r="T16" i="24"/>
  <c r="P16" i="24"/>
  <c r="X16" i="24" s="1"/>
  <c r="Z16" i="24" s="1"/>
  <c r="H16" i="24"/>
  <c r="D16" i="24"/>
  <c r="L16" i="24" s="1"/>
  <c r="N16" i="24" s="1"/>
  <c r="B16" i="24"/>
  <c r="T15" i="24"/>
  <c r="Z15" i="24" s="1"/>
  <c r="P15" i="24"/>
  <c r="X15" i="24" s="1"/>
  <c r="H15" i="24"/>
  <c r="N15" i="24" s="1"/>
  <c r="D15" i="24"/>
  <c r="B15" i="24"/>
  <c r="X14" i="24"/>
  <c r="Z14" i="24" s="1"/>
  <c r="T14" i="24"/>
  <c r="P14" i="24"/>
  <c r="H14" i="24"/>
  <c r="D14" i="24"/>
  <c r="B14" i="24"/>
  <c r="Z13" i="24"/>
  <c r="X13" i="24"/>
  <c r="T13" i="24"/>
  <c r="P13" i="24"/>
  <c r="N13" i="24"/>
  <c r="H13" i="24"/>
  <c r="D13" i="24"/>
  <c r="L13" i="24" s="1"/>
  <c r="B13" i="24"/>
  <c r="D4" i="24"/>
  <c r="X105" i="21"/>
  <c r="Z105" i="21" s="1"/>
  <c r="N105" i="21"/>
  <c r="L105" i="21"/>
  <c r="T101" i="21"/>
  <c r="Z101" i="21" s="1"/>
  <c r="P101" i="21"/>
  <c r="X101" i="21" s="1"/>
  <c r="H101" i="21"/>
  <c r="N101" i="21" s="1"/>
  <c r="D101" i="21"/>
  <c r="Z99" i="21"/>
  <c r="X99" i="21"/>
  <c r="L99" i="21"/>
  <c r="N99" i="21" s="1"/>
  <c r="B99" i="21"/>
  <c r="T98" i="21"/>
  <c r="P98" i="21"/>
  <c r="X98" i="21" s="1"/>
  <c r="Z98" i="21" s="1"/>
  <c r="H98" i="21"/>
  <c r="D98" i="21"/>
  <c r="L98" i="21" s="1"/>
  <c r="N98" i="21" s="1"/>
  <c r="B98" i="21"/>
  <c r="X97" i="21"/>
  <c r="Z97" i="21" s="1"/>
  <c r="N97" i="21"/>
  <c r="L97" i="21"/>
  <c r="B97" i="21"/>
  <c r="X96" i="21"/>
  <c r="T96" i="21"/>
  <c r="Z96" i="21" s="1"/>
  <c r="P96" i="21"/>
  <c r="H96" i="21"/>
  <c r="N96" i="21" s="1"/>
  <c r="D96" i="21"/>
  <c r="B96" i="21"/>
  <c r="X95" i="21"/>
  <c r="Z95" i="21" s="1"/>
  <c r="N95" i="21"/>
  <c r="L95" i="21"/>
  <c r="B95" i="21"/>
  <c r="T94" i="21"/>
  <c r="R94" i="21"/>
  <c r="P94" i="21"/>
  <c r="H94" i="21"/>
  <c r="D94" i="21"/>
  <c r="L94" i="21" s="1"/>
  <c r="B94" i="21"/>
  <c r="Z93" i="21"/>
  <c r="X93" i="21"/>
  <c r="R93" i="21"/>
  <c r="L93" i="21"/>
  <c r="N93" i="21" s="1"/>
  <c r="B93" i="21"/>
  <c r="X92" i="21"/>
  <c r="Z92" i="21" s="1"/>
  <c r="L92" i="21"/>
  <c r="N92" i="21" s="1"/>
  <c r="B92" i="21"/>
  <c r="Z91" i="21"/>
  <c r="X91" i="21"/>
  <c r="N91" i="21"/>
  <c r="L91" i="21"/>
  <c r="B91" i="21"/>
  <c r="Z90" i="21"/>
  <c r="X90" i="21"/>
  <c r="L90" i="21"/>
  <c r="N90" i="21" s="1"/>
  <c r="B90" i="21"/>
  <c r="Z89" i="21"/>
  <c r="X89" i="21"/>
  <c r="R89" i="21"/>
  <c r="L89" i="21"/>
  <c r="N89" i="21" s="1"/>
  <c r="B89" i="21"/>
  <c r="X88" i="21"/>
  <c r="Z88" i="21" s="1"/>
  <c r="N88" i="21"/>
  <c r="L88" i="21"/>
  <c r="B88" i="21"/>
  <c r="Z87" i="21"/>
  <c r="X87" i="21"/>
  <c r="N87" i="21"/>
  <c r="L87" i="21"/>
  <c r="B87" i="21"/>
  <c r="Z86" i="21"/>
  <c r="X86" i="21"/>
  <c r="N86" i="21"/>
  <c r="L86" i="21"/>
  <c r="B86" i="21"/>
  <c r="Z85" i="21"/>
  <c r="X85" i="21"/>
  <c r="R85" i="21"/>
  <c r="N85" i="21"/>
  <c r="L85" i="21"/>
  <c r="B85" i="21"/>
  <c r="T84" i="21"/>
  <c r="P84" i="21"/>
  <c r="X84" i="21" s="1"/>
  <c r="Z84" i="21" s="1"/>
  <c r="H84" i="21"/>
  <c r="D84" i="21"/>
  <c r="L84" i="21" s="1"/>
  <c r="N84" i="21" s="1"/>
  <c r="B84" i="21"/>
  <c r="X83" i="21"/>
  <c r="Z83" i="21" s="1"/>
  <c r="N83" i="21"/>
  <c r="L83" i="21"/>
  <c r="B83" i="21"/>
  <c r="T82" i="21"/>
  <c r="P82" i="21"/>
  <c r="L82" i="21"/>
  <c r="J82" i="21"/>
  <c r="H82" i="21"/>
  <c r="N82" i="21" s="1"/>
  <c r="D82" i="21"/>
  <c r="B82" i="21"/>
  <c r="X81" i="21"/>
  <c r="Z81" i="21" s="1"/>
  <c r="N81" i="21"/>
  <c r="L81" i="21"/>
  <c r="B81" i="21"/>
  <c r="X80" i="21"/>
  <c r="Z80" i="21" s="1"/>
  <c r="L80" i="21"/>
  <c r="N80" i="21" s="1"/>
  <c r="B80" i="21"/>
  <c r="X79" i="21"/>
  <c r="Z79" i="21" s="1"/>
  <c r="N79" i="21"/>
  <c r="L79" i="21"/>
  <c r="B79" i="21"/>
  <c r="Z78" i="21"/>
  <c r="X78" i="21"/>
  <c r="R78" i="21"/>
  <c r="N78" i="21"/>
  <c r="L78" i="21"/>
  <c r="B78" i="21"/>
  <c r="T77" i="21"/>
  <c r="P77" i="21"/>
  <c r="N77" i="21"/>
  <c r="L77" i="21"/>
  <c r="H77" i="21"/>
  <c r="D77" i="21"/>
  <c r="B77" i="21"/>
  <c r="X76" i="21"/>
  <c r="Z76" i="21" s="1"/>
  <c r="L76" i="21"/>
  <c r="N76" i="21" s="1"/>
  <c r="B76" i="21"/>
  <c r="T75" i="21"/>
  <c r="P75" i="21"/>
  <c r="X75" i="21" s="1"/>
  <c r="H75" i="21"/>
  <c r="D75" i="21"/>
  <c r="B75" i="21"/>
  <c r="X74" i="21"/>
  <c r="Z74" i="21" s="1"/>
  <c r="N74" i="21"/>
  <c r="L74" i="21"/>
  <c r="B74" i="21"/>
  <c r="X73" i="21"/>
  <c r="Z73" i="21" s="1"/>
  <c r="L73" i="21"/>
  <c r="N73" i="21" s="1"/>
  <c r="B73" i="21"/>
  <c r="X72" i="21"/>
  <c r="Z72" i="21" s="1"/>
  <c r="N72" i="21"/>
  <c r="L72" i="21"/>
  <c r="B72" i="21"/>
  <c r="T71" i="21"/>
  <c r="R71" i="21"/>
  <c r="P71" i="21"/>
  <c r="X71" i="21" s="1"/>
  <c r="Z71" i="21" s="1"/>
  <c r="H71" i="21"/>
  <c r="D71" i="21"/>
  <c r="L71" i="21" s="1"/>
  <c r="B71" i="21"/>
  <c r="Z70" i="21"/>
  <c r="X70" i="21"/>
  <c r="R70" i="21"/>
  <c r="N70" i="21"/>
  <c r="L70" i="21"/>
  <c r="B70" i="21"/>
  <c r="T69" i="21"/>
  <c r="P69" i="21"/>
  <c r="L69" i="21"/>
  <c r="N69" i="21" s="1"/>
  <c r="H69" i="21"/>
  <c r="D69" i="21"/>
  <c r="B69" i="21"/>
  <c r="X68" i="21"/>
  <c r="Z68" i="21" s="1"/>
  <c r="L68" i="21"/>
  <c r="N68" i="21" s="1"/>
  <c r="B68" i="21"/>
  <c r="T67" i="21"/>
  <c r="Z67" i="21" s="1"/>
  <c r="P67" i="21"/>
  <c r="X67" i="21" s="1"/>
  <c r="J67" i="21"/>
  <c r="H67" i="21"/>
  <c r="D67" i="21"/>
  <c r="L67" i="21" s="1"/>
  <c r="B67" i="21"/>
  <c r="X66" i="21"/>
  <c r="Z66" i="21" s="1"/>
  <c r="N66" i="21"/>
  <c r="L66" i="21"/>
  <c r="B66" i="21"/>
  <c r="T65" i="21"/>
  <c r="Z65" i="21" s="1"/>
  <c r="P65" i="21"/>
  <c r="X65" i="21" s="1"/>
  <c r="H65" i="21"/>
  <c r="D65" i="21"/>
  <c r="L65" i="21" s="1"/>
  <c r="N65" i="21" s="1"/>
  <c r="B65" i="21"/>
  <c r="X64" i="21"/>
  <c r="Z64" i="21" s="1"/>
  <c r="L64" i="21"/>
  <c r="N64" i="21" s="1"/>
  <c r="B64" i="21"/>
  <c r="X63" i="21"/>
  <c r="Z63" i="21" s="1"/>
  <c r="T63" i="21"/>
  <c r="P63" i="21"/>
  <c r="H63" i="21"/>
  <c r="D63" i="21"/>
  <c r="B63" i="21"/>
  <c r="Z62" i="21"/>
  <c r="X62" i="21"/>
  <c r="L62" i="21"/>
  <c r="N62" i="21" s="1"/>
  <c r="B62" i="21"/>
  <c r="T61" i="21"/>
  <c r="P61" i="21"/>
  <c r="X61" i="21" s="1"/>
  <c r="H61" i="21"/>
  <c r="D61" i="21"/>
  <c r="L61" i="21" s="1"/>
  <c r="B61" i="21"/>
  <c r="X60" i="21"/>
  <c r="Z60" i="21" s="1"/>
  <c r="L60" i="21"/>
  <c r="N60" i="21" s="1"/>
  <c r="B60" i="21"/>
  <c r="T59" i="21"/>
  <c r="P59" i="21"/>
  <c r="H59" i="21"/>
  <c r="D59" i="21"/>
  <c r="L59" i="21" s="1"/>
  <c r="B59" i="21"/>
  <c r="Z58" i="21"/>
  <c r="X58" i="21"/>
  <c r="R58" i="21"/>
  <c r="N58" i="21"/>
  <c r="L58" i="21"/>
  <c r="B58" i="21"/>
  <c r="T57" i="21"/>
  <c r="P57" i="21"/>
  <c r="N57" i="21"/>
  <c r="L57" i="21"/>
  <c r="H57" i="21"/>
  <c r="D57" i="21"/>
  <c r="B57" i="21"/>
  <c r="X56" i="21"/>
  <c r="Z56" i="21" s="1"/>
  <c r="L56" i="21"/>
  <c r="N56" i="21" s="1"/>
  <c r="J56" i="21"/>
  <c r="B56" i="21"/>
  <c r="T55" i="21"/>
  <c r="P55" i="21"/>
  <c r="X55" i="21" s="1"/>
  <c r="H55" i="21"/>
  <c r="D55" i="21"/>
  <c r="B55" i="21"/>
  <c r="X54" i="21"/>
  <c r="Z54" i="21" s="1"/>
  <c r="N54" i="21"/>
  <c r="L54" i="21"/>
  <c r="B54" i="21"/>
  <c r="X53" i="21"/>
  <c r="Z53" i="21" s="1"/>
  <c r="L53" i="21"/>
  <c r="N53" i="21" s="1"/>
  <c r="B53" i="21"/>
  <c r="X52" i="21"/>
  <c r="Z52" i="21" s="1"/>
  <c r="T52" i="21"/>
  <c r="P52" i="21"/>
  <c r="H52" i="21"/>
  <c r="D52" i="21"/>
  <c r="B52" i="21"/>
  <c r="X51" i="21"/>
  <c r="Z51" i="21" s="1"/>
  <c r="N51" i="21"/>
  <c r="L51" i="21"/>
  <c r="B51" i="21"/>
  <c r="T50" i="21"/>
  <c r="R50" i="21"/>
  <c r="P50" i="21"/>
  <c r="H50" i="21"/>
  <c r="N50" i="21" s="1"/>
  <c r="D50" i="21"/>
  <c r="L50" i="21" s="1"/>
  <c r="B50" i="21"/>
  <c r="X49" i="21"/>
  <c r="Z49" i="21" s="1"/>
  <c r="R49" i="21"/>
  <c r="L49" i="21"/>
  <c r="N49" i="21" s="1"/>
  <c r="B49" i="21"/>
  <c r="T48" i="21"/>
  <c r="P48" i="21"/>
  <c r="X48" i="21" s="1"/>
  <c r="Z48" i="21" s="1"/>
  <c r="N48" i="21"/>
  <c r="H48" i="21"/>
  <c r="D48" i="21"/>
  <c r="L48" i="21" s="1"/>
  <c r="B48" i="21"/>
  <c r="X47" i="21"/>
  <c r="Z47" i="21" s="1"/>
  <c r="N47" i="21"/>
  <c r="L47" i="21"/>
  <c r="B47" i="21"/>
  <c r="T46" i="21"/>
  <c r="R46" i="21"/>
  <c r="P46" i="21"/>
  <c r="L46" i="21"/>
  <c r="N46" i="21" s="1"/>
  <c r="J46" i="21"/>
  <c r="H46" i="21"/>
  <c r="D46" i="21"/>
  <c r="B46" i="21"/>
  <c r="X45" i="21"/>
  <c r="Z45" i="21" s="1"/>
  <c r="R45" i="21"/>
  <c r="L45" i="21"/>
  <c r="N45" i="21" s="1"/>
  <c r="J45" i="21"/>
  <c r="B45" i="21"/>
  <c r="X44" i="21"/>
  <c r="Z44" i="21" s="1"/>
  <c r="L44" i="21"/>
  <c r="N44" i="21" s="1"/>
  <c r="B44" i="21"/>
  <c r="X43" i="21"/>
  <c r="Z43" i="21" s="1"/>
  <c r="N43" i="21"/>
  <c r="L43" i="21"/>
  <c r="B43" i="21"/>
  <c r="Z42" i="21"/>
  <c r="X42" i="21"/>
  <c r="R42" i="21"/>
  <c r="N42" i="21"/>
  <c r="L42" i="21"/>
  <c r="B42" i="21"/>
  <c r="X41" i="21"/>
  <c r="Z41" i="21" s="1"/>
  <c r="R41" i="21"/>
  <c r="N41" i="21"/>
  <c r="L41" i="21"/>
  <c r="B41" i="21"/>
  <c r="X40" i="21"/>
  <c r="Z40" i="21" s="1"/>
  <c r="L40" i="21"/>
  <c r="N40" i="21" s="1"/>
  <c r="B40" i="21"/>
  <c r="Z39" i="21"/>
  <c r="X39" i="21"/>
  <c r="T39" i="21"/>
  <c r="P39" i="21"/>
  <c r="H39" i="21"/>
  <c r="D39" i="21"/>
  <c r="B39" i="21"/>
  <c r="Z38" i="21"/>
  <c r="X38" i="21"/>
  <c r="L38" i="21"/>
  <c r="N38" i="21" s="1"/>
  <c r="B38" i="21"/>
  <c r="X37" i="21"/>
  <c r="Z37" i="21" s="1"/>
  <c r="R37" i="21"/>
  <c r="L37" i="21"/>
  <c r="N37" i="21" s="1"/>
  <c r="B37" i="21"/>
  <c r="X36" i="21"/>
  <c r="Z36" i="21" s="1"/>
  <c r="L36" i="21"/>
  <c r="N36" i="21" s="1"/>
  <c r="J36" i="21"/>
  <c r="B36" i="21"/>
  <c r="Z35" i="21"/>
  <c r="X35" i="21"/>
  <c r="L35" i="21"/>
  <c r="N35" i="21" s="1"/>
  <c r="B35" i="21"/>
  <c r="Z34" i="21"/>
  <c r="X34" i="21"/>
  <c r="L34" i="21"/>
  <c r="N34" i="21" s="1"/>
  <c r="B34" i="21"/>
  <c r="X33" i="21"/>
  <c r="Z33" i="21" s="1"/>
  <c r="R33" i="21"/>
  <c r="L33" i="21"/>
  <c r="N33" i="21" s="1"/>
  <c r="B33" i="21"/>
  <c r="X32" i="21"/>
  <c r="Z32" i="21" s="1"/>
  <c r="L32" i="21"/>
  <c r="N32" i="21" s="1"/>
  <c r="J32" i="21"/>
  <c r="B32" i="21"/>
  <c r="Z31" i="21"/>
  <c r="X31" i="21"/>
  <c r="L31" i="21"/>
  <c r="N31" i="21" s="1"/>
  <c r="B31" i="21"/>
  <c r="Z30" i="21"/>
  <c r="T30" i="21"/>
  <c r="P30" i="21"/>
  <c r="X30" i="21" s="1"/>
  <c r="H30" i="21"/>
  <c r="D30" i="21"/>
  <c r="L30" i="21" s="1"/>
  <c r="N30" i="21" s="1"/>
  <c r="B30" i="21"/>
  <c r="T29" i="21"/>
  <c r="P29" i="21"/>
  <c r="X29" i="21" s="1"/>
  <c r="H29" i="21"/>
  <c r="D29" i="21"/>
  <c r="L29" i="21" s="1"/>
  <c r="N29" i="21" s="1"/>
  <c r="X25" i="21"/>
  <c r="Z25" i="21" s="1"/>
  <c r="L25" i="21"/>
  <c r="N25" i="21" s="1"/>
  <c r="B25" i="21"/>
  <c r="X24" i="21"/>
  <c r="Z24" i="21" s="1"/>
  <c r="L24" i="21"/>
  <c r="N24" i="21" s="1"/>
  <c r="B24" i="21"/>
  <c r="T23" i="21"/>
  <c r="R23" i="21"/>
  <c r="P23" i="21"/>
  <c r="X23" i="21" s="1"/>
  <c r="Z23" i="21" s="1"/>
  <c r="H23" i="21"/>
  <c r="N23" i="21" s="1"/>
  <c r="D23" i="21"/>
  <c r="L23" i="21" s="1"/>
  <c r="X21" i="21"/>
  <c r="Z21" i="21" s="1"/>
  <c r="T21" i="21"/>
  <c r="P21" i="21"/>
  <c r="N21" i="21"/>
  <c r="L21" i="21"/>
  <c r="H21" i="21"/>
  <c r="D21" i="21"/>
  <c r="B21" i="21"/>
  <c r="T20" i="21"/>
  <c r="Z20" i="21" s="1"/>
  <c r="P20" i="21"/>
  <c r="X20" i="21" s="1"/>
  <c r="H20" i="21"/>
  <c r="D20" i="21"/>
  <c r="L20" i="21" s="1"/>
  <c r="N20" i="21" s="1"/>
  <c r="B20" i="21"/>
  <c r="T19" i="21"/>
  <c r="P19" i="21"/>
  <c r="H19" i="21"/>
  <c r="N19" i="21" s="1"/>
  <c r="D19" i="21"/>
  <c r="L19" i="21" s="1"/>
  <c r="B19" i="21"/>
  <c r="X18" i="21"/>
  <c r="T18" i="21"/>
  <c r="P18" i="21"/>
  <c r="L18" i="21"/>
  <c r="N18" i="21" s="1"/>
  <c r="H18" i="21"/>
  <c r="D18" i="21"/>
  <c r="B18" i="21"/>
  <c r="X17" i="21"/>
  <c r="Z17" i="21" s="1"/>
  <c r="T17" i="21"/>
  <c r="P17" i="21"/>
  <c r="N17" i="21"/>
  <c r="L17" i="21"/>
  <c r="H17" i="21"/>
  <c r="D17" i="21"/>
  <c r="B17" i="21"/>
  <c r="T16" i="21"/>
  <c r="P16" i="21"/>
  <c r="X16" i="21" s="1"/>
  <c r="H16" i="21"/>
  <c r="D16" i="21"/>
  <c r="L16" i="21" s="1"/>
  <c r="N16" i="21" s="1"/>
  <c r="B16" i="21"/>
  <c r="T15" i="21"/>
  <c r="P15" i="21"/>
  <c r="H15" i="21"/>
  <c r="D15" i="21"/>
  <c r="L15" i="21" s="1"/>
  <c r="B15" i="21"/>
  <c r="T14" i="21"/>
  <c r="P14" i="21"/>
  <c r="L14" i="21"/>
  <c r="N14" i="21" s="1"/>
  <c r="H14" i="21"/>
  <c r="H12" i="21" s="1"/>
  <c r="J88" i="21" s="1"/>
  <c r="D14" i="21"/>
  <c r="B14" i="21"/>
  <c r="X13" i="21"/>
  <c r="Z13" i="21" s="1"/>
  <c r="T13" i="21"/>
  <c r="P13" i="21"/>
  <c r="L13" i="21"/>
  <c r="N13" i="21" s="1"/>
  <c r="H13" i="21"/>
  <c r="D13" i="21"/>
  <c r="B13" i="21"/>
  <c r="P12" i="21"/>
  <c r="R72" i="21" s="1"/>
  <c r="D4" i="21"/>
  <c r="Z299" i="18"/>
  <c r="X299" i="18"/>
  <c r="L299" i="18"/>
  <c r="N299" i="18" s="1"/>
  <c r="X295" i="18"/>
  <c r="Z295" i="18" s="1"/>
  <c r="T295" i="18"/>
  <c r="P295" i="18"/>
  <c r="H295" i="18"/>
  <c r="N295" i="18" s="1"/>
  <c r="D295" i="18"/>
  <c r="B295" i="18"/>
  <c r="T294" i="18"/>
  <c r="P294" i="18"/>
  <c r="X294" i="18" s="1"/>
  <c r="Z294" i="18" s="1"/>
  <c r="N294" i="18"/>
  <c r="H294" i="18"/>
  <c r="D294" i="18"/>
  <c r="L294" i="18" s="1"/>
  <c r="B294" i="18"/>
  <c r="T293" i="18"/>
  <c r="P293" i="18"/>
  <c r="X293" i="18" s="1"/>
  <c r="N293" i="18"/>
  <c r="H293" i="18"/>
  <c r="D293" i="18"/>
  <c r="L293" i="18" s="1"/>
  <c r="B293" i="18"/>
  <c r="T292" i="18"/>
  <c r="P292" i="18"/>
  <c r="X292" i="18" s="1"/>
  <c r="Z292" i="18" s="1"/>
  <c r="H292" i="18"/>
  <c r="N292" i="18" s="1"/>
  <c r="D292" i="18"/>
  <c r="L292" i="18" s="1"/>
  <c r="B292" i="18"/>
  <c r="T291" i="18"/>
  <c r="P291" i="18"/>
  <c r="X291" i="18" s="1"/>
  <c r="H291" i="18"/>
  <c r="D291" i="18"/>
  <c r="B291" i="18"/>
  <c r="T290" i="18"/>
  <c r="P290" i="18"/>
  <c r="L290" i="18"/>
  <c r="N290" i="18" s="1"/>
  <c r="H290" i="18"/>
  <c r="D290" i="18"/>
  <c r="B290" i="18"/>
  <c r="T289" i="18"/>
  <c r="P289" i="18"/>
  <c r="N289" i="18"/>
  <c r="L289" i="18"/>
  <c r="H289" i="18"/>
  <c r="D289" i="18"/>
  <c r="B289" i="18"/>
  <c r="T288" i="18"/>
  <c r="P288" i="18"/>
  <c r="X288" i="18" s="1"/>
  <c r="Z288" i="18" s="1"/>
  <c r="N288" i="18"/>
  <c r="H288" i="18"/>
  <c r="D288" i="18"/>
  <c r="L288" i="18" s="1"/>
  <c r="B288" i="18"/>
  <c r="T287" i="18"/>
  <c r="P287" i="18"/>
  <c r="X287" i="18" s="1"/>
  <c r="Z287" i="18" s="1"/>
  <c r="H287" i="18"/>
  <c r="N287" i="18" s="1"/>
  <c r="D287" i="18"/>
  <c r="L287" i="18" s="1"/>
  <c r="B287" i="18"/>
  <c r="T286" i="18"/>
  <c r="P286" i="18"/>
  <c r="X286" i="18" s="1"/>
  <c r="N286" i="18"/>
  <c r="H286" i="18"/>
  <c r="D286" i="18"/>
  <c r="L286" i="18" s="1"/>
  <c r="B286" i="18"/>
  <c r="T285" i="18"/>
  <c r="P285" i="18"/>
  <c r="X285" i="18" s="1"/>
  <c r="H285" i="18"/>
  <c r="D285" i="18"/>
  <c r="L285" i="18" s="1"/>
  <c r="B285" i="18"/>
  <c r="X284" i="18"/>
  <c r="Z284" i="18" s="1"/>
  <c r="T284" i="18"/>
  <c r="P284" i="18"/>
  <c r="P283" i="18" s="1"/>
  <c r="H284" i="18"/>
  <c r="D284" i="18"/>
  <c r="B284" i="18"/>
  <c r="X281" i="18"/>
  <c r="Z281" i="18" s="1"/>
  <c r="N281" i="18"/>
  <c r="L281" i="18"/>
  <c r="B281" i="18"/>
  <c r="T280" i="18"/>
  <c r="P280" i="18"/>
  <c r="H280" i="18"/>
  <c r="D280" i="18"/>
  <c r="L280" i="18" s="1"/>
  <c r="N280" i="18" s="1"/>
  <c r="B280" i="18"/>
  <c r="X279" i="18"/>
  <c r="Z279" i="18" s="1"/>
  <c r="L279" i="18"/>
  <c r="N279" i="18" s="1"/>
  <c r="B279" i="18"/>
  <c r="X278" i="18"/>
  <c r="Z278" i="18" s="1"/>
  <c r="L278" i="18"/>
  <c r="N278" i="18" s="1"/>
  <c r="B278" i="18"/>
  <c r="Z277" i="18"/>
  <c r="X277" i="18"/>
  <c r="L277" i="18"/>
  <c r="N277" i="18" s="1"/>
  <c r="B277" i="18"/>
  <c r="Z276" i="18"/>
  <c r="T276" i="18"/>
  <c r="P276" i="18"/>
  <c r="X276" i="18" s="1"/>
  <c r="H276" i="18"/>
  <c r="D276" i="18"/>
  <c r="L276" i="18" s="1"/>
  <c r="N276" i="18" s="1"/>
  <c r="B276" i="18"/>
  <c r="X275" i="18"/>
  <c r="Z275" i="18" s="1"/>
  <c r="L275" i="18"/>
  <c r="N275" i="18" s="1"/>
  <c r="B275" i="18"/>
  <c r="X274" i="18"/>
  <c r="Z274" i="18" s="1"/>
  <c r="T274" i="18"/>
  <c r="P274" i="18"/>
  <c r="H274" i="18"/>
  <c r="D274" i="18"/>
  <c r="B274" i="18"/>
  <c r="X273" i="18"/>
  <c r="Z273" i="18" s="1"/>
  <c r="N273" i="18"/>
  <c r="L273" i="18"/>
  <c r="B273" i="18"/>
  <c r="Z272" i="18"/>
  <c r="X272" i="18"/>
  <c r="N272" i="18"/>
  <c r="L272" i="18"/>
  <c r="B272" i="18"/>
  <c r="T271" i="18"/>
  <c r="P271" i="18"/>
  <c r="N271" i="18"/>
  <c r="L271" i="18"/>
  <c r="H271" i="18"/>
  <c r="D271" i="18"/>
  <c r="B271" i="18"/>
  <c r="X270" i="18"/>
  <c r="Z270" i="18" s="1"/>
  <c r="L270" i="18"/>
  <c r="N270" i="18" s="1"/>
  <c r="B270" i="18"/>
  <c r="Z269" i="18"/>
  <c r="X269" i="18"/>
  <c r="L269" i="18"/>
  <c r="N269" i="18" s="1"/>
  <c r="B269" i="18"/>
  <c r="Z268" i="18"/>
  <c r="X268" i="18"/>
  <c r="L268" i="18"/>
  <c r="N268" i="18" s="1"/>
  <c r="B268" i="18"/>
  <c r="X267" i="18"/>
  <c r="Z267" i="18" s="1"/>
  <c r="L267" i="18"/>
  <c r="N267" i="18" s="1"/>
  <c r="B267" i="18"/>
  <c r="X266" i="18"/>
  <c r="Z266" i="18" s="1"/>
  <c r="L266" i="18"/>
  <c r="N266" i="18" s="1"/>
  <c r="B266" i="18"/>
  <c r="Z265" i="18"/>
  <c r="X265" i="18"/>
  <c r="N265" i="18"/>
  <c r="L265" i="18"/>
  <c r="B265" i="18"/>
  <c r="Z264" i="18"/>
  <c r="X264" i="18"/>
  <c r="L264" i="18"/>
  <c r="N264" i="18" s="1"/>
  <c r="B264" i="18"/>
  <c r="T263" i="18"/>
  <c r="P263" i="18"/>
  <c r="H263" i="18"/>
  <c r="N263" i="18" s="1"/>
  <c r="D263" i="18"/>
  <c r="L263" i="18" s="1"/>
  <c r="B263" i="18"/>
  <c r="X262" i="18"/>
  <c r="Z262" i="18" s="1"/>
  <c r="N262" i="18"/>
  <c r="L262" i="18"/>
  <c r="B262" i="18"/>
  <c r="X261" i="18"/>
  <c r="Z261" i="18" s="1"/>
  <c r="L261" i="18"/>
  <c r="N261" i="18" s="1"/>
  <c r="B261" i="18"/>
  <c r="T260" i="18"/>
  <c r="P260" i="18"/>
  <c r="L260" i="18"/>
  <c r="N260" i="18" s="1"/>
  <c r="H260" i="18"/>
  <c r="D260" i="18"/>
  <c r="B260" i="18"/>
  <c r="X259" i="18"/>
  <c r="Z259" i="18" s="1"/>
  <c r="L259" i="18"/>
  <c r="N259" i="18" s="1"/>
  <c r="B259" i="18"/>
  <c r="X258" i="18"/>
  <c r="Z258" i="18" s="1"/>
  <c r="L258" i="18"/>
  <c r="N258" i="18" s="1"/>
  <c r="B258" i="18"/>
  <c r="Z257" i="18"/>
  <c r="X257" i="18"/>
  <c r="N257" i="18"/>
  <c r="L257" i="18"/>
  <c r="B257" i="18"/>
  <c r="Z256" i="18"/>
  <c r="X256" i="18"/>
  <c r="N256" i="18"/>
  <c r="L256" i="18"/>
  <c r="B256" i="18"/>
  <c r="T255" i="18"/>
  <c r="P255" i="18"/>
  <c r="L255" i="18"/>
  <c r="N255" i="18" s="1"/>
  <c r="H255" i="18"/>
  <c r="D255" i="18"/>
  <c r="B255" i="18"/>
  <c r="X254" i="18"/>
  <c r="Z254" i="18" s="1"/>
  <c r="L254" i="18"/>
  <c r="N254" i="18" s="1"/>
  <c r="B254" i="18"/>
  <c r="Z253" i="18"/>
  <c r="X253" i="18"/>
  <c r="L253" i="18"/>
  <c r="N253" i="18" s="1"/>
  <c r="B253" i="18"/>
  <c r="Z252" i="18"/>
  <c r="X252" i="18"/>
  <c r="L252" i="18"/>
  <c r="N252" i="18" s="1"/>
  <c r="B252" i="18"/>
  <c r="T251" i="18"/>
  <c r="P251" i="18"/>
  <c r="X251" i="18" s="1"/>
  <c r="H251" i="18"/>
  <c r="D251" i="18"/>
  <c r="L251" i="18" s="1"/>
  <c r="B251" i="18"/>
  <c r="X250" i="18"/>
  <c r="Z250" i="18" s="1"/>
  <c r="L250" i="18"/>
  <c r="N250" i="18" s="1"/>
  <c r="B250" i="18"/>
  <c r="X249" i="18"/>
  <c r="Z249" i="18" s="1"/>
  <c r="N249" i="18"/>
  <c r="L249" i="18"/>
  <c r="B249" i="18"/>
  <c r="X248" i="18"/>
  <c r="Z248" i="18" s="1"/>
  <c r="N248" i="18"/>
  <c r="L248" i="18"/>
  <c r="B248" i="18"/>
  <c r="X247" i="18"/>
  <c r="Z247" i="18" s="1"/>
  <c r="L247" i="18"/>
  <c r="N247" i="18" s="1"/>
  <c r="B247" i="18"/>
  <c r="X246" i="18"/>
  <c r="Z246" i="18" s="1"/>
  <c r="T246" i="18"/>
  <c r="P246" i="18"/>
  <c r="H246" i="18"/>
  <c r="D246" i="18"/>
  <c r="B246" i="18"/>
  <c r="Z245" i="18"/>
  <c r="X245" i="18"/>
  <c r="N245" i="18"/>
  <c r="L245" i="18"/>
  <c r="B245" i="18"/>
  <c r="Z244" i="18"/>
  <c r="T244" i="18"/>
  <c r="X244" i="18" s="1"/>
  <c r="P244" i="18"/>
  <c r="H244" i="18"/>
  <c r="D244" i="18"/>
  <c r="L244" i="18" s="1"/>
  <c r="N244" i="18" s="1"/>
  <c r="B244" i="18"/>
  <c r="X243" i="18"/>
  <c r="Z243" i="18" s="1"/>
  <c r="N243" i="18"/>
  <c r="L243" i="18"/>
  <c r="B243" i="18"/>
  <c r="T242" i="18"/>
  <c r="P242" i="18"/>
  <c r="X242" i="18" s="1"/>
  <c r="Z242" i="18" s="1"/>
  <c r="N242" i="18"/>
  <c r="H242" i="18"/>
  <c r="D242" i="18"/>
  <c r="L242" i="18" s="1"/>
  <c r="B242" i="18"/>
  <c r="Z241" i="18"/>
  <c r="X241" i="18"/>
  <c r="N241" i="18"/>
  <c r="L241" i="18"/>
  <c r="B241" i="18"/>
  <c r="Z240" i="18"/>
  <c r="X240" i="18"/>
  <c r="N240" i="18"/>
  <c r="L240" i="18"/>
  <c r="B240" i="18"/>
  <c r="X239" i="18"/>
  <c r="Z239" i="18" s="1"/>
  <c r="L239" i="18"/>
  <c r="N239" i="18" s="1"/>
  <c r="B239" i="18"/>
  <c r="X238" i="18"/>
  <c r="Z238" i="18" s="1"/>
  <c r="T238" i="18"/>
  <c r="P238" i="18"/>
  <c r="H238" i="18"/>
  <c r="D238" i="18"/>
  <c r="B238" i="18"/>
  <c r="Z237" i="18"/>
  <c r="X237" i="18"/>
  <c r="N237" i="18"/>
  <c r="L237" i="18"/>
  <c r="B237" i="18"/>
  <c r="Z236" i="18"/>
  <c r="T236" i="18"/>
  <c r="X236" i="18" s="1"/>
  <c r="P236" i="18"/>
  <c r="H236" i="18"/>
  <c r="D236" i="18"/>
  <c r="L236" i="18" s="1"/>
  <c r="B236" i="18"/>
  <c r="X235" i="18"/>
  <c r="Z235" i="18" s="1"/>
  <c r="N235" i="18"/>
  <c r="L235" i="18"/>
  <c r="B235" i="18"/>
  <c r="T234" i="18"/>
  <c r="P234" i="18"/>
  <c r="X234" i="18" s="1"/>
  <c r="Z234" i="18" s="1"/>
  <c r="N234" i="18"/>
  <c r="H234" i="18"/>
  <c r="D234" i="18"/>
  <c r="L234" i="18" s="1"/>
  <c r="B234" i="18"/>
  <c r="Z233" i="18"/>
  <c r="X233" i="18"/>
  <c r="N233" i="18"/>
  <c r="L233" i="18"/>
  <c r="B233" i="18"/>
  <c r="X232" i="18"/>
  <c r="Z232" i="18" s="1"/>
  <c r="N232" i="18"/>
  <c r="L232" i="18"/>
  <c r="B232" i="18"/>
  <c r="T231" i="18"/>
  <c r="P231" i="18"/>
  <c r="X231" i="18" s="1"/>
  <c r="L231" i="18"/>
  <c r="N231" i="18" s="1"/>
  <c r="H231" i="18"/>
  <c r="D231" i="18"/>
  <c r="B231" i="18"/>
  <c r="X230" i="18"/>
  <c r="Z230" i="18" s="1"/>
  <c r="L230" i="18"/>
  <c r="N230" i="18" s="1"/>
  <c r="B230" i="18"/>
  <c r="X229" i="18"/>
  <c r="Z229" i="18" s="1"/>
  <c r="T229" i="18"/>
  <c r="P229" i="18"/>
  <c r="H229" i="18"/>
  <c r="D229" i="18"/>
  <c r="B229" i="18"/>
  <c r="Z228" i="18"/>
  <c r="X228" i="18"/>
  <c r="L228" i="18"/>
  <c r="N228" i="18" s="1"/>
  <c r="B228" i="18"/>
  <c r="T227" i="18"/>
  <c r="P227" i="18"/>
  <c r="X227" i="18" s="1"/>
  <c r="H227" i="18"/>
  <c r="D227" i="18"/>
  <c r="L227" i="18" s="1"/>
  <c r="B227" i="18"/>
  <c r="X226" i="18"/>
  <c r="Z226" i="18" s="1"/>
  <c r="L226" i="18"/>
  <c r="N226" i="18" s="1"/>
  <c r="B226" i="18"/>
  <c r="X225" i="18"/>
  <c r="Z225" i="18" s="1"/>
  <c r="T225" i="18"/>
  <c r="P225" i="18"/>
  <c r="H225" i="18"/>
  <c r="D225" i="18"/>
  <c r="L225" i="18" s="1"/>
  <c r="B225" i="18"/>
  <c r="Z224" i="18"/>
  <c r="X224" i="18"/>
  <c r="N224" i="18"/>
  <c r="L224" i="18"/>
  <c r="B224" i="18"/>
  <c r="X223" i="18"/>
  <c r="Z223" i="18" s="1"/>
  <c r="L223" i="18"/>
  <c r="N223" i="18" s="1"/>
  <c r="B223" i="18"/>
  <c r="T222" i="18"/>
  <c r="Z222" i="18" s="1"/>
  <c r="P222" i="18"/>
  <c r="X222" i="18" s="1"/>
  <c r="N222" i="18"/>
  <c r="H222" i="18"/>
  <c r="L222" i="18" s="1"/>
  <c r="D222" i="18"/>
  <c r="B222" i="18"/>
  <c r="Z221" i="18"/>
  <c r="X221" i="18"/>
  <c r="N221" i="18"/>
  <c r="L221" i="18"/>
  <c r="B221" i="18"/>
  <c r="Z220" i="18"/>
  <c r="X220" i="18"/>
  <c r="L220" i="18"/>
  <c r="N220" i="18" s="1"/>
  <c r="B220" i="18"/>
  <c r="X219" i="18"/>
  <c r="Z219" i="18" s="1"/>
  <c r="L219" i="18"/>
  <c r="N219" i="18" s="1"/>
  <c r="B219" i="18"/>
  <c r="T218" i="18"/>
  <c r="P218" i="18"/>
  <c r="X218" i="18" s="1"/>
  <c r="Z218" i="18" s="1"/>
  <c r="N218" i="18"/>
  <c r="H218" i="18"/>
  <c r="D218" i="18"/>
  <c r="L218" i="18" s="1"/>
  <c r="B218" i="18"/>
  <c r="Z217" i="18"/>
  <c r="X217" i="18"/>
  <c r="L217" i="18"/>
  <c r="N217" i="18" s="1"/>
  <c r="B217" i="18"/>
  <c r="T216" i="18"/>
  <c r="P216" i="18"/>
  <c r="L216" i="18"/>
  <c r="N216" i="18" s="1"/>
  <c r="H216" i="18"/>
  <c r="D216" i="18"/>
  <c r="B216" i="18"/>
  <c r="X215" i="18"/>
  <c r="Z215" i="18" s="1"/>
  <c r="N215" i="18"/>
  <c r="L215" i="18"/>
  <c r="B215" i="18"/>
  <c r="X214" i="18"/>
  <c r="Z214" i="18" s="1"/>
  <c r="L214" i="18"/>
  <c r="N214" i="18" s="1"/>
  <c r="B214" i="18"/>
  <c r="Z213" i="18"/>
  <c r="X213" i="18"/>
  <c r="T213" i="18"/>
  <c r="P213" i="18"/>
  <c r="H213" i="18"/>
  <c r="D213" i="18"/>
  <c r="B213" i="18"/>
  <c r="Z212" i="18"/>
  <c r="X212" i="18"/>
  <c r="L212" i="18"/>
  <c r="N212" i="18" s="1"/>
  <c r="B212" i="18"/>
  <c r="T211" i="18"/>
  <c r="P211" i="18"/>
  <c r="H211" i="18"/>
  <c r="N211" i="18" s="1"/>
  <c r="D211" i="18"/>
  <c r="L211" i="18" s="1"/>
  <c r="B211" i="18"/>
  <c r="X210" i="18"/>
  <c r="Z210" i="18" s="1"/>
  <c r="L210" i="18"/>
  <c r="N210" i="18" s="1"/>
  <c r="B210" i="18"/>
  <c r="Z209" i="18"/>
  <c r="X209" i="18"/>
  <c r="N209" i="18"/>
  <c r="L209" i="18"/>
  <c r="B209" i="18"/>
  <c r="X208" i="18"/>
  <c r="Z208" i="18" s="1"/>
  <c r="N208" i="18"/>
  <c r="L208" i="18"/>
  <c r="B208" i="18"/>
  <c r="X207" i="18"/>
  <c r="Z207" i="18" s="1"/>
  <c r="L207" i="18"/>
  <c r="N207" i="18" s="1"/>
  <c r="B207" i="18"/>
  <c r="X206" i="18"/>
  <c r="Z206" i="18" s="1"/>
  <c r="L206" i="18"/>
  <c r="N206" i="18" s="1"/>
  <c r="B206" i="18"/>
  <c r="X205" i="18"/>
  <c r="Z205" i="18" s="1"/>
  <c r="L205" i="18"/>
  <c r="N205" i="18" s="1"/>
  <c r="B205" i="18"/>
  <c r="X204" i="18"/>
  <c r="Z204" i="18" s="1"/>
  <c r="N204" i="18"/>
  <c r="L204" i="18"/>
  <c r="B204" i="18"/>
  <c r="T203" i="18"/>
  <c r="Z203" i="18" s="1"/>
  <c r="P203" i="18"/>
  <c r="X203" i="18" s="1"/>
  <c r="N203" i="18"/>
  <c r="L203" i="18"/>
  <c r="H203" i="18"/>
  <c r="D203" i="18"/>
  <c r="B203" i="18"/>
  <c r="X202" i="18"/>
  <c r="Z202" i="18" s="1"/>
  <c r="L202" i="18"/>
  <c r="N202" i="18" s="1"/>
  <c r="B202" i="18"/>
  <c r="Z201" i="18"/>
  <c r="X201" i="18"/>
  <c r="N201" i="18"/>
  <c r="L201" i="18"/>
  <c r="B201" i="18"/>
  <c r="Z200" i="18"/>
  <c r="X200" i="18"/>
  <c r="N200" i="18"/>
  <c r="L200" i="18"/>
  <c r="B200" i="18"/>
  <c r="X199" i="18"/>
  <c r="Z199" i="18" s="1"/>
  <c r="L199" i="18"/>
  <c r="N199" i="18" s="1"/>
  <c r="B199" i="18"/>
  <c r="Z198" i="18"/>
  <c r="X198" i="18"/>
  <c r="N198" i="18"/>
  <c r="L198" i="18"/>
  <c r="B198" i="18"/>
  <c r="Z197" i="18"/>
  <c r="X197" i="18"/>
  <c r="N197" i="18"/>
  <c r="L197" i="18"/>
  <c r="B197" i="18"/>
  <c r="Z196" i="18"/>
  <c r="X196" i="18"/>
  <c r="N196" i="18"/>
  <c r="L196" i="18"/>
  <c r="B196" i="18"/>
  <c r="X195" i="18"/>
  <c r="Z195" i="18" s="1"/>
  <c r="L195" i="18"/>
  <c r="N195" i="18" s="1"/>
  <c r="B195" i="18"/>
  <c r="X194" i="18"/>
  <c r="Z194" i="18" s="1"/>
  <c r="L194" i="18"/>
  <c r="N194" i="18" s="1"/>
  <c r="B194" i="18"/>
  <c r="Z193" i="18"/>
  <c r="X193" i="18"/>
  <c r="N193" i="18"/>
  <c r="L193" i="18"/>
  <c r="B193" i="18"/>
  <c r="T192" i="18"/>
  <c r="X192" i="18" s="1"/>
  <c r="P192" i="18"/>
  <c r="H192" i="18"/>
  <c r="N192" i="18" s="1"/>
  <c r="D192" i="18"/>
  <c r="L192" i="18" s="1"/>
  <c r="B192" i="18"/>
  <c r="T191" i="18"/>
  <c r="P191" i="18"/>
  <c r="X191" i="18" s="1"/>
  <c r="H191" i="18"/>
  <c r="D191" i="18"/>
  <c r="L191" i="18" s="1"/>
  <c r="X187" i="18"/>
  <c r="Z187" i="18" s="1"/>
  <c r="L187" i="18"/>
  <c r="N187" i="18" s="1"/>
  <c r="B187" i="18"/>
  <c r="X186" i="18"/>
  <c r="Z186" i="18" s="1"/>
  <c r="L186" i="18"/>
  <c r="N186" i="18" s="1"/>
  <c r="B186" i="18"/>
  <c r="Z185" i="18"/>
  <c r="X185" i="18"/>
  <c r="N185" i="18"/>
  <c r="L185" i="18"/>
  <c r="B185" i="18"/>
  <c r="Z184" i="18"/>
  <c r="X184" i="18"/>
  <c r="N184" i="18"/>
  <c r="L184" i="18"/>
  <c r="B184" i="18"/>
  <c r="X183" i="18"/>
  <c r="Z183" i="18" s="1"/>
  <c r="L183" i="18"/>
  <c r="N183" i="18" s="1"/>
  <c r="B183" i="18"/>
  <c r="X182" i="18"/>
  <c r="Z182" i="18" s="1"/>
  <c r="N182" i="18"/>
  <c r="L182" i="18"/>
  <c r="B182" i="18"/>
  <c r="Z181" i="18"/>
  <c r="X181" i="18"/>
  <c r="L181" i="18"/>
  <c r="N181" i="18" s="1"/>
  <c r="B181" i="18"/>
  <c r="Z180" i="18"/>
  <c r="X180" i="18"/>
  <c r="N180" i="18"/>
  <c r="L180" i="18"/>
  <c r="B180" i="18"/>
  <c r="X179" i="18"/>
  <c r="Z179" i="18" s="1"/>
  <c r="L179" i="18"/>
  <c r="N179" i="18" s="1"/>
  <c r="B179" i="18"/>
  <c r="X178" i="18"/>
  <c r="Z178" i="18" s="1"/>
  <c r="L178" i="18"/>
  <c r="N178" i="18" s="1"/>
  <c r="B178" i="18"/>
  <c r="Z177" i="18"/>
  <c r="X177" i="18"/>
  <c r="N177" i="18"/>
  <c r="L177" i="18"/>
  <c r="B177" i="18"/>
  <c r="Z176" i="18"/>
  <c r="X176" i="18"/>
  <c r="L176" i="18"/>
  <c r="N176" i="18" s="1"/>
  <c r="B176" i="18"/>
  <c r="X175" i="18"/>
  <c r="Z175" i="18" s="1"/>
  <c r="L175" i="18"/>
  <c r="N175" i="18" s="1"/>
  <c r="B175" i="18"/>
  <c r="X174" i="18"/>
  <c r="Z174" i="18" s="1"/>
  <c r="L174" i="18"/>
  <c r="N174" i="18" s="1"/>
  <c r="B174" i="18"/>
  <c r="Z173" i="18"/>
  <c r="X173" i="18"/>
  <c r="N173" i="18"/>
  <c r="L173" i="18"/>
  <c r="B173" i="18"/>
  <c r="Z172" i="18"/>
  <c r="X172" i="18"/>
  <c r="L172" i="18"/>
  <c r="N172" i="18" s="1"/>
  <c r="B172" i="18"/>
  <c r="X171" i="18"/>
  <c r="Z171" i="18" s="1"/>
  <c r="N171" i="18"/>
  <c r="L171" i="18"/>
  <c r="B171" i="18"/>
  <c r="X170" i="18"/>
  <c r="Z170" i="18" s="1"/>
  <c r="L170" i="18"/>
  <c r="N170" i="18" s="1"/>
  <c r="B170" i="18"/>
  <c r="Z169" i="18"/>
  <c r="X169" i="18"/>
  <c r="L169" i="18"/>
  <c r="N169" i="18" s="1"/>
  <c r="B169" i="18"/>
  <c r="Z168" i="18"/>
  <c r="X168" i="18"/>
  <c r="L168" i="18"/>
  <c r="N168" i="18" s="1"/>
  <c r="B168" i="18"/>
  <c r="X167" i="18"/>
  <c r="Z167" i="18" s="1"/>
  <c r="L167" i="18"/>
  <c r="N167" i="18" s="1"/>
  <c r="B167" i="18"/>
  <c r="X166" i="18"/>
  <c r="Z166" i="18" s="1"/>
  <c r="N166" i="18"/>
  <c r="L166" i="18"/>
  <c r="B166" i="18"/>
  <c r="Z165" i="18"/>
  <c r="X165" i="18"/>
  <c r="N165" i="18"/>
  <c r="L165" i="18"/>
  <c r="B165" i="18"/>
  <c r="Z164" i="18"/>
  <c r="X164" i="18"/>
  <c r="L164" i="18"/>
  <c r="N164" i="18" s="1"/>
  <c r="B164" i="18"/>
  <c r="Z163" i="18"/>
  <c r="X163" i="18"/>
  <c r="N163" i="18"/>
  <c r="L163" i="18"/>
  <c r="B163" i="18"/>
  <c r="X162" i="18"/>
  <c r="Z162" i="18" s="1"/>
  <c r="L162" i="18"/>
  <c r="N162" i="18" s="1"/>
  <c r="B162" i="18"/>
  <c r="Z161" i="18"/>
  <c r="X161" i="18"/>
  <c r="N161" i="18"/>
  <c r="L161" i="18"/>
  <c r="B161" i="18"/>
  <c r="Z160" i="18"/>
  <c r="X160" i="18"/>
  <c r="L160" i="18"/>
  <c r="N160" i="18" s="1"/>
  <c r="B160" i="18"/>
  <c r="X159" i="18"/>
  <c r="Z159" i="18" s="1"/>
  <c r="N159" i="18"/>
  <c r="L159" i="18"/>
  <c r="B159" i="18"/>
  <c r="X158" i="18"/>
  <c r="Z158" i="18" s="1"/>
  <c r="N158" i="18"/>
  <c r="L158" i="18"/>
  <c r="B158" i="18"/>
  <c r="Z157" i="18"/>
  <c r="X157" i="18"/>
  <c r="L157" i="18"/>
  <c r="N157" i="18" s="1"/>
  <c r="B157" i="18"/>
  <c r="Z156" i="18"/>
  <c r="X156" i="18"/>
  <c r="L156" i="18"/>
  <c r="N156" i="18" s="1"/>
  <c r="B156" i="18"/>
  <c r="X155" i="18"/>
  <c r="Z155" i="18" s="1"/>
  <c r="L155" i="18"/>
  <c r="N155" i="18" s="1"/>
  <c r="B155" i="18"/>
  <c r="X154" i="18"/>
  <c r="Z154" i="18" s="1"/>
  <c r="L154" i="18"/>
  <c r="N154" i="18" s="1"/>
  <c r="B154" i="18"/>
  <c r="Z153" i="18"/>
  <c r="X153" i="18"/>
  <c r="L153" i="18"/>
  <c r="N153" i="18" s="1"/>
  <c r="B153" i="18"/>
  <c r="Z152" i="18"/>
  <c r="X152" i="18"/>
  <c r="L152" i="18"/>
  <c r="N152" i="18" s="1"/>
  <c r="B152" i="18"/>
  <c r="X151" i="18"/>
  <c r="Z151" i="18" s="1"/>
  <c r="L151" i="18"/>
  <c r="N151" i="18" s="1"/>
  <c r="B151" i="18"/>
  <c r="X150" i="18"/>
  <c r="Z150" i="18" s="1"/>
  <c r="L150" i="18"/>
  <c r="N150" i="18" s="1"/>
  <c r="B150" i="18"/>
  <c r="Z149" i="18"/>
  <c r="X149" i="18"/>
  <c r="N149" i="18"/>
  <c r="L149" i="18"/>
  <c r="B149" i="18"/>
  <c r="Z148" i="18"/>
  <c r="X148" i="18"/>
  <c r="L148" i="18"/>
  <c r="N148" i="18" s="1"/>
  <c r="B148" i="18"/>
  <c r="X147" i="18"/>
  <c r="Z147" i="18" s="1"/>
  <c r="L147" i="18"/>
  <c r="N147" i="18" s="1"/>
  <c r="B147" i="18"/>
  <c r="X146" i="18"/>
  <c r="Z146" i="18" s="1"/>
  <c r="L146" i="18"/>
  <c r="N146" i="18" s="1"/>
  <c r="B146" i="18"/>
  <c r="Z145" i="18"/>
  <c r="X145" i="18"/>
  <c r="L145" i="18"/>
  <c r="N145" i="18" s="1"/>
  <c r="B145" i="18"/>
  <c r="Z144" i="18"/>
  <c r="X144" i="18"/>
  <c r="L144" i="18"/>
  <c r="N144" i="18" s="1"/>
  <c r="B144" i="18"/>
  <c r="X143" i="18"/>
  <c r="Z143" i="18" s="1"/>
  <c r="L143" i="18"/>
  <c r="N143" i="18" s="1"/>
  <c r="B143" i="18"/>
  <c r="Z142" i="18"/>
  <c r="X142" i="18"/>
  <c r="L142" i="18"/>
  <c r="N142" i="18" s="1"/>
  <c r="B142" i="18"/>
  <c r="Z141" i="18"/>
  <c r="X141" i="18"/>
  <c r="N141" i="18"/>
  <c r="L141" i="18"/>
  <c r="B141" i="18"/>
  <c r="Z140" i="18"/>
  <c r="X140" i="18"/>
  <c r="L140" i="18"/>
  <c r="N140" i="18" s="1"/>
  <c r="B140" i="18"/>
  <c r="X139" i="18"/>
  <c r="Z139" i="18" s="1"/>
  <c r="L139" i="18"/>
  <c r="N139" i="18" s="1"/>
  <c r="B139" i="18"/>
  <c r="Z138" i="18"/>
  <c r="X138" i="18"/>
  <c r="L138" i="18"/>
  <c r="N138" i="18" s="1"/>
  <c r="B138" i="18"/>
  <c r="Z137" i="18"/>
  <c r="X137" i="18"/>
  <c r="L137" i="18"/>
  <c r="N137" i="18" s="1"/>
  <c r="B137" i="18"/>
  <c r="Z136" i="18"/>
  <c r="X136" i="18"/>
  <c r="L136" i="18"/>
  <c r="N136" i="18" s="1"/>
  <c r="B136" i="18"/>
  <c r="X135" i="18"/>
  <c r="Z135" i="18" s="1"/>
  <c r="L135" i="18"/>
  <c r="N135" i="18" s="1"/>
  <c r="B135" i="18"/>
  <c r="X134" i="18"/>
  <c r="Z134" i="18" s="1"/>
  <c r="L134" i="18"/>
  <c r="N134" i="18" s="1"/>
  <c r="B134" i="18"/>
  <c r="Z133" i="18"/>
  <c r="X133" i="18"/>
  <c r="N133" i="18"/>
  <c r="L133" i="18"/>
  <c r="B133" i="18"/>
  <c r="Z132" i="18"/>
  <c r="X132" i="18"/>
  <c r="N132" i="18"/>
  <c r="L132" i="18"/>
  <c r="B132" i="18"/>
  <c r="X131" i="18"/>
  <c r="Z131" i="18" s="1"/>
  <c r="L131" i="18"/>
  <c r="N131" i="18" s="1"/>
  <c r="B131" i="18"/>
  <c r="X130" i="18"/>
  <c r="Z130" i="18" s="1"/>
  <c r="L130" i="18"/>
  <c r="N130" i="18" s="1"/>
  <c r="B130" i="18"/>
  <c r="Z129" i="18"/>
  <c r="X129" i="18"/>
  <c r="N129" i="18"/>
  <c r="L129" i="18"/>
  <c r="B129" i="18"/>
  <c r="T128" i="18"/>
  <c r="P128" i="18"/>
  <c r="X128" i="18" s="1"/>
  <c r="Z128" i="18" s="1"/>
  <c r="H128" i="18"/>
  <c r="D128" i="18"/>
  <c r="L128" i="18" s="1"/>
  <c r="N128" i="18" s="1"/>
  <c r="Z126" i="18"/>
  <c r="T126" i="18"/>
  <c r="P126" i="18"/>
  <c r="X126" i="18" s="1"/>
  <c r="H126" i="18"/>
  <c r="N126" i="18" s="1"/>
  <c r="D126" i="18"/>
  <c r="B126" i="18"/>
  <c r="T125" i="18"/>
  <c r="P125" i="18"/>
  <c r="L125" i="18"/>
  <c r="H125" i="18"/>
  <c r="N125" i="18" s="1"/>
  <c r="D125" i="18"/>
  <c r="B125" i="18"/>
  <c r="X124" i="18"/>
  <c r="Z124" i="18" s="1"/>
  <c r="T124" i="18"/>
  <c r="P124" i="18"/>
  <c r="H124" i="18"/>
  <c r="D124" i="18"/>
  <c r="B124" i="18"/>
  <c r="T123" i="18"/>
  <c r="Z123" i="18" s="1"/>
  <c r="P123" i="18"/>
  <c r="X123" i="18" s="1"/>
  <c r="L123" i="18"/>
  <c r="N123" i="18" s="1"/>
  <c r="H123" i="18"/>
  <c r="D123" i="18"/>
  <c r="B123" i="18"/>
  <c r="Z122" i="18"/>
  <c r="T122" i="18"/>
  <c r="P122" i="18"/>
  <c r="X122" i="18" s="1"/>
  <c r="H122" i="18"/>
  <c r="N122" i="18" s="1"/>
  <c r="D122" i="18"/>
  <c r="B122" i="18"/>
  <c r="T121" i="18"/>
  <c r="P121" i="18"/>
  <c r="X121" i="18" s="1"/>
  <c r="L121" i="18"/>
  <c r="H121" i="18"/>
  <c r="N121" i="18" s="1"/>
  <c r="D121" i="18"/>
  <c r="B121" i="18"/>
  <c r="Z120" i="18"/>
  <c r="T120" i="18"/>
  <c r="X120" i="18" s="1"/>
  <c r="P120" i="18"/>
  <c r="L120" i="18"/>
  <c r="H120" i="18"/>
  <c r="N120" i="18" s="1"/>
  <c r="D120" i="18"/>
  <c r="B120" i="18"/>
  <c r="T119" i="18"/>
  <c r="P119" i="18"/>
  <c r="X119" i="18" s="1"/>
  <c r="N119" i="18"/>
  <c r="L119" i="18"/>
  <c r="H119" i="18"/>
  <c r="D119" i="18"/>
  <c r="B119" i="18"/>
  <c r="Z118" i="18"/>
  <c r="T118" i="18"/>
  <c r="P118" i="18"/>
  <c r="X118" i="18" s="1"/>
  <c r="H118" i="18"/>
  <c r="N118" i="18" s="1"/>
  <c r="D118" i="18"/>
  <c r="L118" i="18" s="1"/>
  <c r="B118" i="18"/>
  <c r="T117" i="18"/>
  <c r="P117" i="18"/>
  <c r="X117" i="18" s="1"/>
  <c r="L117" i="18"/>
  <c r="H117" i="18"/>
  <c r="N117" i="18" s="1"/>
  <c r="D117" i="18"/>
  <c r="B117" i="18"/>
  <c r="Z116" i="18"/>
  <c r="X116" i="18"/>
  <c r="T116" i="18"/>
  <c r="P116" i="18"/>
  <c r="H116" i="18"/>
  <c r="N116" i="18" s="1"/>
  <c r="D116" i="18"/>
  <c r="B116" i="18"/>
  <c r="T115" i="18"/>
  <c r="P115" i="18"/>
  <c r="X115" i="18" s="1"/>
  <c r="L115" i="18"/>
  <c r="N115" i="18" s="1"/>
  <c r="H115" i="18"/>
  <c r="D115" i="18"/>
  <c r="B115" i="18"/>
  <c r="T114" i="18"/>
  <c r="P114" i="18"/>
  <c r="X114" i="18" s="1"/>
  <c r="Z114" i="18" s="1"/>
  <c r="H114" i="18"/>
  <c r="D114" i="18"/>
  <c r="B114" i="18"/>
  <c r="T113" i="18"/>
  <c r="P113" i="18"/>
  <c r="X113" i="18" s="1"/>
  <c r="L113" i="18"/>
  <c r="H113" i="18"/>
  <c r="N113" i="18" s="1"/>
  <c r="D113" i="18"/>
  <c r="B113" i="18"/>
  <c r="T112" i="18"/>
  <c r="P112" i="18"/>
  <c r="H112" i="18"/>
  <c r="D112" i="18"/>
  <c r="B112" i="18"/>
  <c r="T111" i="18"/>
  <c r="P111" i="18"/>
  <c r="N111" i="18"/>
  <c r="L111" i="18"/>
  <c r="H111" i="18"/>
  <c r="D111" i="18"/>
  <c r="B111" i="18"/>
  <c r="T110" i="18"/>
  <c r="P110" i="18"/>
  <c r="X110" i="18" s="1"/>
  <c r="Z110" i="18" s="1"/>
  <c r="H110" i="18"/>
  <c r="N110" i="18" s="1"/>
  <c r="D110" i="18"/>
  <c r="L110" i="18" s="1"/>
  <c r="B110" i="18"/>
  <c r="T109" i="18"/>
  <c r="P109" i="18"/>
  <c r="L109" i="18"/>
  <c r="H109" i="18"/>
  <c r="N109" i="18" s="1"/>
  <c r="D109" i="18"/>
  <c r="B109" i="18"/>
  <c r="X108" i="18"/>
  <c r="Z108" i="18" s="1"/>
  <c r="T108" i="18"/>
  <c r="P108" i="18"/>
  <c r="L108" i="18"/>
  <c r="H108" i="18"/>
  <c r="N108" i="18" s="1"/>
  <c r="D108" i="18"/>
  <c r="B108" i="18"/>
  <c r="T107" i="18"/>
  <c r="P107" i="18"/>
  <c r="X107" i="18" s="1"/>
  <c r="L107" i="18"/>
  <c r="N107" i="18" s="1"/>
  <c r="H107" i="18"/>
  <c r="D107" i="18"/>
  <c r="B107" i="18"/>
  <c r="T106" i="18"/>
  <c r="P106" i="18"/>
  <c r="H106" i="18"/>
  <c r="N106" i="18" s="1"/>
  <c r="D106" i="18"/>
  <c r="L106" i="18" s="1"/>
  <c r="B106" i="18"/>
  <c r="T105" i="18"/>
  <c r="P105" i="18"/>
  <c r="X105" i="18" s="1"/>
  <c r="L105" i="18"/>
  <c r="H105" i="18"/>
  <c r="N105" i="18" s="1"/>
  <c r="D105" i="18"/>
  <c r="B105" i="18"/>
  <c r="Z104" i="18"/>
  <c r="X104" i="18"/>
  <c r="T104" i="18"/>
  <c r="P104" i="18"/>
  <c r="H104" i="18"/>
  <c r="D104" i="18"/>
  <c r="B104" i="18"/>
  <c r="T103" i="18"/>
  <c r="P103" i="18"/>
  <c r="X103" i="18" s="1"/>
  <c r="L103" i="18"/>
  <c r="N103" i="18" s="1"/>
  <c r="H103" i="18"/>
  <c r="D103" i="18"/>
  <c r="B103" i="18"/>
  <c r="T102" i="18"/>
  <c r="Z102" i="18" s="1"/>
  <c r="P102" i="18"/>
  <c r="X102" i="18" s="1"/>
  <c r="H102" i="18"/>
  <c r="D102" i="18"/>
  <c r="B102" i="18"/>
  <c r="T101" i="18"/>
  <c r="P101" i="18"/>
  <c r="X101" i="18" s="1"/>
  <c r="L101" i="18"/>
  <c r="H101" i="18"/>
  <c r="D101" i="18"/>
  <c r="B101" i="18"/>
  <c r="T100" i="18"/>
  <c r="P100" i="18"/>
  <c r="H100" i="18"/>
  <c r="D100" i="18"/>
  <c r="B100" i="18"/>
  <c r="T99" i="18"/>
  <c r="P99" i="18"/>
  <c r="N99" i="18"/>
  <c r="L99" i="18"/>
  <c r="H99" i="18"/>
  <c r="D99" i="18"/>
  <c r="B99" i="18"/>
  <c r="T98" i="18"/>
  <c r="P98" i="18"/>
  <c r="X98" i="18" s="1"/>
  <c r="Z98" i="18" s="1"/>
  <c r="H98" i="18"/>
  <c r="D98" i="18"/>
  <c r="L98" i="18" s="1"/>
  <c r="B98" i="18"/>
  <c r="T97" i="18"/>
  <c r="P97" i="18"/>
  <c r="L97" i="18"/>
  <c r="H97" i="18"/>
  <c r="N97" i="18" s="1"/>
  <c r="D97" i="18"/>
  <c r="B97" i="18"/>
  <c r="X96" i="18"/>
  <c r="Z96" i="18" s="1"/>
  <c r="T96" i="18"/>
  <c r="P96" i="18"/>
  <c r="L96" i="18"/>
  <c r="H96" i="18"/>
  <c r="D96" i="18"/>
  <c r="B96" i="18"/>
  <c r="T95" i="18"/>
  <c r="P95" i="18"/>
  <c r="X95" i="18" s="1"/>
  <c r="L95" i="18"/>
  <c r="N95" i="18" s="1"/>
  <c r="H95" i="18"/>
  <c r="D95" i="18"/>
  <c r="B95" i="18"/>
  <c r="T94" i="18"/>
  <c r="P94" i="18"/>
  <c r="H94" i="18"/>
  <c r="D94" i="18"/>
  <c r="L94" i="18" s="1"/>
  <c r="B94" i="18"/>
  <c r="T93" i="18"/>
  <c r="P93" i="18"/>
  <c r="X93" i="18" s="1"/>
  <c r="L93" i="18"/>
  <c r="H93" i="18"/>
  <c r="N93" i="18" s="1"/>
  <c r="D93" i="18"/>
  <c r="B93" i="18"/>
  <c r="Z92" i="18"/>
  <c r="X92" i="18"/>
  <c r="T92" i="18"/>
  <c r="P92" i="18"/>
  <c r="H92" i="18"/>
  <c r="D92" i="18"/>
  <c r="B92" i="18"/>
  <c r="T91" i="18"/>
  <c r="P91" i="18"/>
  <c r="X91" i="18" s="1"/>
  <c r="L91" i="18"/>
  <c r="N91" i="18" s="1"/>
  <c r="H91" i="18"/>
  <c r="D91" i="18"/>
  <c r="B91" i="18"/>
  <c r="T90" i="18"/>
  <c r="Z90" i="18" s="1"/>
  <c r="P90" i="18"/>
  <c r="X90" i="18" s="1"/>
  <c r="H90" i="18"/>
  <c r="N90" i="18" s="1"/>
  <c r="D90" i="18"/>
  <c r="B90" i="18"/>
  <c r="T89" i="18"/>
  <c r="P89" i="18"/>
  <c r="X89" i="18" s="1"/>
  <c r="L89" i="18"/>
  <c r="H89" i="18"/>
  <c r="N89" i="18" s="1"/>
  <c r="D89" i="18"/>
  <c r="B89" i="18"/>
  <c r="T88" i="18"/>
  <c r="P88" i="18"/>
  <c r="H88" i="18"/>
  <c r="D88" i="18"/>
  <c r="B88" i="18"/>
  <c r="T87" i="18"/>
  <c r="P87" i="18"/>
  <c r="N87" i="18"/>
  <c r="L87" i="18"/>
  <c r="H87" i="18"/>
  <c r="D87" i="18"/>
  <c r="B87" i="18"/>
  <c r="T86" i="18"/>
  <c r="P86" i="18"/>
  <c r="X86" i="18" s="1"/>
  <c r="Z86" i="18" s="1"/>
  <c r="H86" i="18"/>
  <c r="N86" i="18" s="1"/>
  <c r="D86" i="18"/>
  <c r="L86" i="18" s="1"/>
  <c r="B86" i="18"/>
  <c r="T85" i="18"/>
  <c r="P85" i="18"/>
  <c r="L85" i="18"/>
  <c r="H85" i="18"/>
  <c r="N85" i="18" s="1"/>
  <c r="D85" i="18"/>
  <c r="B85" i="18"/>
  <c r="X84" i="18"/>
  <c r="Z84" i="18" s="1"/>
  <c r="T84" i="18"/>
  <c r="P84" i="18"/>
  <c r="L84" i="18"/>
  <c r="H84" i="18"/>
  <c r="N84" i="18" s="1"/>
  <c r="D84" i="18"/>
  <c r="B84" i="18"/>
  <c r="T83" i="18"/>
  <c r="P83" i="18"/>
  <c r="X83" i="18" s="1"/>
  <c r="L83" i="18"/>
  <c r="N83" i="18" s="1"/>
  <c r="H83" i="18"/>
  <c r="D83" i="18"/>
  <c r="B83" i="18"/>
  <c r="Z82" i="18"/>
  <c r="T82" i="18"/>
  <c r="P82" i="18"/>
  <c r="X82" i="18" s="1"/>
  <c r="H82" i="18"/>
  <c r="N82" i="18" s="1"/>
  <c r="D82" i="18"/>
  <c r="L82" i="18" s="1"/>
  <c r="B82" i="18"/>
  <c r="T81" i="18"/>
  <c r="P81" i="18"/>
  <c r="X81" i="18" s="1"/>
  <c r="L81" i="18"/>
  <c r="H81" i="18"/>
  <c r="N81" i="18" s="1"/>
  <c r="D81" i="18"/>
  <c r="B81" i="18"/>
  <c r="X80" i="18"/>
  <c r="Z80" i="18" s="1"/>
  <c r="T80" i="18"/>
  <c r="P80" i="18"/>
  <c r="H80" i="18"/>
  <c r="D80" i="18"/>
  <c r="B80" i="18"/>
  <c r="T79" i="18"/>
  <c r="P79" i="18"/>
  <c r="X79" i="18" s="1"/>
  <c r="N79" i="18"/>
  <c r="L79" i="18"/>
  <c r="H79" i="18"/>
  <c r="D79" i="18"/>
  <c r="B79" i="18"/>
  <c r="T78" i="18"/>
  <c r="Z78" i="18" s="1"/>
  <c r="P78" i="18"/>
  <c r="X78" i="18" s="1"/>
  <c r="H78" i="18"/>
  <c r="D78" i="18"/>
  <c r="B78" i="18"/>
  <c r="T77" i="18"/>
  <c r="P77" i="18"/>
  <c r="X77" i="18" s="1"/>
  <c r="H77" i="18"/>
  <c r="D77" i="18"/>
  <c r="B77" i="18"/>
  <c r="T76" i="18"/>
  <c r="P76" i="18"/>
  <c r="H76" i="18"/>
  <c r="D76" i="18"/>
  <c r="B76" i="18"/>
  <c r="T75" i="18"/>
  <c r="P75" i="18"/>
  <c r="L75" i="18"/>
  <c r="N75" i="18" s="1"/>
  <c r="H75" i="18"/>
  <c r="D75" i="18"/>
  <c r="B75" i="18"/>
  <c r="T74" i="18"/>
  <c r="P74" i="18"/>
  <c r="L74" i="18"/>
  <c r="H74" i="18"/>
  <c r="D74" i="18"/>
  <c r="B74" i="18"/>
  <c r="T73" i="18"/>
  <c r="P73" i="18"/>
  <c r="X73" i="18" s="1"/>
  <c r="H73" i="18"/>
  <c r="N73" i="18" s="1"/>
  <c r="D73" i="18"/>
  <c r="B73" i="18"/>
  <c r="T72" i="18"/>
  <c r="P72" i="18"/>
  <c r="L72" i="18"/>
  <c r="H72" i="18"/>
  <c r="D72" i="18"/>
  <c r="B72" i="18"/>
  <c r="T71" i="18"/>
  <c r="Z71" i="18" s="1"/>
  <c r="P71" i="18"/>
  <c r="X71" i="18" s="1"/>
  <c r="N71" i="18"/>
  <c r="L71" i="18"/>
  <c r="H71" i="18"/>
  <c r="D71" i="18"/>
  <c r="B71" i="18"/>
  <c r="T70" i="18"/>
  <c r="P70" i="18"/>
  <c r="H70" i="18"/>
  <c r="D70" i="18"/>
  <c r="L70" i="18" s="1"/>
  <c r="B70" i="18"/>
  <c r="T69" i="18"/>
  <c r="P69" i="18"/>
  <c r="X69" i="18" s="1"/>
  <c r="H69" i="18"/>
  <c r="D69" i="18"/>
  <c r="B69" i="18"/>
  <c r="T68" i="18"/>
  <c r="P68" i="18"/>
  <c r="H68" i="18"/>
  <c r="D68" i="18"/>
  <c r="B68" i="18"/>
  <c r="T67" i="18"/>
  <c r="P67" i="18"/>
  <c r="N67" i="18"/>
  <c r="L67" i="18"/>
  <c r="H67" i="18"/>
  <c r="D67" i="18"/>
  <c r="B67" i="18"/>
  <c r="T66" i="18"/>
  <c r="P66" i="18"/>
  <c r="H66" i="18"/>
  <c r="N66" i="18" s="1"/>
  <c r="D66" i="18"/>
  <c r="L66" i="18" s="1"/>
  <c r="B66" i="18"/>
  <c r="T65" i="18"/>
  <c r="P65" i="18"/>
  <c r="H65" i="18"/>
  <c r="N65" i="18" s="1"/>
  <c r="D65" i="18"/>
  <c r="B65" i="18"/>
  <c r="T64" i="18"/>
  <c r="P64" i="18"/>
  <c r="L64" i="18"/>
  <c r="H64" i="18"/>
  <c r="D64" i="18"/>
  <c r="B64" i="18"/>
  <c r="T63" i="18"/>
  <c r="Z63" i="18" s="1"/>
  <c r="P63" i="18"/>
  <c r="X63" i="18" s="1"/>
  <c r="L63" i="18"/>
  <c r="N63" i="18" s="1"/>
  <c r="H63" i="18"/>
  <c r="D63" i="18"/>
  <c r="B63" i="18"/>
  <c r="T62" i="18"/>
  <c r="P62" i="18"/>
  <c r="H62" i="18"/>
  <c r="D62" i="18"/>
  <c r="L62" i="18" s="1"/>
  <c r="B62" i="18"/>
  <c r="T61" i="18"/>
  <c r="P61" i="18"/>
  <c r="X61" i="18" s="1"/>
  <c r="H61" i="18"/>
  <c r="D61" i="18"/>
  <c r="B61" i="18"/>
  <c r="Z60" i="18"/>
  <c r="X60" i="18"/>
  <c r="T60" i="18"/>
  <c r="P60" i="18"/>
  <c r="H60" i="18"/>
  <c r="D60" i="18"/>
  <c r="B60" i="18"/>
  <c r="T59" i="18"/>
  <c r="P59" i="18"/>
  <c r="N59" i="18"/>
  <c r="L59" i="18"/>
  <c r="H59" i="18"/>
  <c r="D59" i="18"/>
  <c r="B59" i="18"/>
  <c r="T58" i="18"/>
  <c r="Z58" i="18" s="1"/>
  <c r="P58" i="18"/>
  <c r="X58" i="18" s="1"/>
  <c r="H58" i="18"/>
  <c r="D58" i="18"/>
  <c r="L58" i="18" s="1"/>
  <c r="B58" i="18"/>
  <c r="T57" i="18"/>
  <c r="P57" i="18"/>
  <c r="L57" i="18"/>
  <c r="H57" i="18"/>
  <c r="D57" i="18"/>
  <c r="B57" i="18"/>
  <c r="T56" i="18"/>
  <c r="P56" i="18"/>
  <c r="L56" i="18"/>
  <c r="H56" i="18"/>
  <c r="D56" i="18"/>
  <c r="B56" i="18"/>
  <c r="T55" i="18"/>
  <c r="P55" i="18"/>
  <c r="L55" i="18"/>
  <c r="N55" i="18" s="1"/>
  <c r="H55" i="18"/>
  <c r="D55" i="18"/>
  <c r="B55" i="18"/>
  <c r="T54" i="18"/>
  <c r="P54" i="18"/>
  <c r="X54" i="18" s="1"/>
  <c r="Z54" i="18" s="1"/>
  <c r="L54" i="18"/>
  <c r="H54" i="18"/>
  <c r="D54" i="18"/>
  <c r="B54" i="18"/>
  <c r="T53" i="18"/>
  <c r="P53" i="18"/>
  <c r="X53" i="18" s="1"/>
  <c r="H53" i="18"/>
  <c r="N53" i="18" s="1"/>
  <c r="D53" i="18"/>
  <c r="B53" i="18"/>
  <c r="X52" i="18"/>
  <c r="T52" i="18"/>
  <c r="Z52" i="18" s="1"/>
  <c r="P52" i="18"/>
  <c r="L52" i="18"/>
  <c r="H52" i="18"/>
  <c r="D52" i="18"/>
  <c r="B52" i="18"/>
  <c r="T51" i="18"/>
  <c r="P51" i="18"/>
  <c r="N51" i="18"/>
  <c r="L51" i="18"/>
  <c r="H51" i="18"/>
  <c r="D51" i="18"/>
  <c r="B51" i="18"/>
  <c r="T50" i="18"/>
  <c r="P50" i="18"/>
  <c r="X50" i="18" s="1"/>
  <c r="Z50" i="18" s="1"/>
  <c r="H50" i="18"/>
  <c r="D50" i="18"/>
  <c r="L50" i="18" s="1"/>
  <c r="B50" i="18"/>
  <c r="T49" i="18"/>
  <c r="P49" i="18"/>
  <c r="L49" i="18"/>
  <c r="H49" i="18"/>
  <c r="N49" i="18" s="1"/>
  <c r="D49" i="18"/>
  <c r="B49" i="18"/>
  <c r="T48" i="18"/>
  <c r="P48" i="18"/>
  <c r="L48" i="18"/>
  <c r="H48" i="18"/>
  <c r="D48" i="18"/>
  <c r="B48" i="18"/>
  <c r="T47" i="18"/>
  <c r="P47" i="18"/>
  <c r="N47" i="18"/>
  <c r="L47" i="18"/>
  <c r="H47" i="18"/>
  <c r="D47" i="18"/>
  <c r="B47" i="18"/>
  <c r="T46" i="18"/>
  <c r="P46" i="18"/>
  <c r="X46" i="18" s="1"/>
  <c r="Z46" i="18" s="1"/>
  <c r="H46" i="18"/>
  <c r="D46" i="18"/>
  <c r="B46" i="18"/>
  <c r="T45" i="18"/>
  <c r="P45" i="18"/>
  <c r="H45" i="18"/>
  <c r="N45" i="18" s="1"/>
  <c r="D45" i="18"/>
  <c r="B45" i="18"/>
  <c r="X44" i="18"/>
  <c r="Z44" i="18" s="1"/>
  <c r="T44" i="18"/>
  <c r="P44" i="18"/>
  <c r="L44" i="18"/>
  <c r="H44" i="18"/>
  <c r="N44" i="18" s="1"/>
  <c r="D44" i="18"/>
  <c r="B44" i="18"/>
  <c r="T43" i="18"/>
  <c r="Z43" i="18" s="1"/>
  <c r="P43" i="18"/>
  <c r="X43" i="18" s="1"/>
  <c r="N43" i="18"/>
  <c r="L43" i="18"/>
  <c r="H43" i="18"/>
  <c r="D43" i="18"/>
  <c r="B43" i="18"/>
  <c r="T42" i="18"/>
  <c r="P42" i="18"/>
  <c r="H42" i="18"/>
  <c r="D42" i="18"/>
  <c r="L42" i="18" s="1"/>
  <c r="B42" i="18"/>
  <c r="T41" i="18"/>
  <c r="P41" i="18"/>
  <c r="L41" i="18"/>
  <c r="H41" i="18"/>
  <c r="D41" i="18"/>
  <c r="B41" i="18"/>
  <c r="Z40" i="18"/>
  <c r="X40" i="18"/>
  <c r="T40" i="18"/>
  <c r="P40" i="18"/>
  <c r="H40" i="18"/>
  <c r="D40" i="18"/>
  <c r="B40" i="18"/>
  <c r="Z39" i="18"/>
  <c r="T39" i="18"/>
  <c r="P39" i="18"/>
  <c r="X39" i="18" s="1"/>
  <c r="N39" i="18"/>
  <c r="L39" i="18"/>
  <c r="H39" i="18"/>
  <c r="D39" i="18"/>
  <c r="B39" i="18"/>
  <c r="T38" i="18"/>
  <c r="Z38" i="18" s="1"/>
  <c r="P38" i="18"/>
  <c r="X38" i="18" s="1"/>
  <c r="H38" i="18"/>
  <c r="D38" i="18"/>
  <c r="B38" i="18"/>
  <c r="T37" i="18"/>
  <c r="P37" i="18"/>
  <c r="L37" i="18"/>
  <c r="H37" i="18"/>
  <c r="D37" i="18"/>
  <c r="B37" i="18"/>
  <c r="X36" i="18"/>
  <c r="Z36" i="18" s="1"/>
  <c r="T36" i="18"/>
  <c r="P36" i="18"/>
  <c r="H36" i="18"/>
  <c r="D36" i="18"/>
  <c r="B36" i="18"/>
  <c r="T35" i="18"/>
  <c r="P35" i="18"/>
  <c r="X35" i="18" s="1"/>
  <c r="Z35" i="18" s="1"/>
  <c r="L35" i="18"/>
  <c r="N35" i="18" s="1"/>
  <c r="H35" i="18"/>
  <c r="D35" i="18"/>
  <c r="B35" i="18"/>
  <c r="T34" i="18"/>
  <c r="P34" i="18"/>
  <c r="L34" i="18"/>
  <c r="H34" i="18"/>
  <c r="D34" i="18"/>
  <c r="B34" i="18"/>
  <c r="T33" i="18"/>
  <c r="P33" i="18"/>
  <c r="X33" i="18" s="1"/>
  <c r="L33" i="18"/>
  <c r="H33" i="18"/>
  <c r="D33" i="18"/>
  <c r="B33" i="18"/>
  <c r="T32" i="18"/>
  <c r="X32" i="18" s="1"/>
  <c r="Z32" i="18" s="1"/>
  <c r="P32" i="18"/>
  <c r="H32" i="18"/>
  <c r="D32" i="18"/>
  <c r="B32" i="18"/>
  <c r="T31" i="18"/>
  <c r="P31" i="18"/>
  <c r="X31" i="18" s="1"/>
  <c r="Z31" i="18" s="1"/>
  <c r="L31" i="18"/>
  <c r="N31" i="18" s="1"/>
  <c r="H31" i="18"/>
  <c r="D31" i="18"/>
  <c r="B31" i="18"/>
  <c r="T30" i="18"/>
  <c r="Z30" i="18" s="1"/>
  <c r="P30" i="18"/>
  <c r="X30" i="18" s="1"/>
  <c r="H30" i="18"/>
  <c r="D30" i="18"/>
  <c r="B30" i="18"/>
  <c r="T29" i="18"/>
  <c r="P29" i="18"/>
  <c r="X29" i="18" s="1"/>
  <c r="H29" i="18"/>
  <c r="D29" i="18"/>
  <c r="B29" i="18"/>
  <c r="T28" i="18"/>
  <c r="P28" i="18"/>
  <c r="H28" i="18"/>
  <c r="D28" i="18"/>
  <c r="B28" i="18"/>
  <c r="T27" i="18"/>
  <c r="P27" i="18"/>
  <c r="L27" i="18"/>
  <c r="N27" i="18" s="1"/>
  <c r="H27" i="18"/>
  <c r="D27" i="18"/>
  <c r="B27" i="18"/>
  <c r="T26" i="18"/>
  <c r="P26" i="18"/>
  <c r="L26" i="18"/>
  <c r="H26" i="18"/>
  <c r="D26" i="18"/>
  <c r="B26" i="18"/>
  <c r="T25" i="18"/>
  <c r="P25" i="18"/>
  <c r="X25" i="18" s="1"/>
  <c r="H25" i="18"/>
  <c r="D25" i="18"/>
  <c r="B25" i="18"/>
  <c r="T24" i="18"/>
  <c r="X24" i="18" s="1"/>
  <c r="P24" i="18"/>
  <c r="L24" i="18"/>
  <c r="H24" i="18"/>
  <c r="D24" i="18"/>
  <c r="B24" i="18"/>
  <c r="T23" i="18"/>
  <c r="Z23" i="18" s="1"/>
  <c r="P23" i="18"/>
  <c r="X23" i="18" s="1"/>
  <c r="N23" i="18"/>
  <c r="L23" i="18"/>
  <c r="H23" i="18"/>
  <c r="D23" i="18"/>
  <c r="B23" i="18"/>
  <c r="T22" i="18"/>
  <c r="P22" i="18"/>
  <c r="H22" i="18"/>
  <c r="D22" i="18"/>
  <c r="L22" i="18" s="1"/>
  <c r="B22" i="18"/>
  <c r="T21" i="18"/>
  <c r="P21" i="18"/>
  <c r="X21" i="18" s="1"/>
  <c r="H21" i="18"/>
  <c r="D21" i="18"/>
  <c r="B21" i="18"/>
  <c r="T20" i="18"/>
  <c r="P20" i="18"/>
  <c r="H20" i="18"/>
  <c r="D20" i="18"/>
  <c r="B20" i="18"/>
  <c r="T19" i="18"/>
  <c r="P19" i="18"/>
  <c r="N19" i="18"/>
  <c r="L19" i="18"/>
  <c r="H19" i="18"/>
  <c r="D19" i="18"/>
  <c r="B19" i="18"/>
  <c r="T18" i="18"/>
  <c r="P18" i="18"/>
  <c r="L18" i="18"/>
  <c r="H18" i="18"/>
  <c r="D18" i="18"/>
  <c r="B18" i="18"/>
  <c r="T17" i="18"/>
  <c r="P17" i="18"/>
  <c r="H17" i="18"/>
  <c r="N17" i="18" s="1"/>
  <c r="D17" i="18"/>
  <c r="B17" i="18"/>
  <c r="T16" i="18"/>
  <c r="P16" i="18"/>
  <c r="L16" i="18"/>
  <c r="H16" i="18"/>
  <c r="D16" i="18"/>
  <c r="B16" i="18"/>
  <c r="T15" i="18"/>
  <c r="Z15" i="18" s="1"/>
  <c r="P15" i="18"/>
  <c r="X15" i="18" s="1"/>
  <c r="L15" i="18"/>
  <c r="N15" i="18" s="1"/>
  <c r="H15" i="18"/>
  <c r="D15" i="18"/>
  <c r="B15" i="18"/>
  <c r="Z14" i="18"/>
  <c r="T14" i="18"/>
  <c r="P14" i="18"/>
  <c r="X14" i="18" s="1"/>
  <c r="L14" i="18"/>
  <c r="H14" i="18"/>
  <c r="D14" i="18"/>
  <c r="B14" i="18"/>
  <c r="T13" i="18"/>
  <c r="Z13" i="18" s="1"/>
  <c r="P13" i="18"/>
  <c r="H13" i="18"/>
  <c r="D13" i="18"/>
  <c r="B13" i="18"/>
  <c r="D4" i="18"/>
  <c r="Z270" i="15"/>
  <c r="X270" i="15"/>
  <c r="L270" i="15"/>
  <c r="N270" i="15" s="1"/>
  <c r="X266" i="15"/>
  <c r="T266" i="15"/>
  <c r="P266" i="15"/>
  <c r="H266" i="15"/>
  <c r="N266" i="15" s="1"/>
  <c r="D266" i="15"/>
  <c r="L266" i="15" s="1"/>
  <c r="B266" i="15"/>
  <c r="Z265" i="15"/>
  <c r="X265" i="15"/>
  <c r="T265" i="15"/>
  <c r="P265" i="15"/>
  <c r="L265" i="15"/>
  <c r="H265" i="15"/>
  <c r="N265" i="15" s="1"/>
  <c r="D265" i="15"/>
  <c r="B265" i="15"/>
  <c r="T264" i="15"/>
  <c r="P264" i="15"/>
  <c r="X264" i="15" s="1"/>
  <c r="Z264" i="15" s="1"/>
  <c r="H264" i="15"/>
  <c r="N264" i="15" s="1"/>
  <c r="D264" i="15"/>
  <c r="B264" i="15"/>
  <c r="T263" i="15"/>
  <c r="P263" i="15"/>
  <c r="X263" i="15" s="1"/>
  <c r="Z263" i="15" s="1"/>
  <c r="N263" i="15"/>
  <c r="L263" i="15"/>
  <c r="H263" i="15"/>
  <c r="D263" i="15"/>
  <c r="B263" i="15"/>
  <c r="T262" i="15"/>
  <c r="P262" i="15"/>
  <c r="X262" i="15" s="1"/>
  <c r="L262" i="15"/>
  <c r="H262" i="15"/>
  <c r="D262" i="15"/>
  <c r="B262" i="15"/>
  <c r="T261" i="15"/>
  <c r="P261" i="15"/>
  <c r="X261" i="15" s="1"/>
  <c r="N261" i="15"/>
  <c r="H261" i="15"/>
  <c r="D261" i="15"/>
  <c r="L261" i="15" s="1"/>
  <c r="B261" i="15"/>
  <c r="T260" i="15"/>
  <c r="P260" i="15"/>
  <c r="X260" i="15" s="1"/>
  <c r="L260" i="15"/>
  <c r="H260" i="15"/>
  <c r="N260" i="15" s="1"/>
  <c r="D260" i="15"/>
  <c r="B260" i="15"/>
  <c r="X259" i="15"/>
  <c r="T259" i="15"/>
  <c r="Z259" i="15" s="1"/>
  <c r="P259" i="15"/>
  <c r="N259" i="15"/>
  <c r="L259" i="15"/>
  <c r="H259" i="15"/>
  <c r="H257" i="15" s="1"/>
  <c r="D259" i="15"/>
  <c r="B259" i="15"/>
  <c r="T258" i="15"/>
  <c r="P258" i="15"/>
  <c r="H258" i="15"/>
  <c r="D258" i="15"/>
  <c r="L258" i="15" s="1"/>
  <c r="N258" i="15" s="1"/>
  <c r="B258" i="15"/>
  <c r="Z255" i="15"/>
  <c r="X255" i="15"/>
  <c r="N255" i="15"/>
  <c r="L255" i="15"/>
  <c r="B255" i="15"/>
  <c r="T254" i="15"/>
  <c r="P254" i="15"/>
  <c r="X254" i="15" s="1"/>
  <c r="L254" i="15"/>
  <c r="H254" i="15"/>
  <c r="D254" i="15"/>
  <c r="B254" i="15"/>
  <c r="X253" i="15"/>
  <c r="Z253" i="15" s="1"/>
  <c r="N253" i="15"/>
  <c r="L253" i="15"/>
  <c r="B253" i="15"/>
  <c r="Z252" i="15"/>
  <c r="X252" i="15"/>
  <c r="L252" i="15"/>
  <c r="N252" i="15" s="1"/>
  <c r="B252" i="15"/>
  <c r="Z251" i="15"/>
  <c r="X251" i="15"/>
  <c r="L251" i="15"/>
  <c r="N251" i="15" s="1"/>
  <c r="B251" i="15"/>
  <c r="T250" i="15"/>
  <c r="P250" i="15"/>
  <c r="H250" i="15"/>
  <c r="N250" i="15" s="1"/>
  <c r="D250" i="15"/>
  <c r="L250" i="15" s="1"/>
  <c r="B250" i="15"/>
  <c r="Z249" i="15"/>
  <c r="X249" i="15"/>
  <c r="N249" i="15"/>
  <c r="L249" i="15"/>
  <c r="B249" i="15"/>
  <c r="T248" i="15"/>
  <c r="P248" i="15"/>
  <c r="X248" i="15" s="1"/>
  <c r="H248" i="15"/>
  <c r="D248" i="15"/>
  <c r="L248" i="15" s="1"/>
  <c r="N248" i="15" s="1"/>
  <c r="B248" i="15"/>
  <c r="Z247" i="15"/>
  <c r="X247" i="15"/>
  <c r="N247" i="15"/>
  <c r="L247" i="15"/>
  <c r="B247" i="15"/>
  <c r="X246" i="15"/>
  <c r="Z246" i="15" s="1"/>
  <c r="N246" i="15"/>
  <c r="L246" i="15"/>
  <c r="B246" i="15"/>
  <c r="T245" i="15"/>
  <c r="P245" i="15"/>
  <c r="X245" i="15" s="1"/>
  <c r="Z245" i="15" s="1"/>
  <c r="N245" i="15"/>
  <c r="L245" i="15"/>
  <c r="H245" i="15"/>
  <c r="D245" i="15"/>
  <c r="B245" i="15"/>
  <c r="Z244" i="15"/>
  <c r="X244" i="15"/>
  <c r="L244" i="15"/>
  <c r="N244" i="15" s="1"/>
  <c r="B244" i="15"/>
  <c r="Z243" i="15"/>
  <c r="X243" i="15"/>
  <c r="L243" i="15"/>
  <c r="N243" i="15" s="1"/>
  <c r="B243" i="15"/>
  <c r="X242" i="15"/>
  <c r="Z242" i="15" s="1"/>
  <c r="L242" i="15"/>
  <c r="N242" i="15" s="1"/>
  <c r="B242" i="15"/>
  <c r="X241" i="15"/>
  <c r="Z241" i="15" s="1"/>
  <c r="N241" i="15"/>
  <c r="L241" i="15"/>
  <c r="B241" i="15"/>
  <c r="Z240" i="15"/>
  <c r="X240" i="15"/>
  <c r="L240" i="15"/>
  <c r="N240" i="15" s="1"/>
  <c r="B240" i="15"/>
  <c r="Z239" i="15"/>
  <c r="X239" i="15"/>
  <c r="N239" i="15"/>
  <c r="L239" i="15"/>
  <c r="B239" i="15"/>
  <c r="X238" i="15"/>
  <c r="Z238" i="15" s="1"/>
  <c r="L238" i="15"/>
  <c r="N238" i="15" s="1"/>
  <c r="B238" i="15"/>
  <c r="X237" i="15"/>
  <c r="T237" i="15"/>
  <c r="Z237" i="15" s="1"/>
  <c r="P237" i="15"/>
  <c r="N237" i="15"/>
  <c r="H237" i="15"/>
  <c r="D237" i="15"/>
  <c r="L237" i="15" s="1"/>
  <c r="B237" i="15"/>
  <c r="X236" i="15"/>
  <c r="Z236" i="15" s="1"/>
  <c r="N236" i="15"/>
  <c r="L236" i="15"/>
  <c r="B236" i="15"/>
  <c r="X235" i="15"/>
  <c r="Z235" i="15" s="1"/>
  <c r="N235" i="15"/>
  <c r="L235" i="15"/>
  <c r="B235" i="15"/>
  <c r="T234" i="15"/>
  <c r="P234" i="15"/>
  <c r="X234" i="15" s="1"/>
  <c r="Z234" i="15" s="1"/>
  <c r="H234" i="15"/>
  <c r="D234" i="15"/>
  <c r="L234" i="15" s="1"/>
  <c r="B234" i="15"/>
  <c r="Z233" i="15"/>
  <c r="X233" i="15"/>
  <c r="L233" i="15"/>
  <c r="N233" i="15" s="1"/>
  <c r="B233" i="15"/>
  <c r="X232" i="15"/>
  <c r="Z232" i="15" s="1"/>
  <c r="N232" i="15"/>
  <c r="L232" i="15"/>
  <c r="B232" i="15"/>
  <c r="Z231" i="15"/>
  <c r="X231" i="15"/>
  <c r="N231" i="15"/>
  <c r="L231" i="15"/>
  <c r="B231" i="15"/>
  <c r="X230" i="15"/>
  <c r="Z230" i="15" s="1"/>
  <c r="L230" i="15"/>
  <c r="N230" i="15" s="1"/>
  <c r="B230" i="15"/>
  <c r="T229" i="15"/>
  <c r="P229" i="15"/>
  <c r="X229" i="15" s="1"/>
  <c r="Z229" i="15" s="1"/>
  <c r="N229" i="15"/>
  <c r="L229" i="15"/>
  <c r="H229" i="15"/>
  <c r="D229" i="15"/>
  <c r="B229" i="15"/>
  <c r="Z228" i="15"/>
  <c r="X228" i="15"/>
  <c r="L228" i="15"/>
  <c r="N228" i="15" s="1"/>
  <c r="B228" i="15"/>
  <c r="Z227" i="15"/>
  <c r="X227" i="15"/>
  <c r="L227" i="15"/>
  <c r="N227" i="15" s="1"/>
  <c r="B227" i="15"/>
  <c r="X226" i="15"/>
  <c r="Z226" i="15" s="1"/>
  <c r="N226" i="15"/>
  <c r="L226" i="15"/>
  <c r="B226" i="15"/>
  <c r="X225" i="15"/>
  <c r="Z225" i="15" s="1"/>
  <c r="T225" i="15"/>
  <c r="P225" i="15"/>
  <c r="N225" i="15"/>
  <c r="L225" i="15"/>
  <c r="H225" i="15"/>
  <c r="D225" i="15"/>
  <c r="B225" i="15"/>
  <c r="X224" i="15"/>
  <c r="Z224" i="15" s="1"/>
  <c r="L224" i="15"/>
  <c r="N224" i="15" s="1"/>
  <c r="B224" i="15"/>
  <c r="X223" i="15"/>
  <c r="Z223" i="15" s="1"/>
  <c r="N223" i="15"/>
  <c r="L223" i="15"/>
  <c r="B223" i="15"/>
  <c r="Z222" i="15"/>
  <c r="X222" i="15"/>
  <c r="N222" i="15"/>
  <c r="L222" i="15"/>
  <c r="B222" i="15"/>
  <c r="Z221" i="15"/>
  <c r="X221" i="15"/>
  <c r="N221" i="15"/>
  <c r="L221" i="15"/>
  <c r="B221" i="15"/>
  <c r="T220" i="15"/>
  <c r="P220" i="15"/>
  <c r="H220" i="15"/>
  <c r="D220" i="15"/>
  <c r="L220" i="15" s="1"/>
  <c r="N220" i="15" s="1"/>
  <c r="B220" i="15"/>
  <c r="Z219" i="15"/>
  <c r="X219" i="15"/>
  <c r="N219" i="15"/>
  <c r="L219" i="15"/>
  <c r="B219" i="15"/>
  <c r="T218" i="15"/>
  <c r="P218" i="15"/>
  <c r="X218" i="15" s="1"/>
  <c r="L218" i="15"/>
  <c r="H218" i="15"/>
  <c r="N218" i="15" s="1"/>
  <c r="D218" i="15"/>
  <c r="B218" i="15"/>
  <c r="X217" i="15"/>
  <c r="Z217" i="15" s="1"/>
  <c r="N217" i="15"/>
  <c r="L217" i="15"/>
  <c r="B217" i="15"/>
  <c r="T216" i="15"/>
  <c r="P216" i="15"/>
  <c r="X216" i="15" s="1"/>
  <c r="L216" i="15"/>
  <c r="H216" i="15"/>
  <c r="N216" i="15" s="1"/>
  <c r="D216" i="15"/>
  <c r="B216" i="15"/>
  <c r="Z215" i="15"/>
  <c r="X215" i="15"/>
  <c r="N215" i="15"/>
  <c r="L215" i="15"/>
  <c r="B215" i="15"/>
  <c r="Z214" i="15"/>
  <c r="X214" i="15"/>
  <c r="N214" i="15"/>
  <c r="L214" i="15"/>
  <c r="B214" i="15"/>
  <c r="Z213" i="15"/>
  <c r="X213" i="15"/>
  <c r="N213" i="15"/>
  <c r="L213" i="15"/>
  <c r="B213" i="15"/>
  <c r="T212" i="15"/>
  <c r="P212" i="15"/>
  <c r="H212" i="15"/>
  <c r="D212" i="15"/>
  <c r="L212" i="15" s="1"/>
  <c r="N212" i="15" s="1"/>
  <c r="B212" i="15"/>
  <c r="Z211" i="15"/>
  <c r="X211" i="15"/>
  <c r="N211" i="15"/>
  <c r="L211" i="15"/>
  <c r="B211" i="15"/>
  <c r="T210" i="15"/>
  <c r="Z210" i="15" s="1"/>
  <c r="P210" i="15"/>
  <c r="X210" i="15" s="1"/>
  <c r="L210" i="15"/>
  <c r="H210" i="15"/>
  <c r="N210" i="15" s="1"/>
  <c r="D210" i="15"/>
  <c r="B210" i="15"/>
  <c r="X209" i="15"/>
  <c r="Z209" i="15" s="1"/>
  <c r="N209" i="15"/>
  <c r="L209" i="15"/>
  <c r="B209" i="15"/>
  <c r="T208" i="15"/>
  <c r="Z208" i="15" s="1"/>
  <c r="P208" i="15"/>
  <c r="X208" i="15" s="1"/>
  <c r="L208" i="15"/>
  <c r="H208" i="15"/>
  <c r="N208" i="15" s="1"/>
  <c r="D208" i="15"/>
  <c r="B208" i="15"/>
  <c r="X207" i="15"/>
  <c r="Z207" i="15" s="1"/>
  <c r="N207" i="15"/>
  <c r="L207" i="15"/>
  <c r="B207" i="15"/>
  <c r="X206" i="15"/>
  <c r="Z206" i="15" s="1"/>
  <c r="L206" i="15"/>
  <c r="N206" i="15" s="1"/>
  <c r="B206" i="15"/>
  <c r="T205" i="15"/>
  <c r="P205" i="15"/>
  <c r="X205" i="15" s="1"/>
  <c r="Z205" i="15" s="1"/>
  <c r="H205" i="15"/>
  <c r="D205" i="15"/>
  <c r="L205" i="15" s="1"/>
  <c r="B205" i="15"/>
  <c r="X204" i="15"/>
  <c r="Z204" i="15" s="1"/>
  <c r="N204" i="15"/>
  <c r="L204" i="15"/>
  <c r="B204" i="15"/>
  <c r="Z203" i="15"/>
  <c r="X203" i="15"/>
  <c r="T203" i="15"/>
  <c r="P203" i="15"/>
  <c r="H203" i="15"/>
  <c r="D203" i="15"/>
  <c r="L203" i="15" s="1"/>
  <c r="N203" i="15" s="1"/>
  <c r="B203" i="15"/>
  <c r="X202" i="15"/>
  <c r="Z202" i="15" s="1"/>
  <c r="L202" i="15"/>
  <c r="N202" i="15" s="1"/>
  <c r="B202" i="15"/>
  <c r="X201" i="15"/>
  <c r="Z201" i="15" s="1"/>
  <c r="T201" i="15"/>
  <c r="P201" i="15"/>
  <c r="H201" i="15"/>
  <c r="D201" i="15"/>
  <c r="L201" i="15" s="1"/>
  <c r="N201" i="15" s="1"/>
  <c r="B201" i="15"/>
  <c r="X200" i="15"/>
  <c r="Z200" i="15" s="1"/>
  <c r="L200" i="15"/>
  <c r="N200" i="15" s="1"/>
  <c r="B200" i="15"/>
  <c r="T199" i="15"/>
  <c r="Z199" i="15" s="1"/>
  <c r="P199" i="15"/>
  <c r="X199" i="15" s="1"/>
  <c r="N199" i="15"/>
  <c r="H199" i="15"/>
  <c r="D199" i="15"/>
  <c r="L199" i="15" s="1"/>
  <c r="B199" i="15"/>
  <c r="X198" i="15"/>
  <c r="Z198" i="15" s="1"/>
  <c r="L198" i="15"/>
  <c r="N198" i="15" s="1"/>
  <c r="B198" i="15"/>
  <c r="Z197" i="15"/>
  <c r="X197" i="15"/>
  <c r="L197" i="15"/>
  <c r="N197" i="15" s="1"/>
  <c r="B197" i="15"/>
  <c r="X196" i="15"/>
  <c r="T196" i="15"/>
  <c r="P196" i="15"/>
  <c r="H196" i="15"/>
  <c r="N196" i="15" s="1"/>
  <c r="D196" i="15"/>
  <c r="L196" i="15" s="1"/>
  <c r="B196" i="15"/>
  <c r="Z195" i="15"/>
  <c r="X195" i="15"/>
  <c r="N195" i="15"/>
  <c r="L195" i="15"/>
  <c r="B195" i="15"/>
  <c r="X194" i="15"/>
  <c r="Z194" i="15" s="1"/>
  <c r="N194" i="15"/>
  <c r="L194" i="15"/>
  <c r="B194" i="15"/>
  <c r="X193" i="15"/>
  <c r="Z193" i="15" s="1"/>
  <c r="N193" i="15"/>
  <c r="L193" i="15"/>
  <c r="B193" i="15"/>
  <c r="T192" i="15"/>
  <c r="Z192" i="15" s="1"/>
  <c r="P192" i="15"/>
  <c r="X192" i="15" s="1"/>
  <c r="H192" i="15"/>
  <c r="D192" i="15"/>
  <c r="B192" i="15"/>
  <c r="X191" i="15"/>
  <c r="Z191" i="15" s="1"/>
  <c r="N191" i="15"/>
  <c r="L191" i="15"/>
  <c r="B191" i="15"/>
  <c r="T190" i="15"/>
  <c r="P190" i="15"/>
  <c r="X190" i="15" s="1"/>
  <c r="Z190" i="15" s="1"/>
  <c r="H190" i="15"/>
  <c r="D190" i="15"/>
  <c r="L190" i="15" s="1"/>
  <c r="B190" i="15"/>
  <c r="Z189" i="15"/>
  <c r="X189" i="15"/>
  <c r="N189" i="15"/>
  <c r="L189" i="15"/>
  <c r="B189" i="15"/>
  <c r="X188" i="15"/>
  <c r="Z188" i="15" s="1"/>
  <c r="N188" i="15"/>
  <c r="L188" i="15"/>
  <c r="B188" i="15"/>
  <c r="Z187" i="15"/>
  <c r="X187" i="15"/>
  <c r="T187" i="15"/>
  <c r="P187" i="15"/>
  <c r="H187" i="15"/>
  <c r="D187" i="15"/>
  <c r="L187" i="15" s="1"/>
  <c r="N187" i="15" s="1"/>
  <c r="B187" i="15"/>
  <c r="X186" i="15"/>
  <c r="Z186" i="15" s="1"/>
  <c r="L186" i="15"/>
  <c r="N186" i="15" s="1"/>
  <c r="B186" i="15"/>
  <c r="X185" i="15"/>
  <c r="Z185" i="15" s="1"/>
  <c r="T185" i="15"/>
  <c r="P185" i="15"/>
  <c r="N185" i="15"/>
  <c r="L185" i="15"/>
  <c r="H185" i="15"/>
  <c r="D185" i="15"/>
  <c r="B185" i="15"/>
  <c r="X184" i="15"/>
  <c r="Z184" i="15" s="1"/>
  <c r="L184" i="15"/>
  <c r="N184" i="15" s="1"/>
  <c r="B184" i="15"/>
  <c r="X183" i="15"/>
  <c r="Z183" i="15" s="1"/>
  <c r="N183" i="15"/>
  <c r="L183" i="15"/>
  <c r="B183" i="15"/>
  <c r="X182" i="15"/>
  <c r="Z182" i="15" s="1"/>
  <c r="L182" i="15"/>
  <c r="N182" i="15" s="1"/>
  <c r="B182" i="15"/>
  <c r="Z181" i="15"/>
  <c r="X181" i="15"/>
  <c r="N181" i="15"/>
  <c r="L181" i="15"/>
  <c r="B181" i="15"/>
  <c r="X180" i="15"/>
  <c r="Z180" i="15" s="1"/>
  <c r="L180" i="15"/>
  <c r="N180" i="15" s="1"/>
  <c r="B180" i="15"/>
  <c r="X179" i="15"/>
  <c r="Z179" i="15" s="1"/>
  <c r="N179" i="15"/>
  <c r="L179" i="15"/>
  <c r="B179" i="15"/>
  <c r="X178" i="15"/>
  <c r="Z178" i="15" s="1"/>
  <c r="L178" i="15"/>
  <c r="N178" i="15" s="1"/>
  <c r="B178" i="15"/>
  <c r="T177" i="15"/>
  <c r="P177" i="15"/>
  <c r="X177" i="15" s="1"/>
  <c r="Z177" i="15" s="1"/>
  <c r="H177" i="15"/>
  <c r="D177" i="15"/>
  <c r="L177" i="15" s="1"/>
  <c r="B177" i="15"/>
  <c r="X176" i="15"/>
  <c r="Z176" i="15" s="1"/>
  <c r="N176" i="15"/>
  <c r="L176" i="15"/>
  <c r="B176" i="15"/>
  <c r="Z175" i="15"/>
  <c r="X175" i="15"/>
  <c r="N175" i="15"/>
  <c r="L175" i="15"/>
  <c r="B175" i="15"/>
  <c r="X174" i="15"/>
  <c r="Z174" i="15" s="1"/>
  <c r="L174" i="15"/>
  <c r="N174" i="15" s="1"/>
  <c r="B174" i="15"/>
  <c r="Z173" i="15"/>
  <c r="X173" i="15"/>
  <c r="L173" i="15"/>
  <c r="N173" i="15" s="1"/>
  <c r="B173" i="15"/>
  <c r="Z172" i="15"/>
  <c r="X172" i="15"/>
  <c r="N172" i="15"/>
  <c r="L172" i="15"/>
  <c r="B172" i="15"/>
  <c r="Z171" i="15"/>
  <c r="X171" i="15"/>
  <c r="N171" i="15"/>
  <c r="L171" i="15"/>
  <c r="B171" i="15"/>
  <c r="X170" i="15"/>
  <c r="Z170" i="15" s="1"/>
  <c r="L170" i="15"/>
  <c r="N170" i="15" s="1"/>
  <c r="B170" i="15"/>
  <c r="Z169" i="15"/>
  <c r="X169" i="15"/>
  <c r="L169" i="15"/>
  <c r="N169" i="15" s="1"/>
  <c r="B169" i="15"/>
  <c r="X168" i="15"/>
  <c r="Z168" i="15" s="1"/>
  <c r="N168" i="15"/>
  <c r="L168" i="15"/>
  <c r="B168" i="15"/>
  <c r="Z167" i="15"/>
  <c r="X167" i="15"/>
  <c r="N167" i="15"/>
  <c r="L167" i="15"/>
  <c r="B167" i="15"/>
  <c r="T166" i="15"/>
  <c r="Z166" i="15" s="1"/>
  <c r="P166" i="15"/>
  <c r="X166" i="15" s="1"/>
  <c r="L166" i="15"/>
  <c r="H166" i="15"/>
  <c r="N166" i="15" s="1"/>
  <c r="D166" i="15"/>
  <c r="B166" i="15"/>
  <c r="X165" i="15"/>
  <c r="T165" i="15"/>
  <c r="Z165" i="15" s="1"/>
  <c r="P165" i="15"/>
  <c r="N165" i="15"/>
  <c r="H165" i="15"/>
  <c r="D165" i="15"/>
  <c r="L165" i="15" s="1"/>
  <c r="X161" i="15"/>
  <c r="Z161" i="15" s="1"/>
  <c r="N161" i="15"/>
  <c r="L161" i="15"/>
  <c r="B161" i="15"/>
  <c r="Z160" i="15"/>
  <c r="X160" i="15"/>
  <c r="L160" i="15"/>
  <c r="N160" i="15" s="1"/>
  <c r="B160" i="15"/>
  <c r="Z159" i="15"/>
  <c r="X159" i="15"/>
  <c r="N159" i="15"/>
  <c r="L159" i="15"/>
  <c r="B159" i="15"/>
  <c r="X158" i="15"/>
  <c r="Z158" i="15" s="1"/>
  <c r="N158" i="15"/>
  <c r="L158" i="15"/>
  <c r="B158" i="15"/>
  <c r="X157" i="15"/>
  <c r="Z157" i="15" s="1"/>
  <c r="N157" i="15"/>
  <c r="L157" i="15"/>
  <c r="B157" i="15"/>
  <c r="Z156" i="15"/>
  <c r="X156" i="15"/>
  <c r="L156" i="15"/>
  <c r="N156" i="15" s="1"/>
  <c r="B156" i="15"/>
  <c r="Z155" i="15"/>
  <c r="X155" i="15"/>
  <c r="L155" i="15"/>
  <c r="N155" i="15" s="1"/>
  <c r="B155" i="15"/>
  <c r="X154" i="15"/>
  <c r="Z154" i="15" s="1"/>
  <c r="N154" i="15"/>
  <c r="L154" i="15"/>
  <c r="B154" i="15"/>
  <c r="X153" i="15"/>
  <c r="Z153" i="15" s="1"/>
  <c r="N153" i="15"/>
  <c r="L153" i="15"/>
  <c r="B153" i="15"/>
  <c r="Z152" i="15"/>
  <c r="X152" i="15"/>
  <c r="N152" i="15"/>
  <c r="L152" i="15"/>
  <c r="B152" i="15"/>
  <c r="Z151" i="15"/>
  <c r="X151" i="15"/>
  <c r="L151" i="15"/>
  <c r="N151" i="15" s="1"/>
  <c r="B151" i="15"/>
  <c r="X150" i="15"/>
  <c r="Z150" i="15" s="1"/>
  <c r="N150" i="15"/>
  <c r="L150" i="15"/>
  <c r="B150" i="15"/>
  <c r="X149" i="15"/>
  <c r="Z149" i="15" s="1"/>
  <c r="N149" i="15"/>
  <c r="L149" i="15"/>
  <c r="B149" i="15"/>
  <c r="Z148" i="15"/>
  <c r="X148" i="15"/>
  <c r="L148" i="15"/>
  <c r="N148" i="15" s="1"/>
  <c r="B148" i="15"/>
  <c r="Z147" i="15"/>
  <c r="X147" i="15"/>
  <c r="L147" i="15"/>
  <c r="N147" i="15" s="1"/>
  <c r="B147" i="15"/>
  <c r="X146" i="15"/>
  <c r="Z146" i="15" s="1"/>
  <c r="N146" i="15"/>
  <c r="L146" i="15"/>
  <c r="B146" i="15"/>
  <c r="X145" i="15"/>
  <c r="Z145" i="15" s="1"/>
  <c r="N145" i="15"/>
  <c r="L145" i="15"/>
  <c r="B145" i="15"/>
  <c r="Z144" i="15"/>
  <c r="X144" i="15"/>
  <c r="L144" i="15"/>
  <c r="N144" i="15" s="1"/>
  <c r="B144" i="15"/>
  <c r="Z143" i="15"/>
  <c r="X143" i="15"/>
  <c r="L143" i="15"/>
  <c r="N143" i="15" s="1"/>
  <c r="B143" i="15"/>
  <c r="Z142" i="15"/>
  <c r="X142" i="15"/>
  <c r="N142" i="15"/>
  <c r="L142" i="15"/>
  <c r="B142" i="15"/>
  <c r="X141" i="15"/>
  <c r="Z141" i="15" s="1"/>
  <c r="N141" i="15"/>
  <c r="L141" i="15"/>
  <c r="B141" i="15"/>
  <c r="Z140" i="15"/>
  <c r="X140" i="15"/>
  <c r="N140" i="15"/>
  <c r="L140" i="15"/>
  <c r="B140" i="15"/>
  <c r="Z139" i="15"/>
  <c r="X139" i="15"/>
  <c r="N139" i="15"/>
  <c r="L139" i="15"/>
  <c r="B139" i="15"/>
  <c r="X138" i="15"/>
  <c r="Z138" i="15" s="1"/>
  <c r="N138" i="15"/>
  <c r="L138" i="15"/>
  <c r="B138" i="15"/>
  <c r="X137" i="15"/>
  <c r="Z137" i="15" s="1"/>
  <c r="N137" i="15"/>
  <c r="L137" i="15"/>
  <c r="B137" i="15"/>
  <c r="Z136" i="15"/>
  <c r="X136" i="15"/>
  <c r="L136" i="15"/>
  <c r="N136" i="15" s="1"/>
  <c r="B136" i="15"/>
  <c r="Z135" i="15"/>
  <c r="X135" i="15"/>
  <c r="L135" i="15"/>
  <c r="N135" i="15" s="1"/>
  <c r="B135" i="15"/>
  <c r="X134" i="15"/>
  <c r="Z134" i="15" s="1"/>
  <c r="N134" i="15"/>
  <c r="L134" i="15"/>
  <c r="B134" i="15"/>
  <c r="X133" i="15"/>
  <c r="Z133" i="15" s="1"/>
  <c r="N133" i="15"/>
  <c r="L133" i="15"/>
  <c r="B133" i="15"/>
  <c r="Z132" i="15"/>
  <c r="X132" i="15"/>
  <c r="L132" i="15"/>
  <c r="N132" i="15" s="1"/>
  <c r="B132" i="15"/>
  <c r="Z131" i="15"/>
  <c r="X131" i="15"/>
  <c r="L131" i="15"/>
  <c r="N131" i="15" s="1"/>
  <c r="B131" i="15"/>
  <c r="X130" i="15"/>
  <c r="Z130" i="15" s="1"/>
  <c r="N130" i="15"/>
  <c r="L130" i="15"/>
  <c r="B130" i="15"/>
  <c r="X129" i="15"/>
  <c r="Z129" i="15" s="1"/>
  <c r="N129" i="15"/>
  <c r="L129" i="15"/>
  <c r="B129" i="15"/>
  <c r="Z128" i="15"/>
  <c r="X128" i="15"/>
  <c r="L128" i="15"/>
  <c r="N128" i="15" s="1"/>
  <c r="B128" i="15"/>
  <c r="Z127" i="15"/>
  <c r="X127" i="15"/>
  <c r="L127" i="15"/>
  <c r="N127" i="15" s="1"/>
  <c r="B127" i="15"/>
  <c r="X126" i="15"/>
  <c r="Z126" i="15" s="1"/>
  <c r="N126" i="15"/>
  <c r="L126" i="15"/>
  <c r="B126" i="15"/>
  <c r="X125" i="15"/>
  <c r="Z125" i="15" s="1"/>
  <c r="N125" i="15"/>
  <c r="L125" i="15"/>
  <c r="B125" i="15"/>
  <c r="Z124" i="15"/>
  <c r="X124" i="15"/>
  <c r="L124" i="15"/>
  <c r="N124" i="15" s="1"/>
  <c r="B124" i="15"/>
  <c r="Z123" i="15"/>
  <c r="X123" i="15"/>
  <c r="L123" i="15"/>
  <c r="N123" i="15" s="1"/>
  <c r="B123" i="15"/>
  <c r="X122" i="15"/>
  <c r="Z122" i="15" s="1"/>
  <c r="N122" i="15"/>
  <c r="L122" i="15"/>
  <c r="B122" i="15"/>
  <c r="X121" i="15"/>
  <c r="Z121" i="15" s="1"/>
  <c r="N121" i="15"/>
  <c r="L121" i="15"/>
  <c r="B121" i="15"/>
  <c r="Z120" i="15"/>
  <c r="X120" i="15"/>
  <c r="L120" i="15"/>
  <c r="N120" i="15" s="1"/>
  <c r="B120" i="15"/>
  <c r="Z119" i="15"/>
  <c r="X119" i="15"/>
  <c r="L119" i="15"/>
  <c r="N119" i="15" s="1"/>
  <c r="B119" i="15"/>
  <c r="X118" i="15"/>
  <c r="Z118" i="15" s="1"/>
  <c r="L118" i="15"/>
  <c r="N118" i="15" s="1"/>
  <c r="B118" i="15"/>
  <c r="X117" i="15"/>
  <c r="Z117" i="15" s="1"/>
  <c r="N117" i="15"/>
  <c r="L117" i="15"/>
  <c r="B117" i="15"/>
  <c r="Z116" i="15"/>
  <c r="X116" i="15"/>
  <c r="L116" i="15"/>
  <c r="N116" i="15" s="1"/>
  <c r="B116" i="15"/>
  <c r="Z115" i="15"/>
  <c r="X115" i="15"/>
  <c r="L115" i="15"/>
  <c r="N115" i="15" s="1"/>
  <c r="B115" i="15"/>
  <c r="X114" i="15"/>
  <c r="Z114" i="15" s="1"/>
  <c r="N114" i="15"/>
  <c r="L114" i="15"/>
  <c r="B114" i="15"/>
  <c r="X113" i="15"/>
  <c r="Z113" i="15" s="1"/>
  <c r="N113" i="15"/>
  <c r="L113" i="15"/>
  <c r="B113" i="15"/>
  <c r="Z112" i="15"/>
  <c r="X112" i="15"/>
  <c r="L112" i="15"/>
  <c r="N112" i="15" s="1"/>
  <c r="B112" i="15"/>
  <c r="Z111" i="15"/>
  <c r="X111" i="15"/>
  <c r="N111" i="15"/>
  <c r="L111" i="15"/>
  <c r="B111" i="15"/>
  <c r="T110" i="15"/>
  <c r="P110" i="15"/>
  <c r="H110" i="15"/>
  <c r="N110" i="15" s="1"/>
  <c r="D110" i="15"/>
  <c r="L110" i="15" s="1"/>
  <c r="X108" i="15"/>
  <c r="Z108" i="15" s="1"/>
  <c r="T108" i="15"/>
  <c r="P108" i="15"/>
  <c r="L108" i="15"/>
  <c r="N108" i="15" s="1"/>
  <c r="H108" i="15"/>
  <c r="D108" i="15"/>
  <c r="B108" i="15"/>
  <c r="T107" i="15"/>
  <c r="P107" i="15"/>
  <c r="N107" i="15"/>
  <c r="H107" i="15"/>
  <c r="D107" i="15"/>
  <c r="B107" i="15"/>
  <c r="T106" i="15"/>
  <c r="Z106" i="15" s="1"/>
  <c r="P106" i="15"/>
  <c r="X106" i="15" s="1"/>
  <c r="N106" i="15"/>
  <c r="H106" i="15"/>
  <c r="D106" i="15"/>
  <c r="L106" i="15" s="1"/>
  <c r="B106" i="15"/>
  <c r="T105" i="15"/>
  <c r="X105" i="15" s="1"/>
  <c r="Z105" i="15" s="1"/>
  <c r="P105" i="15"/>
  <c r="H105" i="15"/>
  <c r="N105" i="15" s="1"/>
  <c r="D105" i="15"/>
  <c r="L105" i="15" s="1"/>
  <c r="B105" i="15"/>
  <c r="X104" i="15"/>
  <c r="Z104" i="15" s="1"/>
  <c r="T104" i="15"/>
  <c r="P104" i="15"/>
  <c r="L104" i="15"/>
  <c r="N104" i="15" s="1"/>
  <c r="H104" i="15"/>
  <c r="D104" i="15"/>
  <c r="B104" i="15"/>
  <c r="T103" i="15"/>
  <c r="P103" i="15"/>
  <c r="N103" i="15"/>
  <c r="H103" i="15"/>
  <c r="D103" i="15"/>
  <c r="L103" i="15" s="1"/>
  <c r="B103" i="15"/>
  <c r="T102" i="15"/>
  <c r="P102" i="15"/>
  <c r="X102" i="15" s="1"/>
  <c r="H102" i="15"/>
  <c r="D102" i="15"/>
  <c r="L102" i="15" s="1"/>
  <c r="N102" i="15" s="1"/>
  <c r="B102" i="15"/>
  <c r="T101" i="15"/>
  <c r="X101" i="15" s="1"/>
  <c r="Z101" i="15" s="1"/>
  <c r="P101" i="15"/>
  <c r="H101" i="15"/>
  <c r="N101" i="15" s="1"/>
  <c r="D101" i="15"/>
  <c r="L101" i="15" s="1"/>
  <c r="B101" i="15"/>
  <c r="X100" i="15"/>
  <c r="Z100" i="15" s="1"/>
  <c r="T100" i="15"/>
  <c r="P100" i="15"/>
  <c r="L100" i="15"/>
  <c r="N100" i="15" s="1"/>
  <c r="H100" i="15"/>
  <c r="D100" i="15"/>
  <c r="B100" i="15"/>
  <c r="T99" i="15"/>
  <c r="P99" i="15"/>
  <c r="H99" i="15"/>
  <c r="D99" i="15"/>
  <c r="L99" i="15" s="1"/>
  <c r="N99" i="15" s="1"/>
  <c r="B99" i="15"/>
  <c r="T98" i="15"/>
  <c r="P98" i="15"/>
  <c r="X98" i="15" s="1"/>
  <c r="N98" i="15"/>
  <c r="H98" i="15"/>
  <c r="D98" i="15"/>
  <c r="L98" i="15" s="1"/>
  <c r="B98" i="15"/>
  <c r="Z97" i="15"/>
  <c r="T97" i="15"/>
  <c r="X97" i="15" s="1"/>
  <c r="P97" i="15"/>
  <c r="H97" i="15"/>
  <c r="N97" i="15" s="1"/>
  <c r="D97" i="15"/>
  <c r="L97" i="15" s="1"/>
  <c r="B97" i="15"/>
  <c r="T96" i="15"/>
  <c r="P96" i="15"/>
  <c r="X96" i="15" s="1"/>
  <c r="Z96" i="15" s="1"/>
  <c r="N96" i="15"/>
  <c r="L96" i="15"/>
  <c r="H96" i="15"/>
  <c r="D96" i="15"/>
  <c r="B96" i="15"/>
  <c r="T95" i="15"/>
  <c r="P95" i="15"/>
  <c r="H95" i="15"/>
  <c r="N95" i="15" s="1"/>
  <c r="D95" i="15"/>
  <c r="B95" i="15"/>
  <c r="T94" i="15"/>
  <c r="Z94" i="15" s="1"/>
  <c r="P94" i="15"/>
  <c r="X94" i="15" s="1"/>
  <c r="H94" i="15"/>
  <c r="D94" i="15"/>
  <c r="L94" i="15" s="1"/>
  <c r="N94" i="15" s="1"/>
  <c r="B94" i="15"/>
  <c r="Z93" i="15"/>
  <c r="T93" i="15"/>
  <c r="X93" i="15" s="1"/>
  <c r="P93" i="15"/>
  <c r="H93" i="15"/>
  <c r="N93" i="15" s="1"/>
  <c r="D93" i="15"/>
  <c r="L93" i="15" s="1"/>
  <c r="B93" i="15"/>
  <c r="X92" i="15"/>
  <c r="Z92" i="15" s="1"/>
  <c r="T92" i="15"/>
  <c r="P92" i="15"/>
  <c r="L92" i="15"/>
  <c r="N92" i="15" s="1"/>
  <c r="H92" i="15"/>
  <c r="D92" i="15"/>
  <c r="B92" i="15"/>
  <c r="T91" i="15"/>
  <c r="P91" i="15"/>
  <c r="H91" i="15"/>
  <c r="D91" i="15"/>
  <c r="B91" i="15"/>
  <c r="T90" i="15"/>
  <c r="Z90" i="15" s="1"/>
  <c r="P90" i="15"/>
  <c r="X90" i="15" s="1"/>
  <c r="H90" i="15"/>
  <c r="D90" i="15"/>
  <c r="L90" i="15" s="1"/>
  <c r="N90" i="15" s="1"/>
  <c r="B90" i="15"/>
  <c r="Z89" i="15"/>
  <c r="T89" i="15"/>
  <c r="X89" i="15" s="1"/>
  <c r="P89" i="15"/>
  <c r="H89" i="15"/>
  <c r="D89" i="15"/>
  <c r="L89" i="15" s="1"/>
  <c r="B89" i="15"/>
  <c r="X88" i="15"/>
  <c r="Z88" i="15" s="1"/>
  <c r="T88" i="15"/>
  <c r="P88" i="15"/>
  <c r="L88" i="15"/>
  <c r="N88" i="15" s="1"/>
  <c r="H88" i="15"/>
  <c r="D88" i="15"/>
  <c r="B88" i="15"/>
  <c r="T87" i="15"/>
  <c r="P87" i="15"/>
  <c r="H87" i="15"/>
  <c r="D87" i="15"/>
  <c r="B87" i="15"/>
  <c r="T86" i="15"/>
  <c r="Z86" i="15" s="1"/>
  <c r="P86" i="15"/>
  <c r="X86" i="15" s="1"/>
  <c r="H86" i="15"/>
  <c r="D86" i="15"/>
  <c r="L86" i="15" s="1"/>
  <c r="N86" i="15" s="1"/>
  <c r="B86" i="15"/>
  <c r="Z85" i="15"/>
  <c r="T85" i="15"/>
  <c r="X85" i="15" s="1"/>
  <c r="P85" i="15"/>
  <c r="H85" i="15"/>
  <c r="D85" i="15"/>
  <c r="L85" i="15" s="1"/>
  <c r="B85" i="15"/>
  <c r="X84" i="15"/>
  <c r="Z84" i="15" s="1"/>
  <c r="T84" i="15"/>
  <c r="P84" i="15"/>
  <c r="L84" i="15"/>
  <c r="N84" i="15" s="1"/>
  <c r="H84" i="15"/>
  <c r="D84" i="15"/>
  <c r="B84" i="15"/>
  <c r="T83" i="15"/>
  <c r="P83" i="15"/>
  <c r="H83" i="15"/>
  <c r="D83" i="15"/>
  <c r="B83" i="15"/>
  <c r="T82" i="15"/>
  <c r="Z82" i="15" s="1"/>
  <c r="P82" i="15"/>
  <c r="X82" i="15" s="1"/>
  <c r="H82" i="15"/>
  <c r="D82" i="15"/>
  <c r="L82" i="15" s="1"/>
  <c r="N82" i="15" s="1"/>
  <c r="B82" i="15"/>
  <c r="Z81" i="15"/>
  <c r="T81" i="15"/>
  <c r="X81" i="15" s="1"/>
  <c r="P81" i="15"/>
  <c r="H81" i="15"/>
  <c r="N81" i="15" s="1"/>
  <c r="D81" i="15"/>
  <c r="L81" i="15" s="1"/>
  <c r="B81" i="15"/>
  <c r="X80" i="15"/>
  <c r="Z80" i="15" s="1"/>
  <c r="T80" i="15"/>
  <c r="P80" i="15"/>
  <c r="N80" i="15"/>
  <c r="L80" i="15"/>
  <c r="H80" i="15"/>
  <c r="D80" i="15"/>
  <c r="B80" i="15"/>
  <c r="T79" i="15"/>
  <c r="P79" i="15"/>
  <c r="N79" i="15"/>
  <c r="H79" i="15"/>
  <c r="D79" i="15"/>
  <c r="L79" i="15" s="1"/>
  <c r="B79" i="15"/>
  <c r="T78" i="15"/>
  <c r="P78" i="15"/>
  <c r="X78" i="15" s="1"/>
  <c r="H78" i="15"/>
  <c r="D78" i="15"/>
  <c r="L78" i="15" s="1"/>
  <c r="N78" i="15" s="1"/>
  <c r="B78" i="15"/>
  <c r="Z77" i="15"/>
  <c r="T77" i="15"/>
  <c r="X77" i="15" s="1"/>
  <c r="P77" i="15"/>
  <c r="H77" i="15"/>
  <c r="N77" i="15" s="1"/>
  <c r="D77" i="15"/>
  <c r="L77" i="15" s="1"/>
  <c r="B77" i="15"/>
  <c r="X76" i="15"/>
  <c r="Z76" i="15" s="1"/>
  <c r="T76" i="15"/>
  <c r="P76" i="15"/>
  <c r="N76" i="15"/>
  <c r="L76" i="15"/>
  <c r="H76" i="15"/>
  <c r="D76" i="15"/>
  <c r="B76" i="15"/>
  <c r="T75" i="15"/>
  <c r="P75" i="15"/>
  <c r="H75" i="15"/>
  <c r="N75" i="15" s="1"/>
  <c r="D75" i="15"/>
  <c r="L75" i="15" s="1"/>
  <c r="B75" i="15"/>
  <c r="T74" i="15"/>
  <c r="P74" i="15"/>
  <c r="X74" i="15" s="1"/>
  <c r="H74" i="15"/>
  <c r="D74" i="15"/>
  <c r="L74" i="15" s="1"/>
  <c r="N74" i="15" s="1"/>
  <c r="B74" i="15"/>
  <c r="T73" i="15"/>
  <c r="X73" i="15" s="1"/>
  <c r="Z73" i="15" s="1"/>
  <c r="P73" i="15"/>
  <c r="H73" i="15"/>
  <c r="N73" i="15" s="1"/>
  <c r="D73" i="15"/>
  <c r="L73" i="15" s="1"/>
  <c r="B73" i="15"/>
  <c r="T72" i="15"/>
  <c r="P72" i="15"/>
  <c r="X72" i="15" s="1"/>
  <c r="Z72" i="15" s="1"/>
  <c r="L72" i="15"/>
  <c r="N72" i="15" s="1"/>
  <c r="H72" i="15"/>
  <c r="D72" i="15"/>
  <c r="B72" i="15"/>
  <c r="T71" i="15"/>
  <c r="P71" i="15"/>
  <c r="H71" i="15"/>
  <c r="N71" i="15" s="1"/>
  <c r="D71" i="15"/>
  <c r="L71" i="15" s="1"/>
  <c r="B71" i="15"/>
  <c r="T70" i="15"/>
  <c r="P70" i="15"/>
  <c r="X70" i="15" s="1"/>
  <c r="N70" i="15"/>
  <c r="L70" i="15"/>
  <c r="H70" i="15"/>
  <c r="D70" i="15"/>
  <c r="B70" i="15"/>
  <c r="Z69" i="15"/>
  <c r="T69" i="15"/>
  <c r="X69" i="15" s="1"/>
  <c r="P69" i="15"/>
  <c r="H69" i="15"/>
  <c r="N69" i="15" s="1"/>
  <c r="D69" i="15"/>
  <c r="L69" i="15" s="1"/>
  <c r="B69" i="15"/>
  <c r="X68" i="15"/>
  <c r="Z68" i="15" s="1"/>
  <c r="T68" i="15"/>
  <c r="P68" i="15"/>
  <c r="N68" i="15"/>
  <c r="L68" i="15"/>
  <c r="H68" i="15"/>
  <c r="D68" i="15"/>
  <c r="B68" i="15"/>
  <c r="T67" i="15"/>
  <c r="P67" i="15"/>
  <c r="H67" i="15"/>
  <c r="N67" i="15" s="1"/>
  <c r="D67" i="15"/>
  <c r="L67" i="15" s="1"/>
  <c r="B67" i="15"/>
  <c r="T66" i="15"/>
  <c r="Z66" i="15" s="1"/>
  <c r="P66" i="15"/>
  <c r="X66" i="15" s="1"/>
  <c r="H66" i="15"/>
  <c r="D66" i="15"/>
  <c r="L66" i="15" s="1"/>
  <c r="N66" i="15" s="1"/>
  <c r="B66" i="15"/>
  <c r="T65" i="15"/>
  <c r="X65" i="15" s="1"/>
  <c r="Z65" i="15" s="1"/>
  <c r="P65" i="15"/>
  <c r="H65" i="15"/>
  <c r="D65" i="15"/>
  <c r="L65" i="15" s="1"/>
  <c r="B65" i="15"/>
  <c r="X64" i="15"/>
  <c r="Z64" i="15" s="1"/>
  <c r="T64" i="15"/>
  <c r="P64" i="15"/>
  <c r="L64" i="15"/>
  <c r="N64" i="15" s="1"/>
  <c r="H64" i="15"/>
  <c r="D64" i="15"/>
  <c r="B64" i="15"/>
  <c r="T63" i="15"/>
  <c r="P63" i="15"/>
  <c r="H63" i="15"/>
  <c r="N63" i="15" s="1"/>
  <c r="D63" i="15"/>
  <c r="L63" i="15" s="1"/>
  <c r="B63" i="15"/>
  <c r="T62" i="15"/>
  <c r="Z62" i="15" s="1"/>
  <c r="P62" i="15"/>
  <c r="X62" i="15" s="1"/>
  <c r="N62" i="15"/>
  <c r="L62" i="15"/>
  <c r="H62" i="15"/>
  <c r="D62" i="15"/>
  <c r="B62" i="15"/>
  <c r="T61" i="15"/>
  <c r="X61" i="15" s="1"/>
  <c r="Z61" i="15" s="1"/>
  <c r="P61" i="15"/>
  <c r="H61" i="15"/>
  <c r="N61" i="15" s="1"/>
  <c r="D61" i="15"/>
  <c r="L61" i="15" s="1"/>
  <c r="B61" i="15"/>
  <c r="T60" i="15"/>
  <c r="P60" i="15"/>
  <c r="X60" i="15" s="1"/>
  <c r="Z60" i="15" s="1"/>
  <c r="L60" i="15"/>
  <c r="N60" i="15" s="1"/>
  <c r="H60" i="15"/>
  <c r="D60" i="15"/>
  <c r="B60" i="15"/>
  <c r="T59" i="15"/>
  <c r="P59" i="15"/>
  <c r="H59" i="15"/>
  <c r="D59" i="15"/>
  <c r="B59" i="15"/>
  <c r="T58" i="15"/>
  <c r="P58" i="15"/>
  <c r="X58" i="15" s="1"/>
  <c r="H58" i="15"/>
  <c r="D58" i="15"/>
  <c r="L58" i="15" s="1"/>
  <c r="N58" i="15" s="1"/>
  <c r="B58" i="15"/>
  <c r="T57" i="15"/>
  <c r="X57" i="15" s="1"/>
  <c r="Z57" i="15" s="1"/>
  <c r="P57" i="15"/>
  <c r="H57" i="15"/>
  <c r="N57" i="15" s="1"/>
  <c r="D57" i="15"/>
  <c r="L57" i="15" s="1"/>
  <c r="B57" i="15"/>
  <c r="X56" i="15"/>
  <c r="Z56" i="15" s="1"/>
  <c r="T56" i="15"/>
  <c r="P56" i="15"/>
  <c r="L56" i="15"/>
  <c r="N56" i="15" s="1"/>
  <c r="H56" i="15"/>
  <c r="D56" i="15"/>
  <c r="B56" i="15"/>
  <c r="T55" i="15"/>
  <c r="P55" i="15"/>
  <c r="H55" i="15"/>
  <c r="D55" i="15"/>
  <c r="B55" i="15"/>
  <c r="T54" i="15"/>
  <c r="Z54" i="15" s="1"/>
  <c r="P54" i="15"/>
  <c r="X54" i="15" s="1"/>
  <c r="L54" i="15"/>
  <c r="N54" i="15" s="1"/>
  <c r="H54" i="15"/>
  <c r="D54" i="15"/>
  <c r="B54" i="15"/>
  <c r="T53" i="15"/>
  <c r="X53" i="15" s="1"/>
  <c r="Z53" i="15" s="1"/>
  <c r="P53" i="15"/>
  <c r="H53" i="15"/>
  <c r="N53" i="15" s="1"/>
  <c r="D53" i="15"/>
  <c r="L53" i="15" s="1"/>
  <c r="B53" i="15"/>
  <c r="X52" i="15"/>
  <c r="Z52" i="15" s="1"/>
  <c r="T52" i="15"/>
  <c r="P52" i="15"/>
  <c r="L52" i="15"/>
  <c r="N52" i="15" s="1"/>
  <c r="H52" i="15"/>
  <c r="D52" i="15"/>
  <c r="B52" i="15"/>
  <c r="T51" i="15"/>
  <c r="P51" i="15"/>
  <c r="H51" i="15"/>
  <c r="D51" i="15"/>
  <c r="L51" i="15" s="1"/>
  <c r="N51" i="15" s="1"/>
  <c r="B51" i="15"/>
  <c r="T50" i="15"/>
  <c r="P50" i="15"/>
  <c r="X50" i="15" s="1"/>
  <c r="N50" i="15"/>
  <c r="H50" i="15"/>
  <c r="D50" i="15"/>
  <c r="L50" i="15" s="1"/>
  <c r="B50" i="15"/>
  <c r="Z49" i="15"/>
  <c r="T49" i="15"/>
  <c r="X49" i="15" s="1"/>
  <c r="P49" i="15"/>
  <c r="H49" i="15"/>
  <c r="D49" i="15"/>
  <c r="L49" i="15" s="1"/>
  <c r="B49" i="15"/>
  <c r="X48" i="15"/>
  <c r="Z48" i="15" s="1"/>
  <c r="T48" i="15"/>
  <c r="P48" i="15"/>
  <c r="L48" i="15"/>
  <c r="N48" i="15" s="1"/>
  <c r="H48" i="15"/>
  <c r="D48" i="15"/>
  <c r="B48" i="15"/>
  <c r="T47" i="15"/>
  <c r="P47" i="15"/>
  <c r="H47" i="15"/>
  <c r="D47" i="15"/>
  <c r="B47" i="15"/>
  <c r="T46" i="15"/>
  <c r="Z46" i="15" s="1"/>
  <c r="P46" i="15"/>
  <c r="X46" i="15" s="1"/>
  <c r="N46" i="15"/>
  <c r="L46" i="15"/>
  <c r="H46" i="15"/>
  <c r="D46" i="15"/>
  <c r="B46" i="15"/>
  <c r="T45" i="15"/>
  <c r="X45" i="15" s="1"/>
  <c r="Z45" i="15" s="1"/>
  <c r="P45" i="15"/>
  <c r="H45" i="15"/>
  <c r="D45" i="15"/>
  <c r="L45" i="15" s="1"/>
  <c r="B45" i="15"/>
  <c r="T44" i="15"/>
  <c r="P44" i="15"/>
  <c r="X44" i="15" s="1"/>
  <c r="Z44" i="15" s="1"/>
  <c r="L44" i="15"/>
  <c r="N44" i="15" s="1"/>
  <c r="H44" i="15"/>
  <c r="D44" i="15"/>
  <c r="B44" i="15"/>
  <c r="T43" i="15"/>
  <c r="P43" i="15"/>
  <c r="H43" i="15"/>
  <c r="N43" i="15" s="1"/>
  <c r="D43" i="15"/>
  <c r="L43" i="15" s="1"/>
  <c r="B43" i="15"/>
  <c r="T42" i="15"/>
  <c r="P42" i="15"/>
  <c r="X42" i="15" s="1"/>
  <c r="L42" i="15"/>
  <c r="N42" i="15" s="1"/>
  <c r="H42" i="15"/>
  <c r="D42" i="15"/>
  <c r="B42" i="15"/>
  <c r="T41" i="15"/>
  <c r="X41" i="15" s="1"/>
  <c r="Z41" i="15" s="1"/>
  <c r="P41" i="15"/>
  <c r="H41" i="15"/>
  <c r="D41" i="15"/>
  <c r="L41" i="15" s="1"/>
  <c r="B41" i="15"/>
  <c r="T40" i="15"/>
  <c r="P40" i="15"/>
  <c r="X40" i="15" s="1"/>
  <c r="Z40" i="15" s="1"/>
  <c r="L40" i="15"/>
  <c r="N40" i="15" s="1"/>
  <c r="H40" i="15"/>
  <c r="D40" i="15"/>
  <c r="B40" i="15"/>
  <c r="T39" i="15"/>
  <c r="P39" i="15"/>
  <c r="H39" i="15"/>
  <c r="D39" i="15"/>
  <c r="B39" i="15"/>
  <c r="T38" i="15"/>
  <c r="P38" i="15"/>
  <c r="X38" i="15" s="1"/>
  <c r="L38" i="15"/>
  <c r="N38" i="15" s="1"/>
  <c r="H38" i="15"/>
  <c r="D38" i="15"/>
  <c r="B38" i="15"/>
  <c r="Z37" i="15"/>
  <c r="T37" i="15"/>
  <c r="X37" i="15" s="1"/>
  <c r="P37" i="15"/>
  <c r="H37" i="15"/>
  <c r="N37" i="15" s="1"/>
  <c r="D37" i="15"/>
  <c r="L37" i="15" s="1"/>
  <c r="B37" i="15"/>
  <c r="X36" i="15"/>
  <c r="Z36" i="15" s="1"/>
  <c r="T36" i="15"/>
  <c r="P36" i="15"/>
  <c r="L36" i="15"/>
  <c r="N36" i="15" s="1"/>
  <c r="H36" i="15"/>
  <c r="D36" i="15"/>
  <c r="B36" i="15"/>
  <c r="T35" i="15"/>
  <c r="P35" i="15"/>
  <c r="N35" i="15"/>
  <c r="H35" i="15"/>
  <c r="D35" i="15"/>
  <c r="L35" i="15" s="1"/>
  <c r="B35" i="15"/>
  <c r="T34" i="15"/>
  <c r="Z34" i="15" s="1"/>
  <c r="P34" i="15"/>
  <c r="X34" i="15" s="1"/>
  <c r="H34" i="15"/>
  <c r="D34" i="15"/>
  <c r="L34" i="15" s="1"/>
  <c r="N34" i="15" s="1"/>
  <c r="B34" i="15"/>
  <c r="T33" i="15"/>
  <c r="X33" i="15" s="1"/>
  <c r="Z33" i="15" s="1"/>
  <c r="P33" i="15"/>
  <c r="H33" i="15"/>
  <c r="D33" i="15"/>
  <c r="L33" i="15" s="1"/>
  <c r="B33" i="15"/>
  <c r="X32" i="15"/>
  <c r="Z32" i="15" s="1"/>
  <c r="T32" i="15"/>
  <c r="P32" i="15"/>
  <c r="L32" i="15"/>
  <c r="N32" i="15" s="1"/>
  <c r="H32" i="15"/>
  <c r="D32" i="15"/>
  <c r="B32" i="15"/>
  <c r="T31" i="15"/>
  <c r="P31" i="15"/>
  <c r="H31" i="15"/>
  <c r="N31" i="15" s="1"/>
  <c r="D31" i="15"/>
  <c r="L31" i="15" s="1"/>
  <c r="B31" i="15"/>
  <c r="T30" i="15"/>
  <c r="Z30" i="15" s="1"/>
  <c r="P30" i="15"/>
  <c r="X30" i="15" s="1"/>
  <c r="H30" i="15"/>
  <c r="D30" i="15"/>
  <c r="L30" i="15" s="1"/>
  <c r="N30" i="15" s="1"/>
  <c r="B30" i="15"/>
  <c r="T29" i="15"/>
  <c r="X29" i="15" s="1"/>
  <c r="Z29" i="15" s="1"/>
  <c r="P29" i="15"/>
  <c r="H29" i="15"/>
  <c r="D29" i="15"/>
  <c r="L29" i="15" s="1"/>
  <c r="B29" i="15"/>
  <c r="X28" i="15"/>
  <c r="Z28" i="15" s="1"/>
  <c r="T28" i="15"/>
  <c r="P28" i="15"/>
  <c r="L28" i="15"/>
  <c r="N28" i="15" s="1"/>
  <c r="H28" i="15"/>
  <c r="D28" i="15"/>
  <c r="B28" i="15"/>
  <c r="T27" i="15"/>
  <c r="P27" i="15"/>
  <c r="H27" i="15"/>
  <c r="N27" i="15" s="1"/>
  <c r="D27" i="15"/>
  <c r="L27" i="15" s="1"/>
  <c r="B27" i="15"/>
  <c r="T26" i="15"/>
  <c r="Z26" i="15" s="1"/>
  <c r="P26" i="15"/>
  <c r="X26" i="15" s="1"/>
  <c r="L26" i="15"/>
  <c r="N26" i="15" s="1"/>
  <c r="H26" i="15"/>
  <c r="D26" i="15"/>
  <c r="B26" i="15"/>
  <c r="Z25" i="15"/>
  <c r="T25" i="15"/>
  <c r="X25" i="15" s="1"/>
  <c r="P25" i="15"/>
  <c r="H25" i="15"/>
  <c r="D25" i="15"/>
  <c r="L25" i="15" s="1"/>
  <c r="B25" i="15"/>
  <c r="T24" i="15"/>
  <c r="P24" i="15"/>
  <c r="X24" i="15" s="1"/>
  <c r="Z24" i="15" s="1"/>
  <c r="L24" i="15"/>
  <c r="N24" i="15" s="1"/>
  <c r="H24" i="15"/>
  <c r="D24" i="15"/>
  <c r="B24" i="15"/>
  <c r="T23" i="15"/>
  <c r="P23" i="15"/>
  <c r="H23" i="15"/>
  <c r="N23" i="15" s="1"/>
  <c r="D23" i="15"/>
  <c r="B23" i="15"/>
  <c r="T22" i="15"/>
  <c r="P22" i="15"/>
  <c r="X22" i="15" s="1"/>
  <c r="L22" i="15"/>
  <c r="N22" i="15" s="1"/>
  <c r="H22" i="15"/>
  <c r="D22" i="15"/>
  <c r="B22" i="15"/>
  <c r="T21" i="15"/>
  <c r="X21" i="15" s="1"/>
  <c r="Z21" i="15" s="1"/>
  <c r="P21" i="15"/>
  <c r="H21" i="15"/>
  <c r="N21" i="15" s="1"/>
  <c r="D21" i="15"/>
  <c r="L21" i="15" s="1"/>
  <c r="B21" i="15"/>
  <c r="T20" i="15"/>
  <c r="P20" i="15"/>
  <c r="L20" i="15"/>
  <c r="N20" i="15" s="1"/>
  <c r="H20" i="15"/>
  <c r="D20" i="15"/>
  <c r="B20" i="15"/>
  <c r="T19" i="15"/>
  <c r="P19" i="15"/>
  <c r="N19" i="15"/>
  <c r="H19" i="15"/>
  <c r="L19" i="15" s="1"/>
  <c r="D19" i="15"/>
  <c r="B19" i="15"/>
  <c r="T18" i="15"/>
  <c r="P18" i="15"/>
  <c r="X18" i="15" s="1"/>
  <c r="H18" i="15"/>
  <c r="D18" i="15"/>
  <c r="L18" i="15" s="1"/>
  <c r="N18" i="15" s="1"/>
  <c r="B18" i="15"/>
  <c r="T17" i="15"/>
  <c r="X17" i="15" s="1"/>
  <c r="Z17" i="15" s="1"/>
  <c r="P17" i="15"/>
  <c r="H17" i="15"/>
  <c r="N17" i="15" s="1"/>
  <c r="D17" i="15"/>
  <c r="L17" i="15" s="1"/>
  <c r="B17" i="15"/>
  <c r="X16" i="15"/>
  <c r="Z16" i="15" s="1"/>
  <c r="T16" i="15"/>
  <c r="P16" i="15"/>
  <c r="L16" i="15"/>
  <c r="N16" i="15" s="1"/>
  <c r="H16" i="15"/>
  <c r="D16" i="15"/>
  <c r="B16" i="15"/>
  <c r="T15" i="15"/>
  <c r="P15" i="15"/>
  <c r="N15" i="15"/>
  <c r="H15" i="15"/>
  <c r="L15" i="15" s="1"/>
  <c r="D15" i="15"/>
  <c r="B15" i="15"/>
  <c r="T14" i="15"/>
  <c r="Z14" i="15" s="1"/>
  <c r="P14" i="15"/>
  <c r="X14" i="15" s="1"/>
  <c r="L14" i="15"/>
  <c r="N14" i="15" s="1"/>
  <c r="H14" i="15"/>
  <c r="D14" i="15"/>
  <c r="B14" i="15"/>
  <c r="Z13" i="15"/>
  <c r="T13" i="15"/>
  <c r="X13" i="15" s="1"/>
  <c r="P13" i="15"/>
  <c r="H13" i="15"/>
  <c r="D13" i="15"/>
  <c r="B13" i="15"/>
  <c r="D4" i="15"/>
  <c r="Z280" i="12"/>
  <c r="X280" i="12"/>
  <c r="N280" i="12"/>
  <c r="L280" i="12"/>
  <c r="T276" i="12"/>
  <c r="P276" i="12"/>
  <c r="N276" i="12"/>
  <c r="L276" i="12"/>
  <c r="H276" i="12"/>
  <c r="D276" i="12"/>
  <c r="B276" i="12"/>
  <c r="T275" i="12"/>
  <c r="P275" i="12"/>
  <c r="X275" i="12" s="1"/>
  <c r="L275" i="12"/>
  <c r="H275" i="12"/>
  <c r="N275" i="12" s="1"/>
  <c r="D275" i="12"/>
  <c r="B275" i="12"/>
  <c r="X274" i="12"/>
  <c r="T274" i="12"/>
  <c r="Z274" i="12" s="1"/>
  <c r="P274" i="12"/>
  <c r="N274" i="12"/>
  <c r="H274" i="12"/>
  <c r="D274" i="12"/>
  <c r="L274" i="12" s="1"/>
  <c r="B274" i="12"/>
  <c r="T273" i="12"/>
  <c r="P273" i="12"/>
  <c r="X273" i="12" s="1"/>
  <c r="N273" i="12"/>
  <c r="L273" i="12"/>
  <c r="H273" i="12"/>
  <c r="D273" i="12"/>
  <c r="B273" i="12"/>
  <c r="Z272" i="12"/>
  <c r="X272" i="12"/>
  <c r="T272" i="12"/>
  <c r="P272" i="12"/>
  <c r="H272" i="12"/>
  <c r="N272" i="12" s="1"/>
  <c r="D272" i="12"/>
  <c r="L272" i="12" s="1"/>
  <c r="B272" i="12"/>
  <c r="T271" i="12"/>
  <c r="P271" i="12"/>
  <c r="H271" i="12"/>
  <c r="D271" i="12"/>
  <c r="L271" i="12" s="1"/>
  <c r="B271" i="12"/>
  <c r="Z270" i="12"/>
  <c r="X270" i="12"/>
  <c r="T270" i="12"/>
  <c r="P270" i="12"/>
  <c r="H270" i="12"/>
  <c r="D270" i="12"/>
  <c r="B270" i="12"/>
  <c r="X269" i="12"/>
  <c r="T269" i="12"/>
  <c r="Z269" i="12" s="1"/>
  <c r="P269" i="12"/>
  <c r="H269" i="12"/>
  <c r="N269" i="12" s="1"/>
  <c r="D269" i="12"/>
  <c r="L269" i="12" s="1"/>
  <c r="B269" i="12"/>
  <c r="T268" i="12"/>
  <c r="P268" i="12"/>
  <c r="X268" i="12" s="1"/>
  <c r="Z268" i="12" s="1"/>
  <c r="L268" i="12"/>
  <c r="H268" i="12"/>
  <c r="D268" i="12"/>
  <c r="B268" i="12"/>
  <c r="X265" i="12"/>
  <c r="Z265" i="12" s="1"/>
  <c r="N265" i="12"/>
  <c r="L265" i="12"/>
  <c r="B265" i="12"/>
  <c r="Z264" i="12"/>
  <c r="X264" i="12"/>
  <c r="T264" i="12"/>
  <c r="P264" i="12"/>
  <c r="H264" i="12"/>
  <c r="D264" i="12"/>
  <c r="B264" i="12"/>
  <c r="X263" i="12"/>
  <c r="Z263" i="12" s="1"/>
  <c r="N263" i="12"/>
  <c r="L263" i="12"/>
  <c r="B263" i="12"/>
  <c r="Z262" i="12"/>
  <c r="X262" i="12"/>
  <c r="N262" i="12"/>
  <c r="L262" i="12"/>
  <c r="B262" i="12"/>
  <c r="Z261" i="12"/>
  <c r="X261" i="12"/>
  <c r="L261" i="12"/>
  <c r="N261" i="12" s="1"/>
  <c r="B261" i="12"/>
  <c r="T260" i="12"/>
  <c r="P260" i="12"/>
  <c r="X260" i="12" s="1"/>
  <c r="N260" i="12"/>
  <c r="L260" i="12"/>
  <c r="H260" i="12"/>
  <c r="F260" i="12"/>
  <c r="D260" i="12"/>
  <c r="B260" i="12"/>
  <c r="Z259" i="12"/>
  <c r="X259" i="12"/>
  <c r="L259" i="12"/>
  <c r="N259" i="12" s="1"/>
  <c r="B259" i="12"/>
  <c r="T258" i="12"/>
  <c r="P258" i="12"/>
  <c r="X258" i="12" s="1"/>
  <c r="Z258" i="12" s="1"/>
  <c r="L258" i="12"/>
  <c r="H258" i="12"/>
  <c r="D258" i="12"/>
  <c r="B258" i="12"/>
  <c r="X257" i="12"/>
  <c r="Z257" i="12" s="1"/>
  <c r="N257" i="12"/>
  <c r="L257" i="12"/>
  <c r="B257" i="12"/>
  <c r="Z256" i="12"/>
  <c r="X256" i="12"/>
  <c r="N256" i="12"/>
  <c r="L256" i="12"/>
  <c r="B256" i="12"/>
  <c r="X255" i="12"/>
  <c r="Z255" i="12" s="1"/>
  <c r="T255" i="12"/>
  <c r="P255" i="12"/>
  <c r="L255" i="12"/>
  <c r="N255" i="12" s="1"/>
  <c r="H255" i="12"/>
  <c r="D255" i="12"/>
  <c r="B255" i="12"/>
  <c r="Z254" i="12"/>
  <c r="X254" i="12"/>
  <c r="N254" i="12"/>
  <c r="L254" i="12"/>
  <c r="B254" i="12"/>
  <c r="Z253" i="12"/>
  <c r="X253" i="12"/>
  <c r="L253" i="12"/>
  <c r="N253" i="12" s="1"/>
  <c r="B253" i="12"/>
  <c r="Z252" i="12"/>
  <c r="X252" i="12"/>
  <c r="L252" i="12"/>
  <c r="N252" i="12" s="1"/>
  <c r="B252" i="12"/>
  <c r="X251" i="12"/>
  <c r="Z251" i="12" s="1"/>
  <c r="N251" i="12"/>
  <c r="L251" i="12"/>
  <c r="B251" i="12"/>
  <c r="Z250" i="12"/>
  <c r="X250" i="12"/>
  <c r="N250" i="12"/>
  <c r="L250" i="12"/>
  <c r="B250" i="12"/>
  <c r="Z249" i="12"/>
  <c r="X249" i="12"/>
  <c r="N249" i="12"/>
  <c r="L249" i="12"/>
  <c r="F249" i="12"/>
  <c r="B249" i="12"/>
  <c r="Z248" i="12"/>
  <c r="X248" i="12"/>
  <c r="L248" i="12"/>
  <c r="N248" i="12" s="1"/>
  <c r="B248" i="12"/>
  <c r="Z247" i="12"/>
  <c r="X247" i="12"/>
  <c r="N247" i="12"/>
  <c r="L247" i="12"/>
  <c r="B247" i="12"/>
  <c r="Z246" i="12"/>
  <c r="X246" i="12"/>
  <c r="N246" i="12"/>
  <c r="L246" i="12"/>
  <c r="B246" i="12"/>
  <c r="T245" i="12"/>
  <c r="P245" i="12"/>
  <c r="L245" i="12"/>
  <c r="H245" i="12"/>
  <c r="D245" i="12"/>
  <c r="B245" i="12"/>
  <c r="X244" i="12"/>
  <c r="Z244" i="12" s="1"/>
  <c r="N244" i="12"/>
  <c r="L244" i="12"/>
  <c r="B244" i="12"/>
  <c r="Z243" i="12"/>
  <c r="X243" i="12"/>
  <c r="N243" i="12"/>
  <c r="L243" i="12"/>
  <c r="B243" i="12"/>
  <c r="T242" i="12"/>
  <c r="P242" i="12"/>
  <c r="X242" i="12" s="1"/>
  <c r="Z242" i="12" s="1"/>
  <c r="L242" i="12"/>
  <c r="H242" i="12"/>
  <c r="N242" i="12" s="1"/>
  <c r="D242" i="12"/>
  <c r="B242" i="12"/>
  <c r="X241" i="12"/>
  <c r="Z241" i="12" s="1"/>
  <c r="N241" i="12"/>
  <c r="L241" i="12"/>
  <c r="B241" i="12"/>
  <c r="Z240" i="12"/>
  <c r="X240" i="12"/>
  <c r="N240" i="12"/>
  <c r="L240" i="12"/>
  <c r="B240" i="12"/>
  <c r="X239" i="12"/>
  <c r="Z239" i="12" s="1"/>
  <c r="L239" i="12"/>
  <c r="N239" i="12" s="1"/>
  <c r="B239" i="12"/>
  <c r="X238" i="12"/>
  <c r="Z238" i="12" s="1"/>
  <c r="N238" i="12"/>
  <c r="L238" i="12"/>
  <c r="B238" i="12"/>
  <c r="X237" i="12"/>
  <c r="Z237" i="12" s="1"/>
  <c r="N237" i="12"/>
  <c r="L237" i="12"/>
  <c r="B237" i="12"/>
  <c r="Z236" i="12"/>
  <c r="X236" i="12"/>
  <c r="T236" i="12"/>
  <c r="P236" i="12"/>
  <c r="H236" i="12"/>
  <c r="D236" i="12"/>
  <c r="B236" i="12"/>
  <c r="X235" i="12"/>
  <c r="Z235" i="12" s="1"/>
  <c r="N235" i="12"/>
  <c r="L235" i="12"/>
  <c r="B235" i="12"/>
  <c r="Z234" i="12"/>
  <c r="X234" i="12"/>
  <c r="N234" i="12"/>
  <c r="L234" i="12"/>
  <c r="B234" i="12"/>
  <c r="Z233" i="12"/>
  <c r="X233" i="12"/>
  <c r="L233" i="12"/>
  <c r="N233" i="12" s="1"/>
  <c r="B233" i="12"/>
  <c r="T232" i="12"/>
  <c r="P232" i="12"/>
  <c r="X232" i="12" s="1"/>
  <c r="N232" i="12"/>
  <c r="L232" i="12"/>
  <c r="H232" i="12"/>
  <c r="D232" i="12"/>
  <c r="B232" i="12"/>
  <c r="Z231" i="12"/>
  <c r="X231" i="12"/>
  <c r="L231" i="12"/>
  <c r="N231" i="12" s="1"/>
  <c r="B231" i="12"/>
  <c r="Z230" i="12"/>
  <c r="X230" i="12"/>
  <c r="L230" i="12"/>
  <c r="N230" i="12" s="1"/>
  <c r="B230" i="12"/>
  <c r="X229" i="12"/>
  <c r="Z229" i="12" s="1"/>
  <c r="N229" i="12"/>
  <c r="L229" i="12"/>
  <c r="B229" i="12"/>
  <c r="X228" i="12"/>
  <c r="Z228" i="12" s="1"/>
  <c r="N228" i="12"/>
  <c r="L228" i="12"/>
  <c r="B228" i="12"/>
  <c r="T227" i="12"/>
  <c r="Z227" i="12" s="1"/>
  <c r="P227" i="12"/>
  <c r="X227" i="12" s="1"/>
  <c r="L227" i="12"/>
  <c r="H227" i="12"/>
  <c r="D227" i="12"/>
  <c r="B227" i="12"/>
  <c r="X226" i="12"/>
  <c r="Z226" i="12" s="1"/>
  <c r="N226" i="12"/>
  <c r="L226" i="12"/>
  <c r="B226" i="12"/>
  <c r="X225" i="12"/>
  <c r="Z225" i="12" s="1"/>
  <c r="T225" i="12"/>
  <c r="P225" i="12"/>
  <c r="H225" i="12"/>
  <c r="D225" i="12"/>
  <c r="L225" i="12" s="1"/>
  <c r="B225" i="12"/>
  <c r="Z224" i="12"/>
  <c r="X224" i="12"/>
  <c r="N224" i="12"/>
  <c r="L224" i="12"/>
  <c r="B224" i="12"/>
  <c r="X223" i="12"/>
  <c r="T223" i="12"/>
  <c r="Z223" i="12" s="1"/>
  <c r="P223" i="12"/>
  <c r="H223" i="12"/>
  <c r="N223" i="12" s="1"/>
  <c r="D223" i="12"/>
  <c r="L223" i="12" s="1"/>
  <c r="B223" i="12"/>
  <c r="Z222" i="12"/>
  <c r="X222" i="12"/>
  <c r="N222" i="12"/>
  <c r="L222" i="12"/>
  <c r="B222" i="12"/>
  <c r="Z221" i="12"/>
  <c r="X221" i="12"/>
  <c r="N221" i="12"/>
  <c r="L221" i="12"/>
  <c r="B221" i="12"/>
  <c r="X220" i="12"/>
  <c r="Z220" i="12" s="1"/>
  <c r="N220" i="12"/>
  <c r="L220" i="12"/>
  <c r="B220" i="12"/>
  <c r="T219" i="12"/>
  <c r="P219" i="12"/>
  <c r="X219" i="12" s="1"/>
  <c r="H219" i="12"/>
  <c r="D219" i="12"/>
  <c r="L219" i="12" s="1"/>
  <c r="N219" i="12" s="1"/>
  <c r="B219" i="12"/>
  <c r="X218" i="12"/>
  <c r="Z218" i="12" s="1"/>
  <c r="N218" i="12"/>
  <c r="L218" i="12"/>
  <c r="B218" i="12"/>
  <c r="X217" i="12"/>
  <c r="Z217" i="12" s="1"/>
  <c r="T217" i="12"/>
  <c r="P217" i="12"/>
  <c r="H217" i="12"/>
  <c r="D217" i="12"/>
  <c r="L217" i="12" s="1"/>
  <c r="B217" i="12"/>
  <c r="Z216" i="12"/>
  <c r="X216" i="12"/>
  <c r="L216" i="12"/>
  <c r="N216" i="12" s="1"/>
  <c r="B216" i="12"/>
  <c r="T215" i="12"/>
  <c r="P215" i="12"/>
  <c r="H215" i="12"/>
  <c r="D215" i="12"/>
  <c r="L215" i="12" s="1"/>
  <c r="N215" i="12" s="1"/>
  <c r="B215" i="12"/>
  <c r="Z214" i="12"/>
  <c r="X214" i="12"/>
  <c r="L214" i="12"/>
  <c r="N214" i="12" s="1"/>
  <c r="B214" i="12"/>
  <c r="Z213" i="12"/>
  <c r="X213" i="12"/>
  <c r="T213" i="12"/>
  <c r="P213" i="12"/>
  <c r="H213" i="12"/>
  <c r="N213" i="12" s="1"/>
  <c r="D213" i="12"/>
  <c r="L213" i="12" s="1"/>
  <c r="B213" i="12"/>
  <c r="Z212" i="12"/>
  <c r="X212" i="12"/>
  <c r="N212" i="12"/>
  <c r="L212" i="12"/>
  <c r="B212" i="12"/>
  <c r="X211" i="12"/>
  <c r="Z211" i="12" s="1"/>
  <c r="L211" i="12"/>
  <c r="N211" i="12" s="1"/>
  <c r="B211" i="12"/>
  <c r="T210" i="12"/>
  <c r="P210" i="12"/>
  <c r="N210" i="12"/>
  <c r="L210" i="12"/>
  <c r="H210" i="12"/>
  <c r="D210" i="12"/>
  <c r="B210" i="12"/>
  <c r="Z209" i="12"/>
  <c r="X209" i="12"/>
  <c r="N209" i="12"/>
  <c r="L209" i="12"/>
  <c r="B209" i="12"/>
  <c r="T208" i="12"/>
  <c r="Z208" i="12" s="1"/>
  <c r="P208" i="12"/>
  <c r="X208" i="12" s="1"/>
  <c r="L208" i="12"/>
  <c r="N208" i="12" s="1"/>
  <c r="H208" i="12"/>
  <c r="D208" i="12"/>
  <c r="B208" i="12"/>
  <c r="Z207" i="12"/>
  <c r="X207" i="12"/>
  <c r="L207" i="12"/>
  <c r="N207" i="12" s="1"/>
  <c r="B207" i="12"/>
  <c r="Z206" i="12"/>
  <c r="T206" i="12"/>
  <c r="P206" i="12"/>
  <c r="X206" i="12" s="1"/>
  <c r="L206" i="12"/>
  <c r="H206" i="12"/>
  <c r="D206" i="12"/>
  <c r="B206" i="12"/>
  <c r="X205" i="12"/>
  <c r="Z205" i="12" s="1"/>
  <c r="N205" i="12"/>
  <c r="L205" i="12"/>
  <c r="B205" i="12"/>
  <c r="Z204" i="12"/>
  <c r="X204" i="12"/>
  <c r="T204" i="12"/>
  <c r="P204" i="12"/>
  <c r="H204" i="12"/>
  <c r="D204" i="12"/>
  <c r="L204" i="12" s="1"/>
  <c r="B204" i="12"/>
  <c r="X203" i="12"/>
  <c r="Z203" i="12" s="1"/>
  <c r="N203" i="12"/>
  <c r="L203" i="12"/>
  <c r="B203" i="12"/>
  <c r="X202" i="12"/>
  <c r="Z202" i="12" s="1"/>
  <c r="N202" i="12"/>
  <c r="L202" i="12"/>
  <c r="B202" i="12"/>
  <c r="Z201" i="12"/>
  <c r="T201" i="12"/>
  <c r="P201" i="12"/>
  <c r="X201" i="12" s="1"/>
  <c r="H201" i="12"/>
  <c r="D201" i="12"/>
  <c r="B201" i="12"/>
  <c r="Z200" i="12"/>
  <c r="X200" i="12"/>
  <c r="N200" i="12"/>
  <c r="L200" i="12"/>
  <c r="B200" i="12"/>
  <c r="Z199" i="12"/>
  <c r="X199" i="12"/>
  <c r="N199" i="12"/>
  <c r="L199" i="12"/>
  <c r="B199" i="12"/>
  <c r="Z198" i="12"/>
  <c r="X198" i="12"/>
  <c r="L198" i="12"/>
  <c r="N198" i="12" s="1"/>
  <c r="B198" i="12"/>
  <c r="X197" i="12"/>
  <c r="Z197" i="12" s="1"/>
  <c r="T197" i="12"/>
  <c r="P197" i="12"/>
  <c r="H197" i="12"/>
  <c r="N197" i="12" s="1"/>
  <c r="F197" i="12"/>
  <c r="D197" i="12"/>
  <c r="L197" i="12" s="1"/>
  <c r="B197" i="12"/>
  <c r="Z196" i="12"/>
  <c r="X196" i="12"/>
  <c r="N196" i="12"/>
  <c r="L196" i="12"/>
  <c r="B196" i="12"/>
  <c r="X195" i="12"/>
  <c r="T195" i="12"/>
  <c r="Z195" i="12" s="1"/>
  <c r="P195" i="12"/>
  <c r="L195" i="12"/>
  <c r="N195" i="12" s="1"/>
  <c r="H195" i="12"/>
  <c r="D195" i="12"/>
  <c r="B195" i="12"/>
  <c r="Z194" i="12"/>
  <c r="X194" i="12"/>
  <c r="N194" i="12"/>
  <c r="L194" i="12"/>
  <c r="B194" i="12"/>
  <c r="X193" i="12"/>
  <c r="Z193" i="12" s="1"/>
  <c r="N193" i="12"/>
  <c r="L193" i="12"/>
  <c r="B193" i="12"/>
  <c r="T192" i="12"/>
  <c r="P192" i="12"/>
  <c r="L192" i="12"/>
  <c r="H192" i="12"/>
  <c r="N192" i="12" s="1"/>
  <c r="D192" i="12"/>
  <c r="B192" i="12"/>
  <c r="Z191" i="12"/>
  <c r="X191" i="12"/>
  <c r="L191" i="12"/>
  <c r="N191" i="12" s="1"/>
  <c r="B191" i="12"/>
  <c r="T190" i="12"/>
  <c r="P190" i="12"/>
  <c r="X190" i="12" s="1"/>
  <c r="Z190" i="12" s="1"/>
  <c r="H190" i="12"/>
  <c r="D190" i="12"/>
  <c r="L190" i="12" s="1"/>
  <c r="N190" i="12" s="1"/>
  <c r="B190" i="12"/>
  <c r="X189" i="12"/>
  <c r="Z189" i="12" s="1"/>
  <c r="N189" i="12"/>
  <c r="L189" i="12"/>
  <c r="F189" i="12"/>
  <c r="B189" i="12"/>
  <c r="X188" i="12"/>
  <c r="Z188" i="12" s="1"/>
  <c r="N188" i="12"/>
  <c r="L188" i="12"/>
  <c r="B188" i="12"/>
  <c r="Z187" i="12"/>
  <c r="X187" i="12"/>
  <c r="L187" i="12"/>
  <c r="N187" i="12" s="1"/>
  <c r="B187" i="12"/>
  <c r="X186" i="12"/>
  <c r="Z186" i="12" s="1"/>
  <c r="N186" i="12"/>
  <c r="L186" i="12"/>
  <c r="B186" i="12"/>
  <c r="X185" i="12"/>
  <c r="Z185" i="12" s="1"/>
  <c r="L185" i="12"/>
  <c r="N185" i="12" s="1"/>
  <c r="B185" i="12"/>
  <c r="Z184" i="12"/>
  <c r="X184" i="12"/>
  <c r="N184" i="12"/>
  <c r="L184" i="12"/>
  <c r="F184" i="12"/>
  <c r="B184" i="12"/>
  <c r="X183" i="12"/>
  <c r="Z183" i="12" s="1"/>
  <c r="L183" i="12"/>
  <c r="N183" i="12" s="1"/>
  <c r="B183" i="12"/>
  <c r="T182" i="12"/>
  <c r="P182" i="12"/>
  <c r="X182" i="12" s="1"/>
  <c r="N182" i="12"/>
  <c r="L182" i="12"/>
  <c r="H182" i="12"/>
  <c r="D182" i="12"/>
  <c r="B182" i="12"/>
  <c r="X181" i="12"/>
  <c r="Z181" i="12" s="1"/>
  <c r="L181" i="12"/>
  <c r="N181" i="12" s="1"/>
  <c r="B181" i="12"/>
  <c r="Z180" i="12"/>
  <c r="X180" i="12"/>
  <c r="L180" i="12"/>
  <c r="N180" i="12" s="1"/>
  <c r="B180" i="12"/>
  <c r="Z179" i="12"/>
  <c r="X179" i="12"/>
  <c r="N179" i="12"/>
  <c r="L179" i="12"/>
  <c r="B179" i="12"/>
  <c r="X178" i="12"/>
  <c r="Z178" i="12" s="1"/>
  <c r="N178" i="12"/>
  <c r="L178" i="12"/>
  <c r="B178" i="12"/>
  <c r="Z177" i="12"/>
  <c r="X177" i="12"/>
  <c r="N177" i="12"/>
  <c r="L177" i="12"/>
  <c r="B177" i="12"/>
  <c r="Z176" i="12"/>
  <c r="X176" i="12"/>
  <c r="N176" i="12"/>
  <c r="L176" i="12"/>
  <c r="B176" i="12"/>
  <c r="Z175" i="12"/>
  <c r="X175" i="12"/>
  <c r="N175" i="12"/>
  <c r="L175" i="12"/>
  <c r="B175" i="12"/>
  <c r="Z174" i="12"/>
  <c r="X174" i="12"/>
  <c r="L174" i="12"/>
  <c r="N174" i="12" s="1"/>
  <c r="B174" i="12"/>
  <c r="X173" i="12"/>
  <c r="Z173" i="12" s="1"/>
  <c r="N173" i="12"/>
  <c r="L173" i="12"/>
  <c r="F173" i="12"/>
  <c r="B173" i="12"/>
  <c r="Z172" i="12"/>
  <c r="X172" i="12"/>
  <c r="L172" i="12"/>
  <c r="N172" i="12" s="1"/>
  <c r="B172" i="12"/>
  <c r="X171" i="12"/>
  <c r="T171" i="12"/>
  <c r="Z171" i="12" s="1"/>
  <c r="P171" i="12"/>
  <c r="H171" i="12"/>
  <c r="D171" i="12"/>
  <c r="L171" i="12" s="1"/>
  <c r="N171" i="12" s="1"/>
  <c r="B171" i="12"/>
  <c r="X170" i="12"/>
  <c r="Z170" i="12" s="1"/>
  <c r="T170" i="12"/>
  <c r="P170" i="12"/>
  <c r="H170" i="12"/>
  <c r="D170" i="12"/>
  <c r="L170" i="12" s="1"/>
  <c r="Z166" i="12"/>
  <c r="X166" i="12"/>
  <c r="L166" i="12"/>
  <c r="N166" i="12" s="1"/>
  <c r="F166" i="12"/>
  <c r="B166" i="12"/>
  <c r="X165" i="12"/>
  <c r="Z165" i="12" s="1"/>
  <c r="L165" i="12"/>
  <c r="N165" i="12" s="1"/>
  <c r="B165" i="12"/>
  <c r="Z164" i="12"/>
  <c r="X164" i="12"/>
  <c r="N164" i="12"/>
  <c r="L164" i="12"/>
  <c r="B164" i="12"/>
  <c r="Z163" i="12"/>
  <c r="X163" i="12"/>
  <c r="L163" i="12"/>
  <c r="N163" i="12" s="1"/>
  <c r="B163" i="12"/>
  <c r="Z162" i="12"/>
  <c r="X162" i="12"/>
  <c r="L162" i="12"/>
  <c r="N162" i="12" s="1"/>
  <c r="B162" i="12"/>
  <c r="X161" i="12"/>
  <c r="Z161" i="12" s="1"/>
  <c r="L161" i="12"/>
  <c r="N161" i="12" s="1"/>
  <c r="B161" i="12"/>
  <c r="X160" i="12"/>
  <c r="Z160" i="12" s="1"/>
  <c r="L160" i="12"/>
  <c r="N160" i="12" s="1"/>
  <c r="B160" i="12"/>
  <c r="Z159" i="12"/>
  <c r="X159" i="12"/>
  <c r="N159" i="12"/>
  <c r="L159" i="12"/>
  <c r="B159" i="12"/>
  <c r="Z158" i="12"/>
  <c r="X158" i="12"/>
  <c r="L158" i="12"/>
  <c r="N158" i="12" s="1"/>
  <c r="B158" i="12"/>
  <c r="Z157" i="12"/>
  <c r="X157" i="12"/>
  <c r="N157" i="12"/>
  <c r="L157" i="12"/>
  <c r="B157" i="12"/>
  <c r="X156" i="12"/>
  <c r="Z156" i="12" s="1"/>
  <c r="N156" i="12"/>
  <c r="L156" i="12"/>
  <c r="B156" i="12"/>
  <c r="Z155" i="12"/>
  <c r="X155" i="12"/>
  <c r="N155" i="12"/>
  <c r="L155" i="12"/>
  <c r="B155" i="12"/>
  <c r="X154" i="12"/>
  <c r="Z154" i="12" s="1"/>
  <c r="L154" i="12"/>
  <c r="N154" i="12" s="1"/>
  <c r="B154" i="12"/>
  <c r="X153" i="12"/>
  <c r="Z153" i="12" s="1"/>
  <c r="L153" i="12"/>
  <c r="N153" i="12" s="1"/>
  <c r="B153" i="12"/>
  <c r="X152" i="12"/>
  <c r="Z152" i="12" s="1"/>
  <c r="L152" i="12"/>
  <c r="N152" i="12" s="1"/>
  <c r="B152" i="12"/>
  <c r="Z151" i="12"/>
  <c r="X151" i="12"/>
  <c r="N151" i="12"/>
  <c r="L151" i="12"/>
  <c r="B151" i="12"/>
  <c r="Z150" i="12"/>
  <c r="X150" i="12"/>
  <c r="N150" i="12"/>
  <c r="L150" i="12"/>
  <c r="B150" i="12"/>
  <c r="X149" i="12"/>
  <c r="Z149" i="12" s="1"/>
  <c r="N149" i="12"/>
  <c r="L149" i="12"/>
  <c r="B149" i="12"/>
  <c r="X148" i="12"/>
  <c r="Z148" i="12" s="1"/>
  <c r="L148" i="12"/>
  <c r="N148" i="12" s="1"/>
  <c r="B148" i="12"/>
  <c r="Z147" i="12"/>
  <c r="X147" i="12"/>
  <c r="N147" i="12"/>
  <c r="L147" i="12"/>
  <c r="B147" i="12"/>
  <c r="Z146" i="12"/>
  <c r="X146" i="12"/>
  <c r="L146" i="12"/>
  <c r="N146" i="12" s="1"/>
  <c r="B146" i="12"/>
  <c r="Z145" i="12"/>
  <c r="X145" i="12"/>
  <c r="N145" i="12"/>
  <c r="L145" i="12"/>
  <c r="B145" i="12"/>
  <c r="X144" i="12"/>
  <c r="Z144" i="12" s="1"/>
  <c r="N144" i="12"/>
  <c r="L144" i="12"/>
  <c r="B144" i="12"/>
  <c r="Z143" i="12"/>
  <c r="X143" i="12"/>
  <c r="N143" i="12"/>
  <c r="L143" i="12"/>
  <c r="B143" i="12"/>
  <c r="X142" i="12"/>
  <c r="Z142" i="12" s="1"/>
  <c r="L142" i="12"/>
  <c r="N142" i="12" s="1"/>
  <c r="B142" i="12"/>
  <c r="X141" i="12"/>
  <c r="Z141" i="12" s="1"/>
  <c r="L141" i="12"/>
  <c r="N141" i="12" s="1"/>
  <c r="B141" i="12"/>
  <c r="Z140" i="12"/>
  <c r="X140" i="12"/>
  <c r="L140" i="12"/>
  <c r="N140" i="12" s="1"/>
  <c r="B140" i="12"/>
  <c r="Z139" i="12"/>
  <c r="X139" i="12"/>
  <c r="L139" i="12"/>
  <c r="N139" i="12" s="1"/>
  <c r="B139" i="12"/>
  <c r="Z138" i="12"/>
  <c r="X138" i="12"/>
  <c r="L138" i="12"/>
  <c r="N138" i="12" s="1"/>
  <c r="B138" i="12"/>
  <c r="X137" i="12"/>
  <c r="Z137" i="12" s="1"/>
  <c r="N137" i="12"/>
  <c r="L137" i="12"/>
  <c r="B137" i="12"/>
  <c r="Z136" i="12"/>
  <c r="X136" i="12"/>
  <c r="L136" i="12"/>
  <c r="N136" i="12" s="1"/>
  <c r="B136" i="12"/>
  <c r="Z135" i="12"/>
  <c r="X135" i="12"/>
  <c r="N135" i="12"/>
  <c r="L135" i="12"/>
  <c r="B135" i="12"/>
  <c r="X134" i="12"/>
  <c r="Z134" i="12" s="1"/>
  <c r="L134" i="12"/>
  <c r="N134" i="12" s="1"/>
  <c r="B134" i="12"/>
  <c r="Z133" i="12"/>
  <c r="X133" i="12"/>
  <c r="L133" i="12"/>
  <c r="N133" i="12" s="1"/>
  <c r="B133" i="12"/>
  <c r="X132" i="12"/>
  <c r="Z132" i="12" s="1"/>
  <c r="L132" i="12"/>
  <c r="N132" i="12" s="1"/>
  <c r="B132" i="12"/>
  <c r="Z131" i="12"/>
  <c r="X131" i="12"/>
  <c r="N131" i="12"/>
  <c r="L131" i="12"/>
  <c r="B131" i="12"/>
  <c r="Z130" i="12"/>
  <c r="X130" i="12"/>
  <c r="L130" i="12"/>
  <c r="N130" i="12" s="1"/>
  <c r="B130" i="12"/>
  <c r="Z129" i="12"/>
  <c r="X129" i="12"/>
  <c r="L129" i="12"/>
  <c r="N129" i="12" s="1"/>
  <c r="B129" i="12"/>
  <c r="X128" i="12"/>
  <c r="Z128" i="12" s="1"/>
  <c r="L128" i="12"/>
  <c r="N128" i="12" s="1"/>
  <c r="B128" i="12"/>
  <c r="Z127" i="12"/>
  <c r="X127" i="12"/>
  <c r="N127" i="12"/>
  <c r="L127" i="12"/>
  <c r="B127" i="12"/>
  <c r="Z126" i="12"/>
  <c r="X126" i="12"/>
  <c r="L126" i="12"/>
  <c r="N126" i="12" s="1"/>
  <c r="B126" i="12"/>
  <c r="Z125" i="12"/>
  <c r="X125" i="12"/>
  <c r="L125" i="12"/>
  <c r="N125" i="12" s="1"/>
  <c r="B125" i="12"/>
  <c r="X124" i="12"/>
  <c r="Z124" i="12" s="1"/>
  <c r="L124" i="12"/>
  <c r="N124" i="12" s="1"/>
  <c r="B124" i="12"/>
  <c r="Z123" i="12"/>
  <c r="X123" i="12"/>
  <c r="N123" i="12"/>
  <c r="L123" i="12"/>
  <c r="B123" i="12"/>
  <c r="Z122" i="12"/>
  <c r="X122" i="12"/>
  <c r="L122" i="12"/>
  <c r="N122" i="12" s="1"/>
  <c r="B122" i="12"/>
  <c r="Z121" i="12"/>
  <c r="X121" i="12"/>
  <c r="L121" i="12"/>
  <c r="N121" i="12" s="1"/>
  <c r="B121" i="12"/>
  <c r="X120" i="12"/>
  <c r="Z120" i="12" s="1"/>
  <c r="L120" i="12"/>
  <c r="N120" i="12" s="1"/>
  <c r="B120" i="12"/>
  <c r="Z119" i="12"/>
  <c r="X119" i="12"/>
  <c r="N119" i="12"/>
  <c r="L119" i="12"/>
  <c r="B119" i="12"/>
  <c r="Z118" i="12"/>
  <c r="X118" i="12"/>
  <c r="L118" i="12"/>
  <c r="N118" i="12" s="1"/>
  <c r="B118" i="12"/>
  <c r="Z117" i="12"/>
  <c r="X117" i="12"/>
  <c r="N117" i="12"/>
  <c r="L117" i="12"/>
  <c r="B117" i="12"/>
  <c r="X116" i="12"/>
  <c r="Z116" i="12" s="1"/>
  <c r="L116" i="12"/>
  <c r="N116" i="12" s="1"/>
  <c r="B116" i="12"/>
  <c r="Z115" i="12"/>
  <c r="X115" i="12"/>
  <c r="N115" i="12"/>
  <c r="L115" i="12"/>
  <c r="B115" i="12"/>
  <c r="Z114" i="12"/>
  <c r="X114" i="12"/>
  <c r="N114" i="12"/>
  <c r="L114" i="12"/>
  <c r="B114" i="12"/>
  <c r="T113" i="12"/>
  <c r="P113" i="12"/>
  <c r="H113" i="12"/>
  <c r="D113" i="12"/>
  <c r="L113" i="12" s="1"/>
  <c r="T111" i="12"/>
  <c r="Z111" i="12" s="1"/>
  <c r="P111" i="12"/>
  <c r="X111" i="12" s="1"/>
  <c r="L111" i="12"/>
  <c r="H111" i="12"/>
  <c r="N111" i="12" s="1"/>
  <c r="D111" i="12"/>
  <c r="B111" i="12"/>
  <c r="X110" i="12"/>
  <c r="Z110" i="12" s="1"/>
  <c r="T110" i="12"/>
  <c r="P110" i="12"/>
  <c r="H110" i="12"/>
  <c r="D110" i="12"/>
  <c r="B110" i="12"/>
  <c r="T109" i="12"/>
  <c r="P109" i="12"/>
  <c r="X109" i="12" s="1"/>
  <c r="Z109" i="12" s="1"/>
  <c r="N109" i="12"/>
  <c r="L109" i="12"/>
  <c r="H109" i="12"/>
  <c r="D109" i="12"/>
  <c r="B109" i="12"/>
  <c r="Z108" i="12"/>
  <c r="T108" i="12"/>
  <c r="P108" i="12"/>
  <c r="X108" i="12" s="1"/>
  <c r="H108" i="12"/>
  <c r="N108" i="12" s="1"/>
  <c r="D108" i="12"/>
  <c r="L108" i="12" s="1"/>
  <c r="B108" i="12"/>
  <c r="T107" i="12"/>
  <c r="P107" i="12"/>
  <c r="X107" i="12" s="1"/>
  <c r="L107" i="12"/>
  <c r="H107" i="12"/>
  <c r="N107" i="12" s="1"/>
  <c r="D107" i="12"/>
  <c r="B107" i="12"/>
  <c r="X106" i="12"/>
  <c r="Z106" i="12" s="1"/>
  <c r="T106" i="12"/>
  <c r="P106" i="12"/>
  <c r="H106" i="12"/>
  <c r="D106" i="12"/>
  <c r="B106" i="12"/>
  <c r="T105" i="12"/>
  <c r="P105" i="12"/>
  <c r="X105" i="12" s="1"/>
  <c r="Z105" i="12" s="1"/>
  <c r="N105" i="12"/>
  <c r="L105" i="12"/>
  <c r="H105" i="12"/>
  <c r="D105" i="12"/>
  <c r="B105" i="12"/>
  <c r="T104" i="12"/>
  <c r="P104" i="12"/>
  <c r="X104" i="12" s="1"/>
  <c r="Z104" i="12" s="1"/>
  <c r="H104" i="12"/>
  <c r="N104" i="12" s="1"/>
  <c r="D104" i="12"/>
  <c r="L104" i="12" s="1"/>
  <c r="B104" i="12"/>
  <c r="T103" i="12"/>
  <c r="Z103" i="12" s="1"/>
  <c r="P103" i="12"/>
  <c r="X103" i="12" s="1"/>
  <c r="L103" i="12"/>
  <c r="H103" i="12"/>
  <c r="N103" i="12" s="1"/>
  <c r="D103" i="12"/>
  <c r="B103" i="12"/>
  <c r="X102" i="12"/>
  <c r="Z102" i="12" s="1"/>
  <c r="T102" i="12"/>
  <c r="P102" i="12"/>
  <c r="H102" i="12"/>
  <c r="D102" i="12"/>
  <c r="B102" i="12"/>
  <c r="T101" i="12"/>
  <c r="P101" i="12"/>
  <c r="X101" i="12" s="1"/>
  <c r="Z101" i="12" s="1"/>
  <c r="N101" i="12"/>
  <c r="L101" i="12"/>
  <c r="H101" i="12"/>
  <c r="D101" i="12"/>
  <c r="B101" i="12"/>
  <c r="T100" i="12"/>
  <c r="P100" i="12"/>
  <c r="X100" i="12" s="1"/>
  <c r="Z100" i="12" s="1"/>
  <c r="H100" i="12"/>
  <c r="N100" i="12" s="1"/>
  <c r="D100" i="12"/>
  <c r="L100" i="12" s="1"/>
  <c r="B100" i="12"/>
  <c r="T99" i="12"/>
  <c r="P99" i="12"/>
  <c r="X99" i="12" s="1"/>
  <c r="L99" i="12"/>
  <c r="H99" i="12"/>
  <c r="N99" i="12" s="1"/>
  <c r="D99" i="12"/>
  <c r="B99" i="12"/>
  <c r="X98" i="12"/>
  <c r="Z98" i="12" s="1"/>
  <c r="T98" i="12"/>
  <c r="P98" i="12"/>
  <c r="H98" i="12"/>
  <c r="D98" i="12"/>
  <c r="B98" i="12"/>
  <c r="T97" i="12"/>
  <c r="P97" i="12"/>
  <c r="X97" i="12" s="1"/>
  <c r="Z97" i="12" s="1"/>
  <c r="N97" i="12"/>
  <c r="L97" i="12"/>
  <c r="H97" i="12"/>
  <c r="D97" i="12"/>
  <c r="B97" i="12"/>
  <c r="T96" i="12"/>
  <c r="P96" i="12"/>
  <c r="X96" i="12" s="1"/>
  <c r="Z96" i="12" s="1"/>
  <c r="H96" i="12"/>
  <c r="N96" i="12" s="1"/>
  <c r="D96" i="12"/>
  <c r="L96" i="12" s="1"/>
  <c r="B96" i="12"/>
  <c r="T95" i="12"/>
  <c r="P95" i="12"/>
  <c r="X95" i="12" s="1"/>
  <c r="L95" i="12"/>
  <c r="H95" i="12"/>
  <c r="N95" i="12" s="1"/>
  <c r="D95" i="12"/>
  <c r="B95" i="12"/>
  <c r="X94" i="12"/>
  <c r="Z94" i="12" s="1"/>
  <c r="T94" i="12"/>
  <c r="P94" i="12"/>
  <c r="H94" i="12"/>
  <c r="D94" i="12"/>
  <c r="B94" i="12"/>
  <c r="T93" i="12"/>
  <c r="P93" i="12"/>
  <c r="X93" i="12" s="1"/>
  <c r="Z93" i="12" s="1"/>
  <c r="N93" i="12"/>
  <c r="L93" i="12"/>
  <c r="H93" i="12"/>
  <c r="D93" i="12"/>
  <c r="B93" i="12"/>
  <c r="Z92" i="12"/>
  <c r="T92" i="12"/>
  <c r="P92" i="12"/>
  <c r="X92" i="12" s="1"/>
  <c r="H92" i="12"/>
  <c r="N92" i="12" s="1"/>
  <c r="D92" i="12"/>
  <c r="L92" i="12" s="1"/>
  <c r="B92" i="12"/>
  <c r="T91" i="12"/>
  <c r="P91" i="12"/>
  <c r="X91" i="12" s="1"/>
  <c r="L91" i="12"/>
  <c r="H91" i="12"/>
  <c r="N91" i="12" s="1"/>
  <c r="D91" i="12"/>
  <c r="B91" i="12"/>
  <c r="X90" i="12"/>
  <c r="Z90" i="12" s="1"/>
  <c r="T90" i="12"/>
  <c r="P90" i="12"/>
  <c r="H90" i="12"/>
  <c r="D90" i="12"/>
  <c r="B90" i="12"/>
  <c r="T89" i="12"/>
  <c r="P89" i="12"/>
  <c r="X89" i="12" s="1"/>
  <c r="Z89" i="12" s="1"/>
  <c r="N89" i="12"/>
  <c r="L89" i="12"/>
  <c r="H89" i="12"/>
  <c r="D89" i="12"/>
  <c r="B89" i="12"/>
  <c r="T88" i="12"/>
  <c r="P88" i="12"/>
  <c r="X88" i="12" s="1"/>
  <c r="Z88" i="12" s="1"/>
  <c r="H88" i="12"/>
  <c r="D88" i="12"/>
  <c r="L88" i="12" s="1"/>
  <c r="B88" i="12"/>
  <c r="T87" i="12"/>
  <c r="P87" i="12"/>
  <c r="X87" i="12" s="1"/>
  <c r="L87" i="12"/>
  <c r="H87" i="12"/>
  <c r="N87" i="12" s="1"/>
  <c r="D87" i="12"/>
  <c r="B87" i="12"/>
  <c r="X86" i="12"/>
  <c r="Z86" i="12" s="1"/>
  <c r="T86" i="12"/>
  <c r="P86" i="12"/>
  <c r="H86" i="12"/>
  <c r="D86" i="12"/>
  <c r="B86" i="12"/>
  <c r="T85" i="12"/>
  <c r="P85" i="12"/>
  <c r="X85" i="12" s="1"/>
  <c r="Z85" i="12" s="1"/>
  <c r="N85" i="12"/>
  <c r="L85" i="12"/>
  <c r="H85" i="12"/>
  <c r="D85" i="12"/>
  <c r="B85" i="12"/>
  <c r="Z84" i="12"/>
  <c r="T84" i="12"/>
  <c r="P84" i="12"/>
  <c r="X84" i="12" s="1"/>
  <c r="H84" i="12"/>
  <c r="N84" i="12" s="1"/>
  <c r="D84" i="12"/>
  <c r="L84" i="12" s="1"/>
  <c r="B84" i="12"/>
  <c r="T83" i="12"/>
  <c r="Z83" i="12" s="1"/>
  <c r="P83" i="12"/>
  <c r="X83" i="12" s="1"/>
  <c r="L83" i="12"/>
  <c r="H83" i="12"/>
  <c r="N83" i="12" s="1"/>
  <c r="D83" i="12"/>
  <c r="B83" i="12"/>
  <c r="X82" i="12"/>
  <c r="Z82" i="12" s="1"/>
  <c r="T82" i="12"/>
  <c r="P82" i="12"/>
  <c r="H82" i="12"/>
  <c r="D82" i="12"/>
  <c r="B82" i="12"/>
  <c r="T81" i="12"/>
  <c r="P81" i="12"/>
  <c r="X81" i="12" s="1"/>
  <c r="Z81" i="12" s="1"/>
  <c r="N81" i="12"/>
  <c r="L81" i="12"/>
  <c r="H81" i="12"/>
  <c r="D81" i="12"/>
  <c r="B81" i="12"/>
  <c r="Z80" i="12"/>
  <c r="T80" i="12"/>
  <c r="P80" i="12"/>
  <c r="X80" i="12" s="1"/>
  <c r="H80" i="12"/>
  <c r="N80" i="12" s="1"/>
  <c r="D80" i="12"/>
  <c r="L80" i="12" s="1"/>
  <c r="B80" i="12"/>
  <c r="T79" i="12"/>
  <c r="Z79" i="12" s="1"/>
  <c r="P79" i="12"/>
  <c r="X79" i="12" s="1"/>
  <c r="L79" i="12"/>
  <c r="H79" i="12"/>
  <c r="N79" i="12" s="1"/>
  <c r="D79" i="12"/>
  <c r="B79" i="12"/>
  <c r="X78" i="12"/>
  <c r="Z78" i="12" s="1"/>
  <c r="T78" i="12"/>
  <c r="P78" i="12"/>
  <c r="H78" i="12"/>
  <c r="D78" i="12"/>
  <c r="B78" i="12"/>
  <c r="T77" i="12"/>
  <c r="P77" i="12"/>
  <c r="X77" i="12" s="1"/>
  <c r="Z77" i="12" s="1"/>
  <c r="N77" i="12"/>
  <c r="L77" i="12"/>
  <c r="H77" i="12"/>
  <c r="D77" i="12"/>
  <c r="B77" i="12"/>
  <c r="T76" i="12"/>
  <c r="P76" i="12"/>
  <c r="X76" i="12" s="1"/>
  <c r="Z76" i="12" s="1"/>
  <c r="H76" i="12"/>
  <c r="N76" i="12" s="1"/>
  <c r="D76" i="12"/>
  <c r="L76" i="12" s="1"/>
  <c r="B76" i="12"/>
  <c r="T75" i="12"/>
  <c r="P75" i="12"/>
  <c r="X75" i="12" s="1"/>
  <c r="L75" i="12"/>
  <c r="H75" i="12"/>
  <c r="N75" i="12" s="1"/>
  <c r="D75" i="12"/>
  <c r="B75" i="12"/>
  <c r="X74" i="12"/>
  <c r="Z74" i="12" s="1"/>
  <c r="T74" i="12"/>
  <c r="P74" i="12"/>
  <c r="H74" i="12"/>
  <c r="D74" i="12"/>
  <c r="B74" i="12"/>
  <c r="T73" i="12"/>
  <c r="P73" i="12"/>
  <c r="X73" i="12" s="1"/>
  <c r="Z73" i="12" s="1"/>
  <c r="N73" i="12"/>
  <c r="L73" i="12"/>
  <c r="H73" i="12"/>
  <c r="D73" i="12"/>
  <c r="B73" i="12"/>
  <c r="T72" i="12"/>
  <c r="P72" i="12"/>
  <c r="X72" i="12" s="1"/>
  <c r="Z72" i="12" s="1"/>
  <c r="H72" i="12"/>
  <c r="N72" i="12" s="1"/>
  <c r="D72" i="12"/>
  <c r="L72" i="12" s="1"/>
  <c r="B72" i="12"/>
  <c r="T71" i="12"/>
  <c r="P71" i="12"/>
  <c r="X71" i="12" s="1"/>
  <c r="L71" i="12"/>
  <c r="H71" i="12"/>
  <c r="N71" i="12" s="1"/>
  <c r="D71" i="12"/>
  <c r="B71" i="12"/>
  <c r="X70" i="12"/>
  <c r="Z70" i="12" s="1"/>
  <c r="T70" i="12"/>
  <c r="P70" i="12"/>
  <c r="L70" i="12"/>
  <c r="H70" i="12"/>
  <c r="D70" i="12"/>
  <c r="B70" i="12"/>
  <c r="T69" i="12"/>
  <c r="P69" i="12"/>
  <c r="X69" i="12" s="1"/>
  <c r="Z69" i="12" s="1"/>
  <c r="N69" i="12"/>
  <c r="L69" i="12"/>
  <c r="H69" i="12"/>
  <c r="D69" i="12"/>
  <c r="B69" i="12"/>
  <c r="Z68" i="12"/>
  <c r="T68" i="12"/>
  <c r="P68" i="12"/>
  <c r="X68" i="12" s="1"/>
  <c r="H68" i="12"/>
  <c r="D68" i="12"/>
  <c r="L68" i="12" s="1"/>
  <c r="B68" i="12"/>
  <c r="T67" i="12"/>
  <c r="P67" i="12"/>
  <c r="L67" i="12"/>
  <c r="H67" i="12"/>
  <c r="N67" i="12" s="1"/>
  <c r="D67" i="12"/>
  <c r="B67" i="12"/>
  <c r="X66" i="12"/>
  <c r="T66" i="12"/>
  <c r="Z66" i="12" s="1"/>
  <c r="P66" i="12"/>
  <c r="H66" i="12"/>
  <c r="D66" i="12"/>
  <c r="B66" i="12"/>
  <c r="T65" i="12"/>
  <c r="P65" i="12"/>
  <c r="X65" i="12" s="1"/>
  <c r="Z65" i="12" s="1"/>
  <c r="N65" i="12"/>
  <c r="L65" i="12"/>
  <c r="H65" i="12"/>
  <c r="D65" i="12"/>
  <c r="B65" i="12"/>
  <c r="T64" i="12"/>
  <c r="P64" i="12"/>
  <c r="X64" i="12" s="1"/>
  <c r="Z64" i="12" s="1"/>
  <c r="H64" i="12"/>
  <c r="N64" i="12" s="1"/>
  <c r="D64" i="12"/>
  <c r="L64" i="12" s="1"/>
  <c r="B64" i="12"/>
  <c r="T63" i="12"/>
  <c r="P63" i="12"/>
  <c r="L63" i="12"/>
  <c r="H63" i="12"/>
  <c r="N63" i="12" s="1"/>
  <c r="D63" i="12"/>
  <c r="B63" i="12"/>
  <c r="X62" i="12"/>
  <c r="T62" i="12"/>
  <c r="Z62" i="12" s="1"/>
  <c r="P62" i="12"/>
  <c r="L62" i="12"/>
  <c r="H62" i="12"/>
  <c r="D62" i="12"/>
  <c r="B62" i="12"/>
  <c r="T61" i="12"/>
  <c r="Z61" i="12" s="1"/>
  <c r="P61" i="12"/>
  <c r="X61" i="12" s="1"/>
  <c r="N61" i="12"/>
  <c r="L61" i="12"/>
  <c r="H61" i="12"/>
  <c r="D61" i="12"/>
  <c r="B61" i="12"/>
  <c r="T60" i="12"/>
  <c r="P60" i="12"/>
  <c r="X60" i="12" s="1"/>
  <c r="Z60" i="12" s="1"/>
  <c r="H60" i="12"/>
  <c r="D60" i="12"/>
  <c r="L60" i="12" s="1"/>
  <c r="B60" i="12"/>
  <c r="T59" i="12"/>
  <c r="P59" i="12"/>
  <c r="X59" i="12" s="1"/>
  <c r="L59" i="12"/>
  <c r="H59" i="12"/>
  <c r="N59" i="12" s="1"/>
  <c r="D59" i="12"/>
  <c r="B59" i="12"/>
  <c r="X58" i="12"/>
  <c r="T58" i="12"/>
  <c r="Z58" i="12" s="1"/>
  <c r="P58" i="12"/>
  <c r="H58" i="12"/>
  <c r="D58" i="12"/>
  <c r="B58" i="12"/>
  <c r="T57" i="12"/>
  <c r="P57" i="12"/>
  <c r="X57" i="12" s="1"/>
  <c r="N57" i="12"/>
  <c r="L57" i="12"/>
  <c r="H57" i="12"/>
  <c r="D57" i="12"/>
  <c r="B57" i="12"/>
  <c r="T56" i="12"/>
  <c r="P56" i="12"/>
  <c r="X56" i="12" s="1"/>
  <c r="Z56" i="12" s="1"/>
  <c r="H56" i="12"/>
  <c r="N56" i="12" s="1"/>
  <c r="D56" i="12"/>
  <c r="L56" i="12" s="1"/>
  <c r="B56" i="12"/>
  <c r="T55" i="12"/>
  <c r="P55" i="12"/>
  <c r="X55" i="12" s="1"/>
  <c r="L55" i="12"/>
  <c r="H55" i="12"/>
  <c r="N55" i="12" s="1"/>
  <c r="D55" i="12"/>
  <c r="B55" i="12"/>
  <c r="X54" i="12"/>
  <c r="T54" i="12"/>
  <c r="Z54" i="12" s="1"/>
  <c r="P54" i="12"/>
  <c r="L54" i="12"/>
  <c r="H54" i="12"/>
  <c r="D54" i="12"/>
  <c r="B54" i="12"/>
  <c r="T53" i="12"/>
  <c r="Z53" i="12" s="1"/>
  <c r="P53" i="12"/>
  <c r="X53" i="12" s="1"/>
  <c r="N53" i="12"/>
  <c r="L53" i="12"/>
  <c r="H53" i="12"/>
  <c r="D53" i="12"/>
  <c r="B53" i="12"/>
  <c r="Z52" i="12"/>
  <c r="T52" i="12"/>
  <c r="P52" i="12"/>
  <c r="X52" i="12" s="1"/>
  <c r="H52" i="12"/>
  <c r="D52" i="12"/>
  <c r="L52" i="12" s="1"/>
  <c r="B52" i="12"/>
  <c r="T51" i="12"/>
  <c r="P51" i="12"/>
  <c r="L51" i="12"/>
  <c r="H51" i="12"/>
  <c r="N51" i="12" s="1"/>
  <c r="D51" i="12"/>
  <c r="B51" i="12"/>
  <c r="X50" i="12"/>
  <c r="T50" i="12"/>
  <c r="Z50" i="12" s="1"/>
  <c r="P50" i="12"/>
  <c r="H50" i="12"/>
  <c r="D50" i="12"/>
  <c r="B50" i="12"/>
  <c r="T49" i="12"/>
  <c r="P49" i="12"/>
  <c r="X49" i="12" s="1"/>
  <c r="N49" i="12"/>
  <c r="L49" i="12"/>
  <c r="H49" i="12"/>
  <c r="D49" i="12"/>
  <c r="B49" i="12"/>
  <c r="T48" i="12"/>
  <c r="P48" i="12"/>
  <c r="X48" i="12" s="1"/>
  <c r="Z48" i="12" s="1"/>
  <c r="H48" i="12"/>
  <c r="N48" i="12" s="1"/>
  <c r="D48" i="12"/>
  <c r="L48" i="12" s="1"/>
  <c r="B48" i="12"/>
  <c r="T47" i="12"/>
  <c r="P47" i="12"/>
  <c r="X47" i="12" s="1"/>
  <c r="L47" i="12"/>
  <c r="H47" i="12"/>
  <c r="N47" i="12" s="1"/>
  <c r="D47" i="12"/>
  <c r="B47" i="12"/>
  <c r="X46" i="12"/>
  <c r="T46" i="12"/>
  <c r="Z46" i="12" s="1"/>
  <c r="P46" i="12"/>
  <c r="L46" i="12"/>
  <c r="H46" i="12"/>
  <c r="D46" i="12"/>
  <c r="B46" i="12"/>
  <c r="T45" i="12"/>
  <c r="Z45" i="12" s="1"/>
  <c r="P45" i="12"/>
  <c r="X45" i="12" s="1"/>
  <c r="N45" i="12"/>
  <c r="L45" i="12"/>
  <c r="H45" i="12"/>
  <c r="D45" i="12"/>
  <c r="B45" i="12"/>
  <c r="Z44" i="12"/>
  <c r="T44" i="12"/>
  <c r="P44" i="12"/>
  <c r="X44" i="12" s="1"/>
  <c r="H44" i="12"/>
  <c r="D44" i="12"/>
  <c r="L44" i="12" s="1"/>
  <c r="B44" i="12"/>
  <c r="T43" i="12"/>
  <c r="P43" i="12"/>
  <c r="L43" i="12"/>
  <c r="H43" i="12"/>
  <c r="N43" i="12" s="1"/>
  <c r="D43" i="12"/>
  <c r="B43" i="12"/>
  <c r="X42" i="12"/>
  <c r="T42" i="12"/>
  <c r="Z42" i="12" s="1"/>
  <c r="P42" i="12"/>
  <c r="H42" i="12"/>
  <c r="D42" i="12"/>
  <c r="B42" i="12"/>
  <c r="T41" i="12"/>
  <c r="P41" i="12"/>
  <c r="X41" i="12" s="1"/>
  <c r="N41" i="12"/>
  <c r="L41" i="12"/>
  <c r="H41" i="12"/>
  <c r="D41" i="12"/>
  <c r="B41" i="12"/>
  <c r="T40" i="12"/>
  <c r="P40" i="12"/>
  <c r="X40" i="12" s="1"/>
  <c r="Z40" i="12" s="1"/>
  <c r="H40" i="12"/>
  <c r="N40" i="12" s="1"/>
  <c r="D40" i="12"/>
  <c r="L40" i="12" s="1"/>
  <c r="B40" i="12"/>
  <c r="T39" i="12"/>
  <c r="P39" i="12"/>
  <c r="L39" i="12"/>
  <c r="H39" i="12"/>
  <c r="N39" i="12" s="1"/>
  <c r="D39" i="12"/>
  <c r="B39" i="12"/>
  <c r="X38" i="12"/>
  <c r="T38" i="12"/>
  <c r="Z38" i="12" s="1"/>
  <c r="P38" i="12"/>
  <c r="L38" i="12"/>
  <c r="H38" i="12"/>
  <c r="D38" i="12"/>
  <c r="B38" i="12"/>
  <c r="T37" i="12"/>
  <c r="Z37" i="12" s="1"/>
  <c r="P37" i="12"/>
  <c r="X37" i="12" s="1"/>
  <c r="N37" i="12"/>
  <c r="L37" i="12"/>
  <c r="H37" i="12"/>
  <c r="D37" i="12"/>
  <c r="B37" i="12"/>
  <c r="T36" i="12"/>
  <c r="P36" i="12"/>
  <c r="X36" i="12" s="1"/>
  <c r="Z36" i="12" s="1"/>
  <c r="H36" i="12"/>
  <c r="D36" i="12"/>
  <c r="L36" i="12" s="1"/>
  <c r="B36" i="12"/>
  <c r="T35" i="12"/>
  <c r="P35" i="12"/>
  <c r="X35" i="12" s="1"/>
  <c r="L35" i="12"/>
  <c r="H35" i="12"/>
  <c r="N35" i="12" s="1"/>
  <c r="D35" i="12"/>
  <c r="B35" i="12"/>
  <c r="X34" i="12"/>
  <c r="T34" i="12"/>
  <c r="Z34" i="12" s="1"/>
  <c r="P34" i="12"/>
  <c r="H34" i="12"/>
  <c r="D34" i="12"/>
  <c r="B34" i="12"/>
  <c r="T33" i="12"/>
  <c r="P33" i="12"/>
  <c r="X33" i="12" s="1"/>
  <c r="N33" i="12"/>
  <c r="L33" i="12"/>
  <c r="H33" i="12"/>
  <c r="D33" i="12"/>
  <c r="B33" i="12"/>
  <c r="T32" i="12"/>
  <c r="P32" i="12"/>
  <c r="X32" i="12" s="1"/>
  <c r="Z32" i="12" s="1"/>
  <c r="H32" i="12"/>
  <c r="N32" i="12" s="1"/>
  <c r="D32" i="12"/>
  <c r="L32" i="12" s="1"/>
  <c r="B32" i="12"/>
  <c r="T31" i="12"/>
  <c r="P31" i="12"/>
  <c r="X31" i="12" s="1"/>
  <c r="L31" i="12"/>
  <c r="H31" i="12"/>
  <c r="N31" i="12" s="1"/>
  <c r="D31" i="12"/>
  <c r="B31" i="12"/>
  <c r="X30" i="12"/>
  <c r="T30" i="12"/>
  <c r="Z30" i="12" s="1"/>
  <c r="P30" i="12"/>
  <c r="L30" i="12"/>
  <c r="H30" i="12"/>
  <c r="D30" i="12"/>
  <c r="B30" i="12"/>
  <c r="T29" i="12"/>
  <c r="Z29" i="12" s="1"/>
  <c r="P29" i="12"/>
  <c r="X29" i="12" s="1"/>
  <c r="N29" i="12"/>
  <c r="L29" i="12"/>
  <c r="H29" i="12"/>
  <c r="D29" i="12"/>
  <c r="B29" i="12"/>
  <c r="Z28" i="12"/>
  <c r="T28" i="12"/>
  <c r="P28" i="12"/>
  <c r="X28" i="12" s="1"/>
  <c r="H28" i="12"/>
  <c r="D28" i="12"/>
  <c r="L28" i="12" s="1"/>
  <c r="B28" i="12"/>
  <c r="T27" i="12"/>
  <c r="P27" i="12"/>
  <c r="L27" i="12"/>
  <c r="H27" i="12"/>
  <c r="N27" i="12" s="1"/>
  <c r="D27" i="12"/>
  <c r="B27" i="12"/>
  <c r="X26" i="12"/>
  <c r="T26" i="12"/>
  <c r="Z26" i="12" s="1"/>
  <c r="P26" i="12"/>
  <c r="H26" i="12"/>
  <c r="D26" i="12"/>
  <c r="B26" i="12"/>
  <c r="T25" i="12"/>
  <c r="P25" i="12"/>
  <c r="X25" i="12" s="1"/>
  <c r="N25" i="12"/>
  <c r="L25" i="12"/>
  <c r="H25" i="12"/>
  <c r="D25" i="12"/>
  <c r="B25" i="12"/>
  <c r="T24" i="12"/>
  <c r="P24" i="12"/>
  <c r="X24" i="12" s="1"/>
  <c r="Z24" i="12" s="1"/>
  <c r="H24" i="12"/>
  <c r="N24" i="12" s="1"/>
  <c r="D24" i="12"/>
  <c r="L24" i="12" s="1"/>
  <c r="B24" i="12"/>
  <c r="T23" i="12"/>
  <c r="P23" i="12"/>
  <c r="X23" i="12" s="1"/>
  <c r="L23" i="12"/>
  <c r="H23" i="12"/>
  <c r="N23" i="12" s="1"/>
  <c r="D23" i="12"/>
  <c r="B23" i="12"/>
  <c r="X22" i="12"/>
  <c r="T22" i="12"/>
  <c r="Z22" i="12" s="1"/>
  <c r="P22" i="12"/>
  <c r="L22" i="12"/>
  <c r="H22" i="12"/>
  <c r="D22" i="12"/>
  <c r="B22" i="12"/>
  <c r="T21" i="12"/>
  <c r="Z21" i="12" s="1"/>
  <c r="P21" i="12"/>
  <c r="X21" i="12" s="1"/>
  <c r="N21" i="12"/>
  <c r="L21" i="12"/>
  <c r="H21" i="12"/>
  <c r="D21" i="12"/>
  <c r="B21" i="12"/>
  <c r="Z20" i="12"/>
  <c r="T20" i="12"/>
  <c r="P20" i="12"/>
  <c r="X20" i="12" s="1"/>
  <c r="H20" i="12"/>
  <c r="D20" i="12"/>
  <c r="L20" i="12" s="1"/>
  <c r="B20" i="12"/>
  <c r="T19" i="12"/>
  <c r="P19" i="12"/>
  <c r="L19" i="12"/>
  <c r="H19" i="12"/>
  <c r="N19" i="12" s="1"/>
  <c r="D19" i="12"/>
  <c r="B19" i="12"/>
  <c r="X18" i="12"/>
  <c r="T18" i="12"/>
  <c r="Z18" i="12" s="1"/>
  <c r="P18" i="12"/>
  <c r="H18" i="12"/>
  <c r="D18" i="12"/>
  <c r="B18" i="12"/>
  <c r="T17" i="12"/>
  <c r="P17" i="12"/>
  <c r="X17" i="12" s="1"/>
  <c r="N17" i="12"/>
  <c r="L17" i="12"/>
  <c r="H17" i="12"/>
  <c r="D17" i="12"/>
  <c r="B17" i="12"/>
  <c r="T16" i="12"/>
  <c r="P16" i="12"/>
  <c r="X16" i="12" s="1"/>
  <c r="Z16" i="12" s="1"/>
  <c r="H16" i="12"/>
  <c r="N16" i="12" s="1"/>
  <c r="D16" i="12"/>
  <c r="L16" i="12" s="1"/>
  <c r="B16" i="12"/>
  <c r="T15" i="12"/>
  <c r="P15" i="12"/>
  <c r="L15" i="12"/>
  <c r="H15" i="12"/>
  <c r="N15" i="12" s="1"/>
  <c r="D15" i="12"/>
  <c r="B15" i="12"/>
  <c r="X14" i="12"/>
  <c r="T14" i="12"/>
  <c r="P14" i="12"/>
  <c r="L14" i="12"/>
  <c r="H14" i="12"/>
  <c r="D14" i="12"/>
  <c r="B14" i="12"/>
  <c r="T13" i="12"/>
  <c r="Z13" i="12" s="1"/>
  <c r="P13" i="12"/>
  <c r="N13" i="12"/>
  <c r="L13" i="12"/>
  <c r="H13" i="12"/>
  <c r="D13" i="12"/>
  <c r="B13" i="12"/>
  <c r="D12" i="12"/>
  <c r="F208" i="12" s="1"/>
  <c r="D4" i="12"/>
  <c r="Z93" i="9"/>
  <c r="X93" i="9"/>
  <c r="N93" i="9"/>
  <c r="L93" i="9"/>
  <c r="R91" i="9"/>
  <c r="Z89" i="9"/>
  <c r="T89" i="9"/>
  <c r="R89" i="9"/>
  <c r="P89" i="9"/>
  <c r="X89" i="9" s="1"/>
  <c r="N89" i="9"/>
  <c r="L89" i="9"/>
  <c r="H89" i="9"/>
  <c r="D89" i="9"/>
  <c r="Z87" i="9"/>
  <c r="X87" i="9"/>
  <c r="N87" i="9"/>
  <c r="L87" i="9"/>
  <c r="B87" i="9"/>
  <c r="X86" i="9"/>
  <c r="Z86" i="9" s="1"/>
  <c r="R86" i="9"/>
  <c r="N86" i="9"/>
  <c r="L86" i="9"/>
  <c r="B86" i="9"/>
  <c r="X85" i="9"/>
  <c r="Z85" i="9" s="1"/>
  <c r="T85" i="9"/>
  <c r="P85" i="9"/>
  <c r="N85" i="9"/>
  <c r="H85" i="9"/>
  <c r="D85" i="9"/>
  <c r="L85" i="9" s="1"/>
  <c r="B85" i="9"/>
  <c r="Z84" i="9"/>
  <c r="X84" i="9"/>
  <c r="L84" i="9"/>
  <c r="N84" i="9" s="1"/>
  <c r="B84" i="9"/>
  <c r="X83" i="9"/>
  <c r="Z83" i="9" s="1"/>
  <c r="T83" i="9"/>
  <c r="P83" i="9"/>
  <c r="J83" i="9"/>
  <c r="H83" i="9"/>
  <c r="D83" i="9"/>
  <c r="B83" i="9"/>
  <c r="Z82" i="9"/>
  <c r="X82" i="9"/>
  <c r="L82" i="9"/>
  <c r="N82" i="9" s="1"/>
  <c r="B82" i="9"/>
  <c r="Z81" i="9"/>
  <c r="X81" i="9"/>
  <c r="V81" i="9"/>
  <c r="R81" i="9"/>
  <c r="L81" i="9"/>
  <c r="N81" i="9" s="1"/>
  <c r="B81" i="9"/>
  <c r="T80" i="9"/>
  <c r="P80" i="9"/>
  <c r="X80" i="9" s="1"/>
  <c r="Z80" i="9" s="1"/>
  <c r="N80" i="9"/>
  <c r="H80" i="9"/>
  <c r="D80" i="9"/>
  <c r="L80" i="9" s="1"/>
  <c r="B80" i="9"/>
  <c r="Z79" i="9"/>
  <c r="X79" i="9"/>
  <c r="N79" i="9"/>
  <c r="L79" i="9"/>
  <c r="B79" i="9"/>
  <c r="X78" i="9"/>
  <c r="Z78" i="9" s="1"/>
  <c r="R78" i="9"/>
  <c r="N78" i="9"/>
  <c r="L78" i="9"/>
  <c r="B78" i="9"/>
  <c r="X77" i="9"/>
  <c r="Z77" i="9" s="1"/>
  <c r="N77" i="9"/>
  <c r="L77" i="9"/>
  <c r="J77" i="9"/>
  <c r="B77" i="9"/>
  <c r="Z76" i="9"/>
  <c r="X76" i="9"/>
  <c r="V76" i="9"/>
  <c r="N76" i="9"/>
  <c r="L76" i="9"/>
  <c r="B76" i="9"/>
  <c r="Z75" i="9"/>
  <c r="X75" i="9"/>
  <c r="N75" i="9"/>
  <c r="L75" i="9"/>
  <c r="B75" i="9"/>
  <c r="T74" i="9"/>
  <c r="R74" i="9"/>
  <c r="P74" i="9"/>
  <c r="L74" i="9"/>
  <c r="J74" i="9"/>
  <c r="H74" i="9"/>
  <c r="N74" i="9" s="1"/>
  <c r="D74" i="9"/>
  <c r="B74" i="9"/>
  <c r="X73" i="9"/>
  <c r="Z73" i="9" s="1"/>
  <c r="V73" i="9"/>
  <c r="R73" i="9"/>
  <c r="N73" i="9"/>
  <c r="L73" i="9"/>
  <c r="J73" i="9"/>
  <c r="B73" i="9"/>
  <c r="T72" i="9"/>
  <c r="P72" i="9"/>
  <c r="X72" i="9" s="1"/>
  <c r="Z72" i="9" s="1"/>
  <c r="H72" i="9"/>
  <c r="D72" i="9"/>
  <c r="B72" i="9"/>
  <c r="Z71" i="9"/>
  <c r="X71" i="9"/>
  <c r="N71" i="9"/>
  <c r="L71" i="9"/>
  <c r="B71" i="9"/>
  <c r="Z70" i="9"/>
  <c r="X70" i="9"/>
  <c r="N70" i="9"/>
  <c r="L70" i="9"/>
  <c r="B70" i="9"/>
  <c r="V69" i="9"/>
  <c r="T69" i="9"/>
  <c r="P69" i="9"/>
  <c r="H69" i="9"/>
  <c r="N69" i="9" s="1"/>
  <c r="F69" i="9"/>
  <c r="D69" i="9"/>
  <c r="L69" i="9" s="1"/>
  <c r="B69" i="9"/>
  <c r="X68" i="9"/>
  <c r="Z68" i="9" s="1"/>
  <c r="V68" i="9"/>
  <c r="N68" i="9"/>
  <c r="L68" i="9"/>
  <c r="B68" i="9"/>
  <c r="Z67" i="9"/>
  <c r="X67" i="9"/>
  <c r="N67" i="9"/>
  <c r="L67" i="9"/>
  <c r="B67" i="9"/>
  <c r="X66" i="9"/>
  <c r="Z66" i="9" s="1"/>
  <c r="R66" i="9"/>
  <c r="N66" i="9"/>
  <c r="L66" i="9"/>
  <c r="B66" i="9"/>
  <c r="X65" i="9"/>
  <c r="Z65" i="9" s="1"/>
  <c r="T65" i="9"/>
  <c r="P65" i="9"/>
  <c r="N65" i="9"/>
  <c r="H65" i="9"/>
  <c r="F65" i="9"/>
  <c r="D65" i="9"/>
  <c r="L65" i="9" s="1"/>
  <c r="B65" i="9"/>
  <c r="Z64" i="9"/>
  <c r="X64" i="9"/>
  <c r="L64" i="9"/>
  <c r="N64" i="9" s="1"/>
  <c r="B64" i="9"/>
  <c r="X63" i="9"/>
  <c r="Z63" i="9" s="1"/>
  <c r="R63" i="9"/>
  <c r="N63" i="9"/>
  <c r="L63" i="9"/>
  <c r="B63" i="9"/>
  <c r="Z62" i="9"/>
  <c r="X62" i="9"/>
  <c r="R62" i="9"/>
  <c r="N62" i="9"/>
  <c r="L62" i="9"/>
  <c r="B62" i="9"/>
  <c r="X61" i="9"/>
  <c r="Z61" i="9" s="1"/>
  <c r="V61" i="9"/>
  <c r="R61" i="9"/>
  <c r="N61" i="9"/>
  <c r="L61" i="9"/>
  <c r="J61" i="9"/>
  <c r="B61" i="9"/>
  <c r="T60" i="9"/>
  <c r="P60" i="9"/>
  <c r="X60" i="9" s="1"/>
  <c r="Z60" i="9" s="1"/>
  <c r="H60" i="9"/>
  <c r="D60" i="9"/>
  <c r="B60" i="9"/>
  <c r="Z59" i="9"/>
  <c r="X59" i="9"/>
  <c r="N59" i="9"/>
  <c r="L59" i="9"/>
  <c r="B59" i="9"/>
  <c r="T58" i="9"/>
  <c r="P58" i="9"/>
  <c r="X58" i="9" s="1"/>
  <c r="Z58" i="9" s="1"/>
  <c r="L58" i="9"/>
  <c r="N58" i="9" s="1"/>
  <c r="J58" i="9"/>
  <c r="H58" i="9"/>
  <c r="D58" i="9"/>
  <c r="B58" i="9"/>
  <c r="X57" i="9"/>
  <c r="Z57" i="9" s="1"/>
  <c r="L57" i="9"/>
  <c r="N57" i="9" s="1"/>
  <c r="J57" i="9"/>
  <c r="B57" i="9"/>
  <c r="X56" i="9"/>
  <c r="V56" i="9"/>
  <c r="T56" i="9"/>
  <c r="Z56" i="9" s="1"/>
  <c r="R56" i="9"/>
  <c r="P56" i="9"/>
  <c r="H56" i="9"/>
  <c r="D56" i="9"/>
  <c r="B56" i="9"/>
  <c r="Z55" i="9"/>
  <c r="X55" i="9"/>
  <c r="R55" i="9"/>
  <c r="N55" i="9"/>
  <c r="L55" i="9"/>
  <c r="B55" i="9"/>
  <c r="Z54" i="9"/>
  <c r="X54" i="9"/>
  <c r="R54" i="9"/>
  <c r="N54" i="9"/>
  <c r="L54" i="9"/>
  <c r="B54" i="9"/>
  <c r="V53" i="9"/>
  <c r="T53" i="9"/>
  <c r="P53" i="9"/>
  <c r="N53" i="9"/>
  <c r="L53" i="9"/>
  <c r="H53" i="9"/>
  <c r="D53" i="9"/>
  <c r="B53" i="9"/>
  <c r="X52" i="9"/>
  <c r="Z52" i="9" s="1"/>
  <c r="L52" i="9"/>
  <c r="N52" i="9" s="1"/>
  <c r="J52" i="9"/>
  <c r="B52" i="9"/>
  <c r="T51" i="9"/>
  <c r="R51" i="9"/>
  <c r="P51" i="9"/>
  <c r="X51" i="9" s="1"/>
  <c r="J51" i="9"/>
  <c r="H51" i="9"/>
  <c r="D51" i="9"/>
  <c r="L51" i="9" s="1"/>
  <c r="B51" i="9"/>
  <c r="X50" i="9"/>
  <c r="Z50" i="9" s="1"/>
  <c r="R50" i="9"/>
  <c r="N50" i="9"/>
  <c r="L50" i="9"/>
  <c r="F50" i="9"/>
  <c r="B50" i="9"/>
  <c r="X49" i="9"/>
  <c r="Z49" i="9" s="1"/>
  <c r="T49" i="9"/>
  <c r="R49" i="9"/>
  <c r="P49" i="9"/>
  <c r="N49" i="9"/>
  <c r="H49" i="9"/>
  <c r="D49" i="9"/>
  <c r="L49" i="9" s="1"/>
  <c r="B49" i="9"/>
  <c r="Z48" i="9"/>
  <c r="X48" i="9"/>
  <c r="R48" i="9"/>
  <c r="N48" i="9"/>
  <c r="L48" i="9"/>
  <c r="J48" i="9"/>
  <c r="B48" i="9"/>
  <c r="X47" i="9"/>
  <c r="Z47" i="9" s="1"/>
  <c r="T47" i="9"/>
  <c r="P47" i="9"/>
  <c r="J47" i="9"/>
  <c r="H47" i="9"/>
  <c r="N47" i="9" s="1"/>
  <c r="D47" i="9"/>
  <c r="B47" i="9"/>
  <c r="Z46" i="9"/>
  <c r="X46" i="9"/>
  <c r="L46" i="9"/>
  <c r="N46" i="9" s="1"/>
  <c r="B46" i="9"/>
  <c r="V45" i="9"/>
  <c r="T45" i="9"/>
  <c r="P45" i="9"/>
  <c r="H45" i="9"/>
  <c r="D45" i="9"/>
  <c r="L45" i="9" s="1"/>
  <c r="B45" i="9"/>
  <c r="X44" i="9"/>
  <c r="Z44" i="9" s="1"/>
  <c r="V44" i="9"/>
  <c r="N44" i="9"/>
  <c r="L44" i="9"/>
  <c r="B44" i="9"/>
  <c r="X43" i="9"/>
  <c r="Z43" i="9" s="1"/>
  <c r="T43" i="9"/>
  <c r="R43" i="9"/>
  <c r="P43" i="9"/>
  <c r="L43" i="9"/>
  <c r="N43" i="9" s="1"/>
  <c r="H43" i="9"/>
  <c r="D43" i="9"/>
  <c r="B43" i="9"/>
  <c r="Z42" i="9"/>
  <c r="X42" i="9"/>
  <c r="R42" i="9"/>
  <c r="N42" i="9"/>
  <c r="L42" i="9"/>
  <c r="B42" i="9"/>
  <c r="V41" i="9"/>
  <c r="T41" i="9"/>
  <c r="P41" i="9"/>
  <c r="N41" i="9"/>
  <c r="L41" i="9"/>
  <c r="H41" i="9"/>
  <c r="D41" i="9"/>
  <c r="B41" i="9"/>
  <c r="X40" i="9"/>
  <c r="Z40" i="9" s="1"/>
  <c r="V40" i="9"/>
  <c r="L40" i="9"/>
  <c r="N40" i="9" s="1"/>
  <c r="J40" i="9"/>
  <c r="B40" i="9"/>
  <c r="T39" i="9"/>
  <c r="R39" i="9"/>
  <c r="P39" i="9"/>
  <c r="X39" i="9" s="1"/>
  <c r="J39" i="9"/>
  <c r="H39" i="9"/>
  <c r="D39" i="9"/>
  <c r="B39" i="9"/>
  <c r="X38" i="9"/>
  <c r="Z38" i="9" s="1"/>
  <c r="R38" i="9"/>
  <c r="N38" i="9"/>
  <c r="L38" i="9"/>
  <c r="B38" i="9"/>
  <c r="X37" i="9"/>
  <c r="Z37" i="9" s="1"/>
  <c r="L37" i="9"/>
  <c r="N37" i="9" s="1"/>
  <c r="J37" i="9"/>
  <c r="F37" i="9"/>
  <c r="B37" i="9"/>
  <c r="X36" i="9"/>
  <c r="Z36" i="9" s="1"/>
  <c r="V36" i="9"/>
  <c r="N36" i="9"/>
  <c r="L36" i="9"/>
  <c r="B36" i="9"/>
  <c r="X35" i="9"/>
  <c r="Z35" i="9" s="1"/>
  <c r="N35" i="9"/>
  <c r="L35" i="9"/>
  <c r="B35" i="9"/>
  <c r="X34" i="9"/>
  <c r="Z34" i="9" s="1"/>
  <c r="R34" i="9"/>
  <c r="N34" i="9"/>
  <c r="L34" i="9"/>
  <c r="B34" i="9"/>
  <c r="X33" i="9"/>
  <c r="Z33" i="9" s="1"/>
  <c r="L33" i="9"/>
  <c r="N33" i="9" s="1"/>
  <c r="J33" i="9"/>
  <c r="F33" i="9"/>
  <c r="B33" i="9"/>
  <c r="X32" i="9"/>
  <c r="Z32" i="9" s="1"/>
  <c r="V32" i="9"/>
  <c r="N32" i="9"/>
  <c r="L32" i="9"/>
  <c r="B32" i="9"/>
  <c r="X31" i="9"/>
  <c r="Z31" i="9" s="1"/>
  <c r="T31" i="9"/>
  <c r="R31" i="9"/>
  <c r="P31" i="9"/>
  <c r="L31" i="9"/>
  <c r="N31" i="9" s="1"/>
  <c r="H31" i="9"/>
  <c r="D31" i="9"/>
  <c r="B31" i="9"/>
  <c r="Z30" i="9"/>
  <c r="X30" i="9"/>
  <c r="R30" i="9"/>
  <c r="N30" i="9"/>
  <c r="L30" i="9"/>
  <c r="B30" i="9"/>
  <c r="X29" i="9"/>
  <c r="Z29" i="9" s="1"/>
  <c r="V29" i="9"/>
  <c r="R29" i="9"/>
  <c r="N29" i="9"/>
  <c r="L29" i="9"/>
  <c r="J29" i="9"/>
  <c r="B29" i="9"/>
  <c r="Z28" i="9"/>
  <c r="X28" i="9"/>
  <c r="R28" i="9"/>
  <c r="L28" i="9"/>
  <c r="N28" i="9" s="1"/>
  <c r="J28" i="9"/>
  <c r="B28" i="9"/>
  <c r="Z27" i="9"/>
  <c r="X27" i="9"/>
  <c r="R27" i="9"/>
  <c r="N27" i="9"/>
  <c r="L27" i="9"/>
  <c r="B27" i="9"/>
  <c r="Z26" i="9"/>
  <c r="X26" i="9"/>
  <c r="R26" i="9"/>
  <c r="N26" i="9"/>
  <c r="L26" i="9"/>
  <c r="J26" i="9"/>
  <c r="B26" i="9"/>
  <c r="X25" i="9"/>
  <c r="Z25" i="9" s="1"/>
  <c r="V25" i="9"/>
  <c r="R25" i="9"/>
  <c r="N25" i="9"/>
  <c r="L25" i="9"/>
  <c r="J25" i="9"/>
  <c r="B25" i="9"/>
  <c r="Z24" i="9"/>
  <c r="X24" i="9"/>
  <c r="R24" i="9"/>
  <c r="L24" i="9"/>
  <c r="N24" i="9" s="1"/>
  <c r="J24" i="9"/>
  <c r="B24" i="9"/>
  <c r="Z23" i="9"/>
  <c r="X23" i="9"/>
  <c r="R23" i="9"/>
  <c r="N23" i="9"/>
  <c r="L23" i="9"/>
  <c r="B23" i="9"/>
  <c r="Z22" i="9"/>
  <c r="X22" i="9"/>
  <c r="R22" i="9"/>
  <c r="N22" i="9"/>
  <c r="L22" i="9"/>
  <c r="J22" i="9"/>
  <c r="B22" i="9"/>
  <c r="X21" i="9"/>
  <c r="Z21" i="9" s="1"/>
  <c r="V21" i="9"/>
  <c r="R21" i="9"/>
  <c r="N21" i="9"/>
  <c r="L21" i="9"/>
  <c r="J21" i="9"/>
  <c r="B21" i="9"/>
  <c r="Z20" i="9"/>
  <c r="X20" i="9"/>
  <c r="R20" i="9"/>
  <c r="L20" i="9"/>
  <c r="N20" i="9" s="1"/>
  <c r="J20" i="9"/>
  <c r="B20" i="9"/>
  <c r="X19" i="9"/>
  <c r="Z19" i="9" s="1"/>
  <c r="T19" i="9"/>
  <c r="P19" i="9"/>
  <c r="J19" i="9"/>
  <c r="H19" i="9"/>
  <c r="D19" i="9"/>
  <c r="B19" i="9"/>
  <c r="Z18" i="9"/>
  <c r="T18" i="9"/>
  <c r="P18" i="9"/>
  <c r="X18" i="9" s="1"/>
  <c r="J18" i="9"/>
  <c r="H18" i="9"/>
  <c r="D18" i="9"/>
  <c r="L18" i="9" s="1"/>
  <c r="N18" i="9" s="1"/>
  <c r="J16" i="9"/>
  <c r="D16" i="9"/>
  <c r="Z14" i="9"/>
  <c r="T14" i="9"/>
  <c r="P14" i="9"/>
  <c r="X14" i="9" s="1"/>
  <c r="N14" i="9"/>
  <c r="J14" i="9"/>
  <c r="H14" i="9"/>
  <c r="D14" i="9"/>
  <c r="L14" i="9" s="1"/>
  <c r="Z12" i="9"/>
  <c r="T12" i="9"/>
  <c r="V98" i="9" s="1"/>
  <c r="P12" i="9"/>
  <c r="R76" i="9" s="1"/>
  <c r="H12" i="9"/>
  <c r="J87" i="9" s="1"/>
  <c r="D12" i="9"/>
  <c r="F85" i="9" s="1"/>
  <c r="D4" i="9"/>
  <c r="R31" i="6"/>
  <c r="J31" i="6"/>
  <c r="X29" i="6"/>
  <c r="Z29" i="6" s="1"/>
  <c r="T29" i="6"/>
  <c r="R29" i="6"/>
  <c r="P29" i="6"/>
  <c r="J29" i="6"/>
  <c r="H29" i="6"/>
  <c r="L29" i="6" s="1"/>
  <c r="D29" i="6"/>
  <c r="T28" i="6"/>
  <c r="X28" i="6" s="1"/>
  <c r="R28" i="6"/>
  <c r="P28" i="6"/>
  <c r="J28" i="6"/>
  <c r="H28" i="6"/>
  <c r="D28" i="6"/>
  <c r="R26" i="6"/>
  <c r="J26" i="6"/>
  <c r="Z24" i="6"/>
  <c r="X24" i="6"/>
  <c r="R24" i="6"/>
  <c r="N24" i="6"/>
  <c r="L24" i="6"/>
  <c r="J24" i="6"/>
  <c r="R22" i="6"/>
  <c r="J22" i="6"/>
  <c r="F22" i="6"/>
  <c r="Z20" i="6"/>
  <c r="X20" i="6"/>
  <c r="T20" i="6"/>
  <c r="R20" i="6"/>
  <c r="P20" i="6"/>
  <c r="N20" i="6"/>
  <c r="J20" i="6"/>
  <c r="H20" i="6"/>
  <c r="D20" i="6"/>
  <c r="L20" i="6" s="1"/>
  <c r="Z18" i="6"/>
  <c r="X18" i="6"/>
  <c r="T18" i="6"/>
  <c r="R18" i="6"/>
  <c r="P18" i="6"/>
  <c r="N18" i="6"/>
  <c r="L18" i="6"/>
  <c r="J18" i="6"/>
  <c r="H18" i="6"/>
  <c r="D18" i="6"/>
  <c r="R16" i="6"/>
  <c r="J16" i="6"/>
  <c r="Z14" i="6"/>
  <c r="T14" i="6"/>
  <c r="R14" i="6"/>
  <c r="P14" i="6"/>
  <c r="X14" i="6" s="1"/>
  <c r="N14" i="6"/>
  <c r="L14" i="6"/>
  <c r="J14" i="6"/>
  <c r="H14" i="6"/>
  <c r="D14" i="6"/>
  <c r="Z12" i="6"/>
  <c r="X12" i="6"/>
  <c r="T12" i="6"/>
  <c r="V31" i="6" s="1"/>
  <c r="P12" i="6"/>
  <c r="N12" i="6"/>
  <c r="L12" i="6"/>
  <c r="H12" i="6"/>
  <c r="H16" i="6" s="1"/>
  <c r="D12" i="6"/>
  <c r="F24" i="6" s="1"/>
  <c r="D4" i="6"/>
  <c r="X327" i="3"/>
  <c r="Z327" i="3" s="1"/>
  <c r="T327" i="3"/>
  <c r="P327" i="3"/>
  <c r="H327" i="3"/>
  <c r="D327" i="3"/>
  <c r="L327" i="3" s="1"/>
  <c r="T326" i="3"/>
  <c r="P326" i="3"/>
  <c r="X326" i="3" s="1"/>
  <c r="Z326" i="3" s="1"/>
  <c r="H326" i="3"/>
  <c r="D326" i="3"/>
  <c r="X322" i="3"/>
  <c r="Z322" i="3" s="1"/>
  <c r="L322" i="3"/>
  <c r="N322" i="3" s="1"/>
  <c r="T318" i="3"/>
  <c r="P318" i="3"/>
  <c r="X318" i="3" s="1"/>
  <c r="Z318" i="3" s="1"/>
  <c r="N318" i="3"/>
  <c r="H318" i="3"/>
  <c r="L318" i="3" s="1"/>
  <c r="D318" i="3"/>
  <c r="B318" i="3"/>
  <c r="T317" i="3"/>
  <c r="P317" i="3"/>
  <c r="H317" i="3"/>
  <c r="N317" i="3" s="1"/>
  <c r="D317" i="3"/>
  <c r="L317" i="3" s="1"/>
  <c r="B317" i="3"/>
  <c r="T316" i="3"/>
  <c r="P316" i="3"/>
  <c r="L316" i="3"/>
  <c r="H316" i="3"/>
  <c r="N316" i="3" s="1"/>
  <c r="D316" i="3"/>
  <c r="B316" i="3"/>
  <c r="T315" i="3"/>
  <c r="P315" i="3"/>
  <c r="N315" i="3"/>
  <c r="L315" i="3"/>
  <c r="H315" i="3"/>
  <c r="D315" i="3"/>
  <c r="B315" i="3"/>
  <c r="T314" i="3"/>
  <c r="P314" i="3"/>
  <c r="X314" i="3" s="1"/>
  <c r="Z314" i="3" s="1"/>
  <c r="H314" i="3"/>
  <c r="N314" i="3" s="1"/>
  <c r="D314" i="3"/>
  <c r="B314" i="3"/>
  <c r="X313" i="3"/>
  <c r="Z313" i="3" s="1"/>
  <c r="T313" i="3"/>
  <c r="P313" i="3"/>
  <c r="H313" i="3"/>
  <c r="D313" i="3"/>
  <c r="L313" i="3" s="1"/>
  <c r="N313" i="3" s="1"/>
  <c r="B313" i="3"/>
  <c r="T312" i="3"/>
  <c r="X312" i="3" s="1"/>
  <c r="P312" i="3"/>
  <c r="H312" i="3"/>
  <c r="N312" i="3" s="1"/>
  <c r="D312" i="3"/>
  <c r="L312" i="3" s="1"/>
  <c r="B312" i="3"/>
  <c r="T311" i="3"/>
  <c r="P311" i="3"/>
  <c r="H311" i="3"/>
  <c r="D311" i="3"/>
  <c r="B311" i="3"/>
  <c r="X310" i="3"/>
  <c r="T310" i="3"/>
  <c r="Z310" i="3" s="1"/>
  <c r="P310" i="3"/>
  <c r="H310" i="3"/>
  <c r="N310" i="3" s="1"/>
  <c r="D310" i="3"/>
  <c r="B310" i="3"/>
  <c r="T309" i="3"/>
  <c r="T305" i="3" s="1"/>
  <c r="P309" i="3"/>
  <c r="H309" i="3"/>
  <c r="D309" i="3"/>
  <c r="B309" i="3"/>
  <c r="T308" i="3"/>
  <c r="P308" i="3"/>
  <c r="N308" i="3"/>
  <c r="L308" i="3"/>
  <c r="H308" i="3"/>
  <c r="D308" i="3"/>
  <c r="B308" i="3"/>
  <c r="T307" i="3"/>
  <c r="P307" i="3"/>
  <c r="P305" i="3" s="1"/>
  <c r="L307" i="3"/>
  <c r="N307" i="3" s="1"/>
  <c r="H307" i="3"/>
  <c r="D307" i="3"/>
  <c r="B307" i="3"/>
  <c r="Z306" i="3"/>
  <c r="X306" i="3"/>
  <c r="T306" i="3"/>
  <c r="P306" i="3"/>
  <c r="H306" i="3"/>
  <c r="D306" i="3"/>
  <c r="B306" i="3"/>
  <c r="D305" i="3"/>
  <c r="Z303" i="3"/>
  <c r="X303" i="3"/>
  <c r="L303" i="3"/>
  <c r="N303" i="3" s="1"/>
  <c r="B303" i="3"/>
  <c r="Z302" i="3"/>
  <c r="T302" i="3"/>
  <c r="P302" i="3"/>
  <c r="X302" i="3" s="1"/>
  <c r="N302" i="3"/>
  <c r="L302" i="3"/>
  <c r="H302" i="3"/>
  <c r="D302" i="3"/>
  <c r="B302" i="3"/>
  <c r="X301" i="3"/>
  <c r="Z301" i="3" s="1"/>
  <c r="N301" i="3"/>
  <c r="L301" i="3"/>
  <c r="B301" i="3"/>
  <c r="X300" i="3"/>
  <c r="Z300" i="3" s="1"/>
  <c r="N300" i="3"/>
  <c r="L300" i="3"/>
  <c r="B300" i="3"/>
  <c r="Z299" i="3"/>
  <c r="X299" i="3"/>
  <c r="N299" i="3"/>
  <c r="L299" i="3"/>
  <c r="B299" i="3"/>
  <c r="T298" i="3"/>
  <c r="P298" i="3"/>
  <c r="L298" i="3"/>
  <c r="H298" i="3"/>
  <c r="N298" i="3" s="1"/>
  <c r="D298" i="3"/>
  <c r="B298" i="3"/>
  <c r="X297" i="3"/>
  <c r="Z297" i="3" s="1"/>
  <c r="N297" i="3"/>
  <c r="L297" i="3"/>
  <c r="B297" i="3"/>
  <c r="T296" i="3"/>
  <c r="P296" i="3"/>
  <c r="X296" i="3" s="1"/>
  <c r="Z296" i="3" s="1"/>
  <c r="H296" i="3"/>
  <c r="L296" i="3" s="1"/>
  <c r="D296" i="3"/>
  <c r="B296" i="3"/>
  <c r="Z295" i="3"/>
  <c r="X295" i="3"/>
  <c r="L295" i="3"/>
  <c r="N295" i="3" s="1"/>
  <c r="B295" i="3"/>
  <c r="Z294" i="3"/>
  <c r="X294" i="3"/>
  <c r="N294" i="3"/>
  <c r="L294" i="3"/>
  <c r="B294" i="3"/>
  <c r="T293" i="3"/>
  <c r="P293" i="3"/>
  <c r="N293" i="3"/>
  <c r="H293" i="3"/>
  <c r="D293" i="3"/>
  <c r="L293" i="3" s="1"/>
  <c r="B293" i="3"/>
  <c r="X292" i="3"/>
  <c r="Z292" i="3" s="1"/>
  <c r="L292" i="3"/>
  <c r="N292" i="3" s="1"/>
  <c r="B292" i="3"/>
  <c r="X291" i="3"/>
  <c r="Z291" i="3" s="1"/>
  <c r="N291" i="3"/>
  <c r="L291" i="3"/>
  <c r="B291" i="3"/>
  <c r="X290" i="3"/>
  <c r="Z290" i="3" s="1"/>
  <c r="N290" i="3"/>
  <c r="L290" i="3"/>
  <c r="B290" i="3"/>
  <c r="X289" i="3"/>
  <c r="Z289" i="3" s="1"/>
  <c r="L289" i="3"/>
  <c r="N289" i="3" s="1"/>
  <c r="B289" i="3"/>
  <c r="X288" i="3"/>
  <c r="Z288" i="3" s="1"/>
  <c r="L288" i="3"/>
  <c r="N288" i="3" s="1"/>
  <c r="B288" i="3"/>
  <c r="Z287" i="3"/>
  <c r="X287" i="3"/>
  <c r="L287" i="3"/>
  <c r="N287" i="3" s="1"/>
  <c r="B287" i="3"/>
  <c r="X286" i="3"/>
  <c r="Z286" i="3" s="1"/>
  <c r="N286" i="3"/>
  <c r="L286" i="3"/>
  <c r="B286" i="3"/>
  <c r="X285" i="3"/>
  <c r="Z285" i="3" s="1"/>
  <c r="L285" i="3"/>
  <c r="N285" i="3" s="1"/>
  <c r="B285" i="3"/>
  <c r="Z284" i="3"/>
  <c r="X284" i="3"/>
  <c r="N284" i="3"/>
  <c r="L284" i="3"/>
  <c r="B284" i="3"/>
  <c r="X283" i="3"/>
  <c r="Z283" i="3" s="1"/>
  <c r="N283" i="3"/>
  <c r="L283" i="3"/>
  <c r="B283" i="3"/>
  <c r="X282" i="3"/>
  <c r="T282" i="3"/>
  <c r="P282" i="3"/>
  <c r="L282" i="3"/>
  <c r="H282" i="3"/>
  <c r="N282" i="3" s="1"/>
  <c r="D282" i="3"/>
  <c r="B282" i="3"/>
  <c r="X281" i="3"/>
  <c r="Z281" i="3" s="1"/>
  <c r="N281" i="3"/>
  <c r="L281" i="3"/>
  <c r="B281" i="3"/>
  <c r="Z280" i="3"/>
  <c r="X280" i="3"/>
  <c r="N280" i="3"/>
  <c r="L280" i="3"/>
  <c r="B280" i="3"/>
  <c r="T279" i="3"/>
  <c r="P279" i="3"/>
  <c r="H279" i="3"/>
  <c r="L279" i="3" s="1"/>
  <c r="D279" i="3"/>
  <c r="B279" i="3"/>
  <c r="Z278" i="3"/>
  <c r="X278" i="3"/>
  <c r="L278" i="3"/>
  <c r="N278" i="3" s="1"/>
  <c r="B278" i="3"/>
  <c r="Z277" i="3"/>
  <c r="X277" i="3"/>
  <c r="L277" i="3"/>
  <c r="N277" i="3" s="1"/>
  <c r="B277" i="3"/>
  <c r="Z276" i="3"/>
  <c r="X276" i="3"/>
  <c r="L276" i="3"/>
  <c r="N276" i="3" s="1"/>
  <c r="B276" i="3"/>
  <c r="Z275" i="3"/>
  <c r="X275" i="3"/>
  <c r="N275" i="3"/>
  <c r="L275" i="3"/>
  <c r="B275" i="3"/>
  <c r="Z274" i="3"/>
  <c r="X274" i="3"/>
  <c r="L274" i="3"/>
  <c r="N274" i="3" s="1"/>
  <c r="B274" i="3"/>
  <c r="T273" i="3"/>
  <c r="P273" i="3"/>
  <c r="H273" i="3"/>
  <c r="D273" i="3"/>
  <c r="B273" i="3"/>
  <c r="X272" i="3"/>
  <c r="Z272" i="3" s="1"/>
  <c r="N272" i="3"/>
  <c r="L272" i="3"/>
  <c r="B272" i="3"/>
  <c r="X271" i="3"/>
  <c r="Z271" i="3" s="1"/>
  <c r="N271" i="3"/>
  <c r="L271" i="3"/>
  <c r="B271" i="3"/>
  <c r="X270" i="3"/>
  <c r="Z270" i="3" s="1"/>
  <c r="N270" i="3"/>
  <c r="L270" i="3"/>
  <c r="B270" i="3"/>
  <c r="T269" i="3"/>
  <c r="P269" i="3"/>
  <c r="X269" i="3" s="1"/>
  <c r="Z269" i="3" s="1"/>
  <c r="L269" i="3"/>
  <c r="N269" i="3" s="1"/>
  <c r="H269" i="3"/>
  <c r="D269" i="3"/>
  <c r="B269" i="3"/>
  <c r="Z268" i="3"/>
  <c r="X268" i="3"/>
  <c r="L268" i="3"/>
  <c r="N268" i="3" s="1"/>
  <c r="B268" i="3"/>
  <c r="Z267" i="3"/>
  <c r="X267" i="3"/>
  <c r="N267" i="3"/>
  <c r="L267" i="3"/>
  <c r="B267" i="3"/>
  <c r="Z266" i="3"/>
  <c r="X266" i="3"/>
  <c r="N266" i="3"/>
  <c r="L266" i="3"/>
  <c r="B266" i="3"/>
  <c r="X265" i="3"/>
  <c r="Z265" i="3" s="1"/>
  <c r="N265" i="3"/>
  <c r="L265" i="3"/>
  <c r="B265" i="3"/>
  <c r="T264" i="3"/>
  <c r="P264" i="3"/>
  <c r="X264" i="3" s="1"/>
  <c r="H264" i="3"/>
  <c r="D264" i="3"/>
  <c r="B264" i="3"/>
  <c r="Z263" i="3"/>
  <c r="X263" i="3"/>
  <c r="L263" i="3"/>
  <c r="N263" i="3" s="1"/>
  <c r="B263" i="3"/>
  <c r="Z262" i="3"/>
  <c r="T262" i="3"/>
  <c r="P262" i="3"/>
  <c r="X262" i="3" s="1"/>
  <c r="H262" i="3"/>
  <c r="D262" i="3"/>
  <c r="L262" i="3" s="1"/>
  <c r="N262" i="3" s="1"/>
  <c r="B262" i="3"/>
  <c r="X261" i="3"/>
  <c r="Z261" i="3" s="1"/>
  <c r="L261" i="3"/>
  <c r="N261" i="3" s="1"/>
  <c r="B261" i="3"/>
  <c r="T260" i="3"/>
  <c r="P260" i="3"/>
  <c r="X260" i="3" s="1"/>
  <c r="H260" i="3"/>
  <c r="D260" i="3"/>
  <c r="L260" i="3" s="1"/>
  <c r="B260" i="3"/>
  <c r="Z259" i="3"/>
  <c r="X259" i="3"/>
  <c r="N259" i="3"/>
  <c r="L259" i="3"/>
  <c r="B259" i="3"/>
  <c r="X258" i="3"/>
  <c r="Z258" i="3" s="1"/>
  <c r="T258" i="3"/>
  <c r="P258" i="3"/>
  <c r="H258" i="3"/>
  <c r="N258" i="3" s="1"/>
  <c r="D258" i="3"/>
  <c r="L258" i="3" s="1"/>
  <c r="B258" i="3"/>
  <c r="Z257" i="3"/>
  <c r="X257" i="3"/>
  <c r="N257" i="3"/>
  <c r="L257" i="3"/>
  <c r="B257" i="3"/>
  <c r="Z256" i="3"/>
  <c r="X256" i="3"/>
  <c r="N256" i="3"/>
  <c r="L256" i="3"/>
  <c r="B256" i="3"/>
  <c r="Z255" i="3"/>
  <c r="X255" i="3"/>
  <c r="L255" i="3"/>
  <c r="N255" i="3" s="1"/>
  <c r="B255" i="3"/>
  <c r="T254" i="3"/>
  <c r="P254" i="3"/>
  <c r="L254" i="3"/>
  <c r="N254" i="3" s="1"/>
  <c r="H254" i="3"/>
  <c r="D254" i="3"/>
  <c r="B254" i="3"/>
  <c r="X253" i="3"/>
  <c r="Z253" i="3" s="1"/>
  <c r="L253" i="3"/>
  <c r="N253" i="3" s="1"/>
  <c r="B253" i="3"/>
  <c r="T252" i="3"/>
  <c r="P252" i="3"/>
  <c r="X252" i="3" s="1"/>
  <c r="H252" i="3"/>
  <c r="D252" i="3"/>
  <c r="L252" i="3" s="1"/>
  <c r="B252" i="3"/>
  <c r="X251" i="3"/>
  <c r="Z251" i="3" s="1"/>
  <c r="N251" i="3"/>
  <c r="L251" i="3"/>
  <c r="B251" i="3"/>
  <c r="T250" i="3"/>
  <c r="P250" i="3"/>
  <c r="H250" i="3"/>
  <c r="D250" i="3"/>
  <c r="L250" i="3" s="1"/>
  <c r="N250" i="3" s="1"/>
  <c r="B250" i="3"/>
  <c r="Z249" i="3"/>
  <c r="X249" i="3"/>
  <c r="L249" i="3"/>
  <c r="N249" i="3" s="1"/>
  <c r="B249" i="3"/>
  <c r="X248" i="3"/>
  <c r="Z248" i="3" s="1"/>
  <c r="N248" i="3"/>
  <c r="L248" i="3"/>
  <c r="B248" i="3"/>
  <c r="T247" i="3"/>
  <c r="P247" i="3"/>
  <c r="X247" i="3" s="1"/>
  <c r="Z247" i="3" s="1"/>
  <c r="H247" i="3"/>
  <c r="D247" i="3"/>
  <c r="L247" i="3" s="1"/>
  <c r="N247" i="3" s="1"/>
  <c r="B247" i="3"/>
  <c r="X246" i="3"/>
  <c r="Z246" i="3" s="1"/>
  <c r="L246" i="3"/>
  <c r="N246" i="3" s="1"/>
  <c r="B246" i="3"/>
  <c r="Z245" i="3"/>
  <c r="X245" i="3"/>
  <c r="L245" i="3"/>
  <c r="N245" i="3" s="1"/>
  <c r="B245" i="3"/>
  <c r="T244" i="3"/>
  <c r="P244" i="3"/>
  <c r="X244" i="3" s="1"/>
  <c r="H244" i="3"/>
  <c r="D244" i="3"/>
  <c r="L244" i="3" s="1"/>
  <c r="B244" i="3"/>
  <c r="Z243" i="3"/>
  <c r="X243" i="3"/>
  <c r="N243" i="3"/>
  <c r="L243" i="3"/>
  <c r="B243" i="3"/>
  <c r="T242" i="3"/>
  <c r="X242" i="3" s="1"/>
  <c r="Z242" i="3" s="1"/>
  <c r="P242" i="3"/>
  <c r="H242" i="3"/>
  <c r="D242" i="3"/>
  <c r="B242" i="3"/>
  <c r="Z241" i="3"/>
  <c r="X241" i="3"/>
  <c r="N241" i="3"/>
  <c r="L241" i="3"/>
  <c r="B241" i="3"/>
  <c r="T240" i="3"/>
  <c r="P240" i="3"/>
  <c r="X240" i="3" s="1"/>
  <c r="Z240" i="3" s="1"/>
  <c r="H240" i="3"/>
  <c r="L240" i="3" s="1"/>
  <c r="N240" i="3" s="1"/>
  <c r="D240" i="3"/>
  <c r="B240" i="3"/>
  <c r="X239" i="3"/>
  <c r="Z239" i="3" s="1"/>
  <c r="N239" i="3"/>
  <c r="L239" i="3"/>
  <c r="B239" i="3"/>
  <c r="T238" i="3"/>
  <c r="P238" i="3"/>
  <c r="X238" i="3" s="1"/>
  <c r="H238" i="3"/>
  <c r="D238" i="3"/>
  <c r="L238" i="3" s="1"/>
  <c r="B238" i="3"/>
  <c r="Z237" i="3"/>
  <c r="X237" i="3"/>
  <c r="N237" i="3"/>
  <c r="L237" i="3"/>
  <c r="B237" i="3"/>
  <c r="X236" i="3"/>
  <c r="Z236" i="3" s="1"/>
  <c r="N236" i="3"/>
  <c r="L236" i="3"/>
  <c r="B236" i="3"/>
  <c r="X235" i="3"/>
  <c r="Z235" i="3" s="1"/>
  <c r="T235" i="3"/>
  <c r="P235" i="3"/>
  <c r="H235" i="3"/>
  <c r="L235" i="3" s="1"/>
  <c r="N235" i="3" s="1"/>
  <c r="D235" i="3"/>
  <c r="B235" i="3"/>
  <c r="X234" i="3"/>
  <c r="Z234" i="3" s="1"/>
  <c r="L234" i="3"/>
  <c r="N234" i="3" s="1"/>
  <c r="B234" i="3"/>
  <c r="Z233" i="3"/>
  <c r="X233" i="3"/>
  <c r="N233" i="3"/>
  <c r="L233" i="3"/>
  <c r="B233" i="3"/>
  <c r="X232" i="3"/>
  <c r="Z232" i="3" s="1"/>
  <c r="L232" i="3"/>
  <c r="N232" i="3" s="1"/>
  <c r="B232" i="3"/>
  <c r="Z231" i="3"/>
  <c r="X231" i="3"/>
  <c r="L231" i="3"/>
  <c r="N231" i="3" s="1"/>
  <c r="B231" i="3"/>
  <c r="T230" i="3"/>
  <c r="Z230" i="3" s="1"/>
  <c r="P230" i="3"/>
  <c r="X230" i="3" s="1"/>
  <c r="H230" i="3"/>
  <c r="N230" i="3" s="1"/>
  <c r="D230" i="3"/>
  <c r="L230" i="3" s="1"/>
  <c r="B230" i="3"/>
  <c r="X229" i="3"/>
  <c r="Z229" i="3" s="1"/>
  <c r="L229" i="3"/>
  <c r="N229" i="3" s="1"/>
  <c r="B229" i="3"/>
  <c r="T228" i="3"/>
  <c r="P228" i="3"/>
  <c r="X228" i="3" s="1"/>
  <c r="H228" i="3"/>
  <c r="D228" i="3"/>
  <c r="L228" i="3" s="1"/>
  <c r="B228" i="3"/>
  <c r="Z227" i="3"/>
  <c r="X227" i="3"/>
  <c r="N227" i="3"/>
  <c r="L227" i="3"/>
  <c r="B227" i="3"/>
  <c r="X226" i="3"/>
  <c r="Z226" i="3" s="1"/>
  <c r="L226" i="3"/>
  <c r="N226" i="3" s="1"/>
  <c r="B226" i="3"/>
  <c r="T225" i="3"/>
  <c r="P225" i="3"/>
  <c r="X225" i="3" s="1"/>
  <c r="H225" i="3"/>
  <c r="D225" i="3"/>
  <c r="L225" i="3" s="1"/>
  <c r="B225" i="3"/>
  <c r="X224" i="3"/>
  <c r="Z224" i="3" s="1"/>
  <c r="N224" i="3"/>
  <c r="L224" i="3"/>
  <c r="B224" i="3"/>
  <c r="T223" i="3"/>
  <c r="P223" i="3"/>
  <c r="X223" i="3" s="1"/>
  <c r="Z223" i="3" s="1"/>
  <c r="H223" i="3"/>
  <c r="D223" i="3"/>
  <c r="L223" i="3" s="1"/>
  <c r="N223" i="3" s="1"/>
  <c r="B223" i="3"/>
  <c r="X222" i="3"/>
  <c r="Z222" i="3" s="1"/>
  <c r="L222" i="3"/>
  <c r="N222" i="3" s="1"/>
  <c r="B222" i="3"/>
  <c r="X221" i="3"/>
  <c r="Z221" i="3" s="1"/>
  <c r="N221" i="3"/>
  <c r="L221" i="3"/>
  <c r="B221" i="3"/>
  <c r="Z220" i="3"/>
  <c r="X220" i="3"/>
  <c r="N220" i="3"/>
  <c r="L220" i="3"/>
  <c r="B220" i="3"/>
  <c r="X219" i="3"/>
  <c r="Z219" i="3" s="1"/>
  <c r="N219" i="3"/>
  <c r="L219" i="3"/>
  <c r="B219" i="3"/>
  <c r="X218" i="3"/>
  <c r="Z218" i="3" s="1"/>
  <c r="L218" i="3"/>
  <c r="N218" i="3" s="1"/>
  <c r="B218" i="3"/>
  <c r="X217" i="3"/>
  <c r="Z217" i="3" s="1"/>
  <c r="N217" i="3"/>
  <c r="L217" i="3"/>
  <c r="B217" i="3"/>
  <c r="Z216" i="3"/>
  <c r="X216" i="3"/>
  <c r="N216" i="3"/>
  <c r="L216" i="3"/>
  <c r="B216" i="3"/>
  <c r="T215" i="3"/>
  <c r="P215" i="3"/>
  <c r="L215" i="3"/>
  <c r="N215" i="3" s="1"/>
  <c r="H215" i="3"/>
  <c r="D215" i="3"/>
  <c r="B215" i="3"/>
  <c r="X214" i="3"/>
  <c r="Z214" i="3" s="1"/>
  <c r="L214" i="3"/>
  <c r="N214" i="3" s="1"/>
  <c r="B214" i="3"/>
  <c r="Z213" i="3"/>
  <c r="X213" i="3"/>
  <c r="L213" i="3"/>
  <c r="N213" i="3" s="1"/>
  <c r="B213" i="3"/>
  <c r="Z212" i="3"/>
  <c r="X212" i="3"/>
  <c r="L212" i="3"/>
  <c r="N212" i="3" s="1"/>
  <c r="B212" i="3"/>
  <c r="Z211" i="3"/>
  <c r="X211" i="3"/>
  <c r="L211" i="3"/>
  <c r="N211" i="3" s="1"/>
  <c r="B211" i="3"/>
  <c r="Z210" i="3"/>
  <c r="X210" i="3"/>
  <c r="N210" i="3"/>
  <c r="L210" i="3"/>
  <c r="B210" i="3"/>
  <c r="Z209" i="3"/>
  <c r="X209" i="3"/>
  <c r="L209" i="3"/>
  <c r="N209" i="3" s="1"/>
  <c r="B209" i="3"/>
  <c r="Z208" i="3"/>
  <c r="X208" i="3"/>
  <c r="L208" i="3"/>
  <c r="N208" i="3" s="1"/>
  <c r="B208" i="3"/>
  <c r="Z207" i="3"/>
  <c r="X207" i="3"/>
  <c r="L207" i="3"/>
  <c r="N207" i="3" s="1"/>
  <c r="B207" i="3"/>
  <c r="X206" i="3"/>
  <c r="Z206" i="3" s="1"/>
  <c r="L206" i="3"/>
  <c r="N206" i="3" s="1"/>
  <c r="B206" i="3"/>
  <c r="Z205" i="3"/>
  <c r="X205" i="3"/>
  <c r="L205" i="3"/>
  <c r="N205" i="3" s="1"/>
  <c r="B205" i="3"/>
  <c r="T204" i="3"/>
  <c r="P204" i="3"/>
  <c r="X204" i="3" s="1"/>
  <c r="Z204" i="3" s="1"/>
  <c r="H204" i="3"/>
  <c r="D204" i="3"/>
  <c r="L204" i="3" s="1"/>
  <c r="N204" i="3" s="1"/>
  <c r="B204" i="3"/>
  <c r="T203" i="3"/>
  <c r="P203" i="3"/>
  <c r="X203" i="3" s="1"/>
  <c r="Z203" i="3" s="1"/>
  <c r="H203" i="3"/>
  <c r="D203" i="3"/>
  <c r="L203" i="3" s="1"/>
  <c r="N203" i="3" s="1"/>
  <c r="X199" i="3"/>
  <c r="Z199" i="3" s="1"/>
  <c r="L199" i="3"/>
  <c r="N199" i="3" s="1"/>
  <c r="B199" i="3"/>
  <c r="X198" i="3"/>
  <c r="Z198" i="3" s="1"/>
  <c r="L198" i="3"/>
  <c r="N198" i="3" s="1"/>
  <c r="B198" i="3"/>
  <c r="Z197" i="3"/>
  <c r="X197" i="3"/>
  <c r="N197" i="3"/>
  <c r="L197" i="3"/>
  <c r="B197" i="3"/>
  <c r="X196" i="3"/>
  <c r="Z196" i="3" s="1"/>
  <c r="N196" i="3"/>
  <c r="L196" i="3"/>
  <c r="B196" i="3"/>
  <c r="X195" i="3"/>
  <c r="Z195" i="3" s="1"/>
  <c r="L195" i="3"/>
  <c r="N195" i="3" s="1"/>
  <c r="B195" i="3"/>
  <c r="X194" i="3"/>
  <c r="Z194" i="3" s="1"/>
  <c r="N194" i="3"/>
  <c r="L194" i="3"/>
  <c r="B194" i="3"/>
  <c r="X193" i="3"/>
  <c r="Z193" i="3" s="1"/>
  <c r="L193" i="3"/>
  <c r="N193" i="3" s="1"/>
  <c r="B193" i="3"/>
  <c r="X192" i="3"/>
  <c r="Z192" i="3" s="1"/>
  <c r="N192" i="3"/>
  <c r="L192" i="3"/>
  <c r="B192" i="3"/>
  <c r="X191" i="3"/>
  <c r="Z191" i="3" s="1"/>
  <c r="L191" i="3"/>
  <c r="N191" i="3" s="1"/>
  <c r="B191" i="3"/>
  <c r="X190" i="3"/>
  <c r="Z190" i="3" s="1"/>
  <c r="L190" i="3"/>
  <c r="N190" i="3" s="1"/>
  <c r="B190" i="3"/>
  <c r="X189" i="3"/>
  <c r="Z189" i="3" s="1"/>
  <c r="L189" i="3"/>
  <c r="N189" i="3" s="1"/>
  <c r="B189" i="3"/>
  <c r="X188" i="3"/>
  <c r="Z188" i="3" s="1"/>
  <c r="N188" i="3"/>
  <c r="L188" i="3"/>
  <c r="B188" i="3"/>
  <c r="X187" i="3"/>
  <c r="Z187" i="3" s="1"/>
  <c r="L187" i="3"/>
  <c r="N187" i="3" s="1"/>
  <c r="B187" i="3"/>
  <c r="X186" i="3"/>
  <c r="Z186" i="3" s="1"/>
  <c r="L186" i="3"/>
  <c r="N186" i="3" s="1"/>
  <c r="B186" i="3"/>
  <c r="X185" i="3"/>
  <c r="Z185" i="3" s="1"/>
  <c r="N185" i="3"/>
  <c r="L185" i="3"/>
  <c r="B185" i="3"/>
  <c r="X184" i="3"/>
  <c r="Z184" i="3" s="1"/>
  <c r="N184" i="3"/>
  <c r="L184" i="3"/>
  <c r="B184" i="3"/>
  <c r="X183" i="3"/>
  <c r="Z183" i="3" s="1"/>
  <c r="N183" i="3"/>
  <c r="L183" i="3"/>
  <c r="B183" i="3"/>
  <c r="X182" i="3"/>
  <c r="Z182" i="3" s="1"/>
  <c r="L182" i="3"/>
  <c r="N182" i="3" s="1"/>
  <c r="B182" i="3"/>
  <c r="X181" i="3"/>
  <c r="Z181" i="3" s="1"/>
  <c r="L181" i="3"/>
  <c r="N181" i="3" s="1"/>
  <c r="B181" i="3"/>
  <c r="X180" i="3"/>
  <c r="Z180" i="3" s="1"/>
  <c r="N180" i="3"/>
  <c r="L180" i="3"/>
  <c r="B180" i="3"/>
  <c r="X179" i="3"/>
  <c r="Z179" i="3" s="1"/>
  <c r="L179" i="3"/>
  <c r="N179" i="3" s="1"/>
  <c r="B179" i="3"/>
  <c r="X178" i="3"/>
  <c r="Z178" i="3" s="1"/>
  <c r="N178" i="3"/>
  <c r="L178" i="3"/>
  <c r="B178" i="3"/>
  <c r="X177" i="3"/>
  <c r="Z177" i="3" s="1"/>
  <c r="L177" i="3"/>
  <c r="N177" i="3" s="1"/>
  <c r="B177" i="3"/>
  <c r="X176" i="3"/>
  <c r="Z176" i="3" s="1"/>
  <c r="N176" i="3"/>
  <c r="L176" i="3"/>
  <c r="B176" i="3"/>
  <c r="Z175" i="3"/>
  <c r="X175" i="3"/>
  <c r="N175" i="3"/>
  <c r="L175" i="3"/>
  <c r="B175" i="3"/>
  <c r="X174" i="3"/>
  <c r="Z174" i="3" s="1"/>
  <c r="L174" i="3"/>
  <c r="N174" i="3" s="1"/>
  <c r="B174" i="3"/>
  <c r="X173" i="3"/>
  <c r="Z173" i="3" s="1"/>
  <c r="N173" i="3"/>
  <c r="L173" i="3"/>
  <c r="B173" i="3"/>
  <c r="X172" i="3"/>
  <c r="Z172" i="3" s="1"/>
  <c r="N172" i="3"/>
  <c r="L172" i="3"/>
  <c r="B172" i="3"/>
  <c r="X171" i="3"/>
  <c r="Z171" i="3" s="1"/>
  <c r="N171" i="3"/>
  <c r="L171" i="3"/>
  <c r="B171" i="3"/>
  <c r="X170" i="3"/>
  <c r="Z170" i="3" s="1"/>
  <c r="N170" i="3"/>
  <c r="L170" i="3"/>
  <c r="B170" i="3"/>
  <c r="X169" i="3"/>
  <c r="Z169" i="3" s="1"/>
  <c r="L169" i="3"/>
  <c r="N169" i="3" s="1"/>
  <c r="B169" i="3"/>
  <c r="X168" i="3"/>
  <c r="Z168" i="3" s="1"/>
  <c r="N168" i="3"/>
  <c r="L168" i="3"/>
  <c r="B168" i="3"/>
  <c r="X167" i="3"/>
  <c r="Z167" i="3" s="1"/>
  <c r="L167" i="3"/>
  <c r="N167" i="3" s="1"/>
  <c r="B167" i="3"/>
  <c r="X166" i="3"/>
  <c r="Z166" i="3" s="1"/>
  <c r="L166" i="3"/>
  <c r="N166" i="3" s="1"/>
  <c r="B166" i="3"/>
  <c r="X165" i="3"/>
  <c r="Z165" i="3" s="1"/>
  <c r="L165" i="3"/>
  <c r="N165" i="3" s="1"/>
  <c r="B165" i="3"/>
  <c r="X164" i="3"/>
  <c r="Z164" i="3" s="1"/>
  <c r="N164" i="3"/>
  <c r="L164" i="3"/>
  <c r="B164" i="3"/>
  <c r="X163" i="3"/>
  <c r="Z163" i="3" s="1"/>
  <c r="L163" i="3"/>
  <c r="N163" i="3" s="1"/>
  <c r="B163" i="3"/>
  <c r="X162" i="3"/>
  <c r="Z162" i="3" s="1"/>
  <c r="L162" i="3"/>
  <c r="N162" i="3" s="1"/>
  <c r="B162" i="3"/>
  <c r="X161" i="3"/>
  <c r="Z161" i="3" s="1"/>
  <c r="L161" i="3"/>
  <c r="N161" i="3" s="1"/>
  <c r="B161" i="3"/>
  <c r="X160" i="3"/>
  <c r="Z160" i="3" s="1"/>
  <c r="N160" i="3"/>
  <c r="L160" i="3"/>
  <c r="B160" i="3"/>
  <c r="X159" i="3"/>
  <c r="Z159" i="3" s="1"/>
  <c r="L159" i="3"/>
  <c r="N159" i="3" s="1"/>
  <c r="B159" i="3"/>
  <c r="X158" i="3"/>
  <c r="Z158" i="3" s="1"/>
  <c r="L158" i="3"/>
  <c r="N158" i="3" s="1"/>
  <c r="B158" i="3"/>
  <c r="X157" i="3"/>
  <c r="Z157" i="3" s="1"/>
  <c r="L157" i="3"/>
  <c r="N157" i="3" s="1"/>
  <c r="B157" i="3"/>
  <c r="X156" i="3"/>
  <c r="Z156" i="3" s="1"/>
  <c r="N156" i="3"/>
  <c r="L156" i="3"/>
  <c r="B156" i="3"/>
  <c r="X155" i="3"/>
  <c r="Z155" i="3" s="1"/>
  <c r="L155" i="3"/>
  <c r="N155" i="3" s="1"/>
  <c r="B155" i="3"/>
  <c r="X154" i="3"/>
  <c r="Z154" i="3" s="1"/>
  <c r="L154" i="3"/>
  <c r="N154" i="3" s="1"/>
  <c r="B154" i="3"/>
  <c r="X153" i="3"/>
  <c r="Z153" i="3" s="1"/>
  <c r="L153" i="3"/>
  <c r="N153" i="3" s="1"/>
  <c r="B153" i="3"/>
  <c r="X152" i="3"/>
  <c r="Z152" i="3" s="1"/>
  <c r="N152" i="3"/>
  <c r="L152" i="3"/>
  <c r="B152" i="3"/>
  <c r="X151" i="3"/>
  <c r="Z151" i="3" s="1"/>
  <c r="L151" i="3"/>
  <c r="N151" i="3" s="1"/>
  <c r="B151" i="3"/>
  <c r="X150" i="3"/>
  <c r="Z150" i="3" s="1"/>
  <c r="L150" i="3"/>
  <c r="N150" i="3" s="1"/>
  <c r="B150" i="3"/>
  <c r="X149" i="3"/>
  <c r="Z149" i="3" s="1"/>
  <c r="L149" i="3"/>
  <c r="N149" i="3" s="1"/>
  <c r="B149" i="3"/>
  <c r="X148" i="3"/>
  <c r="Z148" i="3" s="1"/>
  <c r="N148" i="3"/>
  <c r="L148" i="3"/>
  <c r="B148" i="3"/>
  <c r="X147" i="3"/>
  <c r="Z147" i="3" s="1"/>
  <c r="L147" i="3"/>
  <c r="N147" i="3" s="1"/>
  <c r="B147" i="3"/>
  <c r="X146" i="3"/>
  <c r="Z146" i="3" s="1"/>
  <c r="L146" i="3"/>
  <c r="N146" i="3" s="1"/>
  <c r="B146" i="3"/>
  <c r="X145" i="3"/>
  <c r="Z145" i="3" s="1"/>
  <c r="L145" i="3"/>
  <c r="N145" i="3" s="1"/>
  <c r="B145" i="3"/>
  <c r="X144" i="3"/>
  <c r="Z144" i="3" s="1"/>
  <c r="N144" i="3"/>
  <c r="L144" i="3"/>
  <c r="B144" i="3"/>
  <c r="X143" i="3"/>
  <c r="Z143" i="3" s="1"/>
  <c r="L143" i="3"/>
  <c r="N143" i="3" s="1"/>
  <c r="B143" i="3"/>
  <c r="X142" i="3"/>
  <c r="Z142" i="3" s="1"/>
  <c r="N142" i="3"/>
  <c r="L142" i="3"/>
  <c r="B142" i="3"/>
  <c r="X141" i="3"/>
  <c r="Z141" i="3" s="1"/>
  <c r="L141" i="3"/>
  <c r="N141" i="3" s="1"/>
  <c r="B141" i="3"/>
  <c r="X140" i="3"/>
  <c r="Z140" i="3" s="1"/>
  <c r="N140" i="3"/>
  <c r="L140" i="3"/>
  <c r="B140" i="3"/>
  <c r="Z139" i="3"/>
  <c r="X139" i="3"/>
  <c r="N139" i="3"/>
  <c r="L139" i="3"/>
  <c r="B139" i="3"/>
  <c r="X138" i="3"/>
  <c r="T138" i="3"/>
  <c r="Z138" i="3" s="1"/>
  <c r="P138" i="3"/>
  <c r="H138" i="3"/>
  <c r="N138" i="3" s="1"/>
  <c r="D138" i="3"/>
  <c r="L138" i="3" s="1"/>
  <c r="T136" i="3"/>
  <c r="P136" i="3"/>
  <c r="N136" i="3"/>
  <c r="L136" i="3"/>
  <c r="H136" i="3"/>
  <c r="D136" i="3"/>
  <c r="B136" i="3"/>
  <c r="X135" i="3"/>
  <c r="Z135" i="3" s="1"/>
  <c r="T135" i="3"/>
  <c r="P135" i="3"/>
  <c r="N135" i="3"/>
  <c r="L135" i="3"/>
  <c r="H135" i="3"/>
  <c r="D135" i="3"/>
  <c r="B135" i="3"/>
  <c r="T134" i="3"/>
  <c r="P134" i="3"/>
  <c r="X134" i="3" s="1"/>
  <c r="N134" i="3"/>
  <c r="H134" i="3"/>
  <c r="D134" i="3"/>
  <c r="L134" i="3" s="1"/>
  <c r="B134" i="3"/>
  <c r="T133" i="3"/>
  <c r="P133" i="3"/>
  <c r="L133" i="3"/>
  <c r="H133" i="3"/>
  <c r="N133" i="3" s="1"/>
  <c r="D133" i="3"/>
  <c r="B133" i="3"/>
  <c r="T132" i="3"/>
  <c r="P132" i="3"/>
  <c r="N132" i="3"/>
  <c r="L132" i="3"/>
  <c r="H132" i="3"/>
  <c r="D132" i="3"/>
  <c r="B132" i="3"/>
  <c r="X131" i="3"/>
  <c r="Z131" i="3" s="1"/>
  <c r="T131" i="3"/>
  <c r="P131" i="3"/>
  <c r="N131" i="3"/>
  <c r="L131" i="3"/>
  <c r="H131" i="3"/>
  <c r="D131" i="3"/>
  <c r="B131" i="3"/>
  <c r="T130" i="3"/>
  <c r="P130" i="3"/>
  <c r="X130" i="3" s="1"/>
  <c r="N130" i="3"/>
  <c r="H130" i="3"/>
  <c r="D130" i="3"/>
  <c r="L130" i="3" s="1"/>
  <c r="B130" i="3"/>
  <c r="T129" i="3"/>
  <c r="P129" i="3"/>
  <c r="L129" i="3"/>
  <c r="H129" i="3"/>
  <c r="N129" i="3" s="1"/>
  <c r="D129" i="3"/>
  <c r="B129" i="3"/>
  <c r="T128" i="3"/>
  <c r="P128" i="3"/>
  <c r="N128" i="3"/>
  <c r="L128" i="3"/>
  <c r="H128" i="3"/>
  <c r="D128" i="3"/>
  <c r="B128" i="3"/>
  <c r="X127" i="3"/>
  <c r="Z127" i="3" s="1"/>
  <c r="T127" i="3"/>
  <c r="P127" i="3"/>
  <c r="L127" i="3"/>
  <c r="N127" i="3" s="1"/>
  <c r="H127" i="3"/>
  <c r="D127" i="3"/>
  <c r="B127" i="3"/>
  <c r="T126" i="3"/>
  <c r="Z126" i="3" s="1"/>
  <c r="P126" i="3"/>
  <c r="X126" i="3" s="1"/>
  <c r="N126" i="3"/>
  <c r="H126" i="3"/>
  <c r="D126" i="3"/>
  <c r="L126" i="3" s="1"/>
  <c r="B126" i="3"/>
  <c r="T125" i="3"/>
  <c r="P125" i="3"/>
  <c r="L125" i="3"/>
  <c r="H125" i="3"/>
  <c r="N125" i="3" s="1"/>
  <c r="D125" i="3"/>
  <c r="B125" i="3"/>
  <c r="T124" i="3"/>
  <c r="P124" i="3"/>
  <c r="L124" i="3"/>
  <c r="N124" i="3" s="1"/>
  <c r="H124" i="3"/>
  <c r="D124" i="3"/>
  <c r="B124" i="3"/>
  <c r="X123" i="3"/>
  <c r="Z123" i="3" s="1"/>
  <c r="T123" i="3"/>
  <c r="P123" i="3"/>
  <c r="N123" i="3"/>
  <c r="L123" i="3"/>
  <c r="H123" i="3"/>
  <c r="D123" i="3"/>
  <c r="B123" i="3"/>
  <c r="T122" i="3"/>
  <c r="Z122" i="3" s="1"/>
  <c r="P122" i="3"/>
  <c r="X122" i="3" s="1"/>
  <c r="N122" i="3"/>
  <c r="H122" i="3"/>
  <c r="D122" i="3"/>
  <c r="L122" i="3" s="1"/>
  <c r="B122" i="3"/>
  <c r="T121" i="3"/>
  <c r="P121" i="3"/>
  <c r="L121" i="3"/>
  <c r="H121" i="3"/>
  <c r="N121" i="3" s="1"/>
  <c r="D121" i="3"/>
  <c r="B121" i="3"/>
  <c r="T120" i="3"/>
  <c r="P120" i="3"/>
  <c r="N120" i="3"/>
  <c r="L120" i="3"/>
  <c r="H120" i="3"/>
  <c r="D120" i="3"/>
  <c r="B120" i="3"/>
  <c r="X119" i="3"/>
  <c r="Z119" i="3" s="1"/>
  <c r="T119" i="3"/>
  <c r="P119" i="3"/>
  <c r="L119" i="3"/>
  <c r="N119" i="3" s="1"/>
  <c r="H119" i="3"/>
  <c r="D119" i="3"/>
  <c r="B119" i="3"/>
  <c r="T118" i="3"/>
  <c r="P118" i="3"/>
  <c r="X118" i="3" s="1"/>
  <c r="N118" i="3"/>
  <c r="H118" i="3"/>
  <c r="D118" i="3"/>
  <c r="L118" i="3" s="1"/>
  <c r="B118" i="3"/>
  <c r="T117" i="3"/>
  <c r="P117" i="3"/>
  <c r="L117" i="3"/>
  <c r="H117" i="3"/>
  <c r="N117" i="3" s="1"/>
  <c r="D117" i="3"/>
  <c r="B117" i="3"/>
  <c r="T116" i="3"/>
  <c r="P116" i="3"/>
  <c r="N116" i="3"/>
  <c r="L116" i="3"/>
  <c r="H116" i="3"/>
  <c r="D116" i="3"/>
  <c r="B116" i="3"/>
  <c r="X115" i="3"/>
  <c r="Z115" i="3" s="1"/>
  <c r="T115" i="3"/>
  <c r="P115" i="3"/>
  <c r="N115" i="3"/>
  <c r="L115" i="3"/>
  <c r="H115" i="3"/>
  <c r="D115" i="3"/>
  <c r="B115" i="3"/>
  <c r="T114" i="3"/>
  <c r="P114" i="3"/>
  <c r="X114" i="3" s="1"/>
  <c r="H114" i="3"/>
  <c r="D114" i="3"/>
  <c r="L114" i="3" s="1"/>
  <c r="N114" i="3" s="1"/>
  <c r="B114" i="3"/>
  <c r="T113" i="3"/>
  <c r="P113" i="3"/>
  <c r="L113" i="3"/>
  <c r="H113" i="3"/>
  <c r="N113" i="3" s="1"/>
  <c r="D113" i="3"/>
  <c r="B113" i="3"/>
  <c r="T112" i="3"/>
  <c r="P112" i="3"/>
  <c r="L112" i="3"/>
  <c r="N112" i="3" s="1"/>
  <c r="H112" i="3"/>
  <c r="D112" i="3"/>
  <c r="B112" i="3"/>
  <c r="X111" i="3"/>
  <c r="Z111" i="3" s="1"/>
  <c r="T111" i="3"/>
  <c r="P111" i="3"/>
  <c r="L111" i="3"/>
  <c r="N111" i="3" s="1"/>
  <c r="H111" i="3"/>
  <c r="D111" i="3"/>
  <c r="B111" i="3"/>
  <c r="T110" i="3"/>
  <c r="P110" i="3"/>
  <c r="X110" i="3" s="1"/>
  <c r="H110" i="3"/>
  <c r="D110" i="3"/>
  <c r="L110" i="3" s="1"/>
  <c r="N110" i="3" s="1"/>
  <c r="B110" i="3"/>
  <c r="T109" i="3"/>
  <c r="P109" i="3"/>
  <c r="L109" i="3"/>
  <c r="H109" i="3"/>
  <c r="N109" i="3" s="1"/>
  <c r="D109" i="3"/>
  <c r="B109" i="3"/>
  <c r="T108" i="3"/>
  <c r="P108" i="3"/>
  <c r="L108" i="3"/>
  <c r="N108" i="3" s="1"/>
  <c r="H108" i="3"/>
  <c r="D108" i="3"/>
  <c r="B108" i="3"/>
  <c r="X107" i="3"/>
  <c r="Z107" i="3" s="1"/>
  <c r="T107" i="3"/>
  <c r="P107" i="3"/>
  <c r="L107" i="3"/>
  <c r="N107" i="3" s="1"/>
  <c r="H107" i="3"/>
  <c r="D107" i="3"/>
  <c r="B107" i="3"/>
  <c r="T106" i="3"/>
  <c r="P106" i="3"/>
  <c r="X106" i="3" s="1"/>
  <c r="H106" i="3"/>
  <c r="D106" i="3"/>
  <c r="L106" i="3" s="1"/>
  <c r="N106" i="3" s="1"/>
  <c r="B106" i="3"/>
  <c r="T105" i="3"/>
  <c r="P105" i="3"/>
  <c r="L105" i="3"/>
  <c r="H105" i="3"/>
  <c r="N105" i="3" s="1"/>
  <c r="D105" i="3"/>
  <c r="B105" i="3"/>
  <c r="T104" i="3"/>
  <c r="P104" i="3"/>
  <c r="L104" i="3"/>
  <c r="N104" i="3" s="1"/>
  <c r="H104" i="3"/>
  <c r="D104" i="3"/>
  <c r="B104" i="3"/>
  <c r="X103" i="3"/>
  <c r="Z103" i="3" s="1"/>
  <c r="T103" i="3"/>
  <c r="P103" i="3"/>
  <c r="L103" i="3"/>
  <c r="N103" i="3" s="1"/>
  <c r="H103" i="3"/>
  <c r="D103" i="3"/>
  <c r="B103" i="3"/>
  <c r="T102" i="3"/>
  <c r="P102" i="3"/>
  <c r="X102" i="3" s="1"/>
  <c r="H102" i="3"/>
  <c r="D102" i="3"/>
  <c r="L102" i="3" s="1"/>
  <c r="N102" i="3" s="1"/>
  <c r="B102" i="3"/>
  <c r="T101" i="3"/>
  <c r="P101" i="3"/>
  <c r="L101" i="3"/>
  <c r="H101" i="3"/>
  <c r="N101" i="3" s="1"/>
  <c r="D101" i="3"/>
  <c r="B101" i="3"/>
  <c r="T100" i="3"/>
  <c r="P100" i="3"/>
  <c r="N100" i="3"/>
  <c r="L100" i="3"/>
  <c r="H100" i="3"/>
  <c r="D100" i="3"/>
  <c r="B100" i="3"/>
  <c r="X99" i="3"/>
  <c r="Z99" i="3" s="1"/>
  <c r="T99" i="3"/>
  <c r="P99" i="3"/>
  <c r="N99" i="3"/>
  <c r="L99" i="3"/>
  <c r="H99" i="3"/>
  <c r="D99" i="3"/>
  <c r="B99" i="3"/>
  <c r="T98" i="3"/>
  <c r="P98" i="3"/>
  <c r="X98" i="3" s="1"/>
  <c r="N98" i="3"/>
  <c r="H98" i="3"/>
  <c r="D98" i="3"/>
  <c r="L98" i="3" s="1"/>
  <c r="B98" i="3"/>
  <c r="T97" i="3"/>
  <c r="P97" i="3"/>
  <c r="L97" i="3"/>
  <c r="H97" i="3"/>
  <c r="N97" i="3" s="1"/>
  <c r="D97" i="3"/>
  <c r="B97" i="3"/>
  <c r="T96" i="3"/>
  <c r="P96" i="3"/>
  <c r="N96" i="3"/>
  <c r="L96" i="3"/>
  <c r="H96" i="3"/>
  <c r="D96" i="3"/>
  <c r="B96" i="3"/>
  <c r="X95" i="3"/>
  <c r="Z95" i="3" s="1"/>
  <c r="T95" i="3"/>
  <c r="P95" i="3"/>
  <c r="N95" i="3"/>
  <c r="L95" i="3"/>
  <c r="H95" i="3"/>
  <c r="D95" i="3"/>
  <c r="B95" i="3"/>
  <c r="T94" i="3"/>
  <c r="Z94" i="3" s="1"/>
  <c r="P94" i="3"/>
  <c r="X94" i="3" s="1"/>
  <c r="H94" i="3"/>
  <c r="D94" i="3"/>
  <c r="L94" i="3" s="1"/>
  <c r="N94" i="3" s="1"/>
  <c r="B94" i="3"/>
  <c r="T93" i="3"/>
  <c r="P93" i="3"/>
  <c r="L93" i="3"/>
  <c r="H93" i="3"/>
  <c r="N93" i="3" s="1"/>
  <c r="D93" i="3"/>
  <c r="B93" i="3"/>
  <c r="T92" i="3"/>
  <c r="P92" i="3"/>
  <c r="N92" i="3"/>
  <c r="L92" i="3"/>
  <c r="H92" i="3"/>
  <c r="D92" i="3"/>
  <c r="B92" i="3"/>
  <c r="X91" i="3"/>
  <c r="Z91" i="3" s="1"/>
  <c r="T91" i="3"/>
  <c r="P91" i="3"/>
  <c r="L91" i="3"/>
  <c r="N91" i="3" s="1"/>
  <c r="H91" i="3"/>
  <c r="D91" i="3"/>
  <c r="B91" i="3"/>
  <c r="T90" i="3"/>
  <c r="P90" i="3"/>
  <c r="X90" i="3" s="1"/>
  <c r="H90" i="3"/>
  <c r="D90" i="3"/>
  <c r="L90" i="3" s="1"/>
  <c r="N90" i="3" s="1"/>
  <c r="B90" i="3"/>
  <c r="T89" i="3"/>
  <c r="P89" i="3"/>
  <c r="L89" i="3"/>
  <c r="H89" i="3"/>
  <c r="N89" i="3" s="1"/>
  <c r="D89" i="3"/>
  <c r="B89" i="3"/>
  <c r="T88" i="3"/>
  <c r="P88" i="3"/>
  <c r="L88" i="3"/>
  <c r="N88" i="3" s="1"/>
  <c r="H88" i="3"/>
  <c r="D88" i="3"/>
  <c r="B88" i="3"/>
  <c r="X87" i="3"/>
  <c r="Z87" i="3" s="1"/>
  <c r="T87" i="3"/>
  <c r="P87" i="3"/>
  <c r="L87" i="3"/>
  <c r="N87" i="3" s="1"/>
  <c r="H87" i="3"/>
  <c r="D87" i="3"/>
  <c r="B87" i="3"/>
  <c r="T86" i="3"/>
  <c r="P86" i="3"/>
  <c r="X86" i="3" s="1"/>
  <c r="H86" i="3"/>
  <c r="D86" i="3"/>
  <c r="L86" i="3" s="1"/>
  <c r="N86" i="3" s="1"/>
  <c r="B86" i="3"/>
  <c r="T85" i="3"/>
  <c r="P85" i="3"/>
  <c r="L85" i="3"/>
  <c r="H85" i="3"/>
  <c r="N85" i="3" s="1"/>
  <c r="D85" i="3"/>
  <c r="B85" i="3"/>
  <c r="T84" i="3"/>
  <c r="P84" i="3"/>
  <c r="L84" i="3"/>
  <c r="N84" i="3" s="1"/>
  <c r="H84" i="3"/>
  <c r="D84" i="3"/>
  <c r="B84" i="3"/>
  <c r="X83" i="3"/>
  <c r="Z83" i="3" s="1"/>
  <c r="T83" i="3"/>
  <c r="P83" i="3"/>
  <c r="L83" i="3"/>
  <c r="N83" i="3" s="1"/>
  <c r="H83" i="3"/>
  <c r="D83" i="3"/>
  <c r="B83" i="3"/>
  <c r="T82" i="3"/>
  <c r="P82" i="3"/>
  <c r="X82" i="3" s="1"/>
  <c r="H82" i="3"/>
  <c r="D82" i="3"/>
  <c r="L82" i="3" s="1"/>
  <c r="N82" i="3" s="1"/>
  <c r="B82" i="3"/>
  <c r="T81" i="3"/>
  <c r="P81" i="3"/>
  <c r="L81" i="3"/>
  <c r="H81" i="3"/>
  <c r="N81" i="3" s="1"/>
  <c r="D81" i="3"/>
  <c r="B81" i="3"/>
  <c r="T80" i="3"/>
  <c r="P80" i="3"/>
  <c r="L80" i="3"/>
  <c r="N80" i="3" s="1"/>
  <c r="H80" i="3"/>
  <c r="D80" i="3"/>
  <c r="B80" i="3"/>
  <c r="X79" i="3"/>
  <c r="Z79" i="3" s="1"/>
  <c r="T79" i="3"/>
  <c r="P79" i="3"/>
  <c r="L79" i="3"/>
  <c r="N79" i="3" s="1"/>
  <c r="H79" i="3"/>
  <c r="D79" i="3"/>
  <c r="B79" i="3"/>
  <c r="T78" i="3"/>
  <c r="P78" i="3"/>
  <c r="X78" i="3" s="1"/>
  <c r="N78" i="3"/>
  <c r="H78" i="3"/>
  <c r="D78" i="3"/>
  <c r="L78" i="3" s="1"/>
  <c r="B78" i="3"/>
  <c r="T77" i="3"/>
  <c r="P77" i="3"/>
  <c r="L77" i="3"/>
  <c r="H77" i="3"/>
  <c r="N77" i="3" s="1"/>
  <c r="D77" i="3"/>
  <c r="B77" i="3"/>
  <c r="T76" i="3"/>
  <c r="P76" i="3"/>
  <c r="N76" i="3"/>
  <c r="L76" i="3"/>
  <c r="H76" i="3"/>
  <c r="D76" i="3"/>
  <c r="B76" i="3"/>
  <c r="X75" i="3"/>
  <c r="Z75" i="3" s="1"/>
  <c r="T75" i="3"/>
  <c r="P75" i="3"/>
  <c r="L75" i="3"/>
  <c r="N75" i="3" s="1"/>
  <c r="H75" i="3"/>
  <c r="D75" i="3"/>
  <c r="B75" i="3"/>
  <c r="T74" i="3"/>
  <c r="P74" i="3"/>
  <c r="X74" i="3" s="1"/>
  <c r="H74" i="3"/>
  <c r="D74" i="3"/>
  <c r="L74" i="3" s="1"/>
  <c r="N74" i="3" s="1"/>
  <c r="B74" i="3"/>
  <c r="T73" i="3"/>
  <c r="P73" i="3"/>
  <c r="L73" i="3"/>
  <c r="H73" i="3"/>
  <c r="N73" i="3" s="1"/>
  <c r="D73" i="3"/>
  <c r="B73" i="3"/>
  <c r="T72" i="3"/>
  <c r="P72" i="3"/>
  <c r="L72" i="3"/>
  <c r="N72" i="3" s="1"/>
  <c r="H72" i="3"/>
  <c r="D72" i="3"/>
  <c r="B72" i="3"/>
  <c r="X71" i="3"/>
  <c r="Z71" i="3" s="1"/>
  <c r="T71" i="3"/>
  <c r="P71" i="3"/>
  <c r="N71" i="3"/>
  <c r="L71" i="3"/>
  <c r="H71" i="3"/>
  <c r="D71" i="3"/>
  <c r="B71" i="3"/>
  <c r="T70" i="3"/>
  <c r="P70" i="3"/>
  <c r="X70" i="3" s="1"/>
  <c r="H70" i="3"/>
  <c r="D70" i="3"/>
  <c r="L70" i="3" s="1"/>
  <c r="N70" i="3" s="1"/>
  <c r="B70" i="3"/>
  <c r="T69" i="3"/>
  <c r="P69" i="3"/>
  <c r="L69" i="3"/>
  <c r="H69" i="3"/>
  <c r="N69" i="3" s="1"/>
  <c r="D69" i="3"/>
  <c r="B69" i="3"/>
  <c r="T68" i="3"/>
  <c r="P68" i="3"/>
  <c r="L68" i="3"/>
  <c r="N68" i="3" s="1"/>
  <c r="H68" i="3"/>
  <c r="D68" i="3"/>
  <c r="B68" i="3"/>
  <c r="X67" i="3"/>
  <c r="Z67" i="3" s="1"/>
  <c r="T67" i="3"/>
  <c r="P67" i="3"/>
  <c r="L67" i="3"/>
  <c r="N67" i="3" s="1"/>
  <c r="H67" i="3"/>
  <c r="D67" i="3"/>
  <c r="B67" i="3"/>
  <c r="T66" i="3"/>
  <c r="P66" i="3"/>
  <c r="X66" i="3" s="1"/>
  <c r="H66" i="3"/>
  <c r="D66" i="3"/>
  <c r="L66" i="3" s="1"/>
  <c r="N66" i="3" s="1"/>
  <c r="B66" i="3"/>
  <c r="T65" i="3"/>
  <c r="P65" i="3"/>
  <c r="L65" i="3"/>
  <c r="H65" i="3"/>
  <c r="N65" i="3" s="1"/>
  <c r="D65" i="3"/>
  <c r="B65" i="3"/>
  <c r="T64" i="3"/>
  <c r="P64" i="3"/>
  <c r="L64" i="3"/>
  <c r="N64" i="3" s="1"/>
  <c r="H64" i="3"/>
  <c r="D64" i="3"/>
  <c r="B64" i="3"/>
  <c r="X63" i="3"/>
  <c r="Z63" i="3" s="1"/>
  <c r="T63" i="3"/>
  <c r="P63" i="3"/>
  <c r="L63" i="3"/>
  <c r="N63" i="3" s="1"/>
  <c r="H63" i="3"/>
  <c r="D63" i="3"/>
  <c r="B63" i="3"/>
  <c r="T62" i="3"/>
  <c r="P62" i="3"/>
  <c r="X62" i="3" s="1"/>
  <c r="H62" i="3"/>
  <c r="D62" i="3"/>
  <c r="L62" i="3" s="1"/>
  <c r="N62" i="3" s="1"/>
  <c r="B62" i="3"/>
  <c r="T61" i="3"/>
  <c r="P61" i="3"/>
  <c r="L61" i="3"/>
  <c r="H61" i="3"/>
  <c r="N61" i="3" s="1"/>
  <c r="D61" i="3"/>
  <c r="B61" i="3"/>
  <c r="T60" i="3"/>
  <c r="P60" i="3"/>
  <c r="L60" i="3"/>
  <c r="N60" i="3" s="1"/>
  <c r="H60" i="3"/>
  <c r="D60" i="3"/>
  <c r="B60" i="3"/>
  <c r="X59" i="3"/>
  <c r="Z59" i="3" s="1"/>
  <c r="T59" i="3"/>
  <c r="P59" i="3"/>
  <c r="L59" i="3"/>
  <c r="N59" i="3" s="1"/>
  <c r="H59" i="3"/>
  <c r="D59" i="3"/>
  <c r="B59" i="3"/>
  <c r="T58" i="3"/>
  <c r="P58" i="3"/>
  <c r="X58" i="3" s="1"/>
  <c r="N58" i="3"/>
  <c r="H58" i="3"/>
  <c r="D58" i="3"/>
  <c r="L58" i="3" s="1"/>
  <c r="B58" i="3"/>
  <c r="T57" i="3"/>
  <c r="P57" i="3"/>
  <c r="L57" i="3"/>
  <c r="H57" i="3"/>
  <c r="N57" i="3" s="1"/>
  <c r="D57" i="3"/>
  <c r="B57" i="3"/>
  <c r="T56" i="3"/>
  <c r="P56" i="3"/>
  <c r="L56" i="3"/>
  <c r="N56" i="3" s="1"/>
  <c r="H56" i="3"/>
  <c r="D56" i="3"/>
  <c r="B56" i="3"/>
  <c r="X55" i="3"/>
  <c r="Z55" i="3" s="1"/>
  <c r="T55" i="3"/>
  <c r="P55" i="3"/>
  <c r="L55" i="3"/>
  <c r="N55" i="3" s="1"/>
  <c r="H55" i="3"/>
  <c r="D55" i="3"/>
  <c r="B55" i="3"/>
  <c r="T54" i="3"/>
  <c r="P54" i="3"/>
  <c r="X54" i="3" s="1"/>
  <c r="N54" i="3"/>
  <c r="H54" i="3"/>
  <c r="D54" i="3"/>
  <c r="L54" i="3" s="1"/>
  <c r="B54" i="3"/>
  <c r="T53" i="3"/>
  <c r="P53" i="3"/>
  <c r="L53" i="3"/>
  <c r="H53" i="3"/>
  <c r="N53" i="3" s="1"/>
  <c r="D53" i="3"/>
  <c r="B53" i="3"/>
  <c r="T52" i="3"/>
  <c r="P52" i="3"/>
  <c r="L52" i="3"/>
  <c r="N52" i="3" s="1"/>
  <c r="H52" i="3"/>
  <c r="D52" i="3"/>
  <c r="B52" i="3"/>
  <c r="X51" i="3"/>
  <c r="Z51" i="3" s="1"/>
  <c r="T51" i="3"/>
  <c r="P51" i="3"/>
  <c r="L51" i="3"/>
  <c r="N51" i="3" s="1"/>
  <c r="H51" i="3"/>
  <c r="D51" i="3"/>
  <c r="B51" i="3"/>
  <c r="T50" i="3"/>
  <c r="Z50" i="3" s="1"/>
  <c r="P50" i="3"/>
  <c r="X50" i="3" s="1"/>
  <c r="N50" i="3"/>
  <c r="H50" i="3"/>
  <c r="D50" i="3"/>
  <c r="L50" i="3" s="1"/>
  <c r="B50" i="3"/>
  <c r="T49" i="3"/>
  <c r="P49" i="3"/>
  <c r="L49" i="3"/>
  <c r="H49" i="3"/>
  <c r="N49" i="3" s="1"/>
  <c r="D49" i="3"/>
  <c r="B49" i="3"/>
  <c r="T48" i="3"/>
  <c r="P48" i="3"/>
  <c r="L48" i="3"/>
  <c r="N48" i="3" s="1"/>
  <c r="H48" i="3"/>
  <c r="D48" i="3"/>
  <c r="B48" i="3"/>
  <c r="X47" i="3"/>
  <c r="Z47" i="3" s="1"/>
  <c r="T47" i="3"/>
  <c r="P47" i="3"/>
  <c r="L47" i="3"/>
  <c r="N47" i="3" s="1"/>
  <c r="H47" i="3"/>
  <c r="D47" i="3"/>
  <c r="B47" i="3"/>
  <c r="T46" i="3"/>
  <c r="P46" i="3"/>
  <c r="X46" i="3" s="1"/>
  <c r="H46" i="3"/>
  <c r="D46" i="3"/>
  <c r="L46" i="3" s="1"/>
  <c r="N46" i="3" s="1"/>
  <c r="B46" i="3"/>
  <c r="T45" i="3"/>
  <c r="P45" i="3"/>
  <c r="L45" i="3"/>
  <c r="H45" i="3"/>
  <c r="N45" i="3" s="1"/>
  <c r="D45" i="3"/>
  <c r="B45" i="3"/>
  <c r="T44" i="3"/>
  <c r="P44" i="3"/>
  <c r="L44" i="3"/>
  <c r="N44" i="3" s="1"/>
  <c r="H44" i="3"/>
  <c r="D44" i="3"/>
  <c r="B44" i="3"/>
  <c r="X43" i="3"/>
  <c r="Z43" i="3" s="1"/>
  <c r="T43" i="3"/>
  <c r="P43" i="3"/>
  <c r="L43" i="3"/>
  <c r="N43" i="3" s="1"/>
  <c r="H43" i="3"/>
  <c r="D43" i="3"/>
  <c r="B43" i="3"/>
  <c r="T42" i="3"/>
  <c r="P42" i="3"/>
  <c r="X42" i="3" s="1"/>
  <c r="H42" i="3"/>
  <c r="D42" i="3"/>
  <c r="L42" i="3" s="1"/>
  <c r="N42" i="3" s="1"/>
  <c r="B42" i="3"/>
  <c r="T41" i="3"/>
  <c r="P41" i="3"/>
  <c r="L41" i="3"/>
  <c r="H41" i="3"/>
  <c r="N41" i="3" s="1"/>
  <c r="D41" i="3"/>
  <c r="B41" i="3"/>
  <c r="T40" i="3"/>
  <c r="P40" i="3"/>
  <c r="L40" i="3"/>
  <c r="N40" i="3" s="1"/>
  <c r="H40" i="3"/>
  <c r="D40" i="3"/>
  <c r="B40" i="3"/>
  <c r="X39" i="3"/>
  <c r="Z39" i="3" s="1"/>
  <c r="T39" i="3"/>
  <c r="P39" i="3"/>
  <c r="L39" i="3"/>
  <c r="N39" i="3" s="1"/>
  <c r="H39" i="3"/>
  <c r="D39" i="3"/>
  <c r="B39" i="3"/>
  <c r="T38" i="3"/>
  <c r="P38" i="3"/>
  <c r="X38" i="3" s="1"/>
  <c r="H38" i="3"/>
  <c r="D38" i="3"/>
  <c r="L38" i="3" s="1"/>
  <c r="N38" i="3" s="1"/>
  <c r="B38" i="3"/>
  <c r="T37" i="3"/>
  <c r="P37" i="3"/>
  <c r="L37" i="3"/>
  <c r="H37" i="3"/>
  <c r="N37" i="3" s="1"/>
  <c r="D37" i="3"/>
  <c r="B37" i="3"/>
  <c r="T36" i="3"/>
  <c r="P36" i="3"/>
  <c r="L36" i="3"/>
  <c r="N36" i="3" s="1"/>
  <c r="H36" i="3"/>
  <c r="D36" i="3"/>
  <c r="B36" i="3"/>
  <c r="X35" i="3"/>
  <c r="Z35" i="3" s="1"/>
  <c r="T35" i="3"/>
  <c r="P35" i="3"/>
  <c r="L35" i="3"/>
  <c r="N35" i="3" s="1"/>
  <c r="H35" i="3"/>
  <c r="D35" i="3"/>
  <c r="B35" i="3"/>
  <c r="T34" i="3"/>
  <c r="P34" i="3"/>
  <c r="X34" i="3" s="1"/>
  <c r="H34" i="3"/>
  <c r="D34" i="3"/>
  <c r="L34" i="3" s="1"/>
  <c r="N34" i="3" s="1"/>
  <c r="B34" i="3"/>
  <c r="T33" i="3"/>
  <c r="P33" i="3"/>
  <c r="L33" i="3"/>
  <c r="H33" i="3"/>
  <c r="N33" i="3" s="1"/>
  <c r="D33" i="3"/>
  <c r="B33" i="3"/>
  <c r="T32" i="3"/>
  <c r="P32" i="3"/>
  <c r="L32" i="3"/>
  <c r="N32" i="3" s="1"/>
  <c r="H32" i="3"/>
  <c r="D32" i="3"/>
  <c r="B32" i="3"/>
  <c r="X31" i="3"/>
  <c r="Z31" i="3" s="1"/>
  <c r="T31" i="3"/>
  <c r="P31" i="3"/>
  <c r="L31" i="3"/>
  <c r="N31" i="3" s="1"/>
  <c r="H31" i="3"/>
  <c r="D31" i="3"/>
  <c r="B31" i="3"/>
  <c r="T30" i="3"/>
  <c r="P30" i="3"/>
  <c r="X30" i="3" s="1"/>
  <c r="H30" i="3"/>
  <c r="D30" i="3"/>
  <c r="L30" i="3" s="1"/>
  <c r="N30" i="3" s="1"/>
  <c r="B30" i="3"/>
  <c r="T29" i="3"/>
  <c r="P29" i="3"/>
  <c r="L29" i="3"/>
  <c r="H29" i="3"/>
  <c r="N29" i="3" s="1"/>
  <c r="D29" i="3"/>
  <c r="B29" i="3"/>
  <c r="T28" i="3"/>
  <c r="P28" i="3"/>
  <c r="L28" i="3"/>
  <c r="N28" i="3" s="1"/>
  <c r="H28" i="3"/>
  <c r="D28" i="3"/>
  <c r="B28" i="3"/>
  <c r="X27" i="3"/>
  <c r="Z27" i="3" s="1"/>
  <c r="T27" i="3"/>
  <c r="P27" i="3"/>
  <c r="L27" i="3"/>
  <c r="N27" i="3" s="1"/>
  <c r="H27" i="3"/>
  <c r="D27" i="3"/>
  <c r="B27" i="3"/>
  <c r="T26" i="3"/>
  <c r="P26" i="3"/>
  <c r="X26" i="3" s="1"/>
  <c r="H26" i="3"/>
  <c r="D26" i="3"/>
  <c r="L26" i="3" s="1"/>
  <c r="N26" i="3" s="1"/>
  <c r="B26" i="3"/>
  <c r="T25" i="3"/>
  <c r="P25" i="3"/>
  <c r="L25" i="3"/>
  <c r="H25" i="3"/>
  <c r="N25" i="3" s="1"/>
  <c r="D25" i="3"/>
  <c r="B25" i="3"/>
  <c r="T24" i="3"/>
  <c r="P24" i="3"/>
  <c r="L24" i="3"/>
  <c r="N24" i="3" s="1"/>
  <c r="H24" i="3"/>
  <c r="D24" i="3"/>
  <c r="B24" i="3"/>
  <c r="T23" i="3"/>
  <c r="P23" i="3"/>
  <c r="N23" i="3"/>
  <c r="L23" i="3"/>
  <c r="H23" i="3"/>
  <c r="D23" i="3"/>
  <c r="B23" i="3"/>
  <c r="T22" i="3"/>
  <c r="P22" i="3"/>
  <c r="X22" i="3" s="1"/>
  <c r="H22" i="3"/>
  <c r="D22" i="3"/>
  <c r="L22" i="3" s="1"/>
  <c r="N22" i="3" s="1"/>
  <c r="B22" i="3"/>
  <c r="T21" i="3"/>
  <c r="P21" i="3"/>
  <c r="L21" i="3"/>
  <c r="H21" i="3"/>
  <c r="N21" i="3" s="1"/>
  <c r="D21" i="3"/>
  <c r="B21" i="3"/>
  <c r="T20" i="3"/>
  <c r="P20" i="3"/>
  <c r="L20" i="3"/>
  <c r="N20" i="3" s="1"/>
  <c r="H20" i="3"/>
  <c r="D20" i="3"/>
  <c r="B20" i="3"/>
  <c r="T19" i="3"/>
  <c r="P19" i="3"/>
  <c r="L19" i="3"/>
  <c r="N19" i="3" s="1"/>
  <c r="H19" i="3"/>
  <c r="D19" i="3"/>
  <c r="B19" i="3"/>
  <c r="T18" i="3"/>
  <c r="Z18" i="3" s="1"/>
  <c r="P18" i="3"/>
  <c r="X18" i="3" s="1"/>
  <c r="H18" i="3"/>
  <c r="D18" i="3"/>
  <c r="L18" i="3" s="1"/>
  <c r="N18" i="3" s="1"/>
  <c r="B18" i="3"/>
  <c r="T17" i="3"/>
  <c r="P17" i="3"/>
  <c r="L17" i="3"/>
  <c r="H17" i="3"/>
  <c r="N17" i="3" s="1"/>
  <c r="D17" i="3"/>
  <c r="B17" i="3"/>
  <c r="T16" i="3"/>
  <c r="P16" i="3"/>
  <c r="L16" i="3"/>
  <c r="N16" i="3" s="1"/>
  <c r="H16" i="3"/>
  <c r="D16" i="3"/>
  <c r="B16" i="3"/>
  <c r="T15" i="3"/>
  <c r="P15" i="3"/>
  <c r="L15" i="3"/>
  <c r="N15" i="3" s="1"/>
  <c r="H15" i="3"/>
  <c r="D15" i="3"/>
  <c r="B15" i="3"/>
  <c r="T14" i="3"/>
  <c r="P14" i="3"/>
  <c r="P12" i="3" s="1"/>
  <c r="H14" i="3"/>
  <c r="D14" i="3"/>
  <c r="L14" i="3" s="1"/>
  <c r="N14" i="3" s="1"/>
  <c r="B14" i="3"/>
  <c r="T13" i="3"/>
  <c r="Z13" i="3" s="1"/>
  <c r="P13" i="3"/>
  <c r="L13" i="3"/>
  <c r="H13" i="3"/>
  <c r="H12" i="3" s="1"/>
  <c r="D13" i="3"/>
  <c r="D12" i="3" s="1"/>
  <c r="B13" i="3"/>
  <c r="T12" i="3"/>
  <c r="V303" i="3" s="1"/>
  <c r="D4" i="3"/>
  <c r="B39" i="100"/>
  <c r="H24" i="100"/>
  <c r="H22" i="100"/>
  <c r="H13" i="100"/>
  <c r="D5" i="100"/>
  <c r="P20" i="99"/>
  <c r="P16" i="99"/>
  <c r="D12" i="99"/>
  <c r="P24" i="98"/>
  <c r="P22" i="98"/>
  <c r="T20" i="98"/>
  <c r="T16" i="98"/>
  <c r="T13" i="98"/>
  <c r="B38" i="100"/>
  <c r="D34" i="100"/>
  <c r="D33" i="100"/>
  <c r="D29" i="100"/>
  <c r="D25" i="100"/>
  <c r="H21" i="100"/>
  <c r="D13" i="100"/>
  <c r="D4" i="100"/>
  <c r="H34" i="99"/>
  <c r="H33" i="99"/>
  <c r="H29" i="99"/>
  <c r="H25" i="99"/>
  <c r="P15" i="99"/>
  <c r="D6" i="99"/>
  <c r="P21" i="98"/>
  <c r="T15" i="98"/>
  <c r="P13" i="98"/>
  <c r="H12" i="98"/>
  <c r="B25" i="100"/>
  <c r="D24" i="100"/>
  <c r="D22" i="100"/>
  <c r="H20" i="100"/>
  <c r="H16" i="100"/>
  <c r="B13" i="100"/>
  <c r="B39" i="99"/>
  <c r="H24" i="99"/>
  <c r="H22" i="99"/>
  <c r="H13" i="99"/>
  <c r="D5" i="99"/>
  <c r="P20" i="98"/>
  <c r="P16" i="98"/>
  <c r="D12" i="98"/>
  <c r="B22" i="100"/>
  <c r="D21" i="100"/>
  <c r="H15" i="100"/>
  <c r="B38" i="99"/>
  <c r="D34" i="99"/>
  <c r="D33" i="99"/>
  <c r="D29" i="99"/>
  <c r="D25" i="99"/>
  <c r="H21" i="99"/>
  <c r="D13" i="99"/>
  <c r="D4" i="99"/>
  <c r="H34" i="98"/>
  <c r="H33" i="98"/>
  <c r="H29" i="98"/>
  <c r="H25" i="98"/>
  <c r="P15" i="98"/>
  <c r="D6" i="98"/>
  <c r="B21" i="100"/>
  <c r="D20" i="100"/>
  <c r="D16" i="100"/>
  <c r="B25" i="99"/>
  <c r="D24" i="99"/>
  <c r="D22" i="99"/>
  <c r="H20" i="99"/>
  <c r="H16" i="99"/>
  <c r="B13" i="99"/>
  <c r="B39" i="98"/>
  <c r="H24" i="98"/>
  <c r="H22" i="98"/>
  <c r="H13" i="98"/>
  <c r="D5" i="98"/>
  <c r="T34" i="100"/>
  <c r="T33" i="100"/>
  <c r="T29" i="100"/>
  <c r="T25" i="100"/>
  <c r="B16" i="100"/>
  <c r="D15" i="100"/>
  <c r="T12" i="100"/>
  <c r="B22" i="99"/>
  <c r="D21" i="99"/>
  <c r="H15" i="99"/>
  <c r="B38" i="98"/>
  <c r="D34" i="98"/>
  <c r="D33" i="98"/>
  <c r="D29" i="98"/>
  <c r="D25" i="98"/>
  <c r="H21" i="98"/>
  <c r="D13" i="98"/>
  <c r="D4" i="98"/>
  <c r="T24" i="100"/>
  <c r="T22" i="100"/>
  <c r="P12" i="100"/>
  <c r="B21" i="99"/>
  <c r="D20" i="99"/>
  <c r="D16" i="99"/>
  <c r="B25" i="98"/>
  <c r="D24" i="98"/>
  <c r="D22" i="98"/>
  <c r="H20" i="98"/>
  <c r="H16" i="98"/>
  <c r="B13" i="98"/>
  <c r="P34" i="100"/>
  <c r="P33" i="100"/>
  <c r="P29" i="100"/>
  <c r="P25" i="100"/>
  <c r="T21" i="100"/>
  <c r="T34" i="99"/>
  <c r="T33" i="99"/>
  <c r="T29" i="99"/>
  <c r="T25" i="99"/>
  <c r="B16" i="99"/>
  <c r="D15" i="99"/>
  <c r="T12" i="99"/>
  <c r="B22" i="98"/>
  <c r="D21" i="98"/>
  <c r="H15" i="98"/>
  <c r="P20" i="100"/>
  <c r="P16" i="100"/>
  <c r="D12" i="100"/>
  <c r="P24" i="99"/>
  <c r="P22" i="99"/>
  <c r="T20" i="99"/>
  <c r="T16" i="99"/>
  <c r="T13" i="99"/>
  <c r="T24" i="98"/>
  <c r="T22" i="98"/>
  <c r="P12" i="98"/>
  <c r="P22" i="100"/>
  <c r="T16" i="100"/>
  <c r="T22" i="99"/>
  <c r="P29" i="99"/>
  <c r="T29" i="98"/>
  <c r="H29" i="100"/>
  <c r="P29" i="98"/>
  <c r="D16" i="98"/>
  <c r="P21" i="100"/>
  <c r="T15" i="100"/>
  <c r="P34" i="99"/>
  <c r="T21" i="99"/>
  <c r="T34" i="98"/>
  <c r="B16" i="98"/>
  <c r="H34" i="100"/>
  <c r="P15" i="100"/>
  <c r="P21" i="99"/>
  <c r="T15" i="99"/>
  <c r="P34" i="98"/>
  <c r="T21" i="98"/>
  <c r="T20" i="100"/>
  <c r="T13" i="100"/>
  <c r="B21" i="98"/>
  <c r="P13" i="100"/>
  <c r="P33" i="99"/>
  <c r="P25" i="99"/>
  <c r="T33" i="98"/>
  <c r="T25" i="98"/>
  <c r="D15" i="98"/>
  <c r="H12" i="100"/>
  <c r="T12" i="98"/>
  <c r="H33" i="100"/>
  <c r="P33" i="98"/>
  <c r="H25" i="100"/>
  <c r="P25" i="98"/>
  <c r="P24" i="100"/>
  <c r="T24" i="99"/>
  <c r="D20" i="98"/>
  <c r="D6" i="100"/>
  <c r="P13" i="99"/>
  <c r="P12" i="99"/>
  <c r="H12" i="99"/>
  <c r="H34" i="53"/>
  <c r="D29" i="53"/>
  <c r="D25" i="53"/>
  <c r="H21" i="53"/>
  <c r="D13" i="53"/>
  <c r="B39" i="52"/>
  <c r="H24" i="52"/>
  <c r="H22" i="52"/>
  <c r="H13" i="52"/>
  <c r="D4" i="52"/>
  <c r="B22" i="50"/>
  <c r="D21" i="50"/>
  <c r="H15" i="50"/>
  <c r="B25" i="49"/>
  <c r="D24" i="49"/>
  <c r="D22" i="49"/>
  <c r="H20" i="49"/>
  <c r="H16" i="49"/>
  <c r="B13" i="49"/>
  <c r="D33" i="53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B21" i="50"/>
  <c r="D20" i="50"/>
  <c r="D16" i="50"/>
  <c r="B22" i="49"/>
  <c r="D21" i="49"/>
  <c r="H15" i="49"/>
  <c r="D34" i="53"/>
  <c r="B22" i="53"/>
  <c r="D21" i="53"/>
  <c r="H15" i="53"/>
  <c r="B25" i="52"/>
  <c r="D24" i="52"/>
  <c r="D22" i="52"/>
  <c r="H20" i="52"/>
  <c r="H16" i="52"/>
  <c r="B13" i="52"/>
  <c r="T34" i="50"/>
  <c r="T33" i="50"/>
  <c r="T29" i="50"/>
  <c r="T25" i="50"/>
  <c r="B16" i="50"/>
  <c r="D15" i="50"/>
  <c r="T12" i="50"/>
  <c r="B21" i="49"/>
  <c r="D20" i="49"/>
  <c r="D16" i="49"/>
  <c r="B21" i="53"/>
  <c r="D20" i="53"/>
  <c r="D16" i="53"/>
  <c r="B22" i="52"/>
  <c r="D21" i="52"/>
  <c r="H15" i="52"/>
  <c r="T24" i="50"/>
  <c r="T22" i="50"/>
  <c r="P12" i="50"/>
  <c r="T34" i="49"/>
  <c r="T33" i="49"/>
  <c r="T29" i="49"/>
  <c r="T25" i="49"/>
  <c r="B16" i="49"/>
  <c r="D15" i="49"/>
  <c r="T12" i="49"/>
  <c r="T29" i="53"/>
  <c r="T25" i="53"/>
  <c r="B16" i="53"/>
  <c r="D15" i="53"/>
  <c r="T12" i="53"/>
  <c r="B21" i="52"/>
  <c r="D20" i="52"/>
  <c r="D16" i="52"/>
  <c r="P34" i="50"/>
  <c r="P33" i="50"/>
  <c r="P29" i="50"/>
  <c r="P25" i="50"/>
  <c r="T21" i="50"/>
  <c r="T24" i="49"/>
  <c r="T22" i="49"/>
  <c r="P12" i="49"/>
  <c r="B39" i="53"/>
  <c r="T24" i="53"/>
  <c r="T22" i="53"/>
  <c r="P12" i="53"/>
  <c r="T34" i="52"/>
  <c r="T33" i="52"/>
  <c r="T29" i="52"/>
  <c r="T25" i="52"/>
  <c r="B16" i="52"/>
  <c r="D15" i="52"/>
  <c r="T12" i="52"/>
  <c r="P24" i="50"/>
  <c r="P22" i="50"/>
  <c r="T20" i="50"/>
  <c r="T16" i="50"/>
  <c r="T13" i="50"/>
  <c r="P34" i="49"/>
  <c r="P33" i="49"/>
  <c r="P29" i="49"/>
  <c r="P25" i="49"/>
  <c r="T21" i="49"/>
  <c r="B38" i="53"/>
  <c r="T33" i="53"/>
  <c r="P29" i="53"/>
  <c r="P25" i="53"/>
  <c r="T21" i="53"/>
  <c r="T24" i="52"/>
  <c r="T22" i="52"/>
  <c r="P12" i="52"/>
  <c r="T34" i="53"/>
  <c r="P24" i="53"/>
  <c r="P22" i="53"/>
  <c r="T20" i="53"/>
  <c r="T16" i="53"/>
  <c r="T13" i="53"/>
  <c r="P34" i="52"/>
  <c r="P33" i="52"/>
  <c r="P29" i="52"/>
  <c r="P25" i="52"/>
  <c r="T21" i="52"/>
  <c r="P33" i="53"/>
  <c r="P21" i="53"/>
  <c r="T15" i="53"/>
  <c r="P13" i="53"/>
  <c r="H12" i="53"/>
  <c r="P24" i="52"/>
  <c r="P22" i="52"/>
  <c r="T20" i="52"/>
  <c r="T16" i="52"/>
  <c r="T13" i="52"/>
  <c r="H34" i="50"/>
  <c r="H33" i="50"/>
  <c r="H29" i="50"/>
  <c r="H25" i="50"/>
  <c r="P15" i="50"/>
  <c r="D5" i="50"/>
  <c r="P20" i="49"/>
  <c r="P16" i="49"/>
  <c r="P34" i="53"/>
  <c r="P20" i="53"/>
  <c r="P16" i="53"/>
  <c r="D12" i="53"/>
  <c r="P21" i="52"/>
  <c r="T15" i="52"/>
  <c r="P13" i="52"/>
  <c r="H12" i="52"/>
  <c r="B39" i="50"/>
  <c r="H24" i="50"/>
  <c r="H22" i="50"/>
  <c r="H13" i="50"/>
  <c r="D4" i="50"/>
  <c r="H34" i="49"/>
  <c r="H33" i="49"/>
  <c r="H29" i="49"/>
  <c r="H25" i="49"/>
  <c r="P15" i="49"/>
  <c r="D5" i="49"/>
  <c r="D4" i="53"/>
  <c r="P21" i="50"/>
  <c r="H12" i="50"/>
  <c r="P22" i="49"/>
  <c r="P24" i="47"/>
  <c r="P22" i="47"/>
  <c r="T20" i="47"/>
  <c r="T16" i="47"/>
  <c r="T13" i="47"/>
  <c r="P34" i="46"/>
  <c r="P33" i="46"/>
  <c r="P29" i="46"/>
  <c r="P25" i="46"/>
  <c r="T21" i="46"/>
  <c r="P21" i="44"/>
  <c r="T15" i="44"/>
  <c r="P13" i="44"/>
  <c r="H12" i="44"/>
  <c r="P24" i="43"/>
  <c r="P22" i="43"/>
  <c r="T20" i="43"/>
  <c r="T16" i="43"/>
  <c r="T13" i="43"/>
  <c r="H29" i="53"/>
  <c r="P16" i="52"/>
  <c r="P16" i="50"/>
  <c r="D12" i="50"/>
  <c r="T13" i="49"/>
  <c r="P21" i="47"/>
  <c r="T15" i="47"/>
  <c r="P13" i="47"/>
  <c r="H12" i="47"/>
  <c r="P24" i="46"/>
  <c r="P22" i="46"/>
  <c r="T20" i="46"/>
  <c r="T16" i="46"/>
  <c r="T13" i="46"/>
  <c r="P20" i="44"/>
  <c r="P16" i="44"/>
  <c r="D12" i="44"/>
  <c r="P21" i="43"/>
  <c r="T15" i="43"/>
  <c r="P13" i="43"/>
  <c r="H12" i="43"/>
  <c r="H25" i="52"/>
  <c r="D25" i="50"/>
  <c r="H21" i="50"/>
  <c r="B39" i="49"/>
  <c r="H22" i="49"/>
  <c r="P13" i="49"/>
  <c r="P20" i="47"/>
  <c r="P16" i="47"/>
  <c r="D12" i="47"/>
  <c r="P21" i="46"/>
  <c r="T15" i="46"/>
  <c r="P13" i="46"/>
  <c r="H12" i="46"/>
  <c r="H34" i="44"/>
  <c r="H33" i="44"/>
  <c r="H29" i="44"/>
  <c r="H25" i="44"/>
  <c r="P15" i="44"/>
  <c r="D5" i="44"/>
  <c r="P20" i="43"/>
  <c r="P16" i="43"/>
  <c r="D12" i="43"/>
  <c r="B25" i="50"/>
  <c r="H16" i="50"/>
  <c r="B38" i="49"/>
  <c r="D33" i="49"/>
  <c r="H34" i="47"/>
  <c r="H33" i="47"/>
  <c r="H29" i="47"/>
  <c r="H25" i="47"/>
  <c r="P15" i="47"/>
  <c r="D5" i="47"/>
  <c r="P20" i="46"/>
  <c r="P16" i="46"/>
  <c r="D12" i="46"/>
  <c r="B39" i="44"/>
  <c r="H24" i="44"/>
  <c r="H22" i="44"/>
  <c r="H13" i="44"/>
  <c r="D4" i="44"/>
  <c r="H34" i="43"/>
  <c r="H33" i="43"/>
  <c r="H29" i="43"/>
  <c r="H25" i="43"/>
  <c r="P15" i="43"/>
  <c r="D5" i="43"/>
  <c r="H34" i="52"/>
  <c r="P15" i="52"/>
  <c r="T15" i="50"/>
  <c r="T16" i="49"/>
  <c r="H13" i="49"/>
  <c r="B39" i="47"/>
  <c r="H24" i="47"/>
  <c r="H22" i="47"/>
  <c r="H13" i="47"/>
  <c r="D4" i="47"/>
  <c r="H34" i="46"/>
  <c r="H33" i="46"/>
  <c r="H29" i="46"/>
  <c r="H25" i="46"/>
  <c r="P15" i="46"/>
  <c r="D5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H25" i="53"/>
  <c r="P20" i="50"/>
  <c r="P21" i="49"/>
  <c r="D13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H33" i="52"/>
  <c r="D34" i="50"/>
  <c r="D29" i="50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P15" i="53"/>
  <c r="D12" i="52"/>
  <c r="D24" i="50"/>
  <c r="H20" i="50"/>
  <c r="D25" i="49"/>
  <c r="H21" i="49"/>
  <c r="H12" i="49"/>
  <c r="B22" i="47"/>
  <c r="D21" i="47"/>
  <c r="H15" i="47"/>
  <c r="B25" i="46"/>
  <c r="D24" i="46"/>
  <c r="D22" i="46"/>
  <c r="H20" i="46"/>
  <c r="H16" i="46"/>
  <c r="B13" i="46"/>
  <c r="H24" i="53"/>
  <c r="D5" i="52"/>
  <c r="P13" i="50"/>
  <c r="P24" i="49"/>
  <c r="T20" i="49"/>
  <c r="D12" i="49"/>
  <c r="B21" i="47"/>
  <c r="D20" i="47"/>
  <c r="D16" i="47"/>
  <c r="B22" i="46"/>
  <c r="D21" i="46"/>
  <c r="H15" i="46"/>
  <c r="T34" i="44"/>
  <c r="T33" i="44"/>
  <c r="T29" i="44"/>
  <c r="T25" i="44"/>
  <c r="B16" i="44"/>
  <c r="D15" i="44"/>
  <c r="T12" i="44"/>
  <c r="B21" i="43"/>
  <c r="D20" i="43"/>
  <c r="D16" i="43"/>
  <c r="H33" i="53"/>
  <c r="H22" i="53"/>
  <c r="H13" i="53"/>
  <c r="H29" i="52"/>
  <c r="B38" i="50"/>
  <c r="D33" i="50"/>
  <c r="D13" i="50"/>
  <c r="H24" i="49"/>
  <c r="T24" i="47"/>
  <c r="T22" i="47"/>
  <c r="P12" i="47"/>
  <c r="T34" i="46"/>
  <c r="T33" i="46"/>
  <c r="T29" i="46"/>
  <c r="T25" i="46"/>
  <c r="B16" i="46"/>
  <c r="D15" i="46"/>
  <c r="T12" i="46"/>
  <c r="P34" i="44"/>
  <c r="P33" i="44"/>
  <c r="P29" i="44"/>
  <c r="P25" i="44"/>
  <c r="T21" i="44"/>
  <c r="T24" i="43"/>
  <c r="T22" i="43"/>
  <c r="P12" i="43"/>
  <c r="T24" i="46"/>
  <c r="T24" i="44"/>
  <c r="T25" i="43"/>
  <c r="T12" i="43"/>
  <c r="P34" i="41"/>
  <c r="P33" i="41"/>
  <c r="P29" i="41"/>
  <c r="P25" i="41"/>
  <c r="T21" i="41"/>
  <c r="T24" i="40"/>
  <c r="T22" i="40"/>
  <c r="P12" i="40"/>
  <c r="H34" i="38"/>
  <c r="H33" i="38"/>
  <c r="H29" i="38"/>
  <c r="H25" i="38"/>
  <c r="D29" i="49"/>
  <c r="T25" i="47"/>
  <c r="P24" i="44"/>
  <c r="T20" i="44"/>
  <c r="P25" i="43"/>
  <c r="T21" i="43"/>
  <c r="P24" i="41"/>
  <c r="P22" i="41"/>
  <c r="T20" i="41"/>
  <c r="T16" i="41"/>
  <c r="T13" i="41"/>
  <c r="P34" i="40"/>
  <c r="P33" i="40"/>
  <c r="P29" i="40"/>
  <c r="P25" i="40"/>
  <c r="T21" i="40"/>
  <c r="B39" i="38"/>
  <c r="H24" i="38"/>
  <c r="P25" i="47"/>
  <c r="T22" i="46"/>
  <c r="H15" i="44"/>
  <c r="B25" i="43"/>
  <c r="H16" i="43"/>
  <c r="P21" i="41"/>
  <c r="T15" i="41"/>
  <c r="P13" i="41"/>
  <c r="H12" i="41"/>
  <c r="P24" i="40"/>
  <c r="P22" i="40"/>
  <c r="T20" i="40"/>
  <c r="T16" i="40"/>
  <c r="T13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T34" i="47"/>
  <c r="B16" i="47"/>
  <c r="D20" i="44"/>
  <c r="D21" i="43"/>
  <c r="P20" i="41"/>
  <c r="P16" i="41"/>
  <c r="D12" i="41"/>
  <c r="P21" i="40"/>
  <c r="T15" i="40"/>
  <c r="P13" i="40"/>
  <c r="H12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P34" i="47"/>
  <c r="P12" i="46"/>
  <c r="T22" i="44"/>
  <c r="T34" i="43"/>
  <c r="T29" i="43"/>
  <c r="B16" i="43"/>
  <c r="H34" i="41"/>
  <c r="H33" i="41"/>
  <c r="H29" i="41"/>
  <c r="H25" i="41"/>
  <c r="P15" i="41"/>
  <c r="D5" i="41"/>
  <c r="P20" i="40"/>
  <c r="P16" i="40"/>
  <c r="D12" i="40"/>
  <c r="D22" i="50"/>
  <c r="T33" i="47"/>
  <c r="D15" i="47"/>
  <c r="B21" i="46"/>
  <c r="P22" i="44"/>
  <c r="T13" i="44"/>
  <c r="P34" i="43"/>
  <c r="P29" i="43"/>
  <c r="B39" i="41"/>
  <c r="H24" i="41"/>
  <c r="H22" i="41"/>
  <c r="H13" i="41"/>
  <c r="D4" i="41"/>
  <c r="H34" i="40"/>
  <c r="H33" i="40"/>
  <c r="H29" i="40"/>
  <c r="H25" i="40"/>
  <c r="P15" i="40"/>
  <c r="D5" i="40"/>
  <c r="D5" i="53"/>
  <c r="T15" i="49"/>
  <c r="P33" i="47"/>
  <c r="B22" i="44"/>
  <c r="D24" i="43"/>
  <c r="H20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T12" i="47"/>
  <c r="D20" i="46"/>
  <c r="H15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4" i="49"/>
  <c r="T21" i="47"/>
  <c r="P12" i="44"/>
  <c r="T33" i="43"/>
  <c r="D15" i="43"/>
  <c r="B22" i="41"/>
  <c r="D21" i="41"/>
  <c r="H15" i="41"/>
  <c r="B25" i="40"/>
  <c r="D24" i="40"/>
  <c r="D22" i="40"/>
  <c r="H20" i="40"/>
  <c r="H16" i="40"/>
  <c r="B13" i="40"/>
  <c r="P29" i="47"/>
  <c r="D21" i="44"/>
  <c r="D22" i="43"/>
  <c r="B13" i="43"/>
  <c r="T34" i="41"/>
  <c r="T33" i="41"/>
  <c r="T29" i="41"/>
  <c r="T25" i="41"/>
  <c r="B16" i="41"/>
  <c r="D15" i="41"/>
  <c r="T12" i="41"/>
  <c r="B21" i="40"/>
  <c r="D20" i="40"/>
  <c r="D16" i="40"/>
  <c r="P21" i="38"/>
  <c r="T15" i="38"/>
  <c r="P13" i="38"/>
  <c r="H12" i="38"/>
  <c r="P24" i="37"/>
  <c r="P22" i="37"/>
  <c r="T20" i="37"/>
  <c r="T16" i="37"/>
  <c r="T13" i="37"/>
  <c r="P20" i="52"/>
  <c r="B21" i="44"/>
  <c r="T24" i="41"/>
  <c r="D13" i="40"/>
  <c r="T22" i="38"/>
  <c r="P16" i="38"/>
  <c r="H15" i="38"/>
  <c r="P12" i="38"/>
  <c r="T12" i="37"/>
  <c r="B21" i="35"/>
  <c r="D20" i="35"/>
  <c r="D16" i="35"/>
  <c r="B22" i="34"/>
  <c r="D21" i="34"/>
  <c r="H15" i="34"/>
  <c r="T24" i="32"/>
  <c r="T22" i="32"/>
  <c r="P12" i="32"/>
  <c r="T34" i="31"/>
  <c r="T33" i="31"/>
  <c r="T29" i="31"/>
  <c r="T25" i="31"/>
  <c r="B16" i="31"/>
  <c r="D15" i="31"/>
  <c r="T12" i="31"/>
  <c r="T16" i="44"/>
  <c r="D21" i="40"/>
  <c r="P33" i="38"/>
  <c r="P29" i="38"/>
  <c r="P25" i="38"/>
  <c r="D21" i="38"/>
  <c r="T24" i="37"/>
  <c r="D21" i="37"/>
  <c r="P16" i="37"/>
  <c r="H15" i="37"/>
  <c r="P12" i="37"/>
  <c r="T34" i="35"/>
  <c r="T33" i="35"/>
  <c r="T29" i="35"/>
  <c r="T25" i="35"/>
  <c r="B16" i="35"/>
  <c r="D15" i="35"/>
  <c r="T12" i="35"/>
  <c r="B21" i="34"/>
  <c r="D20" i="34"/>
  <c r="D16" i="34"/>
  <c r="P34" i="32"/>
  <c r="P33" i="32"/>
  <c r="P29" i="32"/>
  <c r="P25" i="32"/>
  <c r="T21" i="32"/>
  <c r="T24" i="31"/>
  <c r="T22" i="31"/>
  <c r="P12" i="31"/>
  <c r="D16" i="44"/>
  <c r="T22" i="41"/>
  <c r="T29" i="40"/>
  <c r="T12" i="40"/>
  <c r="P22" i="38"/>
  <c r="B21" i="38"/>
  <c r="D15" i="38"/>
  <c r="H29" i="37"/>
  <c r="B21" i="37"/>
  <c r="T24" i="35"/>
  <c r="T22" i="35"/>
  <c r="P12" i="35"/>
  <c r="T34" i="34"/>
  <c r="T33" i="34"/>
  <c r="T29" i="34"/>
  <c r="T25" i="34"/>
  <c r="B16" i="34"/>
  <c r="D15" i="34"/>
  <c r="T12" i="34"/>
  <c r="P24" i="32"/>
  <c r="P22" i="32"/>
  <c r="T20" i="32"/>
  <c r="T16" i="32"/>
  <c r="T13" i="32"/>
  <c r="P34" i="31"/>
  <c r="P33" i="31"/>
  <c r="P29" i="31"/>
  <c r="P25" i="31"/>
  <c r="T21" i="31"/>
  <c r="D12" i="38"/>
  <c r="T33" i="37"/>
  <c r="T25" i="37"/>
  <c r="D22" i="37"/>
  <c r="H16" i="37"/>
  <c r="D15" i="37"/>
  <c r="H12" i="37"/>
  <c r="P34" i="35"/>
  <c r="P33" i="35"/>
  <c r="P29" i="35"/>
  <c r="P25" i="35"/>
  <c r="T21" i="35"/>
  <c r="T24" i="34"/>
  <c r="T22" i="34"/>
  <c r="P12" i="34"/>
  <c r="P21" i="32"/>
  <c r="T15" i="32"/>
  <c r="P13" i="32"/>
  <c r="H12" i="32"/>
  <c r="P24" i="31"/>
  <c r="P22" i="31"/>
  <c r="T20" i="31"/>
  <c r="T16" i="31"/>
  <c r="T13" i="31"/>
  <c r="P12" i="41"/>
  <c r="H22" i="38"/>
  <c r="D16" i="38"/>
  <c r="D5" i="38"/>
  <c r="B22" i="37"/>
  <c r="D12" i="37"/>
  <c r="P24" i="35"/>
  <c r="P22" i="35"/>
  <c r="T20" i="35"/>
  <c r="T16" i="35"/>
  <c r="T13" i="35"/>
  <c r="P34" i="34"/>
  <c r="P33" i="34"/>
  <c r="P29" i="34"/>
  <c r="P25" i="34"/>
  <c r="T21" i="34"/>
  <c r="P20" i="32"/>
  <c r="P16" i="32"/>
  <c r="D12" i="32"/>
  <c r="P21" i="31"/>
  <c r="T15" i="31"/>
  <c r="P13" i="31"/>
  <c r="H12" i="31"/>
  <c r="P33" i="43"/>
  <c r="B21" i="41"/>
  <c r="T34" i="38"/>
  <c r="B22" i="38"/>
  <c r="B16" i="38"/>
  <c r="T13" i="38"/>
  <c r="D4" i="38"/>
  <c r="P33" i="37"/>
  <c r="P25" i="37"/>
  <c r="D16" i="37"/>
  <c r="D5" i="37"/>
  <c r="P21" i="35"/>
  <c r="T15" i="35"/>
  <c r="P13" i="35"/>
  <c r="H12" i="35"/>
  <c r="P24" i="34"/>
  <c r="P22" i="34"/>
  <c r="T20" i="34"/>
  <c r="T16" i="34"/>
  <c r="T13" i="34"/>
  <c r="H34" i="32"/>
  <c r="H33" i="32"/>
  <c r="H29" i="32"/>
  <c r="H25" i="32"/>
  <c r="P15" i="32"/>
  <c r="D5" i="32"/>
  <c r="P20" i="31"/>
  <c r="P16" i="31"/>
  <c r="D12" i="31"/>
  <c r="T25" i="40"/>
  <c r="T24" i="38"/>
  <c r="T20" i="38"/>
  <c r="T34" i="37"/>
  <c r="D24" i="37"/>
  <c r="B16" i="37"/>
  <c r="P13" i="37"/>
  <c r="P20" i="35"/>
  <c r="P16" i="35"/>
  <c r="D12" i="35"/>
  <c r="P21" i="34"/>
  <c r="T15" i="34"/>
  <c r="P13" i="34"/>
  <c r="H12" i="34"/>
  <c r="D16" i="46"/>
  <c r="D20" i="41"/>
  <c r="P34" i="38"/>
  <c r="P20" i="38"/>
  <c r="P20" i="37"/>
  <c r="H34" i="35"/>
  <c r="H33" i="35"/>
  <c r="H29" i="35"/>
  <c r="H25" i="35"/>
  <c r="P15" i="35"/>
  <c r="D5" i="35"/>
  <c r="P20" i="34"/>
  <c r="P16" i="34"/>
  <c r="D12" i="34"/>
  <c r="B13" i="50"/>
  <c r="T34" i="40"/>
  <c r="B16" i="40"/>
  <c r="P24" i="38"/>
  <c r="H13" i="38"/>
  <c r="P34" i="37"/>
  <c r="H33" i="37"/>
  <c r="H25" i="37"/>
  <c r="T21" i="37"/>
  <c r="B39" i="35"/>
  <c r="H24" i="35"/>
  <c r="H22" i="35"/>
  <c r="H13" i="35"/>
  <c r="D4" i="35"/>
  <c r="H34" i="34"/>
  <c r="H33" i="34"/>
  <c r="H29" i="34"/>
  <c r="H25" i="34"/>
  <c r="P15" i="34"/>
  <c r="D5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D34" i="49"/>
  <c r="T21" i="38"/>
  <c r="T29" i="37"/>
  <c r="B25" i="37"/>
  <c r="P21" i="37"/>
  <c r="H20" i="37"/>
  <c r="T15" i="37"/>
  <c r="B13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B22" i="32"/>
  <c r="D21" i="32"/>
  <c r="H15" i="32"/>
  <c r="B25" i="31"/>
  <c r="D24" i="31"/>
  <c r="D22" i="31"/>
  <c r="H20" i="31"/>
  <c r="H16" i="31"/>
  <c r="B13" i="31"/>
  <c r="D20" i="38"/>
  <c r="B25" i="35"/>
  <c r="H16" i="35"/>
  <c r="D33" i="34"/>
  <c r="D13" i="34"/>
  <c r="D4" i="32"/>
  <c r="H33" i="31"/>
  <c r="H34" i="29"/>
  <c r="B21" i="29"/>
  <c r="D20" i="29"/>
  <c r="D16" i="29"/>
  <c r="B22" i="28"/>
  <c r="D21" i="28"/>
  <c r="H15" i="28"/>
  <c r="B39" i="26"/>
  <c r="H24" i="26"/>
  <c r="H22" i="26"/>
  <c r="H13" i="26"/>
  <c r="D4" i="26"/>
  <c r="H34" i="25"/>
  <c r="H33" i="25"/>
  <c r="H29" i="25"/>
  <c r="H25" i="25"/>
  <c r="P15" i="25"/>
  <c r="D5" i="25"/>
  <c r="D20" i="37"/>
  <c r="D22" i="34"/>
  <c r="B13" i="34"/>
  <c r="D25" i="32"/>
  <c r="H21" i="32"/>
  <c r="B39" i="31"/>
  <c r="H22" i="31"/>
  <c r="H13" i="31"/>
  <c r="D33" i="29"/>
  <c r="T25" i="29"/>
  <c r="B16" i="29"/>
  <c r="D15" i="29"/>
  <c r="T12" i="29"/>
  <c r="B21" i="28"/>
  <c r="D20" i="28"/>
  <c r="D16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T29" i="47"/>
  <c r="D24" i="35"/>
  <c r="H21" i="34"/>
  <c r="B21" i="32"/>
  <c r="D16" i="32"/>
  <c r="B22" i="31"/>
  <c r="D34" i="29"/>
  <c r="T24" i="29"/>
  <c r="T22" i="29"/>
  <c r="P12" i="29"/>
  <c r="T34" i="28"/>
  <c r="T33" i="28"/>
  <c r="T29" i="28"/>
  <c r="T25" i="28"/>
  <c r="B16" i="28"/>
  <c r="D15" i="28"/>
  <c r="T12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T33" i="38"/>
  <c r="T16" i="38"/>
  <c r="P29" i="37"/>
  <c r="H15" i="35"/>
  <c r="T34" i="32"/>
  <c r="T29" i="32"/>
  <c r="B16" i="32"/>
  <c r="B39" i="29"/>
  <c r="T29" i="29"/>
  <c r="P25" i="29"/>
  <c r="T21" i="29"/>
  <c r="T24" i="28"/>
  <c r="T22" i="28"/>
  <c r="P12" i="28"/>
  <c r="B22" i="26"/>
  <c r="D21" i="26"/>
  <c r="H15" i="26"/>
  <c r="B25" i="25"/>
  <c r="D24" i="25"/>
  <c r="D22" i="25"/>
  <c r="H20" i="25"/>
  <c r="H16" i="25"/>
  <c r="B13" i="25"/>
  <c r="P15" i="38"/>
  <c r="D22" i="35"/>
  <c r="B13" i="35"/>
  <c r="D29" i="34"/>
  <c r="H24" i="32"/>
  <c r="H25" i="31"/>
  <c r="D5" i="31"/>
  <c r="B38" i="29"/>
  <c r="P24" i="29"/>
  <c r="P22" i="29"/>
  <c r="T20" i="29"/>
  <c r="T16" i="29"/>
  <c r="T13" i="29"/>
  <c r="P34" i="28"/>
  <c r="P33" i="28"/>
  <c r="P29" i="28"/>
  <c r="P25" i="28"/>
  <c r="T21" i="28"/>
  <c r="B21" i="26"/>
  <c r="D20" i="26"/>
  <c r="D16" i="26"/>
  <c r="B22" i="25"/>
  <c r="D21" i="25"/>
  <c r="H15" i="25"/>
  <c r="D16" i="41"/>
  <c r="T29" i="38"/>
  <c r="P15" i="37"/>
  <c r="B22" i="35"/>
  <c r="H20" i="34"/>
  <c r="D34" i="32"/>
  <c r="D29" i="32"/>
  <c r="D4" i="31"/>
  <c r="T33" i="29"/>
  <c r="P29" i="29"/>
  <c r="P21" i="29"/>
  <c r="T15" i="29"/>
  <c r="P13" i="29"/>
  <c r="H12" i="29"/>
  <c r="P24" i="28"/>
  <c r="P22" i="28"/>
  <c r="T20" i="28"/>
  <c r="T16" i="28"/>
  <c r="T13" i="28"/>
  <c r="T34" i="26"/>
  <c r="T33" i="26"/>
  <c r="T29" i="26"/>
  <c r="T25" i="26"/>
  <c r="B16" i="26"/>
  <c r="D15" i="26"/>
  <c r="T12" i="26"/>
  <c r="B21" i="25"/>
  <c r="D20" i="25"/>
  <c r="D16" i="25"/>
  <c r="T33" i="40"/>
  <c r="B38" i="34"/>
  <c r="D20" i="32"/>
  <c r="D21" i="31"/>
  <c r="T34" i="29"/>
  <c r="P20" i="29"/>
  <c r="P16" i="29"/>
  <c r="D12" i="29"/>
  <c r="P21" i="28"/>
  <c r="T15" i="28"/>
  <c r="P13" i="28"/>
  <c r="H12" i="28"/>
  <c r="T25" i="38"/>
  <c r="T12" i="38"/>
  <c r="D21" i="35"/>
  <c r="T33" i="32"/>
  <c r="D15" i="32"/>
  <c r="B21" i="31"/>
  <c r="D16" i="31"/>
  <c r="P33" i="29"/>
  <c r="H25" i="29"/>
  <c r="P15" i="29"/>
  <c r="D5" i="29"/>
  <c r="P20" i="28"/>
  <c r="P16" i="28"/>
  <c r="D12" i="28"/>
  <c r="P34" i="26"/>
  <c r="P33" i="26"/>
  <c r="P29" i="26"/>
  <c r="P25" i="26"/>
  <c r="T21" i="26"/>
  <c r="T24" i="25"/>
  <c r="T22" i="25"/>
  <c r="P12" i="25"/>
  <c r="B22" i="43"/>
  <c r="T22" i="37"/>
  <c r="H20" i="35"/>
  <c r="D25" i="34"/>
  <c r="B39" i="32"/>
  <c r="H22" i="32"/>
  <c r="H13" i="32"/>
  <c r="H34" i="31"/>
  <c r="H29" i="31"/>
  <c r="P15" i="31"/>
  <c r="P34" i="29"/>
  <c r="H24" i="29"/>
  <c r="H22" i="29"/>
  <c r="H13" i="29"/>
  <c r="D4" i="29"/>
  <c r="H34" i="28"/>
  <c r="H33" i="28"/>
  <c r="H29" i="28"/>
  <c r="H25" i="28"/>
  <c r="P15" i="28"/>
  <c r="D5" i="28"/>
  <c r="P24" i="26"/>
  <c r="P22" i="26"/>
  <c r="T20" i="26"/>
  <c r="T16" i="26"/>
  <c r="T13" i="26"/>
  <c r="P34" i="25"/>
  <c r="P33" i="25"/>
  <c r="P29" i="25"/>
  <c r="P25" i="25"/>
  <c r="T21" i="25"/>
  <c r="H15" i="40"/>
  <c r="D34" i="34"/>
  <c r="H15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P20" i="26"/>
  <c r="P16" i="26"/>
  <c r="D12" i="26"/>
  <c r="P21" i="25"/>
  <c r="T15" i="25"/>
  <c r="P13" i="25"/>
  <c r="H12" i="25"/>
  <c r="D20" i="31"/>
  <c r="D24" i="28"/>
  <c r="H33" i="26"/>
  <c r="H25" i="26"/>
  <c r="P20" i="25"/>
  <c r="P24" i="23"/>
  <c r="P22" i="23"/>
  <c r="T20" i="23"/>
  <c r="T16" i="23"/>
  <c r="T13" i="23"/>
  <c r="P34" i="22"/>
  <c r="P33" i="22"/>
  <c r="P29" i="22"/>
  <c r="P25" i="22"/>
  <c r="T21" i="22"/>
  <c r="B39" i="20"/>
  <c r="H24" i="20"/>
  <c r="H22" i="20"/>
  <c r="H13" i="20"/>
  <c r="D4" i="20"/>
  <c r="H34" i="19"/>
  <c r="H33" i="19"/>
  <c r="H29" i="19"/>
  <c r="H25" i="19"/>
  <c r="P15" i="19"/>
  <c r="D5" i="19"/>
  <c r="P20" i="17"/>
  <c r="P16" i="17"/>
  <c r="D12" i="17"/>
  <c r="D25" i="29"/>
  <c r="H22" i="28"/>
  <c r="H13" i="28"/>
  <c r="T24" i="26"/>
  <c r="P12" i="26"/>
  <c r="T12" i="25"/>
  <c r="P21" i="23"/>
  <c r="T15" i="23"/>
  <c r="P13" i="23"/>
  <c r="H12" i="23"/>
  <c r="P24" i="22"/>
  <c r="P22" i="22"/>
  <c r="T20" i="22"/>
  <c r="T16" i="22"/>
  <c r="T13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B22" i="40"/>
  <c r="D22" i="28"/>
  <c r="B13" i="28"/>
  <c r="H12" i="26"/>
  <c r="P24" i="25"/>
  <c r="P20" i="23"/>
  <c r="P16" i="23"/>
  <c r="D12" i="23"/>
  <c r="P21" i="22"/>
  <c r="T15" i="22"/>
  <c r="P13" i="22"/>
  <c r="H12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D15" i="40"/>
  <c r="B25" i="34"/>
  <c r="D13" i="32"/>
  <c r="D4" i="28"/>
  <c r="D5" i="26"/>
  <c r="D12" i="25"/>
  <c r="H34" i="23"/>
  <c r="H33" i="23"/>
  <c r="H29" i="23"/>
  <c r="H25" i="23"/>
  <c r="P15" i="23"/>
  <c r="D5" i="23"/>
  <c r="P20" i="22"/>
  <c r="P16" i="22"/>
  <c r="D12" i="22"/>
  <c r="B22" i="20"/>
  <c r="D21" i="20"/>
  <c r="H15" i="20"/>
  <c r="B25" i="19"/>
  <c r="D24" i="19"/>
  <c r="D22" i="19"/>
  <c r="H20" i="19"/>
  <c r="H16" i="19"/>
  <c r="B13" i="19"/>
  <c r="B38" i="17"/>
  <c r="D34" i="17"/>
  <c r="D33" i="17"/>
  <c r="D29" i="17"/>
  <c r="D25" i="17"/>
  <c r="H21" i="17"/>
  <c r="D13" i="17"/>
  <c r="B39" i="16"/>
  <c r="D24" i="34"/>
  <c r="T12" i="32"/>
  <c r="H15" i="29"/>
  <c r="T22" i="26"/>
  <c r="T29" i="25"/>
  <c r="B39" i="23"/>
  <c r="H24" i="23"/>
  <c r="H22" i="23"/>
  <c r="H13" i="23"/>
  <c r="D4" i="23"/>
  <c r="H34" i="22"/>
  <c r="H33" i="22"/>
  <c r="H29" i="22"/>
  <c r="H25" i="22"/>
  <c r="P15" i="22"/>
  <c r="D5" i="22"/>
  <c r="B21" i="20"/>
  <c r="D20" i="20"/>
  <c r="D16" i="20"/>
  <c r="B22" i="19"/>
  <c r="D21" i="19"/>
  <c r="H15" i="19"/>
  <c r="H16" i="34"/>
  <c r="B38" i="32"/>
  <c r="D13" i="29"/>
  <c r="P22" i="25"/>
  <c r="T16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T34" i="20"/>
  <c r="T33" i="20"/>
  <c r="T29" i="20"/>
  <c r="T25" i="20"/>
  <c r="B16" i="20"/>
  <c r="D15" i="20"/>
  <c r="T12" i="20"/>
  <c r="B21" i="19"/>
  <c r="D20" i="19"/>
  <c r="D16" i="19"/>
  <c r="H34" i="37"/>
  <c r="H33" i="29"/>
  <c r="B22" i="29"/>
  <c r="H20" i="28"/>
  <c r="H29" i="26"/>
  <c r="P16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T24" i="20"/>
  <c r="T22" i="20"/>
  <c r="P12" i="20"/>
  <c r="T34" i="19"/>
  <c r="T33" i="19"/>
  <c r="T29" i="19"/>
  <c r="T25" i="19"/>
  <c r="B16" i="19"/>
  <c r="D15" i="19"/>
  <c r="T12" i="19"/>
  <c r="D33" i="32"/>
  <c r="H21" i="29"/>
  <c r="B39" i="28"/>
  <c r="T34" i="25"/>
  <c r="B16" i="25"/>
  <c r="B22" i="23"/>
  <c r="D21" i="23"/>
  <c r="H15" i="23"/>
  <c r="B25" i="22"/>
  <c r="D24" i="22"/>
  <c r="D22" i="22"/>
  <c r="H20" i="22"/>
  <c r="H16" i="22"/>
  <c r="B13" i="22"/>
  <c r="P34" i="20"/>
  <c r="P33" i="20"/>
  <c r="P29" i="20"/>
  <c r="P25" i="20"/>
  <c r="T21" i="20"/>
  <c r="T24" i="19"/>
  <c r="T22" i="19"/>
  <c r="P12" i="19"/>
  <c r="D21" i="29"/>
  <c r="P21" i="26"/>
  <c r="T15" i="26"/>
  <c r="B21" i="23"/>
  <c r="D20" i="23"/>
  <c r="D16" i="23"/>
  <c r="B22" i="22"/>
  <c r="D21" i="22"/>
  <c r="H15" i="22"/>
  <c r="P24" i="20"/>
  <c r="P22" i="20"/>
  <c r="T20" i="20"/>
  <c r="T16" i="20"/>
  <c r="T13" i="20"/>
  <c r="P34" i="19"/>
  <c r="P33" i="19"/>
  <c r="P29" i="19"/>
  <c r="P25" i="19"/>
  <c r="T21" i="19"/>
  <c r="T24" i="17"/>
  <c r="T22" i="17"/>
  <c r="P12" i="17"/>
  <c r="T34" i="16"/>
  <c r="T33" i="16"/>
  <c r="H24" i="31"/>
  <c r="H29" i="29"/>
  <c r="H34" i="26"/>
  <c r="P15" i="26"/>
  <c r="T34" i="23"/>
  <c r="T33" i="23"/>
  <c r="T29" i="23"/>
  <c r="T25" i="23"/>
  <c r="B16" i="23"/>
  <c r="D15" i="23"/>
  <c r="T12" i="23"/>
  <c r="B21" i="22"/>
  <c r="D20" i="22"/>
  <c r="D16" i="22"/>
  <c r="P21" i="20"/>
  <c r="T15" i="20"/>
  <c r="P13" i="20"/>
  <c r="H12" i="20"/>
  <c r="P24" i="19"/>
  <c r="P22" i="19"/>
  <c r="T20" i="19"/>
  <c r="T16" i="19"/>
  <c r="T13" i="19"/>
  <c r="P34" i="17"/>
  <c r="P33" i="17"/>
  <c r="P29" i="17"/>
  <c r="P25" i="17"/>
  <c r="T21" i="17"/>
  <c r="T25" i="25"/>
  <c r="P33" i="23"/>
  <c r="T15" i="19"/>
  <c r="P21" i="17"/>
  <c r="H15" i="17"/>
  <c r="H12" i="17"/>
  <c r="H29" i="16"/>
  <c r="H25" i="16"/>
  <c r="P15" i="16"/>
  <c r="D5" i="16"/>
  <c r="P34" i="14"/>
  <c r="P33" i="14"/>
  <c r="P29" i="14"/>
  <c r="P25" i="14"/>
  <c r="T21" i="14"/>
  <c r="T24" i="13"/>
  <c r="T22" i="13"/>
  <c r="P12" i="13"/>
  <c r="P12" i="23"/>
  <c r="H25" i="17"/>
  <c r="D20" i="17"/>
  <c r="D5" i="17"/>
  <c r="H24" i="16"/>
  <c r="H22" i="16"/>
  <c r="H13" i="16"/>
  <c r="D4" i="16"/>
  <c r="P24" i="14"/>
  <c r="P22" i="14"/>
  <c r="T20" i="14"/>
  <c r="T16" i="14"/>
  <c r="T13" i="14"/>
  <c r="P34" i="13"/>
  <c r="P33" i="13"/>
  <c r="P29" i="13"/>
  <c r="P25" i="13"/>
  <c r="T21" i="13"/>
  <c r="D29" i="29"/>
  <c r="T21" i="23"/>
  <c r="P16" i="20"/>
  <c r="P13" i="19"/>
  <c r="T33" i="17"/>
  <c r="D15" i="17"/>
  <c r="D4" i="17"/>
  <c r="H33" i="16"/>
  <c r="D29" i="16"/>
  <c r="D25" i="16"/>
  <c r="H21" i="16"/>
  <c r="D13" i="16"/>
  <c r="P21" i="14"/>
  <c r="T15" i="14"/>
  <c r="P13" i="14"/>
  <c r="H12" i="14"/>
  <c r="P24" i="13"/>
  <c r="P22" i="13"/>
  <c r="T20" i="13"/>
  <c r="T16" i="13"/>
  <c r="T13" i="13"/>
  <c r="T20" i="25"/>
  <c r="T25" i="22"/>
  <c r="H25" i="20"/>
  <c r="B25" i="17"/>
  <c r="P22" i="17"/>
  <c r="H16" i="17"/>
  <c r="T13" i="17"/>
  <c r="B38" i="16"/>
  <c r="P34" i="16"/>
  <c r="B25" i="16"/>
  <c r="D24" i="16"/>
  <c r="D22" i="16"/>
  <c r="H20" i="16"/>
  <c r="H16" i="16"/>
  <c r="B13" i="16"/>
  <c r="P20" i="14"/>
  <c r="P16" i="14"/>
  <c r="D12" i="14"/>
  <c r="P21" i="13"/>
  <c r="T15" i="13"/>
  <c r="P13" i="13"/>
  <c r="H12" i="13"/>
  <c r="D15" i="25"/>
  <c r="P29" i="23"/>
  <c r="P21" i="19"/>
  <c r="H12" i="19"/>
  <c r="D21" i="17"/>
  <c r="P13" i="17"/>
  <c r="D33" i="16"/>
  <c r="B22" i="16"/>
  <c r="D21" i="16"/>
  <c r="H15" i="16"/>
  <c r="H34" i="14"/>
  <c r="H33" i="14"/>
  <c r="H29" i="14"/>
  <c r="H25" i="14"/>
  <c r="P15" i="14"/>
  <c r="D5" i="14"/>
  <c r="P20" i="13"/>
  <c r="P16" i="13"/>
  <c r="D12" i="13"/>
  <c r="T13" i="25"/>
  <c r="T34" i="22"/>
  <c r="B16" i="22"/>
  <c r="H34" i="20"/>
  <c r="P15" i="20"/>
  <c r="D12" i="19"/>
  <c r="H33" i="17"/>
  <c r="B21" i="17"/>
  <c r="D16" i="17"/>
  <c r="B21" i="16"/>
  <c r="D20" i="16"/>
  <c r="D16" i="16"/>
  <c r="B39" i="14"/>
  <c r="H24" i="14"/>
  <c r="H22" i="14"/>
  <c r="H13" i="14"/>
  <c r="D4" i="14"/>
  <c r="H34" i="13"/>
  <c r="H33" i="13"/>
  <c r="H29" i="13"/>
  <c r="H25" i="13"/>
  <c r="P15" i="13"/>
  <c r="D5" i="13"/>
  <c r="T24" i="22"/>
  <c r="B39" i="17"/>
  <c r="T34" i="17"/>
  <c r="T29" i="17"/>
  <c r="H22" i="17"/>
  <c r="B16" i="17"/>
  <c r="H13" i="17"/>
  <c r="H34" i="16"/>
  <c r="T29" i="16"/>
  <c r="T25" i="16"/>
  <c r="B16" i="16"/>
  <c r="D15" i="16"/>
  <c r="T12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T25" i="32"/>
  <c r="T33" i="22"/>
  <c r="D15" i="22"/>
  <c r="H33" i="20"/>
  <c r="P20" i="19"/>
  <c r="P24" i="17"/>
  <c r="D22" i="17"/>
  <c r="T20" i="17"/>
  <c r="B13" i="17"/>
  <c r="D34" i="16"/>
  <c r="T24" i="16"/>
  <c r="T22" i="16"/>
  <c r="P12" i="16"/>
  <c r="B25" i="28"/>
  <c r="P25" i="23"/>
  <c r="T22" i="22"/>
  <c r="D12" i="20"/>
  <c r="B22" i="17"/>
  <c r="T15" i="17"/>
  <c r="P29" i="16"/>
  <c r="P25" i="16"/>
  <c r="T21" i="16"/>
  <c r="B22" i="14"/>
  <c r="D21" i="14"/>
  <c r="H15" i="14"/>
  <c r="B25" i="13"/>
  <c r="D24" i="13"/>
  <c r="D22" i="13"/>
  <c r="H20" i="13"/>
  <c r="H16" i="13"/>
  <c r="B13" i="13"/>
  <c r="H16" i="28"/>
  <c r="T33" i="25"/>
  <c r="P34" i="23"/>
  <c r="P12" i="22"/>
  <c r="P20" i="20"/>
  <c r="T25" i="17"/>
  <c r="H24" i="17"/>
  <c r="T12" i="17"/>
  <c r="P21" i="16"/>
  <c r="T15" i="16"/>
  <c r="P13" i="16"/>
  <c r="H12" i="16"/>
  <c r="T34" i="14"/>
  <c r="T33" i="14"/>
  <c r="T29" i="14"/>
  <c r="T25" i="14"/>
  <c r="B16" i="14"/>
  <c r="D15" i="14"/>
  <c r="T12" i="14"/>
  <c r="B21" i="13"/>
  <c r="D20" i="13"/>
  <c r="D16" i="13"/>
  <c r="T12" i="22"/>
  <c r="H29" i="20"/>
  <c r="H20" i="17"/>
  <c r="D12" i="16"/>
  <c r="D20" i="14"/>
  <c r="B21" i="11"/>
  <c r="D20" i="11"/>
  <c r="D16" i="11"/>
  <c r="B22" i="10"/>
  <c r="D21" i="10"/>
  <c r="H15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T20" i="16"/>
  <c r="T24" i="14"/>
  <c r="P12" i="14"/>
  <c r="T12" i="13"/>
  <c r="T34" i="11"/>
  <c r="T33" i="11"/>
  <c r="T29" i="11"/>
  <c r="T25" i="11"/>
  <c r="B16" i="11"/>
  <c r="D15" i="11"/>
  <c r="T12" i="11"/>
  <c r="B21" i="10"/>
  <c r="D20" i="10"/>
  <c r="D16" i="10"/>
  <c r="T34" i="8"/>
  <c r="T33" i="8"/>
  <c r="T29" i="8"/>
  <c r="T25" i="8"/>
  <c r="T16" i="17"/>
  <c r="P20" i="16"/>
  <c r="D24" i="14"/>
  <c r="B38" i="13"/>
  <c r="T24" i="11"/>
  <c r="T22" i="11"/>
  <c r="P12" i="11"/>
  <c r="T34" i="10"/>
  <c r="T33" i="10"/>
  <c r="T29" i="10"/>
  <c r="T25" i="10"/>
  <c r="B16" i="10"/>
  <c r="D15" i="10"/>
  <c r="T12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D5" i="20"/>
  <c r="H29" i="17"/>
  <c r="P15" i="17"/>
  <c r="P34" i="11"/>
  <c r="P33" i="11"/>
  <c r="P29" i="11"/>
  <c r="P25" i="11"/>
  <c r="T21" i="11"/>
  <c r="T24" i="10"/>
  <c r="T22" i="10"/>
  <c r="P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T24" i="23"/>
  <c r="T22" i="14"/>
  <c r="T29" i="13"/>
  <c r="P24" i="11"/>
  <c r="P22" i="11"/>
  <c r="T20" i="11"/>
  <c r="T16" i="11"/>
  <c r="T13" i="11"/>
  <c r="P34" i="10"/>
  <c r="P33" i="10"/>
  <c r="P29" i="10"/>
  <c r="P25" i="10"/>
  <c r="T21" i="10"/>
  <c r="P24" i="8"/>
  <c r="P22" i="8"/>
  <c r="T20" i="8"/>
  <c r="T16" i="8"/>
  <c r="P13" i="26"/>
  <c r="T22" i="23"/>
  <c r="T16" i="16"/>
  <c r="D22" i="14"/>
  <c r="H16" i="14"/>
  <c r="D29" i="13"/>
  <c r="P21" i="11"/>
  <c r="T15" i="11"/>
  <c r="P13" i="11"/>
  <c r="H12" i="11"/>
  <c r="P24" i="10"/>
  <c r="P22" i="10"/>
  <c r="T20" i="10"/>
  <c r="T16" i="10"/>
  <c r="T13" i="10"/>
  <c r="P21" i="8"/>
  <c r="T15" i="8"/>
  <c r="P16" i="16"/>
  <c r="D16" i="14"/>
  <c r="B22" i="13"/>
  <c r="P20" i="11"/>
  <c r="P16" i="11"/>
  <c r="D12" i="11"/>
  <c r="P21" i="10"/>
  <c r="T15" i="10"/>
  <c r="P13" i="10"/>
  <c r="H12" i="10"/>
  <c r="P24" i="16"/>
  <c r="T34" i="13"/>
  <c r="B16" i="13"/>
  <c r="H34" i="11"/>
  <c r="H33" i="11"/>
  <c r="H29" i="11"/>
  <c r="H25" i="11"/>
  <c r="P15" i="11"/>
  <c r="D5" i="11"/>
  <c r="P20" i="10"/>
  <c r="P16" i="10"/>
  <c r="D12" i="10"/>
  <c r="P16" i="19"/>
  <c r="D24" i="17"/>
  <c r="D34" i="13"/>
  <c r="H21" i="13"/>
  <c r="B39" i="11"/>
  <c r="H24" i="11"/>
  <c r="H22" i="11"/>
  <c r="H13" i="11"/>
  <c r="D4" i="11"/>
  <c r="H34" i="10"/>
  <c r="H33" i="10"/>
  <c r="H29" i="10"/>
  <c r="H25" i="10"/>
  <c r="P15" i="10"/>
  <c r="D5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T29" i="22"/>
  <c r="P22" i="16"/>
  <c r="T13" i="16"/>
  <c r="B21" i="14"/>
  <c r="D21" i="13"/>
  <c r="H15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P33" i="16"/>
  <c r="T33" i="13"/>
  <c r="T25" i="13"/>
  <c r="D15" i="13"/>
  <c r="D13" i="13"/>
  <c r="D24" i="11"/>
  <c r="H21" i="10"/>
  <c r="H25" i="8"/>
  <c r="H15" i="8"/>
  <c r="D5" i="8"/>
  <c r="D29" i="7"/>
  <c r="D34" i="5"/>
  <c r="H25" i="5"/>
  <c r="D20" i="5"/>
  <c r="D5" i="5"/>
  <c r="D21" i="4"/>
  <c r="H15" i="11"/>
  <c r="B25" i="8"/>
  <c r="D15" i="8"/>
  <c r="B38" i="7"/>
  <c r="P22" i="7"/>
  <c r="B21" i="7"/>
  <c r="T15" i="7"/>
  <c r="D25" i="5"/>
  <c r="H21" i="5"/>
  <c r="B39" i="4"/>
  <c r="T24" i="4"/>
  <c r="H22" i="4"/>
  <c r="H13" i="4"/>
  <c r="D22" i="11"/>
  <c r="B13" i="11"/>
  <c r="D29" i="10"/>
  <c r="T13" i="8"/>
  <c r="D25" i="7"/>
  <c r="B22" i="11"/>
  <c r="H20" i="10"/>
  <c r="P13" i="8"/>
  <c r="D34" i="7"/>
  <c r="B25" i="7"/>
  <c r="T20" i="7"/>
  <c r="H12" i="7"/>
  <c r="D21" i="5"/>
  <c r="D22" i="4"/>
  <c r="T15" i="4"/>
  <c r="B13" i="4"/>
  <c r="B38" i="10"/>
  <c r="H34" i="8"/>
  <c r="H29" i="8"/>
  <c r="D21" i="8"/>
  <c r="P16" i="8"/>
  <c r="D12" i="7"/>
  <c r="P33" i="5"/>
  <c r="B21" i="5"/>
  <c r="D16" i="5"/>
  <c r="B22" i="4"/>
  <c r="P20" i="4"/>
  <c r="D21" i="11"/>
  <c r="D24" i="8"/>
  <c r="D22" i="7"/>
  <c r="P20" i="7"/>
  <c r="T16" i="7"/>
  <c r="D13" i="5"/>
  <c r="H24" i="4"/>
  <c r="P12" i="4"/>
  <c r="B25" i="14"/>
  <c r="H20" i="11"/>
  <c r="D25" i="10"/>
  <c r="H20" i="14"/>
  <c r="B25" i="10"/>
  <c r="H16" i="10"/>
  <c r="T21" i="7"/>
  <c r="H20" i="7"/>
  <c r="P16" i="7"/>
  <c r="T13" i="7"/>
  <c r="D33" i="5"/>
  <c r="B22" i="5"/>
  <c r="P20" i="5"/>
  <c r="B13" i="14"/>
  <c r="D34" i="10"/>
  <c r="H33" i="8"/>
  <c r="H20" i="8"/>
  <c r="B16" i="8"/>
  <c r="T12" i="8"/>
  <c r="P29" i="7"/>
  <c r="D20" i="7"/>
  <c r="P13" i="7"/>
  <c r="P15" i="5"/>
  <c r="P16" i="4"/>
  <c r="H15" i="4"/>
  <c r="D12" i="4"/>
  <c r="D25" i="13"/>
  <c r="B25" i="11"/>
  <c r="H16" i="11"/>
  <c r="D33" i="10"/>
  <c r="D13" i="10"/>
  <c r="D22" i="8"/>
  <c r="P15" i="8"/>
  <c r="H12" i="8"/>
  <c r="D33" i="7"/>
  <c r="P25" i="7"/>
  <c r="D24" i="7"/>
  <c r="D16" i="7"/>
  <c r="D13" i="7"/>
  <c r="B38" i="5"/>
  <c r="D24" i="5"/>
  <c r="H20" i="5"/>
  <c r="T16" i="5"/>
  <c r="P33" i="4"/>
  <c r="D25" i="4"/>
  <c r="H21" i="4"/>
  <c r="D22" i="10"/>
  <c r="B13" i="10"/>
  <c r="B22" i="8"/>
  <c r="D12" i="8"/>
  <c r="P34" i="7"/>
  <c r="H21" i="7"/>
  <c r="B13" i="7"/>
  <c r="P16" i="5"/>
  <c r="H15" i="5"/>
  <c r="D12" i="5"/>
  <c r="B25" i="4"/>
  <c r="H16" i="4"/>
  <c r="P13" i="4"/>
  <c r="P20" i="8"/>
  <c r="P24" i="5"/>
  <c r="P34" i="5"/>
  <c r="D24" i="4"/>
  <c r="H16" i="8"/>
  <c r="P24" i="7"/>
  <c r="P22" i="5"/>
  <c r="T13" i="5"/>
  <c r="T22" i="4"/>
  <c r="D24" i="10"/>
  <c r="D22" i="5"/>
  <c r="B13" i="5"/>
  <c r="P29" i="4"/>
  <c r="H16" i="5"/>
  <c r="H34" i="17"/>
  <c r="B13" i="8"/>
  <c r="T21" i="5"/>
  <c r="D29" i="4"/>
  <c r="T21" i="4"/>
  <c r="P21" i="7"/>
  <c r="B38" i="4"/>
  <c r="P21" i="4"/>
  <c r="P29" i="5"/>
  <c r="T20" i="5"/>
  <c r="D29" i="5"/>
  <c r="D13" i="4"/>
  <c r="D33" i="4"/>
  <c r="P33" i="7"/>
  <c r="P34" i="4"/>
  <c r="P25" i="4"/>
  <c r="H24" i="28"/>
  <c r="D33" i="13"/>
  <c r="H16" i="7"/>
  <c r="D34" i="4"/>
  <c r="H20" i="4"/>
  <c r="H12" i="4"/>
  <c r="B25" i="5"/>
  <c r="P25" i="5"/>
  <c r="D4" i="4"/>
  <c r="X25" i="5" l="1"/>
  <c r="J24" i="4"/>
  <c r="J22" i="4"/>
  <c r="J33" i="4"/>
  <c r="J27" i="4"/>
  <c r="H18" i="4"/>
  <c r="J34" i="4"/>
  <c r="J29" i="4"/>
  <c r="J36" i="4"/>
  <c r="J31" i="4"/>
  <c r="J25" i="4"/>
  <c r="J16" i="4"/>
  <c r="J18" i="4"/>
  <c r="J15" i="4"/>
  <c r="J21" i="4"/>
  <c r="J20" i="4"/>
  <c r="N12" i="4"/>
  <c r="N20" i="4"/>
  <c r="L34" i="4"/>
  <c r="N16" i="7"/>
  <c r="L33" i="13"/>
  <c r="N24" i="28"/>
  <c r="X25" i="4"/>
  <c r="X34" i="4"/>
  <c r="X33" i="7"/>
  <c r="L33" i="4"/>
  <c r="L13" i="4"/>
  <c r="L29" i="5"/>
  <c r="Z20" i="5"/>
  <c r="X29" i="5"/>
  <c r="X21" i="4"/>
  <c r="X21" i="7"/>
  <c r="Z21" i="4"/>
  <c r="L29" i="4"/>
  <c r="Z21" i="5"/>
  <c r="N34" i="17"/>
  <c r="N16" i="5"/>
  <c r="X29" i="4"/>
  <c r="L22" i="5"/>
  <c r="L24" i="10"/>
  <c r="Z22" i="4"/>
  <c r="Z13" i="5"/>
  <c r="X22" i="5"/>
  <c r="X24" i="7"/>
  <c r="N16" i="8"/>
  <c r="L24" i="4"/>
  <c r="X34" i="5"/>
  <c r="X24" i="5"/>
  <c r="X20" i="8"/>
  <c r="X13" i="4"/>
  <c r="N16" i="4"/>
  <c r="F36" i="5"/>
  <c r="F34" i="5"/>
  <c r="F33" i="5"/>
  <c r="F31" i="5"/>
  <c r="F29" i="5"/>
  <c r="F27" i="5"/>
  <c r="F25" i="5"/>
  <c r="F15" i="5"/>
  <c r="F16" i="5"/>
  <c r="F22" i="5"/>
  <c r="F18" i="5"/>
  <c r="D18" i="5"/>
  <c r="L12" i="5"/>
  <c r="F20" i="5"/>
  <c r="F24" i="5"/>
  <c r="F21" i="5"/>
  <c r="N15" i="5"/>
  <c r="X16" i="5"/>
  <c r="N21" i="7"/>
  <c r="X34" i="7"/>
  <c r="D18" i="8"/>
  <c r="F15" i="8"/>
  <c r="F36" i="8"/>
  <c r="F34" i="8"/>
  <c r="F33" i="8"/>
  <c r="F31" i="8"/>
  <c r="F29" i="8"/>
  <c r="F27" i="8"/>
  <c r="F25" i="8"/>
  <c r="F24" i="8"/>
  <c r="F22" i="8"/>
  <c r="F18" i="8"/>
  <c r="F21" i="8"/>
  <c r="F16" i="8"/>
  <c r="F20" i="8"/>
  <c r="L12" i="8"/>
  <c r="L22" i="10"/>
  <c r="N21" i="4"/>
  <c r="L25" i="4"/>
  <c r="X33" i="4"/>
  <c r="Z16" i="5"/>
  <c r="N20" i="5"/>
  <c r="L24" i="5"/>
  <c r="L13" i="7"/>
  <c r="L16" i="7"/>
  <c r="L24" i="7"/>
  <c r="X25" i="7"/>
  <c r="L33" i="7"/>
  <c r="N12" i="8"/>
  <c r="J21" i="8"/>
  <c r="J20" i="8"/>
  <c r="J18" i="8"/>
  <c r="J16" i="8"/>
  <c r="H18" i="8"/>
  <c r="J34" i="8"/>
  <c r="J29" i="8"/>
  <c r="J24" i="8"/>
  <c r="J33" i="8"/>
  <c r="J27" i="8"/>
  <c r="J36" i="8"/>
  <c r="J31" i="8"/>
  <c r="J25" i="8"/>
  <c r="J15" i="8"/>
  <c r="J22" i="8"/>
  <c r="X15" i="8"/>
  <c r="L22" i="8"/>
  <c r="L13" i="10"/>
  <c r="L33" i="10"/>
  <c r="N16" i="11"/>
  <c r="L25" i="13"/>
  <c r="L12" i="4"/>
  <c r="D18" i="4"/>
  <c r="F15" i="4"/>
  <c r="F16" i="4"/>
  <c r="F33" i="4"/>
  <c r="F27" i="4"/>
  <c r="F18" i="4"/>
  <c r="F34" i="4"/>
  <c r="F29" i="4"/>
  <c r="F20" i="4"/>
  <c r="F21" i="4"/>
  <c r="F24" i="4"/>
  <c r="F31" i="4"/>
  <c r="F22" i="4"/>
  <c r="F36" i="4"/>
  <c r="F25" i="4"/>
  <c r="N15" i="4"/>
  <c r="X16" i="4"/>
  <c r="X15" i="5"/>
  <c r="X13" i="7"/>
  <c r="L20" i="7"/>
  <c r="X29" i="7"/>
  <c r="V36" i="8"/>
  <c r="V34" i="8"/>
  <c r="V33" i="8"/>
  <c r="V31" i="8"/>
  <c r="V29" i="8"/>
  <c r="V27" i="8"/>
  <c r="V25" i="8"/>
  <c r="V24" i="8"/>
  <c r="V21" i="8"/>
  <c r="V20" i="8"/>
  <c r="V18" i="8"/>
  <c r="V16" i="8"/>
  <c r="T18" i="8"/>
  <c r="V15" i="8"/>
  <c r="V22" i="8"/>
  <c r="Z12" i="8"/>
  <c r="N20" i="8"/>
  <c r="N33" i="8"/>
  <c r="L34" i="10"/>
  <c r="X20" i="5"/>
  <c r="L33" i="5"/>
  <c r="Z13" i="7"/>
  <c r="X16" i="7"/>
  <c r="N20" i="7"/>
  <c r="Z21" i="7"/>
  <c r="N16" i="10"/>
  <c r="N20" i="14"/>
  <c r="L25" i="10"/>
  <c r="N20" i="11"/>
  <c r="R21" i="4"/>
  <c r="X12" i="4"/>
  <c r="P18" i="4"/>
  <c r="R34" i="4"/>
  <c r="R29" i="4"/>
  <c r="R20" i="4"/>
  <c r="R15" i="4"/>
  <c r="R36" i="4"/>
  <c r="R31" i="4"/>
  <c r="R25" i="4"/>
  <c r="R22" i="4"/>
  <c r="R18" i="4"/>
  <c r="R16" i="4"/>
  <c r="R27" i="4"/>
  <c r="R24" i="4"/>
  <c r="R33" i="4"/>
  <c r="N24" i="4"/>
  <c r="L13" i="5"/>
  <c r="Z16" i="7"/>
  <c r="X20" i="7"/>
  <c r="L22" i="7"/>
  <c r="L24" i="8"/>
  <c r="L21" i="11"/>
  <c r="X20" i="4"/>
  <c r="L16" i="5"/>
  <c r="X33" i="5"/>
  <c r="F20" i="7"/>
  <c r="F18" i="7"/>
  <c r="F16" i="7"/>
  <c r="F36" i="7"/>
  <c r="F34" i="7"/>
  <c r="F33" i="7"/>
  <c r="F31" i="7"/>
  <c r="F29" i="7"/>
  <c r="F27" i="7"/>
  <c r="F25" i="7"/>
  <c r="F21" i="7"/>
  <c r="L12" i="7"/>
  <c r="D18" i="7"/>
  <c r="F22" i="7"/>
  <c r="F15" i="7"/>
  <c r="F24" i="7"/>
  <c r="X16" i="8"/>
  <c r="L21" i="8"/>
  <c r="N29" i="8"/>
  <c r="N34" i="8"/>
  <c r="Z15" i="4"/>
  <c r="L22" i="4"/>
  <c r="L21" i="5"/>
  <c r="J24" i="7"/>
  <c r="J22" i="7"/>
  <c r="J21" i="7"/>
  <c r="J25" i="7"/>
  <c r="J18" i="7"/>
  <c r="N12" i="7"/>
  <c r="J34" i="7"/>
  <c r="H18" i="7"/>
  <c r="J31" i="7"/>
  <c r="J15" i="7"/>
  <c r="J36" i="7"/>
  <c r="J16" i="7"/>
  <c r="J29" i="7"/>
  <c r="J27" i="7"/>
  <c r="J20" i="7"/>
  <c r="J33" i="7"/>
  <c r="Z20" i="7"/>
  <c r="L34" i="7"/>
  <c r="X13" i="8"/>
  <c r="N20" i="10"/>
  <c r="L25" i="7"/>
  <c r="Z13" i="8"/>
  <c r="L29" i="10"/>
  <c r="L22" i="11"/>
  <c r="N13" i="4"/>
  <c r="N22" i="4"/>
  <c r="Z24" i="4"/>
  <c r="N21" i="5"/>
  <c r="L25" i="5"/>
  <c r="Z15" i="7"/>
  <c r="X22" i="7"/>
  <c r="L15" i="8"/>
  <c r="N15" i="11"/>
  <c r="L21" i="4"/>
  <c r="L20" i="5"/>
  <c r="N25" i="5"/>
  <c r="L34" i="5"/>
  <c r="L29" i="7"/>
  <c r="N15" i="8"/>
  <c r="N25" i="8"/>
  <c r="N21" i="10"/>
  <c r="L24" i="11"/>
  <c r="L13" i="13"/>
  <c r="L15" i="13"/>
  <c r="Z25" i="13"/>
  <c r="Z33" i="13"/>
  <c r="X33" i="16"/>
  <c r="T18" i="4"/>
  <c r="V15" i="4"/>
  <c r="V36" i="4"/>
  <c r="V34" i="4"/>
  <c r="V33" i="4"/>
  <c r="V31" i="4"/>
  <c r="V29" i="4"/>
  <c r="V27" i="4"/>
  <c r="V25" i="4"/>
  <c r="V24" i="4"/>
  <c r="V22" i="4"/>
  <c r="Z12" i="4"/>
  <c r="V21" i="4"/>
  <c r="V18" i="4"/>
  <c r="V16" i="4"/>
  <c r="V20" i="4"/>
  <c r="L15" i="4"/>
  <c r="Z25" i="4"/>
  <c r="Z29" i="4"/>
  <c r="Z33" i="4"/>
  <c r="Z34" i="4"/>
  <c r="R20" i="5"/>
  <c r="R18" i="5"/>
  <c r="R16" i="5"/>
  <c r="R36" i="5"/>
  <c r="R34" i="5"/>
  <c r="R33" i="5"/>
  <c r="R31" i="5"/>
  <c r="R29" i="5"/>
  <c r="R27" i="5"/>
  <c r="R25" i="5"/>
  <c r="R22" i="5"/>
  <c r="P18" i="5"/>
  <c r="R24" i="5"/>
  <c r="R15" i="5"/>
  <c r="X12" i="5"/>
  <c r="R21" i="5"/>
  <c r="Z22" i="5"/>
  <c r="Z24" i="5"/>
  <c r="N13" i="7"/>
  <c r="N22" i="7"/>
  <c r="N24" i="7"/>
  <c r="L13" i="8"/>
  <c r="N21" i="8"/>
  <c r="L25" i="8"/>
  <c r="L29" i="8"/>
  <c r="L33" i="8"/>
  <c r="L34" i="8"/>
  <c r="N13" i="10"/>
  <c r="N22" i="10"/>
  <c r="N24" i="10"/>
  <c r="L13" i="11"/>
  <c r="N21" i="11"/>
  <c r="L25" i="11"/>
  <c r="L29" i="11"/>
  <c r="L33" i="11"/>
  <c r="L34" i="11"/>
  <c r="N15" i="13"/>
  <c r="L21" i="13"/>
  <c r="Z13" i="16"/>
  <c r="X22" i="16"/>
  <c r="Z29" i="22"/>
  <c r="L16" i="4"/>
  <c r="L20" i="4"/>
  <c r="V24" i="5"/>
  <c r="V22" i="5"/>
  <c r="V21" i="5"/>
  <c r="V27" i="5"/>
  <c r="V36" i="5"/>
  <c r="V18" i="5"/>
  <c r="V33" i="5"/>
  <c r="V29" i="5"/>
  <c r="V20" i="5"/>
  <c r="Z12" i="5"/>
  <c r="V34" i="5"/>
  <c r="V25" i="5"/>
  <c r="V31" i="5"/>
  <c r="V15" i="5"/>
  <c r="T18" i="5"/>
  <c r="V16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15" i="10"/>
  <c r="N25" i="10"/>
  <c r="N29" i="10"/>
  <c r="N33" i="10"/>
  <c r="N34" i="10"/>
  <c r="N13" i="11"/>
  <c r="N22" i="11"/>
  <c r="N24" i="11"/>
  <c r="N21" i="13"/>
  <c r="L34" i="13"/>
  <c r="L24" i="17"/>
  <c r="X16" i="19"/>
  <c r="F20" i="10"/>
  <c r="F18" i="10"/>
  <c r="F16" i="10"/>
  <c r="D18" i="10"/>
  <c r="F15" i="10"/>
  <c r="L12" i="10"/>
  <c r="F36" i="10"/>
  <c r="F34" i="10"/>
  <c r="F33" i="10"/>
  <c r="F31" i="10"/>
  <c r="F29" i="10"/>
  <c r="F27" i="10"/>
  <c r="F25" i="10"/>
  <c r="F21" i="10"/>
  <c r="F24" i="10"/>
  <c r="F22" i="10"/>
  <c r="X16" i="10"/>
  <c r="X20" i="10"/>
  <c r="X15" i="11"/>
  <c r="N25" i="11"/>
  <c r="N29" i="11"/>
  <c r="N33" i="11"/>
  <c r="N34" i="11"/>
  <c r="Z34" i="13"/>
  <c r="X24" i="16"/>
  <c r="N12" i="10"/>
  <c r="J36" i="10"/>
  <c r="J34" i="10"/>
  <c r="J33" i="10"/>
  <c r="J31" i="10"/>
  <c r="J29" i="10"/>
  <c r="J27" i="10"/>
  <c r="J25" i="10"/>
  <c r="J24" i="10"/>
  <c r="J22" i="10"/>
  <c r="J21" i="10"/>
  <c r="J20" i="10"/>
  <c r="J18" i="10"/>
  <c r="H18" i="10"/>
  <c r="J16" i="10"/>
  <c r="J15" i="10"/>
  <c r="X13" i="10"/>
  <c r="Z15" i="10"/>
  <c r="X21" i="10"/>
  <c r="D18" i="11"/>
  <c r="F15" i="11"/>
  <c r="L12" i="11"/>
  <c r="F36" i="11"/>
  <c r="F34" i="11"/>
  <c r="F33" i="11"/>
  <c r="F31" i="11"/>
  <c r="F29" i="11"/>
  <c r="F27" i="11"/>
  <c r="F25" i="11"/>
  <c r="F24" i="11"/>
  <c r="F22" i="11"/>
  <c r="F21" i="11"/>
  <c r="F20" i="11"/>
  <c r="F16" i="11"/>
  <c r="F18" i="11"/>
  <c r="X16" i="11"/>
  <c r="X20" i="11"/>
  <c r="L16" i="14"/>
  <c r="X16" i="16"/>
  <c r="Z15" i="8"/>
  <c r="X21" i="8"/>
  <c r="Z13" i="10"/>
  <c r="Z16" i="10"/>
  <c r="Z20" i="10"/>
  <c r="X22" i="10"/>
  <c r="X24" i="10"/>
  <c r="N12" i="11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J15" i="11"/>
  <c r="H18" i="11"/>
  <c r="X13" i="11"/>
  <c r="Z15" i="11"/>
  <c r="X21" i="11"/>
  <c r="L29" i="13"/>
  <c r="N16" i="14"/>
  <c r="L22" i="14"/>
  <c r="Z16" i="16"/>
  <c r="Z22" i="23"/>
  <c r="X13" i="26"/>
  <c r="Z16" i="8"/>
  <c r="Z20" i="8"/>
  <c r="X22" i="8"/>
  <c r="X24" i="8"/>
  <c r="Z21" i="10"/>
  <c r="X25" i="10"/>
  <c r="X29" i="10"/>
  <c r="X33" i="10"/>
  <c r="X34" i="10"/>
  <c r="Z13" i="11"/>
  <c r="Z16" i="11"/>
  <c r="Z20" i="11"/>
  <c r="X22" i="11"/>
  <c r="X24" i="11"/>
  <c r="Z29" i="13"/>
  <c r="Z22" i="14"/>
  <c r="Z24" i="23"/>
  <c r="X15" i="4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2" i="7"/>
  <c r="P18" i="7"/>
  <c r="X12" i="7"/>
  <c r="R15" i="7"/>
  <c r="R20" i="7"/>
  <c r="R24" i="7"/>
  <c r="R21" i="7"/>
  <c r="R18" i="7"/>
  <c r="R16" i="7"/>
  <c r="Z22" i="7"/>
  <c r="Z24" i="7"/>
  <c r="Z21" i="8"/>
  <c r="X25" i="8"/>
  <c r="X29" i="8"/>
  <c r="X33" i="8"/>
  <c r="X34" i="8"/>
  <c r="X12" i="10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Z22" i="10"/>
  <c r="Z24" i="10"/>
  <c r="Z21" i="11"/>
  <c r="X25" i="11"/>
  <c r="X29" i="11"/>
  <c r="X33" i="11"/>
  <c r="X34" i="11"/>
  <c r="X15" i="17"/>
  <c r="N29" i="17"/>
  <c r="N29" i="5"/>
  <c r="N33" i="5"/>
  <c r="N34" i="5"/>
  <c r="Z12" i="7"/>
  <c r="V24" i="7"/>
  <c r="V22" i="7"/>
  <c r="V21" i="7"/>
  <c r="V31" i="7"/>
  <c r="V15" i="7"/>
  <c r="V27" i="7"/>
  <c r="V20" i="7"/>
  <c r="V36" i="7"/>
  <c r="V16" i="7"/>
  <c r="V33" i="7"/>
  <c r="V29" i="7"/>
  <c r="V34" i="7"/>
  <c r="T18" i="7"/>
  <c r="V25" i="7"/>
  <c r="V18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Z22" i="11"/>
  <c r="Z24" i="11"/>
  <c r="L24" i="14"/>
  <c r="X20" i="16"/>
  <c r="Z16" i="17"/>
  <c r="Z25" i="8"/>
  <c r="Z29" i="8"/>
  <c r="Z33" i="8"/>
  <c r="Z34" i="8"/>
  <c r="L16" i="10"/>
  <c r="L20" i="10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Z12" i="11"/>
  <c r="L15" i="11"/>
  <c r="Z25" i="11"/>
  <c r="Z29" i="11"/>
  <c r="Z33" i="11"/>
  <c r="Z34" i="11"/>
  <c r="V21" i="13"/>
  <c r="V20" i="13"/>
  <c r="V18" i="13"/>
  <c r="V16" i="13"/>
  <c r="T18" i="13"/>
  <c r="V15" i="13"/>
  <c r="V36" i="13"/>
  <c r="V34" i="13"/>
  <c r="V33" i="13"/>
  <c r="V31" i="13"/>
  <c r="V29" i="13"/>
  <c r="V27" i="13"/>
  <c r="V25" i="13"/>
  <c r="Z12" i="13"/>
  <c r="V24" i="13"/>
  <c r="V22" i="13"/>
  <c r="R24" i="14"/>
  <c r="R22" i="14"/>
  <c r="R21" i="14"/>
  <c r="R20" i="14"/>
  <c r="R18" i="14"/>
  <c r="R16" i="14"/>
  <c r="P18" i="14"/>
  <c r="R15" i="14"/>
  <c r="X12" i="14"/>
  <c r="R31" i="14"/>
  <c r="R36" i="14"/>
  <c r="R29" i="14"/>
  <c r="R34" i="14"/>
  <c r="R27" i="14"/>
  <c r="R33" i="14"/>
  <c r="R25" i="14"/>
  <c r="Z24" i="14"/>
  <c r="Z20" i="16"/>
  <c r="Z13" i="4"/>
  <c r="Z16" i="4"/>
  <c r="Z20" i="4"/>
  <c r="X22" i="4"/>
  <c r="X24" i="4"/>
  <c r="J21" i="5"/>
  <c r="J31" i="5"/>
  <c r="J16" i="5"/>
  <c r="J27" i="5"/>
  <c r="J36" i="5"/>
  <c r="J22" i="5"/>
  <c r="J18" i="5"/>
  <c r="J29" i="5"/>
  <c r="J24" i="5"/>
  <c r="J15" i="5"/>
  <c r="J34" i="5"/>
  <c r="J25" i="5"/>
  <c r="J33" i="5"/>
  <c r="N12" i="5"/>
  <c r="J20" i="5"/>
  <c r="H18" i="5"/>
  <c r="X13" i="5"/>
  <c r="Z15" i="5"/>
  <c r="X21" i="5"/>
  <c r="N15" i="7"/>
  <c r="L21" i="7"/>
  <c r="L16" i="8"/>
  <c r="L20" i="8"/>
  <c r="N15" i="10"/>
  <c r="L21" i="10"/>
  <c r="L16" i="11"/>
  <c r="L20" i="11"/>
  <c r="L20" i="14"/>
  <c r="F36" i="16"/>
  <c r="F34" i="16"/>
  <c r="F31" i="16"/>
  <c r="F29" i="16"/>
  <c r="F27" i="16"/>
  <c r="F25" i="16"/>
  <c r="F24" i="16"/>
  <c r="F22" i="16"/>
  <c r="F33" i="16"/>
  <c r="F21" i="16"/>
  <c r="F20" i="16"/>
  <c r="F18" i="16"/>
  <c r="F16" i="16"/>
  <c r="D18" i="16"/>
  <c r="F15" i="16"/>
  <c r="L12" i="16"/>
  <c r="N20" i="17"/>
  <c r="N29" i="20"/>
  <c r="V20" i="22"/>
  <c r="V18" i="22"/>
  <c r="V16" i="22"/>
  <c r="T18" i="22"/>
  <c r="V15" i="22"/>
  <c r="Z12" i="22"/>
  <c r="V36" i="22"/>
  <c r="V34" i="22"/>
  <c r="V33" i="22"/>
  <c r="V31" i="22"/>
  <c r="V29" i="22"/>
  <c r="V27" i="22"/>
  <c r="V25" i="22"/>
  <c r="V24" i="22"/>
  <c r="V22" i="22"/>
  <c r="V21" i="22"/>
  <c r="L16" i="13"/>
  <c r="L20" i="13"/>
  <c r="V20" i="14"/>
  <c r="V18" i="14"/>
  <c r="V16" i="14"/>
  <c r="T18" i="14"/>
  <c r="V15" i="14"/>
  <c r="Z12" i="14"/>
  <c r="V24" i="14"/>
  <c r="V22" i="14"/>
  <c r="V31" i="14"/>
  <c r="V36" i="14"/>
  <c r="V29" i="14"/>
  <c r="V34" i="14"/>
  <c r="V27" i="14"/>
  <c r="V21" i="14"/>
  <c r="V33" i="14"/>
  <c r="V25" i="14"/>
  <c r="L15" i="14"/>
  <c r="Z25" i="14"/>
  <c r="Z29" i="14"/>
  <c r="Z33" i="14"/>
  <c r="Z34" i="14"/>
  <c r="J24" i="16"/>
  <c r="J22" i="16"/>
  <c r="J33" i="16"/>
  <c r="J21" i="16"/>
  <c r="J20" i="16"/>
  <c r="J18" i="16"/>
  <c r="J16" i="16"/>
  <c r="H18" i="16"/>
  <c r="J15" i="16"/>
  <c r="J34" i="16"/>
  <c r="N12" i="16"/>
  <c r="J31" i="16"/>
  <c r="J29" i="16"/>
  <c r="J27" i="16"/>
  <c r="J25" i="16"/>
  <c r="J36" i="16"/>
  <c r="X13" i="16"/>
  <c r="Z15" i="16"/>
  <c r="X21" i="16"/>
  <c r="V21" i="17"/>
  <c r="V20" i="17"/>
  <c r="V18" i="17"/>
  <c r="V16" i="17"/>
  <c r="V33" i="17"/>
  <c r="V27" i="17"/>
  <c r="V22" i="17"/>
  <c r="T18" i="17"/>
  <c r="V34" i="17"/>
  <c r="V29" i="17"/>
  <c r="V24" i="17"/>
  <c r="V15" i="17"/>
  <c r="Z12" i="17"/>
  <c r="V31" i="17"/>
  <c r="V25" i="17"/>
  <c r="V36" i="17"/>
  <c r="N24" i="17"/>
  <c r="Z25" i="17"/>
  <c r="X20" i="20"/>
  <c r="R24" i="22"/>
  <c r="R22" i="22"/>
  <c r="R21" i="22"/>
  <c r="R20" i="22"/>
  <c r="R18" i="22"/>
  <c r="R16" i="22"/>
  <c r="P18" i="22"/>
  <c r="R15" i="22"/>
  <c r="X12" i="22"/>
  <c r="R29" i="22"/>
  <c r="R27" i="22"/>
  <c r="R36" i="22"/>
  <c r="R25" i="22"/>
  <c r="R34" i="22"/>
  <c r="R33" i="22"/>
  <c r="R31" i="22"/>
  <c r="X34" i="23"/>
  <c r="Z33" i="25"/>
  <c r="N16" i="28"/>
  <c r="N16" i="13"/>
  <c r="N20" i="13"/>
  <c r="L22" i="13"/>
  <c r="L24" i="13"/>
  <c r="N15" i="14"/>
  <c r="L21" i="14"/>
  <c r="Z21" i="16"/>
  <c r="X25" i="16"/>
  <c r="X29" i="16"/>
  <c r="Z15" i="17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Z22" i="22"/>
  <c r="X25" i="23"/>
  <c r="R36" i="16"/>
  <c r="R34" i="16"/>
  <c r="R33" i="16"/>
  <c r="X12" i="16"/>
  <c r="R29" i="16"/>
  <c r="R27" i="16"/>
  <c r="R25" i="16"/>
  <c r="R31" i="16"/>
  <c r="R24" i="16"/>
  <c r="R22" i="16"/>
  <c r="R20" i="16"/>
  <c r="R18" i="16"/>
  <c r="R16" i="16"/>
  <c r="P18" i="16"/>
  <c r="R15" i="16"/>
  <c r="R21" i="16"/>
  <c r="Z22" i="16"/>
  <c r="Z24" i="16"/>
  <c r="L34" i="16"/>
  <c r="Z20" i="17"/>
  <c r="L22" i="17"/>
  <c r="X24" i="17"/>
  <c r="X20" i="19"/>
  <c r="N33" i="20"/>
  <c r="L15" i="22"/>
  <c r="Z33" i="22"/>
  <c r="Z25" i="32"/>
  <c r="N13" i="13"/>
  <c r="N22" i="13"/>
  <c r="N24" i="13"/>
  <c r="L13" i="14"/>
  <c r="N21" i="14"/>
  <c r="L25" i="14"/>
  <c r="L29" i="14"/>
  <c r="L33" i="14"/>
  <c r="L34" i="14"/>
  <c r="V34" i="16"/>
  <c r="Z12" i="16"/>
  <c r="V29" i="16"/>
  <c r="V27" i="16"/>
  <c r="V25" i="16"/>
  <c r="V36" i="16"/>
  <c r="V24" i="16"/>
  <c r="V22" i="16"/>
  <c r="V31" i="16"/>
  <c r="V21" i="16"/>
  <c r="V20" i="16"/>
  <c r="V18" i="16"/>
  <c r="V16" i="16"/>
  <c r="V33" i="16"/>
  <c r="T18" i="16"/>
  <c r="V15" i="16"/>
  <c r="L15" i="16"/>
  <c r="Z25" i="16"/>
  <c r="Z29" i="16"/>
  <c r="N34" i="16"/>
  <c r="N13" i="17"/>
  <c r="N22" i="17"/>
  <c r="Z29" i="17"/>
  <c r="Z34" i="17"/>
  <c r="Z24" i="22"/>
  <c r="X15" i="13"/>
  <c r="N25" i="13"/>
  <c r="N29" i="13"/>
  <c r="N33" i="13"/>
  <c r="N34" i="13"/>
  <c r="N13" i="14"/>
  <c r="N22" i="14"/>
  <c r="N24" i="14"/>
  <c r="L16" i="16"/>
  <c r="L20" i="16"/>
  <c r="L16" i="17"/>
  <c r="N33" i="17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L12" i="19"/>
  <c r="X15" i="20"/>
  <c r="N34" i="20"/>
  <c r="Z34" i="22"/>
  <c r="Z13" i="25"/>
  <c r="L12" i="13"/>
  <c r="F36" i="13"/>
  <c r="F34" i="13"/>
  <c r="F33" i="13"/>
  <c r="F31" i="13"/>
  <c r="F29" i="13"/>
  <c r="F27" i="13"/>
  <c r="F25" i="13"/>
  <c r="F21" i="13"/>
  <c r="D18" i="13"/>
  <c r="F15" i="13"/>
  <c r="F20" i="13"/>
  <c r="F24" i="13"/>
  <c r="F18" i="13"/>
  <c r="F22" i="13"/>
  <c r="F16" i="13"/>
  <c r="X16" i="13"/>
  <c r="X20" i="13"/>
  <c r="X15" i="14"/>
  <c r="N25" i="14"/>
  <c r="N29" i="14"/>
  <c r="N33" i="14"/>
  <c r="N34" i="14"/>
  <c r="N15" i="16"/>
  <c r="L21" i="16"/>
  <c r="L33" i="16"/>
  <c r="X13" i="17"/>
  <c r="L21" i="17"/>
  <c r="J24" i="19"/>
  <c r="J22" i="19"/>
  <c r="J21" i="19"/>
  <c r="J20" i="19"/>
  <c r="J18" i="19"/>
  <c r="J16" i="19"/>
  <c r="H18" i="19"/>
  <c r="J15" i="19"/>
  <c r="N12" i="19"/>
  <c r="J34" i="19"/>
  <c r="J33" i="19"/>
  <c r="J31" i="19"/>
  <c r="J29" i="19"/>
  <c r="J36" i="19"/>
  <c r="J27" i="19"/>
  <c r="J25" i="19"/>
  <c r="X21" i="19"/>
  <c r="X29" i="23"/>
  <c r="L15" i="25"/>
  <c r="N12" i="13"/>
  <c r="J36" i="13"/>
  <c r="J34" i="13"/>
  <c r="J33" i="13"/>
  <c r="J31" i="13"/>
  <c r="J29" i="13"/>
  <c r="J27" i="13"/>
  <c r="J25" i="13"/>
  <c r="J24" i="13"/>
  <c r="J22" i="13"/>
  <c r="J21" i="13"/>
  <c r="H18" i="13"/>
  <c r="J15" i="13"/>
  <c r="J18" i="13"/>
  <c r="J16" i="13"/>
  <c r="J20" i="13"/>
  <c r="X13" i="13"/>
  <c r="Z15" i="13"/>
  <c r="X21" i="13"/>
  <c r="L12" i="14"/>
  <c r="F36" i="14"/>
  <c r="F34" i="14"/>
  <c r="F33" i="14"/>
  <c r="F31" i="14"/>
  <c r="F29" i="14"/>
  <c r="F27" i="14"/>
  <c r="F25" i="14"/>
  <c r="F24" i="14"/>
  <c r="F22" i="14"/>
  <c r="F20" i="14"/>
  <c r="F18" i="14"/>
  <c r="F16" i="14"/>
  <c r="D18" i="14"/>
  <c r="F21" i="14"/>
  <c r="F15" i="14"/>
  <c r="X16" i="14"/>
  <c r="X20" i="14"/>
  <c r="N16" i="16"/>
  <c r="N20" i="16"/>
  <c r="L22" i="16"/>
  <c r="L24" i="16"/>
  <c r="X34" i="16"/>
  <c r="Z13" i="17"/>
  <c r="N16" i="17"/>
  <c r="X22" i="17"/>
  <c r="N25" i="20"/>
  <c r="Z25" i="22"/>
  <c r="Z20" i="25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X13" i="14"/>
  <c r="Z15" i="14"/>
  <c r="X21" i="14"/>
  <c r="L13" i="16"/>
  <c r="N21" i="16"/>
  <c r="L25" i="16"/>
  <c r="L29" i="16"/>
  <c r="N33" i="16"/>
  <c r="L15" i="17"/>
  <c r="Z33" i="17"/>
  <c r="X13" i="19"/>
  <c r="X16" i="20"/>
  <c r="Z21" i="23"/>
  <c r="L29" i="29"/>
  <c r="Z21" i="13"/>
  <c r="X25" i="13"/>
  <c r="X29" i="13"/>
  <c r="X33" i="13"/>
  <c r="X34" i="13"/>
  <c r="Z13" i="14"/>
  <c r="Z16" i="14"/>
  <c r="Z20" i="14"/>
  <c r="X22" i="14"/>
  <c r="X24" i="14"/>
  <c r="N13" i="16"/>
  <c r="N22" i="16"/>
  <c r="N24" i="16"/>
  <c r="L20" i="17"/>
  <c r="N25" i="17"/>
  <c r="R21" i="23"/>
  <c r="R20" i="23"/>
  <c r="R18" i="23"/>
  <c r="R16" i="23"/>
  <c r="P18" i="23"/>
  <c r="R15" i="23"/>
  <c r="X12" i="23"/>
  <c r="R22" i="23"/>
  <c r="R31" i="23"/>
  <c r="R29" i="23"/>
  <c r="R27" i="23"/>
  <c r="R36" i="23"/>
  <c r="R25" i="23"/>
  <c r="R24" i="23"/>
  <c r="R34" i="23"/>
  <c r="R33" i="23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X12" i="13"/>
  <c r="Z22" i="13"/>
  <c r="Z24" i="13"/>
  <c r="Z21" i="14"/>
  <c r="X25" i="14"/>
  <c r="X29" i="14"/>
  <c r="X33" i="14"/>
  <c r="X34" i="14"/>
  <c r="X15" i="16"/>
  <c r="N25" i="16"/>
  <c r="N29" i="16"/>
  <c r="J36" i="17"/>
  <c r="J34" i="17"/>
  <c r="J33" i="17"/>
  <c r="J31" i="17"/>
  <c r="J29" i="17"/>
  <c r="J27" i="17"/>
  <c r="J25" i="17"/>
  <c r="J20" i="17"/>
  <c r="J18" i="17"/>
  <c r="J16" i="17"/>
  <c r="N12" i="17"/>
  <c r="J21" i="17"/>
  <c r="J22" i="17"/>
  <c r="H18" i="17"/>
  <c r="J15" i="17"/>
  <c r="J24" i="17"/>
  <c r="N15" i="17"/>
  <c r="X21" i="17"/>
  <c r="Z15" i="19"/>
  <c r="X33" i="23"/>
  <c r="Z25" i="25"/>
  <c r="Z21" i="17"/>
  <c r="X25" i="17"/>
  <c r="X29" i="17"/>
  <c r="X33" i="17"/>
  <c r="X34" i="17"/>
  <c r="Z13" i="19"/>
  <c r="Z16" i="19"/>
  <c r="Z20" i="19"/>
  <c r="X22" i="19"/>
  <c r="X24" i="19"/>
  <c r="J21" i="20"/>
  <c r="J20" i="20"/>
  <c r="J18" i="20"/>
  <c r="J16" i="20"/>
  <c r="H18" i="20"/>
  <c r="J15" i="20"/>
  <c r="N12" i="20"/>
  <c r="J27" i="20"/>
  <c r="J36" i="20"/>
  <c r="J25" i="20"/>
  <c r="J34" i="20"/>
  <c r="J24" i="20"/>
  <c r="J33" i="20"/>
  <c r="J22" i="20"/>
  <c r="J31" i="20"/>
  <c r="J29" i="20"/>
  <c r="X13" i="20"/>
  <c r="Z15" i="20"/>
  <c r="X21" i="20"/>
  <c r="L16" i="22"/>
  <c r="L20" i="22"/>
  <c r="T18" i="23"/>
  <c r="V15" i="23"/>
  <c r="Z12" i="23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L15" i="23"/>
  <c r="Z25" i="23"/>
  <c r="Z29" i="23"/>
  <c r="Z33" i="23"/>
  <c r="Z34" i="23"/>
  <c r="X15" i="26"/>
  <c r="N34" i="26"/>
  <c r="N29" i="29"/>
  <c r="N24" i="31"/>
  <c r="Z33" i="16"/>
  <c r="Z34" i="16"/>
  <c r="P18" i="17"/>
  <c r="R15" i="17"/>
  <c r="R36" i="17"/>
  <c r="R34" i="17"/>
  <c r="R33" i="17"/>
  <c r="R31" i="17"/>
  <c r="R29" i="17"/>
  <c r="R27" i="17"/>
  <c r="R25" i="17"/>
  <c r="R24" i="17"/>
  <c r="R22" i="17"/>
  <c r="R16" i="17"/>
  <c r="R18" i="17"/>
  <c r="R20" i="17"/>
  <c r="X12" i="17"/>
  <c r="R21" i="17"/>
  <c r="Z22" i="17"/>
  <c r="Z24" i="17"/>
  <c r="Z21" i="19"/>
  <c r="X25" i="19"/>
  <c r="X29" i="19"/>
  <c r="X33" i="19"/>
  <c r="X34" i="19"/>
  <c r="Z13" i="20"/>
  <c r="Z16" i="20"/>
  <c r="Z20" i="20"/>
  <c r="X22" i="20"/>
  <c r="X24" i="20"/>
  <c r="N15" i="22"/>
  <c r="L21" i="22"/>
  <c r="L16" i="23"/>
  <c r="L20" i="23"/>
  <c r="Z15" i="26"/>
  <c r="X21" i="26"/>
  <c r="L21" i="29"/>
  <c r="X12" i="19"/>
  <c r="R36" i="19"/>
  <c r="R34" i="19"/>
  <c r="R33" i="19"/>
  <c r="R31" i="19"/>
  <c r="R29" i="19"/>
  <c r="R27" i="19"/>
  <c r="R25" i="19"/>
  <c r="R24" i="19"/>
  <c r="R22" i="19"/>
  <c r="R21" i="19"/>
  <c r="R15" i="19"/>
  <c r="R20" i="19"/>
  <c r="R18" i="19"/>
  <c r="R16" i="19"/>
  <c r="P18" i="19"/>
  <c r="Z22" i="19"/>
  <c r="Z24" i="19"/>
  <c r="Z21" i="20"/>
  <c r="X25" i="20"/>
  <c r="X29" i="20"/>
  <c r="X33" i="20"/>
  <c r="X34" i="20"/>
  <c r="N16" i="22"/>
  <c r="N20" i="22"/>
  <c r="L22" i="22"/>
  <c r="L24" i="22"/>
  <c r="N15" i="23"/>
  <c r="L21" i="23"/>
  <c r="Z34" i="25"/>
  <c r="N21" i="29"/>
  <c r="L33" i="32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Z22" i="20"/>
  <c r="Z24" i="20"/>
  <c r="L13" i="22"/>
  <c r="N21" i="22"/>
  <c r="L25" i="22"/>
  <c r="L29" i="22"/>
  <c r="L33" i="22"/>
  <c r="L34" i="22"/>
  <c r="N16" i="23"/>
  <c r="N20" i="23"/>
  <c r="L22" i="23"/>
  <c r="L24" i="23"/>
  <c r="X16" i="25"/>
  <c r="N29" i="26"/>
  <c r="N20" i="28"/>
  <c r="N33" i="29"/>
  <c r="N34" i="37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N13" i="22"/>
  <c r="N22" i="22"/>
  <c r="N24" i="22"/>
  <c r="L13" i="23"/>
  <c r="N21" i="23"/>
  <c r="L25" i="23"/>
  <c r="L29" i="23"/>
  <c r="L33" i="23"/>
  <c r="L34" i="23"/>
  <c r="Z16" i="25"/>
  <c r="X22" i="25"/>
  <c r="L13" i="29"/>
  <c r="N16" i="34"/>
  <c r="N15" i="19"/>
  <c r="L21" i="19"/>
  <c r="L16" i="20"/>
  <c r="L20" i="20"/>
  <c r="X15" i="22"/>
  <c r="N25" i="22"/>
  <c r="N29" i="22"/>
  <c r="N33" i="22"/>
  <c r="N34" i="22"/>
  <c r="N13" i="23"/>
  <c r="N22" i="23"/>
  <c r="N24" i="23"/>
  <c r="Z29" i="25"/>
  <c r="Z22" i="26"/>
  <c r="N15" i="29"/>
  <c r="V21" i="32"/>
  <c r="V20" i="32"/>
  <c r="V18" i="32"/>
  <c r="V16" i="32"/>
  <c r="T18" i="32"/>
  <c r="V15" i="32"/>
  <c r="Z12" i="32"/>
  <c r="V34" i="32"/>
  <c r="V29" i="32"/>
  <c r="V24" i="32"/>
  <c r="V33" i="32"/>
  <c r="V27" i="32"/>
  <c r="V22" i="32"/>
  <c r="V36" i="32"/>
  <c r="V31" i="32"/>
  <c r="V25" i="32"/>
  <c r="L24" i="34"/>
  <c r="L13" i="17"/>
  <c r="N21" i="17"/>
  <c r="L25" i="17"/>
  <c r="L29" i="17"/>
  <c r="L33" i="17"/>
  <c r="L34" i="17"/>
  <c r="N16" i="19"/>
  <c r="N20" i="19"/>
  <c r="L22" i="19"/>
  <c r="L24" i="19"/>
  <c r="N15" i="20"/>
  <c r="L21" i="20"/>
  <c r="L12" i="22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D18" i="22"/>
  <c r="F15" i="22"/>
  <c r="X16" i="22"/>
  <c r="X20" i="22"/>
  <c r="X15" i="23"/>
  <c r="N25" i="23"/>
  <c r="N29" i="23"/>
  <c r="N33" i="23"/>
  <c r="N34" i="23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D18" i="25"/>
  <c r="F15" i="25"/>
  <c r="L12" i="25"/>
  <c r="L13" i="32"/>
  <c r="L15" i="40"/>
  <c r="L13" i="19"/>
  <c r="N21" i="19"/>
  <c r="L25" i="19"/>
  <c r="L29" i="19"/>
  <c r="L33" i="19"/>
  <c r="L34" i="19"/>
  <c r="N16" i="20"/>
  <c r="N20" i="20"/>
  <c r="L22" i="20"/>
  <c r="L24" i="20"/>
  <c r="N12" i="22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X13" i="22"/>
  <c r="Z15" i="22"/>
  <c r="X21" i="22"/>
  <c r="L12" i="23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D18" i="23"/>
  <c r="F15" i="23"/>
  <c r="X16" i="23"/>
  <c r="X20" i="23"/>
  <c r="X24" i="25"/>
  <c r="J21" i="26"/>
  <c r="J20" i="26"/>
  <c r="J18" i="26"/>
  <c r="J16" i="26"/>
  <c r="H18" i="26"/>
  <c r="J15" i="26"/>
  <c r="N12" i="26"/>
  <c r="J36" i="26"/>
  <c r="J34" i="26"/>
  <c r="J33" i="26"/>
  <c r="J31" i="26"/>
  <c r="J29" i="26"/>
  <c r="J27" i="26"/>
  <c r="J25" i="26"/>
  <c r="J24" i="26"/>
  <c r="J22" i="26"/>
  <c r="L22" i="28"/>
  <c r="N13" i="19"/>
  <c r="N22" i="19"/>
  <c r="N24" i="19"/>
  <c r="L13" i="20"/>
  <c r="N21" i="20"/>
  <c r="L25" i="20"/>
  <c r="L29" i="20"/>
  <c r="L33" i="20"/>
  <c r="L34" i="20"/>
  <c r="Z13" i="22"/>
  <c r="Z16" i="22"/>
  <c r="Z20" i="22"/>
  <c r="X22" i="22"/>
  <c r="X24" i="22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N12" i="23"/>
  <c r="X13" i="23"/>
  <c r="Z15" i="23"/>
  <c r="X21" i="23"/>
  <c r="Z12" i="25"/>
  <c r="V36" i="25"/>
  <c r="V34" i="25"/>
  <c r="V33" i="25"/>
  <c r="V31" i="25"/>
  <c r="V29" i="25"/>
  <c r="V27" i="25"/>
  <c r="V25" i="25"/>
  <c r="V21" i="25"/>
  <c r="V20" i="25"/>
  <c r="V18" i="25"/>
  <c r="V16" i="25"/>
  <c r="V24" i="25"/>
  <c r="T18" i="25"/>
  <c r="V22" i="25"/>
  <c r="V15" i="25"/>
  <c r="X12" i="26"/>
  <c r="R24" i="26"/>
  <c r="R22" i="26"/>
  <c r="R21" i="26"/>
  <c r="P18" i="26"/>
  <c r="R15" i="26"/>
  <c r="R31" i="26"/>
  <c r="R18" i="26"/>
  <c r="R36" i="26"/>
  <c r="R29" i="26"/>
  <c r="R16" i="26"/>
  <c r="R34" i="26"/>
  <c r="R27" i="26"/>
  <c r="R33" i="26"/>
  <c r="R25" i="26"/>
  <c r="R20" i="26"/>
  <c r="Z24" i="26"/>
  <c r="N13" i="28"/>
  <c r="N22" i="28"/>
  <c r="L25" i="29"/>
  <c r="F24" i="17"/>
  <c r="F22" i="17"/>
  <c r="F20" i="17"/>
  <c r="F15" i="17"/>
  <c r="F36" i="17"/>
  <c r="F31" i="17"/>
  <c r="F25" i="17"/>
  <c r="F21" i="17"/>
  <c r="F16" i="17"/>
  <c r="F33" i="17"/>
  <c r="F27" i="17"/>
  <c r="F18" i="17"/>
  <c r="F34" i="17"/>
  <c r="F29" i="17"/>
  <c r="D18" i="17"/>
  <c r="L12" i="17"/>
  <c r="X16" i="17"/>
  <c r="X20" i="17"/>
  <c r="X15" i="19"/>
  <c r="N25" i="19"/>
  <c r="N29" i="19"/>
  <c r="N33" i="19"/>
  <c r="N34" i="19"/>
  <c r="N13" i="20"/>
  <c r="N22" i="20"/>
  <c r="N24" i="20"/>
  <c r="Z21" i="22"/>
  <c r="X25" i="22"/>
  <c r="X29" i="22"/>
  <c r="X33" i="22"/>
  <c r="X34" i="22"/>
  <c r="Z13" i="23"/>
  <c r="Z16" i="23"/>
  <c r="Z20" i="23"/>
  <c r="X22" i="23"/>
  <c r="X24" i="23"/>
  <c r="X20" i="25"/>
  <c r="N25" i="26"/>
  <c r="N33" i="26"/>
  <c r="L24" i="28"/>
  <c r="L20" i="31"/>
  <c r="J24" i="25"/>
  <c r="J22" i="25"/>
  <c r="J21" i="25"/>
  <c r="J20" i="25"/>
  <c r="J18" i="25"/>
  <c r="J16" i="25"/>
  <c r="H18" i="25"/>
  <c r="J15" i="25"/>
  <c r="N12" i="25"/>
  <c r="J33" i="25"/>
  <c r="J25" i="25"/>
  <c r="J31" i="25"/>
  <c r="J36" i="25"/>
  <c r="J29" i="25"/>
  <c r="J34" i="25"/>
  <c r="J27" i="25"/>
  <c r="X13" i="25"/>
  <c r="Z15" i="25"/>
  <c r="X21" i="25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L12" i="26"/>
  <c r="X16" i="26"/>
  <c r="X20" i="26"/>
  <c r="L13" i="28"/>
  <c r="N21" i="28"/>
  <c r="L25" i="28"/>
  <c r="L29" i="28"/>
  <c r="L33" i="28"/>
  <c r="L34" i="28"/>
  <c r="N16" i="29"/>
  <c r="N20" i="29"/>
  <c r="L22" i="29"/>
  <c r="L24" i="29"/>
  <c r="N15" i="31"/>
  <c r="L34" i="34"/>
  <c r="N15" i="40"/>
  <c r="Z21" i="25"/>
  <c r="X25" i="25"/>
  <c r="X29" i="25"/>
  <c r="X33" i="25"/>
  <c r="X34" i="25"/>
  <c r="Z13" i="26"/>
  <c r="Z16" i="26"/>
  <c r="Z20" i="26"/>
  <c r="X22" i="26"/>
  <c r="X24" i="26"/>
  <c r="X15" i="28"/>
  <c r="N25" i="28"/>
  <c r="N29" i="28"/>
  <c r="N33" i="28"/>
  <c r="N34" i="28"/>
  <c r="N13" i="29"/>
  <c r="N22" i="29"/>
  <c r="N24" i="29"/>
  <c r="X34" i="29"/>
  <c r="X15" i="31"/>
  <c r="N29" i="31"/>
  <c r="N34" i="31"/>
  <c r="N13" i="32"/>
  <c r="N22" i="32"/>
  <c r="L25" i="34"/>
  <c r="N20" i="35"/>
  <c r="Z22" i="37"/>
  <c r="X12" i="25"/>
  <c r="R36" i="25"/>
  <c r="R34" i="25"/>
  <c r="R33" i="25"/>
  <c r="R31" i="25"/>
  <c r="R29" i="25"/>
  <c r="R27" i="25"/>
  <c r="R25" i="25"/>
  <c r="R24" i="25"/>
  <c r="R22" i="25"/>
  <c r="R20" i="25"/>
  <c r="R18" i="25"/>
  <c r="R16" i="25"/>
  <c r="P18" i="25"/>
  <c r="R21" i="25"/>
  <c r="R15" i="25"/>
  <c r="Z22" i="25"/>
  <c r="Z24" i="25"/>
  <c r="Z21" i="26"/>
  <c r="X25" i="26"/>
  <c r="X29" i="26"/>
  <c r="X33" i="26"/>
  <c r="X34" i="26"/>
  <c r="F20" i="28"/>
  <c r="F18" i="28"/>
  <c r="F16" i="28"/>
  <c r="D18" i="28"/>
  <c r="F15" i="28"/>
  <c r="L12" i="28"/>
  <c r="F24" i="28"/>
  <c r="F22" i="28"/>
  <c r="F33" i="28"/>
  <c r="F31" i="28"/>
  <c r="F21" i="28"/>
  <c r="F29" i="28"/>
  <c r="F27" i="28"/>
  <c r="F36" i="28"/>
  <c r="F25" i="28"/>
  <c r="F34" i="28"/>
  <c r="X16" i="28"/>
  <c r="X20" i="28"/>
  <c r="X15" i="29"/>
  <c r="N25" i="29"/>
  <c r="X33" i="29"/>
  <c r="L16" i="31"/>
  <c r="L15" i="32"/>
  <c r="Z33" i="32"/>
  <c r="L21" i="35"/>
  <c r="V18" i="38"/>
  <c r="T18" i="38"/>
  <c r="V34" i="38"/>
  <c r="V31" i="38"/>
  <c r="V27" i="38"/>
  <c r="V24" i="38"/>
  <c r="V20" i="38"/>
  <c r="V21" i="38"/>
  <c r="V15" i="38"/>
  <c r="Z12" i="38"/>
  <c r="V36" i="38"/>
  <c r="V33" i="38"/>
  <c r="V16" i="38"/>
  <c r="V29" i="38"/>
  <c r="V25" i="38"/>
  <c r="V22" i="38"/>
  <c r="Z25" i="38"/>
  <c r="N12" i="28"/>
  <c r="J36" i="28"/>
  <c r="J34" i="28"/>
  <c r="J33" i="28"/>
  <c r="J31" i="28"/>
  <c r="J29" i="28"/>
  <c r="J27" i="28"/>
  <c r="J25" i="28"/>
  <c r="J24" i="28"/>
  <c r="J22" i="28"/>
  <c r="J20" i="28"/>
  <c r="J18" i="28"/>
  <c r="J16" i="28"/>
  <c r="J15" i="28"/>
  <c r="J21" i="28"/>
  <c r="H18" i="28"/>
  <c r="X13" i="28"/>
  <c r="Z15" i="28"/>
  <c r="X21" i="28"/>
  <c r="F33" i="29"/>
  <c r="D18" i="29"/>
  <c r="F15" i="29"/>
  <c r="F34" i="29"/>
  <c r="F36" i="29"/>
  <c r="L12" i="29"/>
  <c r="F25" i="29"/>
  <c r="F29" i="29"/>
  <c r="F21" i="29"/>
  <c r="F18" i="29"/>
  <c r="F16" i="29"/>
  <c r="F24" i="29"/>
  <c r="F22" i="29"/>
  <c r="F31" i="29"/>
  <c r="F27" i="29"/>
  <c r="F20" i="29"/>
  <c r="X16" i="29"/>
  <c r="X20" i="29"/>
  <c r="Z34" i="29"/>
  <c r="L21" i="31"/>
  <c r="L20" i="32"/>
  <c r="Z33" i="40"/>
  <c r="L16" i="25"/>
  <c r="L20" i="25"/>
  <c r="Z12" i="26"/>
  <c r="V36" i="26"/>
  <c r="V34" i="26"/>
  <c r="V33" i="26"/>
  <c r="V31" i="26"/>
  <c r="V29" i="26"/>
  <c r="V27" i="26"/>
  <c r="V25" i="26"/>
  <c r="V24" i="26"/>
  <c r="V22" i="26"/>
  <c r="V20" i="26"/>
  <c r="V18" i="26"/>
  <c r="V16" i="26"/>
  <c r="T18" i="26"/>
  <c r="V15" i="26"/>
  <c r="V21" i="26"/>
  <c r="L15" i="26"/>
  <c r="Z25" i="26"/>
  <c r="Z29" i="26"/>
  <c r="Z33" i="26"/>
  <c r="Z34" i="26"/>
  <c r="Z13" i="28"/>
  <c r="Z16" i="28"/>
  <c r="Z20" i="28"/>
  <c r="X22" i="28"/>
  <c r="X24" i="28"/>
  <c r="J36" i="29"/>
  <c r="N12" i="29"/>
  <c r="J25" i="29"/>
  <c r="J27" i="29"/>
  <c r="J24" i="29"/>
  <c r="J22" i="29"/>
  <c r="J29" i="29"/>
  <c r="J21" i="29"/>
  <c r="J33" i="29"/>
  <c r="H18" i="29"/>
  <c r="J15" i="29"/>
  <c r="J16" i="29"/>
  <c r="J34" i="29"/>
  <c r="J31" i="29"/>
  <c r="J20" i="29"/>
  <c r="J18" i="29"/>
  <c r="X13" i="29"/>
  <c r="Z15" i="29"/>
  <c r="X21" i="29"/>
  <c r="X29" i="29"/>
  <c r="Z33" i="29"/>
  <c r="L29" i="32"/>
  <c r="L34" i="32"/>
  <c r="N20" i="34"/>
  <c r="X15" i="37"/>
  <c r="Z29" i="38"/>
  <c r="L16" i="41"/>
  <c r="N15" i="25"/>
  <c r="L21" i="25"/>
  <c r="L16" i="26"/>
  <c r="L20" i="26"/>
  <c r="Z21" i="28"/>
  <c r="X25" i="28"/>
  <c r="X29" i="28"/>
  <c r="X33" i="28"/>
  <c r="X34" i="28"/>
  <c r="Z13" i="29"/>
  <c r="Z16" i="29"/>
  <c r="Z20" i="29"/>
  <c r="X22" i="29"/>
  <c r="X24" i="29"/>
  <c r="N25" i="31"/>
  <c r="N24" i="32"/>
  <c r="L29" i="34"/>
  <c r="L22" i="35"/>
  <c r="X15" i="38"/>
  <c r="N16" i="25"/>
  <c r="N20" i="25"/>
  <c r="L22" i="25"/>
  <c r="L24" i="25"/>
  <c r="N15" i="26"/>
  <c r="L21" i="26"/>
  <c r="X12" i="28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Z22" i="28"/>
  <c r="Z24" i="28"/>
  <c r="Z21" i="29"/>
  <c r="X25" i="29"/>
  <c r="Z29" i="29"/>
  <c r="Z29" i="32"/>
  <c r="Z34" i="32"/>
  <c r="N15" i="35"/>
  <c r="X29" i="37"/>
  <c r="Z16" i="38"/>
  <c r="Z33" i="38"/>
  <c r="L13" i="25"/>
  <c r="N21" i="25"/>
  <c r="L25" i="25"/>
  <c r="L29" i="25"/>
  <c r="L33" i="25"/>
  <c r="L34" i="25"/>
  <c r="N16" i="26"/>
  <c r="N20" i="26"/>
  <c r="L22" i="26"/>
  <c r="L24" i="26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X12" i="29"/>
  <c r="R25" i="29"/>
  <c r="R27" i="29"/>
  <c r="R24" i="29"/>
  <c r="R22" i="29"/>
  <c r="R29" i="29"/>
  <c r="R21" i="29"/>
  <c r="R31" i="29"/>
  <c r="R20" i="29"/>
  <c r="R18" i="29"/>
  <c r="R16" i="29"/>
  <c r="R33" i="29"/>
  <c r="P18" i="29"/>
  <c r="R15" i="29"/>
  <c r="R34" i="29"/>
  <c r="R36" i="29"/>
  <c r="Z22" i="29"/>
  <c r="Z24" i="29"/>
  <c r="L34" i="29"/>
  <c r="L16" i="32"/>
  <c r="N21" i="34"/>
  <c r="L24" i="35"/>
  <c r="Z29" i="47"/>
  <c r="N13" i="25"/>
  <c r="N22" i="25"/>
  <c r="N24" i="25"/>
  <c r="L13" i="26"/>
  <c r="N21" i="26"/>
  <c r="L25" i="26"/>
  <c r="L29" i="26"/>
  <c r="L33" i="26"/>
  <c r="L34" i="26"/>
  <c r="L16" i="28"/>
  <c r="L20" i="28"/>
  <c r="V25" i="29"/>
  <c r="V27" i="29"/>
  <c r="V24" i="29"/>
  <c r="V22" i="29"/>
  <c r="V29" i="29"/>
  <c r="V21" i="29"/>
  <c r="V31" i="29"/>
  <c r="V20" i="29"/>
  <c r="V18" i="29"/>
  <c r="V16" i="29"/>
  <c r="V33" i="29"/>
  <c r="T18" i="29"/>
  <c r="V15" i="29"/>
  <c r="V34" i="29"/>
  <c r="V36" i="29"/>
  <c r="Z12" i="29"/>
  <c r="L15" i="29"/>
  <c r="Z25" i="29"/>
  <c r="L33" i="29"/>
  <c r="N13" i="31"/>
  <c r="N22" i="31"/>
  <c r="N21" i="32"/>
  <c r="L25" i="32"/>
  <c r="L22" i="34"/>
  <c r="L20" i="37"/>
  <c r="X15" i="25"/>
  <c r="N25" i="25"/>
  <c r="N29" i="25"/>
  <c r="N33" i="25"/>
  <c r="N34" i="25"/>
  <c r="N13" i="26"/>
  <c r="N22" i="26"/>
  <c r="N24" i="26"/>
  <c r="N15" i="28"/>
  <c r="L21" i="28"/>
  <c r="L16" i="29"/>
  <c r="L20" i="29"/>
  <c r="N34" i="29"/>
  <c r="N33" i="31"/>
  <c r="L13" i="34"/>
  <c r="L33" i="34"/>
  <c r="N16" i="35"/>
  <c r="L20" i="38"/>
  <c r="N16" i="31"/>
  <c r="N20" i="31"/>
  <c r="L22" i="31"/>
  <c r="L24" i="31"/>
  <c r="N15" i="32"/>
  <c r="L21" i="32"/>
  <c r="N13" i="34"/>
  <c r="N22" i="34"/>
  <c r="N24" i="34"/>
  <c r="L13" i="35"/>
  <c r="N21" i="35"/>
  <c r="L25" i="35"/>
  <c r="L29" i="35"/>
  <c r="L33" i="35"/>
  <c r="L34" i="35"/>
  <c r="Z15" i="37"/>
  <c r="N20" i="37"/>
  <c r="X21" i="37"/>
  <c r="Z29" i="37"/>
  <c r="Z21" i="38"/>
  <c r="L34" i="49"/>
  <c r="L13" i="31"/>
  <c r="N21" i="31"/>
  <c r="L25" i="31"/>
  <c r="L29" i="31"/>
  <c r="L33" i="31"/>
  <c r="L34" i="31"/>
  <c r="N16" i="32"/>
  <c r="N20" i="32"/>
  <c r="L22" i="32"/>
  <c r="L24" i="32"/>
  <c r="X15" i="34"/>
  <c r="N25" i="34"/>
  <c r="N29" i="34"/>
  <c r="N33" i="34"/>
  <c r="N34" i="34"/>
  <c r="N13" i="35"/>
  <c r="N22" i="35"/>
  <c r="N24" i="35"/>
  <c r="Z21" i="37"/>
  <c r="N25" i="37"/>
  <c r="N33" i="37"/>
  <c r="X34" i="37"/>
  <c r="N13" i="38"/>
  <c r="X24" i="38"/>
  <c r="Z34" i="40"/>
  <c r="F20" i="34"/>
  <c r="F18" i="34"/>
  <c r="F16" i="34"/>
  <c r="D18" i="34"/>
  <c r="F15" i="34"/>
  <c r="L12" i="34"/>
  <c r="F36" i="34"/>
  <c r="F34" i="34"/>
  <c r="F33" i="34"/>
  <c r="F31" i="34"/>
  <c r="F29" i="34"/>
  <c r="F27" i="34"/>
  <c r="F25" i="34"/>
  <c r="F22" i="34"/>
  <c r="F21" i="34"/>
  <c r="F24" i="34"/>
  <c r="X16" i="34"/>
  <c r="X20" i="34"/>
  <c r="X15" i="35"/>
  <c r="N25" i="35"/>
  <c r="N29" i="35"/>
  <c r="N33" i="35"/>
  <c r="N34" i="35"/>
  <c r="X20" i="37"/>
  <c r="X20" i="38"/>
  <c r="X34" i="38"/>
  <c r="L20" i="41"/>
  <c r="L16" i="46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H18" i="34"/>
  <c r="J16" i="34"/>
  <c r="J15" i="34"/>
  <c r="X13" i="34"/>
  <c r="Z15" i="34"/>
  <c r="X21" i="34"/>
  <c r="D18" i="35"/>
  <c r="F15" i="35"/>
  <c r="L12" i="35"/>
  <c r="F36" i="35"/>
  <c r="F34" i="35"/>
  <c r="F33" i="35"/>
  <c r="F31" i="35"/>
  <c r="F29" i="35"/>
  <c r="F27" i="35"/>
  <c r="F25" i="35"/>
  <c r="F24" i="35"/>
  <c r="F22" i="35"/>
  <c r="F16" i="35"/>
  <c r="F21" i="35"/>
  <c r="F18" i="35"/>
  <c r="F20" i="35"/>
  <c r="X16" i="35"/>
  <c r="X20" i="35"/>
  <c r="X13" i="37"/>
  <c r="L24" i="37"/>
  <c r="Z34" i="37"/>
  <c r="Z20" i="38"/>
  <c r="Z24" i="38"/>
  <c r="Z25" i="40"/>
  <c r="L12" i="31"/>
  <c r="F24" i="31"/>
  <c r="F22" i="31"/>
  <c r="F21" i="31"/>
  <c r="F33" i="31"/>
  <c r="F27" i="31"/>
  <c r="F18" i="31"/>
  <c r="D18" i="31"/>
  <c r="F36" i="31"/>
  <c r="F31" i="31"/>
  <c r="F25" i="31"/>
  <c r="F16" i="31"/>
  <c r="F20" i="31"/>
  <c r="F15" i="31"/>
  <c r="F34" i="31"/>
  <c r="F29" i="31"/>
  <c r="X16" i="31"/>
  <c r="X20" i="31"/>
  <c r="X15" i="32"/>
  <c r="N25" i="32"/>
  <c r="N29" i="32"/>
  <c r="N33" i="32"/>
  <c r="N34" i="32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J15" i="35"/>
  <c r="H18" i="35"/>
  <c r="X13" i="35"/>
  <c r="Z15" i="35"/>
  <c r="X21" i="35"/>
  <c r="L16" i="37"/>
  <c r="X25" i="37"/>
  <c r="X33" i="37"/>
  <c r="Z13" i="38"/>
  <c r="Z34" i="38"/>
  <c r="X33" i="43"/>
  <c r="N12" i="31"/>
  <c r="J36" i="31"/>
  <c r="J34" i="31"/>
  <c r="J33" i="31"/>
  <c r="J31" i="31"/>
  <c r="J29" i="31"/>
  <c r="J27" i="31"/>
  <c r="J25" i="31"/>
  <c r="J20" i="31"/>
  <c r="J18" i="31"/>
  <c r="J16" i="31"/>
  <c r="H18" i="31"/>
  <c r="J15" i="31"/>
  <c r="J22" i="31"/>
  <c r="J21" i="31"/>
  <c r="J24" i="31"/>
  <c r="X13" i="31"/>
  <c r="Z15" i="31"/>
  <c r="X21" i="31"/>
  <c r="L12" i="32"/>
  <c r="F21" i="32"/>
  <c r="F20" i="32"/>
  <c r="F18" i="32"/>
  <c r="F16" i="32"/>
  <c r="F36" i="32"/>
  <c r="F31" i="32"/>
  <c r="F25" i="32"/>
  <c r="F34" i="32"/>
  <c r="F29" i="32"/>
  <c r="F24" i="32"/>
  <c r="F15" i="32"/>
  <c r="F33" i="32"/>
  <c r="F27" i="32"/>
  <c r="D18" i="32"/>
  <c r="F22" i="32"/>
  <c r="X16" i="32"/>
  <c r="X20" i="32"/>
  <c r="Z21" i="34"/>
  <c r="X25" i="34"/>
  <c r="X29" i="34"/>
  <c r="X33" i="34"/>
  <c r="X34" i="34"/>
  <c r="Z13" i="35"/>
  <c r="Z16" i="35"/>
  <c r="Z20" i="35"/>
  <c r="X22" i="35"/>
  <c r="X24" i="35"/>
  <c r="F36" i="37"/>
  <c r="F34" i="37"/>
  <c r="F33" i="37"/>
  <c r="F31" i="37"/>
  <c r="F29" i="37"/>
  <c r="F27" i="37"/>
  <c r="F25" i="37"/>
  <c r="F24" i="37"/>
  <c r="F22" i="37"/>
  <c r="L12" i="37"/>
  <c r="F21" i="37"/>
  <c r="F15" i="37"/>
  <c r="F16" i="37"/>
  <c r="F18" i="37"/>
  <c r="D18" i="37"/>
  <c r="F20" i="37"/>
  <c r="L16" i="38"/>
  <c r="N22" i="38"/>
  <c r="R24" i="41"/>
  <c r="R22" i="41"/>
  <c r="R21" i="41"/>
  <c r="R20" i="41"/>
  <c r="R18" i="41"/>
  <c r="R16" i="41"/>
  <c r="P18" i="41"/>
  <c r="R15" i="41"/>
  <c r="R34" i="41"/>
  <c r="R33" i="41"/>
  <c r="X12" i="41"/>
  <c r="R31" i="41"/>
  <c r="R29" i="41"/>
  <c r="R27" i="41"/>
  <c r="R36" i="41"/>
  <c r="R25" i="41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4" i="32"/>
  <c r="J22" i="32"/>
  <c r="H18" i="32"/>
  <c r="J15" i="32"/>
  <c r="J21" i="32"/>
  <c r="J16" i="32"/>
  <c r="J20" i="32"/>
  <c r="J18" i="32"/>
  <c r="X13" i="32"/>
  <c r="Z15" i="32"/>
  <c r="X21" i="32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Z22" i="34"/>
  <c r="Z24" i="34"/>
  <c r="Z21" i="35"/>
  <c r="X25" i="35"/>
  <c r="X29" i="35"/>
  <c r="X33" i="35"/>
  <c r="X34" i="35"/>
  <c r="J21" i="37"/>
  <c r="J20" i="37"/>
  <c r="J18" i="37"/>
  <c r="J16" i="37"/>
  <c r="J15" i="37"/>
  <c r="J36" i="37"/>
  <c r="J29" i="37"/>
  <c r="J22" i="37"/>
  <c r="N12" i="37"/>
  <c r="J31" i="37"/>
  <c r="J24" i="37"/>
  <c r="H18" i="37"/>
  <c r="J33" i="37"/>
  <c r="J25" i="37"/>
  <c r="J27" i="37"/>
  <c r="J34" i="37"/>
  <c r="L15" i="37"/>
  <c r="N16" i="37"/>
  <c r="L22" i="37"/>
  <c r="Z25" i="37"/>
  <c r="Z33" i="37"/>
  <c r="F36" i="38"/>
  <c r="F34" i="38"/>
  <c r="F33" i="38"/>
  <c r="F31" i="38"/>
  <c r="F29" i="38"/>
  <c r="F27" i="38"/>
  <c r="F25" i="38"/>
  <c r="F24" i="38"/>
  <c r="F22" i="38"/>
  <c r="F21" i="38"/>
  <c r="F15" i="38"/>
  <c r="L12" i="38"/>
  <c r="F16" i="38"/>
  <c r="F18" i="38"/>
  <c r="D18" i="38"/>
  <c r="F20" i="38"/>
  <c r="Z21" i="31"/>
  <c r="X25" i="31"/>
  <c r="X29" i="31"/>
  <c r="X33" i="31"/>
  <c r="X34" i="31"/>
  <c r="Z13" i="32"/>
  <c r="Z16" i="32"/>
  <c r="Z20" i="32"/>
  <c r="X22" i="32"/>
  <c r="X24" i="32"/>
  <c r="Z12" i="3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Z22" i="35"/>
  <c r="Z24" i="35"/>
  <c r="N29" i="37"/>
  <c r="L15" i="38"/>
  <c r="X22" i="38"/>
  <c r="V21" i="40"/>
  <c r="V20" i="40"/>
  <c r="V18" i="40"/>
  <c r="V16" i="40"/>
  <c r="T18" i="40"/>
  <c r="V15" i="40"/>
  <c r="V36" i="40"/>
  <c r="V34" i="40"/>
  <c r="V33" i="40"/>
  <c r="V31" i="40"/>
  <c r="V29" i="40"/>
  <c r="V27" i="40"/>
  <c r="V25" i="40"/>
  <c r="Z12" i="40"/>
  <c r="V24" i="40"/>
  <c r="V22" i="40"/>
  <c r="Z29" i="40"/>
  <c r="Z22" i="41"/>
  <c r="L16" i="44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X12" i="31"/>
  <c r="Z22" i="31"/>
  <c r="Z24" i="31"/>
  <c r="Z21" i="32"/>
  <c r="X25" i="32"/>
  <c r="X29" i="32"/>
  <c r="X33" i="32"/>
  <c r="X34" i="32"/>
  <c r="L16" i="34"/>
  <c r="L20" i="34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Z12" i="35"/>
  <c r="L15" i="35"/>
  <c r="Z25" i="35"/>
  <c r="Z29" i="35"/>
  <c r="Z33" i="35"/>
  <c r="Z34" i="35"/>
  <c r="R21" i="37"/>
  <c r="R16" i="37"/>
  <c r="R31" i="37"/>
  <c r="R24" i="37"/>
  <c r="R18" i="37"/>
  <c r="R33" i="37"/>
  <c r="R25" i="37"/>
  <c r="P18" i="37"/>
  <c r="R20" i="37"/>
  <c r="R34" i="37"/>
  <c r="R27" i="37"/>
  <c r="R29" i="37"/>
  <c r="R15" i="37"/>
  <c r="X12" i="37"/>
  <c r="R36" i="37"/>
  <c r="R22" i="37"/>
  <c r="N15" i="37"/>
  <c r="X16" i="37"/>
  <c r="L21" i="37"/>
  <c r="Z24" i="37"/>
  <c r="L21" i="38"/>
  <c r="X25" i="38"/>
  <c r="X29" i="38"/>
  <c r="X33" i="38"/>
  <c r="L21" i="40"/>
  <c r="Z16" i="44"/>
  <c r="V24" i="31"/>
  <c r="V22" i="31"/>
  <c r="V21" i="31"/>
  <c r="V20" i="31"/>
  <c r="V18" i="31"/>
  <c r="V16" i="31"/>
  <c r="T18" i="31"/>
  <c r="V15" i="31"/>
  <c r="Z12" i="31"/>
  <c r="V36" i="31"/>
  <c r="V31" i="31"/>
  <c r="V25" i="31"/>
  <c r="V34" i="31"/>
  <c r="V29" i="31"/>
  <c r="V33" i="31"/>
  <c r="V27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P18" i="32"/>
  <c r="R15" i="32"/>
  <c r="X12" i="32"/>
  <c r="Z22" i="32"/>
  <c r="Z24" i="32"/>
  <c r="N15" i="34"/>
  <c r="L21" i="34"/>
  <c r="L16" i="35"/>
  <c r="L20" i="35"/>
  <c r="T18" i="37"/>
  <c r="V15" i="37"/>
  <c r="V24" i="37"/>
  <c r="V33" i="37"/>
  <c r="V25" i="37"/>
  <c r="V18" i="37"/>
  <c r="V34" i="37"/>
  <c r="V27" i="37"/>
  <c r="V20" i="37"/>
  <c r="V21" i="37"/>
  <c r="V36" i="37"/>
  <c r="V29" i="37"/>
  <c r="V22" i="37"/>
  <c r="V31" i="37"/>
  <c r="V16" i="37"/>
  <c r="Z12" i="37"/>
  <c r="R20" i="38"/>
  <c r="R18" i="38"/>
  <c r="R16" i="38"/>
  <c r="R36" i="38"/>
  <c r="R33" i="38"/>
  <c r="R29" i="38"/>
  <c r="R25" i="38"/>
  <c r="R22" i="38"/>
  <c r="P18" i="38"/>
  <c r="R34" i="38"/>
  <c r="R31" i="38"/>
  <c r="R27" i="38"/>
  <c r="R24" i="38"/>
  <c r="R15" i="38"/>
  <c r="X12" i="38"/>
  <c r="R21" i="38"/>
  <c r="N15" i="38"/>
  <c r="X16" i="38"/>
  <c r="Z22" i="38"/>
  <c r="L13" i="40"/>
  <c r="Z24" i="41"/>
  <c r="X20" i="52"/>
  <c r="Z13" i="37"/>
  <c r="Z16" i="37"/>
  <c r="Z20" i="37"/>
  <c r="X22" i="37"/>
  <c r="X24" i="37"/>
  <c r="J24" i="38"/>
  <c r="J22" i="38"/>
  <c r="J20" i="38"/>
  <c r="J18" i="38"/>
  <c r="J16" i="38"/>
  <c r="H18" i="38"/>
  <c r="J15" i="38"/>
  <c r="J21" i="38"/>
  <c r="N12" i="38"/>
  <c r="J36" i="38"/>
  <c r="J33" i="38"/>
  <c r="J29" i="38"/>
  <c r="J25" i="38"/>
  <c r="J34" i="38"/>
  <c r="J31" i="38"/>
  <c r="J27" i="38"/>
  <c r="X13" i="38"/>
  <c r="Z15" i="38"/>
  <c r="X21" i="38"/>
  <c r="L16" i="40"/>
  <c r="L20" i="40"/>
  <c r="V20" i="41"/>
  <c r="V18" i="41"/>
  <c r="V16" i="41"/>
  <c r="T18" i="41"/>
  <c r="V15" i="41"/>
  <c r="Z12" i="41"/>
  <c r="V24" i="41"/>
  <c r="V22" i="41"/>
  <c r="V33" i="41"/>
  <c r="V31" i="41"/>
  <c r="V21" i="41"/>
  <c r="V29" i="41"/>
  <c r="V27" i="41"/>
  <c r="V36" i="41"/>
  <c r="V25" i="41"/>
  <c r="V34" i="41"/>
  <c r="L15" i="41"/>
  <c r="Z25" i="41"/>
  <c r="Z29" i="41"/>
  <c r="Z33" i="41"/>
  <c r="Z34" i="41"/>
  <c r="L22" i="43"/>
  <c r="L21" i="44"/>
  <c r="X29" i="47"/>
  <c r="N16" i="40"/>
  <c r="N20" i="40"/>
  <c r="L22" i="40"/>
  <c r="L24" i="40"/>
  <c r="N15" i="41"/>
  <c r="L21" i="41"/>
  <c r="L15" i="43"/>
  <c r="Z33" i="43"/>
  <c r="R20" i="44"/>
  <c r="R18" i="44"/>
  <c r="R16" i="44"/>
  <c r="P18" i="44"/>
  <c r="R15" i="44"/>
  <c r="R24" i="44"/>
  <c r="R22" i="44"/>
  <c r="R34" i="44"/>
  <c r="R29" i="44"/>
  <c r="R33" i="44"/>
  <c r="R27" i="44"/>
  <c r="X12" i="44"/>
  <c r="R36" i="44"/>
  <c r="R31" i="44"/>
  <c r="R25" i="44"/>
  <c r="R21" i="44"/>
  <c r="Z21" i="47"/>
  <c r="N21" i="40"/>
  <c r="L25" i="40"/>
  <c r="L29" i="40"/>
  <c r="L33" i="40"/>
  <c r="L34" i="40"/>
  <c r="N16" i="41"/>
  <c r="N20" i="41"/>
  <c r="L22" i="41"/>
  <c r="L24" i="41"/>
  <c r="N15" i="43"/>
  <c r="L20" i="46"/>
  <c r="T18" i="47"/>
  <c r="V15" i="47"/>
  <c r="Z12" i="47"/>
  <c r="V36" i="47"/>
  <c r="V34" i="47"/>
  <c r="V33" i="47"/>
  <c r="V31" i="47"/>
  <c r="V29" i="47"/>
  <c r="V27" i="47"/>
  <c r="V25" i="47"/>
  <c r="V21" i="47"/>
  <c r="V18" i="47"/>
  <c r="V16" i="47"/>
  <c r="V24" i="47"/>
  <c r="V22" i="47"/>
  <c r="V20" i="47"/>
  <c r="N13" i="40"/>
  <c r="N22" i="40"/>
  <c r="N24" i="40"/>
  <c r="L13" i="41"/>
  <c r="N21" i="41"/>
  <c r="L25" i="41"/>
  <c r="L29" i="41"/>
  <c r="L33" i="41"/>
  <c r="L34" i="41"/>
  <c r="N20" i="43"/>
  <c r="L24" i="43"/>
  <c r="X33" i="47"/>
  <c r="Z15" i="49"/>
  <c r="X15" i="40"/>
  <c r="N25" i="40"/>
  <c r="N29" i="40"/>
  <c r="N33" i="40"/>
  <c r="N34" i="40"/>
  <c r="N13" i="41"/>
  <c r="N22" i="41"/>
  <c r="N24" i="41"/>
  <c r="X29" i="43"/>
  <c r="X34" i="43"/>
  <c r="Z13" i="44"/>
  <c r="X22" i="44"/>
  <c r="L15" i="47"/>
  <c r="Z33" i="47"/>
  <c r="L22" i="50"/>
  <c r="L12" i="40"/>
  <c r="F36" i="40"/>
  <c r="F34" i="40"/>
  <c r="F33" i="40"/>
  <c r="F31" i="40"/>
  <c r="F29" i="40"/>
  <c r="F27" i="40"/>
  <c r="F25" i="40"/>
  <c r="F24" i="40"/>
  <c r="F22" i="40"/>
  <c r="F21" i="40"/>
  <c r="D18" i="40"/>
  <c r="F15" i="40"/>
  <c r="F20" i="40"/>
  <c r="F18" i="40"/>
  <c r="F16" i="40"/>
  <c r="X16" i="40"/>
  <c r="X20" i="40"/>
  <c r="X15" i="41"/>
  <c r="N25" i="41"/>
  <c r="N29" i="41"/>
  <c r="N33" i="41"/>
  <c r="N34" i="41"/>
  <c r="Z29" i="43"/>
  <c r="Z34" i="43"/>
  <c r="Z22" i="44"/>
  <c r="R24" i="46"/>
  <c r="R22" i="46"/>
  <c r="R21" i="46"/>
  <c r="R20" i="46"/>
  <c r="R18" i="46"/>
  <c r="R16" i="46"/>
  <c r="P18" i="46"/>
  <c r="R15" i="46"/>
  <c r="R34" i="46"/>
  <c r="R33" i="46"/>
  <c r="X12" i="46"/>
  <c r="R31" i="46"/>
  <c r="R29" i="46"/>
  <c r="R27" i="46"/>
  <c r="R36" i="46"/>
  <c r="R25" i="46"/>
  <c r="X34" i="47"/>
  <c r="L13" i="37"/>
  <c r="N21" i="37"/>
  <c r="L25" i="37"/>
  <c r="L29" i="37"/>
  <c r="L33" i="37"/>
  <c r="L34" i="37"/>
  <c r="N16" i="38"/>
  <c r="N20" i="38"/>
  <c r="L22" i="38"/>
  <c r="L24" i="38"/>
  <c r="N12" i="40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X13" i="40"/>
  <c r="Z15" i="40"/>
  <c r="X21" i="40"/>
  <c r="L12" i="41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F15" i="41"/>
  <c r="D18" i="41"/>
  <c r="X16" i="41"/>
  <c r="X20" i="41"/>
  <c r="L21" i="43"/>
  <c r="L20" i="44"/>
  <c r="Z34" i="47"/>
  <c r="N13" i="37"/>
  <c r="N22" i="37"/>
  <c r="N24" i="37"/>
  <c r="L13" i="38"/>
  <c r="N21" i="38"/>
  <c r="L25" i="38"/>
  <c r="L29" i="38"/>
  <c r="L33" i="38"/>
  <c r="L34" i="38"/>
  <c r="Z13" i="40"/>
  <c r="Z16" i="40"/>
  <c r="Z20" i="40"/>
  <c r="X22" i="40"/>
  <c r="X24" i="40"/>
  <c r="N12" i="41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X13" i="41"/>
  <c r="Z15" i="41"/>
  <c r="X21" i="41"/>
  <c r="N16" i="43"/>
  <c r="N15" i="44"/>
  <c r="Z22" i="46"/>
  <c r="X25" i="47"/>
  <c r="N24" i="38"/>
  <c r="Z21" i="40"/>
  <c r="X25" i="40"/>
  <c r="X29" i="40"/>
  <c r="X33" i="40"/>
  <c r="X34" i="40"/>
  <c r="Z13" i="41"/>
  <c r="Z16" i="41"/>
  <c r="Z20" i="41"/>
  <c r="X22" i="41"/>
  <c r="X24" i="41"/>
  <c r="Z21" i="43"/>
  <c r="X25" i="43"/>
  <c r="Z20" i="44"/>
  <c r="X24" i="44"/>
  <c r="Z25" i="47"/>
  <c r="L29" i="49"/>
  <c r="N25" i="38"/>
  <c r="N29" i="38"/>
  <c r="N33" i="38"/>
  <c r="N34" i="38"/>
  <c r="R36" i="40"/>
  <c r="R34" i="40"/>
  <c r="R33" i="40"/>
  <c r="R31" i="40"/>
  <c r="R29" i="40"/>
  <c r="R27" i="40"/>
  <c r="R25" i="40"/>
  <c r="R24" i="40"/>
  <c r="R22" i="40"/>
  <c r="R21" i="40"/>
  <c r="R20" i="40"/>
  <c r="R18" i="40"/>
  <c r="R16" i="40"/>
  <c r="P18" i="40"/>
  <c r="R15" i="40"/>
  <c r="X12" i="40"/>
  <c r="Z22" i="40"/>
  <c r="Z24" i="40"/>
  <c r="Z21" i="41"/>
  <c r="X25" i="41"/>
  <c r="X29" i="41"/>
  <c r="X33" i="41"/>
  <c r="X34" i="41"/>
  <c r="T18" i="43"/>
  <c r="V15" i="43"/>
  <c r="V36" i="43"/>
  <c r="V34" i="43"/>
  <c r="V33" i="43"/>
  <c r="V31" i="43"/>
  <c r="V29" i="43"/>
  <c r="V27" i="43"/>
  <c r="V25" i="43"/>
  <c r="V21" i="43"/>
  <c r="V16" i="43"/>
  <c r="V24" i="43"/>
  <c r="V20" i="43"/>
  <c r="V22" i="43"/>
  <c r="Z12" i="43"/>
  <c r="V18" i="43"/>
  <c r="Z25" i="43"/>
  <c r="Z24" i="44"/>
  <c r="Z24" i="46"/>
  <c r="R21" i="43"/>
  <c r="R20" i="43"/>
  <c r="R18" i="43"/>
  <c r="R16" i="43"/>
  <c r="P18" i="43"/>
  <c r="R15" i="43"/>
  <c r="X12" i="43"/>
  <c r="R36" i="43"/>
  <c r="R34" i="43"/>
  <c r="R33" i="43"/>
  <c r="R31" i="43"/>
  <c r="R29" i="43"/>
  <c r="R27" i="43"/>
  <c r="R25" i="43"/>
  <c r="R24" i="43"/>
  <c r="R22" i="43"/>
  <c r="Z22" i="43"/>
  <c r="Z24" i="43"/>
  <c r="Z21" i="44"/>
  <c r="X25" i="44"/>
  <c r="X29" i="44"/>
  <c r="X33" i="44"/>
  <c r="X34" i="44"/>
  <c r="V20" i="46"/>
  <c r="V18" i="46"/>
  <c r="V16" i="46"/>
  <c r="T18" i="46"/>
  <c r="V15" i="46"/>
  <c r="Z12" i="46"/>
  <c r="V24" i="46"/>
  <c r="V22" i="46"/>
  <c r="V33" i="46"/>
  <c r="V31" i="46"/>
  <c r="V21" i="46"/>
  <c r="V29" i="46"/>
  <c r="V27" i="46"/>
  <c r="V36" i="46"/>
  <c r="V34" i="46"/>
  <c r="V25" i="46"/>
  <c r="L15" i="46"/>
  <c r="Z25" i="46"/>
  <c r="Z29" i="46"/>
  <c r="Z33" i="46"/>
  <c r="Z34" i="46"/>
  <c r="R21" i="47"/>
  <c r="R20" i="47"/>
  <c r="R18" i="47"/>
  <c r="R16" i="47"/>
  <c r="P18" i="47"/>
  <c r="R15" i="47"/>
  <c r="X12" i="47"/>
  <c r="R36" i="47"/>
  <c r="R34" i="47"/>
  <c r="R33" i="47"/>
  <c r="R31" i="47"/>
  <c r="R29" i="47"/>
  <c r="R27" i="47"/>
  <c r="R25" i="47"/>
  <c r="R24" i="47"/>
  <c r="R22" i="47"/>
  <c r="Z22" i="47"/>
  <c r="Z24" i="47"/>
  <c r="N24" i="49"/>
  <c r="L13" i="50"/>
  <c r="L33" i="50"/>
  <c r="N29" i="52"/>
  <c r="N13" i="53"/>
  <c r="N22" i="53"/>
  <c r="N33" i="53"/>
  <c r="L16" i="43"/>
  <c r="L20" i="43"/>
  <c r="V24" i="44"/>
  <c r="V22" i="44"/>
  <c r="V20" i="44"/>
  <c r="V18" i="44"/>
  <c r="V16" i="44"/>
  <c r="V15" i="44"/>
  <c r="V33" i="44"/>
  <c r="V27" i="44"/>
  <c r="T18" i="44"/>
  <c r="Z12" i="44"/>
  <c r="V36" i="44"/>
  <c r="V31" i="44"/>
  <c r="V25" i="44"/>
  <c r="V21" i="44"/>
  <c r="V34" i="44"/>
  <c r="V29" i="44"/>
  <c r="L15" i="44"/>
  <c r="Z25" i="44"/>
  <c r="Z29" i="44"/>
  <c r="Z33" i="44"/>
  <c r="Z34" i="44"/>
  <c r="N15" i="46"/>
  <c r="L21" i="46"/>
  <c r="L16" i="47"/>
  <c r="L20" i="47"/>
  <c r="F21" i="49"/>
  <c r="F20" i="49"/>
  <c r="F18" i="49"/>
  <c r="F16" i="49"/>
  <c r="D18" i="49"/>
  <c r="F15" i="49"/>
  <c r="F33" i="49"/>
  <c r="F27" i="49"/>
  <c r="F22" i="49"/>
  <c r="F36" i="49"/>
  <c r="F31" i="49"/>
  <c r="F25" i="49"/>
  <c r="L12" i="49"/>
  <c r="F34" i="49"/>
  <c r="F29" i="49"/>
  <c r="F24" i="49"/>
  <c r="Z20" i="49"/>
  <c r="X24" i="49"/>
  <c r="X13" i="50"/>
  <c r="N24" i="53"/>
  <c r="N16" i="46"/>
  <c r="N20" i="46"/>
  <c r="L22" i="46"/>
  <c r="L24" i="46"/>
  <c r="N15" i="47"/>
  <c r="L21" i="47"/>
  <c r="H18" i="49"/>
  <c r="J15" i="49"/>
  <c r="N12" i="49"/>
  <c r="J36" i="49"/>
  <c r="J34" i="49"/>
  <c r="J33" i="49"/>
  <c r="J31" i="49"/>
  <c r="J29" i="49"/>
  <c r="J27" i="49"/>
  <c r="J25" i="49"/>
  <c r="J24" i="49"/>
  <c r="J22" i="49"/>
  <c r="J18" i="49"/>
  <c r="J21" i="49"/>
  <c r="J16" i="49"/>
  <c r="J20" i="49"/>
  <c r="N21" i="49"/>
  <c r="L25" i="49"/>
  <c r="N20" i="50"/>
  <c r="L24" i="50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D18" i="52"/>
  <c r="F15" i="52"/>
  <c r="L12" i="52"/>
  <c r="X15" i="53"/>
  <c r="L13" i="46"/>
  <c r="N21" i="46"/>
  <c r="L25" i="46"/>
  <c r="L29" i="46"/>
  <c r="L33" i="46"/>
  <c r="L34" i="46"/>
  <c r="N16" i="47"/>
  <c r="N20" i="47"/>
  <c r="L22" i="47"/>
  <c r="L24" i="47"/>
  <c r="L29" i="50"/>
  <c r="L34" i="50"/>
  <c r="N33" i="52"/>
  <c r="L13" i="43"/>
  <c r="N21" i="43"/>
  <c r="L25" i="43"/>
  <c r="L29" i="43"/>
  <c r="L33" i="43"/>
  <c r="L34" i="43"/>
  <c r="N16" i="44"/>
  <c r="N20" i="44"/>
  <c r="L22" i="44"/>
  <c r="L24" i="44"/>
  <c r="N13" i="46"/>
  <c r="N22" i="46"/>
  <c r="N24" i="46"/>
  <c r="L13" i="47"/>
  <c r="N21" i="47"/>
  <c r="L25" i="47"/>
  <c r="L29" i="47"/>
  <c r="L33" i="47"/>
  <c r="L34" i="47"/>
  <c r="L13" i="49"/>
  <c r="X21" i="49"/>
  <c r="X20" i="50"/>
  <c r="N25" i="53"/>
  <c r="N13" i="43"/>
  <c r="N22" i="43"/>
  <c r="N24" i="43"/>
  <c r="L13" i="44"/>
  <c r="N21" i="44"/>
  <c r="L25" i="44"/>
  <c r="L29" i="44"/>
  <c r="L33" i="44"/>
  <c r="L34" i="44"/>
  <c r="X15" i="46"/>
  <c r="N25" i="46"/>
  <c r="N29" i="46"/>
  <c r="N33" i="46"/>
  <c r="N34" i="46"/>
  <c r="N13" i="47"/>
  <c r="N22" i="47"/>
  <c r="N24" i="47"/>
  <c r="N13" i="49"/>
  <c r="Z16" i="49"/>
  <c r="Z15" i="50"/>
  <c r="X15" i="52"/>
  <c r="N34" i="52"/>
  <c r="X15" i="43"/>
  <c r="N25" i="43"/>
  <c r="N29" i="43"/>
  <c r="N33" i="43"/>
  <c r="N34" i="43"/>
  <c r="N13" i="44"/>
  <c r="N22" i="44"/>
  <c r="N24" i="44"/>
  <c r="L12" i="46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F15" i="46"/>
  <c r="D18" i="46"/>
  <c r="X16" i="46"/>
  <c r="X20" i="46"/>
  <c r="X15" i="47"/>
  <c r="N25" i="47"/>
  <c r="N29" i="47"/>
  <c r="N33" i="47"/>
  <c r="N34" i="47"/>
  <c r="L33" i="49"/>
  <c r="N16" i="50"/>
  <c r="L12" i="43"/>
  <c r="F36" i="43"/>
  <c r="F34" i="43"/>
  <c r="F33" i="43"/>
  <c r="F31" i="43"/>
  <c r="F29" i="43"/>
  <c r="F27" i="43"/>
  <c r="F25" i="43"/>
  <c r="F24" i="43"/>
  <c r="F22" i="43"/>
  <c r="D18" i="43"/>
  <c r="F15" i="43"/>
  <c r="F21" i="43"/>
  <c r="F16" i="43"/>
  <c r="F20" i="43"/>
  <c r="F18" i="43"/>
  <c r="X16" i="43"/>
  <c r="X20" i="43"/>
  <c r="X15" i="44"/>
  <c r="N25" i="44"/>
  <c r="N29" i="44"/>
  <c r="N33" i="44"/>
  <c r="N34" i="44"/>
  <c r="N12" i="46"/>
  <c r="J36" i="46"/>
  <c r="J34" i="46"/>
  <c r="J33" i="46"/>
  <c r="J31" i="46"/>
  <c r="J29" i="46"/>
  <c r="J27" i="46"/>
  <c r="J25" i="46"/>
  <c r="J24" i="46"/>
  <c r="J22" i="46"/>
  <c r="J21" i="46"/>
  <c r="J20" i="46"/>
  <c r="J18" i="46"/>
  <c r="J16" i="46"/>
  <c r="H18" i="46"/>
  <c r="J15" i="46"/>
  <c r="X13" i="46"/>
  <c r="Z15" i="46"/>
  <c r="X21" i="46"/>
  <c r="L12" i="47"/>
  <c r="F36" i="47"/>
  <c r="F34" i="47"/>
  <c r="F33" i="47"/>
  <c r="F31" i="47"/>
  <c r="F29" i="47"/>
  <c r="F27" i="47"/>
  <c r="F25" i="47"/>
  <c r="F24" i="47"/>
  <c r="F22" i="47"/>
  <c r="F21" i="47"/>
  <c r="F20" i="47"/>
  <c r="F18" i="47"/>
  <c r="F16" i="47"/>
  <c r="D18" i="47"/>
  <c r="F15" i="47"/>
  <c r="X16" i="47"/>
  <c r="X20" i="47"/>
  <c r="X13" i="49"/>
  <c r="N22" i="49"/>
  <c r="N21" i="50"/>
  <c r="L25" i="50"/>
  <c r="N25" i="52"/>
  <c r="J36" i="43"/>
  <c r="J34" i="43"/>
  <c r="J33" i="43"/>
  <c r="J31" i="43"/>
  <c r="J29" i="43"/>
  <c r="J27" i="43"/>
  <c r="J25" i="43"/>
  <c r="J24" i="43"/>
  <c r="J22" i="43"/>
  <c r="J21" i="43"/>
  <c r="J20" i="43"/>
  <c r="J18" i="43"/>
  <c r="J16" i="43"/>
  <c r="N12" i="43"/>
  <c r="J15" i="43"/>
  <c r="H18" i="43"/>
  <c r="X13" i="43"/>
  <c r="Z15" i="43"/>
  <c r="X21" i="43"/>
  <c r="F36" i="44"/>
  <c r="F34" i="44"/>
  <c r="F33" i="44"/>
  <c r="F31" i="44"/>
  <c r="F29" i="44"/>
  <c r="F27" i="44"/>
  <c r="F25" i="44"/>
  <c r="F24" i="44"/>
  <c r="F22" i="44"/>
  <c r="F21" i="44"/>
  <c r="F20" i="44"/>
  <c r="F15" i="44"/>
  <c r="F18" i="44"/>
  <c r="D18" i="44"/>
  <c r="F16" i="44"/>
  <c r="L12" i="44"/>
  <c r="X16" i="44"/>
  <c r="X20" i="44"/>
  <c r="Z13" i="46"/>
  <c r="Z16" i="46"/>
  <c r="Z20" i="46"/>
  <c r="X22" i="46"/>
  <c r="X24" i="46"/>
  <c r="J36" i="47"/>
  <c r="J34" i="47"/>
  <c r="J33" i="47"/>
  <c r="J31" i="47"/>
  <c r="J29" i="47"/>
  <c r="J27" i="47"/>
  <c r="J25" i="47"/>
  <c r="J24" i="47"/>
  <c r="J22" i="47"/>
  <c r="J21" i="47"/>
  <c r="J20" i="47"/>
  <c r="J18" i="47"/>
  <c r="J16" i="47"/>
  <c r="H18" i="47"/>
  <c r="J15" i="47"/>
  <c r="N12" i="47"/>
  <c r="X13" i="47"/>
  <c r="Z15" i="47"/>
  <c r="X21" i="47"/>
  <c r="Z13" i="49"/>
  <c r="F20" i="50"/>
  <c r="F18" i="50"/>
  <c r="F16" i="50"/>
  <c r="D18" i="50"/>
  <c r="F15" i="50"/>
  <c r="L12" i="50"/>
  <c r="F36" i="50"/>
  <c r="F34" i="50"/>
  <c r="F33" i="50"/>
  <c r="F31" i="50"/>
  <c r="F29" i="50"/>
  <c r="F27" i="50"/>
  <c r="F25" i="50"/>
  <c r="F21" i="50"/>
  <c r="F24" i="50"/>
  <c r="F22" i="50"/>
  <c r="X16" i="50"/>
  <c r="X16" i="52"/>
  <c r="N29" i="53"/>
  <c r="Z13" i="43"/>
  <c r="Z16" i="43"/>
  <c r="Z20" i="43"/>
  <c r="X22" i="43"/>
  <c r="X24" i="43"/>
  <c r="J36" i="44"/>
  <c r="J34" i="44"/>
  <c r="J33" i="44"/>
  <c r="J31" i="44"/>
  <c r="J29" i="44"/>
  <c r="J27" i="44"/>
  <c r="J25" i="44"/>
  <c r="J24" i="44"/>
  <c r="J22" i="44"/>
  <c r="J21" i="44"/>
  <c r="J20" i="44"/>
  <c r="J18" i="44"/>
  <c r="J16" i="44"/>
  <c r="H18" i="44"/>
  <c r="J15" i="44"/>
  <c r="N12" i="44"/>
  <c r="X13" i="44"/>
  <c r="Z15" i="44"/>
  <c r="X21" i="44"/>
  <c r="Z21" i="46"/>
  <c r="X25" i="46"/>
  <c r="X29" i="46"/>
  <c r="X33" i="46"/>
  <c r="X34" i="46"/>
  <c r="Z13" i="47"/>
  <c r="Z16" i="47"/>
  <c r="Z20" i="47"/>
  <c r="X22" i="47"/>
  <c r="X24" i="47"/>
  <c r="X22" i="49"/>
  <c r="N12" i="50"/>
  <c r="J24" i="50"/>
  <c r="J22" i="50"/>
  <c r="J21" i="50"/>
  <c r="J36" i="50"/>
  <c r="J31" i="50"/>
  <c r="J25" i="50"/>
  <c r="J16" i="50"/>
  <c r="J34" i="50"/>
  <c r="J29" i="50"/>
  <c r="J20" i="50"/>
  <c r="J15" i="50"/>
  <c r="J18" i="50"/>
  <c r="J33" i="50"/>
  <c r="J27" i="50"/>
  <c r="H18" i="50"/>
  <c r="X21" i="50"/>
  <c r="X15" i="49"/>
  <c r="N25" i="49"/>
  <c r="N29" i="49"/>
  <c r="N33" i="49"/>
  <c r="N34" i="49"/>
  <c r="N13" i="50"/>
  <c r="N22" i="50"/>
  <c r="N24" i="50"/>
  <c r="J21" i="52"/>
  <c r="J20" i="52"/>
  <c r="J18" i="52"/>
  <c r="J16" i="52"/>
  <c r="H18" i="52"/>
  <c r="J15" i="52"/>
  <c r="N12" i="52"/>
  <c r="J36" i="52"/>
  <c r="J25" i="52"/>
  <c r="J34" i="52"/>
  <c r="J24" i="52"/>
  <c r="J33" i="52"/>
  <c r="J22" i="52"/>
  <c r="J31" i="52"/>
  <c r="J29" i="52"/>
  <c r="J27" i="52"/>
  <c r="X13" i="52"/>
  <c r="Z15" i="52"/>
  <c r="X21" i="52"/>
  <c r="F33" i="53"/>
  <c r="F24" i="53"/>
  <c r="F22" i="53"/>
  <c r="F34" i="53"/>
  <c r="F21" i="53"/>
  <c r="F20" i="53"/>
  <c r="F18" i="53"/>
  <c r="F16" i="53"/>
  <c r="F36" i="53"/>
  <c r="D18" i="53"/>
  <c r="F15" i="53"/>
  <c r="L12" i="53"/>
  <c r="F31" i="53"/>
  <c r="F29" i="53"/>
  <c r="F27" i="53"/>
  <c r="F25" i="53"/>
  <c r="X16" i="53"/>
  <c r="X20" i="53"/>
  <c r="X34" i="53"/>
  <c r="X16" i="49"/>
  <c r="X20" i="49"/>
  <c r="X15" i="50"/>
  <c r="N25" i="50"/>
  <c r="N29" i="50"/>
  <c r="N33" i="50"/>
  <c r="N34" i="50"/>
  <c r="Z13" i="52"/>
  <c r="Z16" i="52"/>
  <c r="Z20" i="52"/>
  <c r="X22" i="52"/>
  <c r="X24" i="52"/>
  <c r="J20" i="53"/>
  <c r="J18" i="53"/>
  <c r="J16" i="53"/>
  <c r="J36" i="53"/>
  <c r="H18" i="53"/>
  <c r="J15" i="53"/>
  <c r="N12" i="53"/>
  <c r="J31" i="53"/>
  <c r="J29" i="53"/>
  <c r="J27" i="53"/>
  <c r="J25" i="53"/>
  <c r="J21" i="53"/>
  <c r="J24" i="53"/>
  <c r="J34" i="53"/>
  <c r="J33" i="53"/>
  <c r="J22" i="53"/>
  <c r="X13" i="53"/>
  <c r="Z15" i="53"/>
  <c r="X21" i="53"/>
  <c r="X33" i="53"/>
  <c r="Z21" i="52"/>
  <c r="X25" i="52"/>
  <c r="X29" i="52"/>
  <c r="X33" i="52"/>
  <c r="X34" i="52"/>
  <c r="Z13" i="53"/>
  <c r="Z16" i="53"/>
  <c r="Z20" i="53"/>
  <c r="X22" i="53"/>
  <c r="X24" i="53"/>
  <c r="Z34" i="53"/>
  <c r="X12" i="52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R15" i="52"/>
  <c r="P18" i="52"/>
  <c r="Z22" i="52"/>
  <c r="Z24" i="52"/>
  <c r="Z21" i="53"/>
  <c r="X25" i="53"/>
  <c r="X29" i="53"/>
  <c r="Z33" i="53"/>
  <c r="Z21" i="49"/>
  <c r="X25" i="49"/>
  <c r="X29" i="49"/>
  <c r="X33" i="49"/>
  <c r="X34" i="49"/>
  <c r="Z13" i="50"/>
  <c r="Z16" i="50"/>
  <c r="Z20" i="50"/>
  <c r="X22" i="50"/>
  <c r="X24" i="50"/>
  <c r="Z12" i="52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L15" i="52"/>
  <c r="Z25" i="52"/>
  <c r="Z29" i="52"/>
  <c r="Z33" i="52"/>
  <c r="Z34" i="52"/>
  <c r="X12" i="53"/>
  <c r="R29" i="53"/>
  <c r="R27" i="53"/>
  <c r="R25" i="53"/>
  <c r="R31" i="53"/>
  <c r="R24" i="53"/>
  <c r="R22" i="53"/>
  <c r="R33" i="53"/>
  <c r="R21" i="53"/>
  <c r="R34" i="53"/>
  <c r="R20" i="53"/>
  <c r="R18" i="53"/>
  <c r="R16" i="53"/>
  <c r="P18" i="53"/>
  <c r="R15" i="53"/>
  <c r="R36" i="53"/>
  <c r="Z22" i="53"/>
  <c r="Z24" i="53"/>
  <c r="X12" i="49"/>
  <c r="R36" i="49"/>
  <c r="R34" i="49"/>
  <c r="R33" i="49"/>
  <c r="R31" i="49"/>
  <c r="R29" i="49"/>
  <c r="R27" i="49"/>
  <c r="R25" i="49"/>
  <c r="R24" i="49"/>
  <c r="R22" i="49"/>
  <c r="P18" i="49"/>
  <c r="R18" i="49"/>
  <c r="R21" i="49"/>
  <c r="R16" i="49"/>
  <c r="R15" i="49"/>
  <c r="R20" i="49"/>
  <c r="Z22" i="49"/>
  <c r="Z24" i="49"/>
  <c r="Z21" i="50"/>
  <c r="X25" i="50"/>
  <c r="X29" i="50"/>
  <c r="X33" i="50"/>
  <c r="X34" i="50"/>
  <c r="L16" i="52"/>
  <c r="L20" i="52"/>
  <c r="Z12" i="53"/>
  <c r="V29" i="53"/>
  <c r="V27" i="53"/>
  <c r="V25" i="53"/>
  <c r="V31" i="53"/>
  <c r="V24" i="53"/>
  <c r="V22" i="53"/>
  <c r="V33" i="53"/>
  <c r="V21" i="53"/>
  <c r="V34" i="53"/>
  <c r="V20" i="53"/>
  <c r="V18" i="53"/>
  <c r="V16" i="53"/>
  <c r="T18" i="53"/>
  <c r="V15" i="53"/>
  <c r="V36" i="53"/>
  <c r="L15" i="53"/>
  <c r="Z25" i="53"/>
  <c r="Z29" i="53"/>
  <c r="Z12" i="49"/>
  <c r="V36" i="49"/>
  <c r="V34" i="49"/>
  <c r="V33" i="49"/>
  <c r="V31" i="49"/>
  <c r="V29" i="49"/>
  <c r="V27" i="49"/>
  <c r="V25" i="49"/>
  <c r="V24" i="49"/>
  <c r="V22" i="49"/>
  <c r="V21" i="49"/>
  <c r="V20" i="49"/>
  <c r="V18" i="49"/>
  <c r="V16" i="49"/>
  <c r="T18" i="49"/>
  <c r="V15" i="49"/>
  <c r="L15" i="49"/>
  <c r="Z25" i="49"/>
  <c r="Z29" i="49"/>
  <c r="Z33" i="49"/>
  <c r="Z34" i="49"/>
  <c r="X12" i="50"/>
  <c r="R36" i="50"/>
  <c r="R34" i="50"/>
  <c r="R33" i="50"/>
  <c r="R31" i="50"/>
  <c r="R29" i="50"/>
  <c r="R27" i="50"/>
  <c r="R25" i="50"/>
  <c r="R24" i="50"/>
  <c r="R22" i="50"/>
  <c r="R21" i="50"/>
  <c r="R16" i="50"/>
  <c r="R20" i="50"/>
  <c r="R15" i="50"/>
  <c r="R18" i="50"/>
  <c r="P18" i="50"/>
  <c r="Z22" i="50"/>
  <c r="Z24" i="50"/>
  <c r="N15" i="52"/>
  <c r="L21" i="52"/>
  <c r="L16" i="53"/>
  <c r="L20" i="53"/>
  <c r="L16" i="49"/>
  <c r="L20" i="49"/>
  <c r="Z12" i="50"/>
  <c r="V36" i="50"/>
  <c r="V34" i="50"/>
  <c r="V33" i="50"/>
  <c r="V31" i="50"/>
  <c r="V29" i="50"/>
  <c r="V27" i="50"/>
  <c r="V25" i="50"/>
  <c r="V24" i="50"/>
  <c r="V22" i="50"/>
  <c r="V21" i="50"/>
  <c r="V20" i="50"/>
  <c r="V18" i="50"/>
  <c r="V16" i="50"/>
  <c r="T18" i="50"/>
  <c r="V15" i="50"/>
  <c r="L15" i="50"/>
  <c r="Z25" i="50"/>
  <c r="Z29" i="50"/>
  <c r="Z33" i="50"/>
  <c r="Z34" i="50"/>
  <c r="N16" i="52"/>
  <c r="N20" i="52"/>
  <c r="L22" i="52"/>
  <c r="L24" i="52"/>
  <c r="N15" i="53"/>
  <c r="L21" i="53"/>
  <c r="L34" i="53"/>
  <c r="N15" i="49"/>
  <c r="L21" i="49"/>
  <c r="L16" i="50"/>
  <c r="L20" i="50"/>
  <c r="L13" i="52"/>
  <c r="N21" i="52"/>
  <c r="L25" i="52"/>
  <c r="L29" i="52"/>
  <c r="L33" i="52"/>
  <c r="L34" i="52"/>
  <c r="N16" i="53"/>
  <c r="N20" i="53"/>
  <c r="L22" i="53"/>
  <c r="L24" i="53"/>
  <c r="L33" i="53"/>
  <c r="N16" i="49"/>
  <c r="N20" i="49"/>
  <c r="L22" i="49"/>
  <c r="L24" i="49"/>
  <c r="N15" i="50"/>
  <c r="L21" i="50"/>
  <c r="N13" i="52"/>
  <c r="N22" i="52"/>
  <c r="N24" i="52"/>
  <c r="L13" i="53"/>
  <c r="N21" i="53"/>
  <c r="L25" i="53"/>
  <c r="L29" i="53"/>
  <c r="N34" i="53"/>
  <c r="J36" i="99"/>
  <c r="J34" i="99"/>
  <c r="J33" i="99"/>
  <c r="J31" i="99"/>
  <c r="J29" i="99"/>
  <c r="J27" i="99"/>
  <c r="J25" i="99"/>
  <c r="J24" i="99"/>
  <c r="J22" i="99"/>
  <c r="J21" i="99"/>
  <c r="J20" i="99"/>
  <c r="J18" i="99"/>
  <c r="J16" i="99"/>
  <c r="H18" i="99"/>
  <c r="J15" i="99"/>
  <c r="N12" i="99"/>
  <c r="P18" i="99"/>
  <c r="R15" i="99"/>
  <c r="X12" i="99"/>
  <c r="R21" i="99"/>
  <c r="R36" i="99"/>
  <c r="R29" i="99"/>
  <c r="R22" i="99"/>
  <c r="R16" i="99"/>
  <c r="R34" i="99"/>
  <c r="R27" i="99"/>
  <c r="R33" i="99"/>
  <c r="R25" i="99"/>
  <c r="R24" i="99"/>
  <c r="R31" i="99"/>
  <c r="R20" i="99"/>
  <c r="R18" i="99"/>
  <c r="X13" i="99"/>
  <c r="L20" i="98"/>
  <c r="Z24" i="99"/>
  <c r="X24" i="100"/>
  <c r="X25" i="98"/>
  <c r="N25" i="100"/>
  <c r="X33" i="98"/>
  <c r="N33" i="100"/>
  <c r="T18" i="98"/>
  <c r="V15" i="98"/>
  <c r="Z12" i="98"/>
  <c r="V21" i="98"/>
  <c r="V36" i="98"/>
  <c r="V29" i="98"/>
  <c r="V22" i="98"/>
  <c r="V16" i="98"/>
  <c r="V34" i="98"/>
  <c r="V27" i="98"/>
  <c r="V33" i="98"/>
  <c r="V25" i="98"/>
  <c r="V24" i="98"/>
  <c r="V31" i="98"/>
  <c r="V20" i="98"/>
  <c r="V18" i="98"/>
  <c r="J21" i="100"/>
  <c r="J20" i="100"/>
  <c r="J18" i="100"/>
  <c r="J16" i="100"/>
  <c r="H18" i="100"/>
  <c r="J15" i="100"/>
  <c r="N12" i="100"/>
  <c r="J36" i="100"/>
  <c r="J34" i="100"/>
  <c r="J33" i="100"/>
  <c r="J31" i="100"/>
  <c r="J29" i="100"/>
  <c r="J27" i="100"/>
  <c r="J25" i="100"/>
  <c r="J22" i="100"/>
  <c r="J24" i="100"/>
  <c r="L15" i="98"/>
  <c r="Z25" i="98"/>
  <c r="Z33" i="98"/>
  <c r="X25" i="99"/>
  <c r="X33" i="99"/>
  <c r="X13" i="100"/>
  <c r="Z13" i="100"/>
  <c r="Z20" i="100"/>
  <c r="Z21" i="98"/>
  <c r="X34" i="98"/>
  <c r="Z15" i="99"/>
  <c r="X21" i="99"/>
  <c r="X15" i="100"/>
  <c r="N34" i="100"/>
  <c r="Z34" i="98"/>
  <c r="Z21" i="99"/>
  <c r="X34" i="99"/>
  <c r="Z15" i="100"/>
  <c r="X21" i="100"/>
  <c r="L16" i="98"/>
  <c r="X29" i="98"/>
  <c r="N29" i="100"/>
  <c r="Z29" i="98"/>
  <c r="X29" i="99"/>
  <c r="Z22" i="99"/>
  <c r="Z16" i="100"/>
  <c r="X22" i="100"/>
  <c r="R21" i="98"/>
  <c r="R20" i="98"/>
  <c r="R18" i="98"/>
  <c r="R16" i="98"/>
  <c r="P18" i="98"/>
  <c r="R15" i="98"/>
  <c r="R36" i="98"/>
  <c r="R34" i="98"/>
  <c r="R33" i="98"/>
  <c r="R31" i="98"/>
  <c r="R29" i="98"/>
  <c r="R27" i="98"/>
  <c r="R25" i="98"/>
  <c r="R22" i="98"/>
  <c r="R24" i="98"/>
  <c r="X12" i="98"/>
  <c r="Z22" i="98"/>
  <c r="Z24" i="98"/>
  <c r="Z13" i="99"/>
  <c r="Z16" i="99"/>
  <c r="Z20" i="99"/>
  <c r="X22" i="99"/>
  <c r="X24" i="99"/>
  <c r="F36" i="100"/>
  <c r="F34" i="100"/>
  <c r="F33" i="100"/>
  <c r="F31" i="100"/>
  <c r="F29" i="100"/>
  <c r="F27" i="100"/>
  <c r="F25" i="100"/>
  <c r="F24" i="100"/>
  <c r="F22" i="100"/>
  <c r="F21" i="100"/>
  <c r="F20" i="100"/>
  <c r="F18" i="100"/>
  <c r="F16" i="100"/>
  <c r="D18" i="100"/>
  <c r="F15" i="100"/>
  <c r="L12" i="100"/>
  <c r="X16" i="100"/>
  <c r="X20" i="100"/>
  <c r="N15" i="98"/>
  <c r="L21" i="98"/>
  <c r="Z12" i="99"/>
  <c r="V36" i="99"/>
  <c r="V34" i="99"/>
  <c r="V33" i="99"/>
  <c r="V31" i="99"/>
  <c r="V29" i="99"/>
  <c r="V27" i="99"/>
  <c r="V25" i="99"/>
  <c r="V24" i="99"/>
  <c r="V22" i="99"/>
  <c r="T18" i="99"/>
  <c r="V15" i="99"/>
  <c r="V16" i="99"/>
  <c r="V21" i="99"/>
  <c r="V20" i="99"/>
  <c r="V18" i="99"/>
  <c r="L15" i="99"/>
  <c r="Z25" i="99"/>
  <c r="Z29" i="99"/>
  <c r="Z33" i="99"/>
  <c r="Z34" i="99"/>
  <c r="Z21" i="100"/>
  <c r="X25" i="100"/>
  <c r="X29" i="100"/>
  <c r="X33" i="100"/>
  <c r="X34" i="100"/>
  <c r="N16" i="98"/>
  <c r="N20" i="98"/>
  <c r="L22" i="98"/>
  <c r="L24" i="98"/>
  <c r="L16" i="99"/>
  <c r="L20" i="99"/>
  <c r="X12" i="100"/>
  <c r="R36" i="100"/>
  <c r="R34" i="100"/>
  <c r="R33" i="100"/>
  <c r="R31" i="100"/>
  <c r="R29" i="100"/>
  <c r="R27" i="100"/>
  <c r="R25" i="100"/>
  <c r="R24" i="100"/>
  <c r="R22" i="100"/>
  <c r="P18" i="100"/>
  <c r="R15" i="100"/>
  <c r="R16" i="100"/>
  <c r="R21" i="100"/>
  <c r="R20" i="100"/>
  <c r="R18" i="100"/>
  <c r="Z22" i="100"/>
  <c r="Z24" i="100"/>
  <c r="L13" i="98"/>
  <c r="N21" i="98"/>
  <c r="L25" i="98"/>
  <c r="L29" i="98"/>
  <c r="L33" i="98"/>
  <c r="L34" i="98"/>
  <c r="N15" i="99"/>
  <c r="L21" i="99"/>
  <c r="Z12" i="100"/>
  <c r="V36" i="100"/>
  <c r="V34" i="100"/>
  <c r="V33" i="100"/>
  <c r="V31" i="100"/>
  <c r="V29" i="100"/>
  <c r="V27" i="100"/>
  <c r="V25" i="100"/>
  <c r="V24" i="100"/>
  <c r="V22" i="100"/>
  <c r="V21" i="100"/>
  <c r="V20" i="100"/>
  <c r="V18" i="100"/>
  <c r="V16" i="100"/>
  <c r="V15" i="100"/>
  <c r="T18" i="100"/>
  <c r="L15" i="100"/>
  <c r="Z25" i="100"/>
  <c r="Z29" i="100"/>
  <c r="Z33" i="100"/>
  <c r="Z34" i="100"/>
  <c r="N13" i="98"/>
  <c r="N22" i="98"/>
  <c r="N24" i="98"/>
  <c r="N16" i="99"/>
  <c r="N20" i="99"/>
  <c r="L22" i="99"/>
  <c r="L24" i="99"/>
  <c r="L16" i="100"/>
  <c r="L20" i="100"/>
  <c r="X15" i="98"/>
  <c r="N25" i="98"/>
  <c r="N29" i="98"/>
  <c r="N33" i="98"/>
  <c r="N34" i="98"/>
  <c r="L13" i="99"/>
  <c r="N21" i="99"/>
  <c r="L25" i="99"/>
  <c r="L29" i="99"/>
  <c r="L33" i="99"/>
  <c r="L34" i="99"/>
  <c r="N15" i="100"/>
  <c r="L21" i="100"/>
  <c r="L12" i="98"/>
  <c r="F36" i="98"/>
  <c r="F34" i="98"/>
  <c r="F33" i="98"/>
  <c r="F31" i="98"/>
  <c r="F29" i="98"/>
  <c r="F27" i="98"/>
  <c r="F25" i="98"/>
  <c r="F24" i="98"/>
  <c r="F22" i="98"/>
  <c r="F21" i="98"/>
  <c r="F20" i="98"/>
  <c r="F18" i="98"/>
  <c r="F16" i="98"/>
  <c r="D18" i="98"/>
  <c r="F15" i="98"/>
  <c r="X16" i="98"/>
  <c r="X20" i="98"/>
  <c r="N13" i="99"/>
  <c r="N22" i="99"/>
  <c r="N24" i="99"/>
  <c r="N16" i="100"/>
  <c r="N20" i="100"/>
  <c r="L22" i="100"/>
  <c r="L24" i="100"/>
  <c r="J36" i="98"/>
  <c r="J34" i="98"/>
  <c r="J33" i="98"/>
  <c r="J31" i="98"/>
  <c r="J29" i="98"/>
  <c r="J27" i="98"/>
  <c r="J25" i="98"/>
  <c r="J24" i="98"/>
  <c r="J22" i="98"/>
  <c r="J21" i="98"/>
  <c r="J20" i="98"/>
  <c r="J18" i="98"/>
  <c r="J16" i="98"/>
  <c r="H18" i="98"/>
  <c r="J15" i="98"/>
  <c r="N12" i="98"/>
  <c r="X13" i="98"/>
  <c r="Z15" i="98"/>
  <c r="X21" i="98"/>
  <c r="X15" i="99"/>
  <c r="N25" i="99"/>
  <c r="N29" i="99"/>
  <c r="N33" i="99"/>
  <c r="N34" i="99"/>
  <c r="L13" i="100"/>
  <c r="N21" i="100"/>
  <c r="L25" i="100"/>
  <c r="L29" i="100"/>
  <c r="L33" i="100"/>
  <c r="L34" i="100"/>
  <c r="Z13" i="98"/>
  <c r="Z16" i="98"/>
  <c r="Z20" i="98"/>
  <c r="X22" i="98"/>
  <c r="X24" i="98"/>
  <c r="F36" i="99"/>
  <c r="F34" i="99"/>
  <c r="F33" i="99"/>
  <c r="F31" i="99"/>
  <c r="F29" i="99"/>
  <c r="F27" i="99"/>
  <c r="F25" i="99"/>
  <c r="F24" i="99"/>
  <c r="F22" i="99"/>
  <c r="F21" i="99"/>
  <c r="F20" i="99"/>
  <c r="F18" i="99"/>
  <c r="F16" i="99"/>
  <c r="D18" i="99"/>
  <c r="F15" i="99"/>
  <c r="L12" i="99"/>
  <c r="X16" i="99"/>
  <c r="X20" i="99"/>
  <c r="N13" i="100"/>
  <c r="N22" i="100"/>
  <c r="N24" i="100"/>
  <c r="F322" i="3"/>
  <c r="F317" i="3"/>
  <c r="F305" i="3"/>
  <c r="F276" i="3"/>
  <c r="F256" i="3"/>
  <c r="F327" i="3"/>
  <c r="F326" i="3"/>
  <c r="F314" i="3"/>
  <c r="F277" i="3"/>
  <c r="F257" i="3"/>
  <c r="F249" i="3"/>
  <c r="F241" i="3"/>
  <c r="F240" i="3"/>
  <c r="F233" i="3"/>
  <c r="F309" i="3"/>
  <c r="F280" i="3"/>
  <c r="F279" i="3"/>
  <c r="F308" i="3"/>
  <c r="F303" i="3"/>
  <c r="F302" i="3"/>
  <c r="F295" i="3"/>
  <c r="F275" i="3"/>
  <c r="F263" i="3"/>
  <c r="F262" i="3"/>
  <c r="F255" i="3"/>
  <c r="F254" i="3"/>
  <c r="F231" i="3"/>
  <c r="F230" i="3"/>
  <c r="F316" i="3"/>
  <c r="F291" i="3"/>
  <c r="F311" i="3"/>
  <c r="F298" i="3"/>
  <c r="F294" i="3"/>
  <c r="F318" i="3"/>
  <c r="F285" i="3"/>
  <c r="F301" i="3"/>
  <c r="F299" i="3"/>
  <c r="F283" i="3"/>
  <c r="F307" i="3"/>
  <c r="F296" i="3"/>
  <c r="F315" i="3"/>
  <c r="F300" i="3"/>
  <c r="F293" i="3"/>
  <c r="F284" i="3"/>
  <c r="F269" i="3"/>
  <c r="F287" i="3"/>
  <c r="F278" i="3"/>
  <c r="F253" i="3"/>
  <c r="F234" i="3"/>
  <c r="F226" i="3"/>
  <c r="F225" i="3"/>
  <c r="F214" i="3"/>
  <c r="F210" i="3"/>
  <c r="F206" i="3"/>
  <c r="F313" i="3"/>
  <c r="F274" i="3"/>
  <c r="F268" i="3"/>
  <c r="F265" i="3"/>
  <c r="F261" i="3"/>
  <c r="F245" i="3"/>
  <c r="F197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260" i="3"/>
  <c r="F289" i="3"/>
  <c r="F220" i="3"/>
  <c r="F216" i="3"/>
  <c r="F215" i="3"/>
  <c r="L12" i="3"/>
  <c r="N12" i="3" s="1"/>
  <c r="F244" i="3"/>
  <c r="F236" i="3"/>
  <c r="F235" i="3"/>
  <c r="F227" i="3"/>
  <c r="F211" i="3"/>
  <c r="F207" i="3"/>
  <c r="F281" i="3"/>
  <c r="F272" i="3"/>
  <c r="F266" i="3"/>
  <c r="F232" i="3"/>
  <c r="F198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306" i="3"/>
  <c r="F250" i="3"/>
  <c r="F246" i="3"/>
  <c r="F228" i="3"/>
  <c r="F221" i="3"/>
  <c r="F217" i="3"/>
  <c r="F264" i="3"/>
  <c r="F286" i="3"/>
  <c r="F282" i="3"/>
  <c r="F270" i="3"/>
  <c r="F258" i="3"/>
  <c r="F212" i="3"/>
  <c r="F208" i="3"/>
  <c r="F312" i="3"/>
  <c r="F297" i="3"/>
  <c r="F288" i="3"/>
  <c r="F251" i="3"/>
  <c r="F242" i="3"/>
  <c r="F237" i="3"/>
  <c r="F229" i="3"/>
  <c r="F199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8" i="3"/>
  <c r="F292" i="3"/>
  <c r="F271" i="3"/>
  <c r="F259" i="3"/>
  <c r="F222" i="3"/>
  <c r="F218" i="3"/>
  <c r="F290" i="3"/>
  <c r="F273" i="3"/>
  <c r="F267" i="3"/>
  <c r="F247" i="3"/>
  <c r="F243" i="3"/>
  <c r="F238" i="3"/>
  <c r="F213" i="3"/>
  <c r="F209" i="3"/>
  <c r="F205" i="3"/>
  <c r="F204" i="3"/>
  <c r="F219" i="3"/>
  <c r="F310" i="3"/>
  <c r="F252" i="3"/>
  <c r="F224" i="3"/>
  <c r="F223" i="3"/>
  <c r="F203" i="3"/>
  <c r="F201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248" i="3"/>
  <c r="F239" i="3"/>
  <c r="D201" i="3"/>
  <c r="Z120" i="3"/>
  <c r="J315" i="3"/>
  <c r="J299" i="3"/>
  <c r="J291" i="3"/>
  <c r="J287" i="3"/>
  <c r="J283" i="3"/>
  <c r="J271" i="3"/>
  <c r="J312" i="3"/>
  <c r="J300" i="3"/>
  <c r="J292" i="3"/>
  <c r="J288" i="3"/>
  <c r="J284" i="3"/>
  <c r="J272" i="3"/>
  <c r="J258" i="3"/>
  <c r="J250" i="3"/>
  <c r="J242" i="3"/>
  <c r="J307" i="3"/>
  <c r="J303" i="3"/>
  <c r="J295" i="3"/>
  <c r="J275" i="3"/>
  <c r="J318" i="3"/>
  <c r="J306" i="3"/>
  <c r="J296" i="3"/>
  <c r="J290" i="3"/>
  <c r="J286" i="3"/>
  <c r="J270" i="3"/>
  <c r="J264" i="3"/>
  <c r="J246" i="3"/>
  <c r="J327" i="3"/>
  <c r="J322" i="3"/>
  <c r="J317" i="3"/>
  <c r="J310" i="3"/>
  <c r="J309" i="3"/>
  <c r="J297" i="3"/>
  <c r="J311" i="3"/>
  <c r="J285" i="3"/>
  <c r="J301" i="3"/>
  <c r="J276" i="3"/>
  <c r="J279" i="3"/>
  <c r="J316" i="3"/>
  <c r="J308" i="3"/>
  <c r="J277" i="3"/>
  <c r="J266" i="3"/>
  <c r="J294" i="3"/>
  <c r="J274" i="3"/>
  <c r="J268" i="3"/>
  <c r="J265" i="3"/>
  <c r="J261" i="3"/>
  <c r="J245" i="3"/>
  <c r="J231" i="3"/>
  <c r="J215" i="3"/>
  <c r="J197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J145" i="3"/>
  <c r="J141" i="3"/>
  <c r="J313" i="3"/>
  <c r="J289" i="3"/>
  <c r="J240" i="3"/>
  <c r="J235" i="3"/>
  <c r="J220" i="3"/>
  <c r="J216" i="3"/>
  <c r="J249" i="3"/>
  <c r="J236" i="3"/>
  <c r="J227" i="3"/>
  <c r="J211" i="3"/>
  <c r="J207" i="3"/>
  <c r="J281" i="3"/>
  <c r="J269" i="3"/>
  <c r="J257" i="3"/>
  <c r="J254" i="3"/>
  <c r="J232" i="3"/>
  <c r="J228" i="3"/>
  <c r="J198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253" i="3"/>
  <c r="J226" i="3"/>
  <c r="J206" i="3"/>
  <c r="J314" i="3"/>
  <c r="J282" i="3"/>
  <c r="J262" i="3"/>
  <c r="J241" i="3"/>
  <c r="J221" i="3"/>
  <c r="J217" i="3"/>
  <c r="J293" i="3"/>
  <c r="J212" i="3"/>
  <c r="J208" i="3"/>
  <c r="J138" i="3"/>
  <c r="J251" i="3"/>
  <c r="J237" i="3"/>
  <c r="J229" i="3"/>
  <c r="J199" i="3"/>
  <c r="J195" i="3"/>
  <c r="J191" i="3"/>
  <c r="J187" i="3"/>
  <c r="J183" i="3"/>
  <c r="J179" i="3"/>
  <c r="J175" i="3"/>
  <c r="J171" i="3"/>
  <c r="J167" i="3"/>
  <c r="J163" i="3"/>
  <c r="J159" i="3"/>
  <c r="J155" i="3"/>
  <c r="J151" i="3"/>
  <c r="J147" i="3"/>
  <c r="J143" i="3"/>
  <c r="J139" i="3"/>
  <c r="J273" i="3"/>
  <c r="J259" i="3"/>
  <c r="J255" i="3"/>
  <c r="J247" i="3"/>
  <c r="J238" i="3"/>
  <c r="J222" i="3"/>
  <c r="J218" i="3"/>
  <c r="J204" i="3"/>
  <c r="J278" i="3"/>
  <c r="J214" i="3"/>
  <c r="J326" i="3"/>
  <c r="J267" i="3"/>
  <c r="J263" i="3"/>
  <c r="J252" i="3"/>
  <c r="J243" i="3"/>
  <c r="J233" i="3"/>
  <c r="J223" i="3"/>
  <c r="J213" i="3"/>
  <c r="J209" i="3"/>
  <c r="J205" i="3"/>
  <c r="J203" i="3"/>
  <c r="J302" i="3"/>
  <c r="J298" i="3"/>
  <c r="J260" i="3"/>
  <c r="J244" i="3"/>
  <c r="J230" i="3"/>
  <c r="J224" i="3"/>
  <c r="H201" i="3"/>
  <c r="J201" i="3" s="1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210" i="3"/>
  <c r="J280" i="3"/>
  <c r="J248" i="3"/>
  <c r="J239" i="3"/>
  <c r="J225" i="3"/>
  <c r="J219" i="3"/>
  <c r="J256" i="3"/>
  <c r="J234" i="3"/>
  <c r="Z78" i="3"/>
  <c r="Z82" i="3"/>
  <c r="Z86" i="3"/>
  <c r="Z90" i="3"/>
  <c r="Z250" i="3"/>
  <c r="Z317" i="3"/>
  <c r="Z19" i="3"/>
  <c r="Z45" i="3"/>
  <c r="Z17" i="3"/>
  <c r="Z53" i="3"/>
  <c r="Z130" i="3"/>
  <c r="Z305" i="3"/>
  <c r="Z33" i="3"/>
  <c r="Z88" i="3"/>
  <c r="Z101" i="3"/>
  <c r="Z96" i="3"/>
  <c r="Z98" i="3"/>
  <c r="N264" i="3"/>
  <c r="Z121" i="3"/>
  <c r="Z80" i="3"/>
  <c r="Z22" i="3"/>
  <c r="Z26" i="3"/>
  <c r="Z30" i="3"/>
  <c r="Z34" i="3"/>
  <c r="Z38" i="3"/>
  <c r="Z42" i="3"/>
  <c r="Z46" i="3"/>
  <c r="Z102" i="3"/>
  <c r="Z106" i="3"/>
  <c r="Z110" i="3"/>
  <c r="Z114" i="3"/>
  <c r="Z132" i="3"/>
  <c r="Z134" i="3"/>
  <c r="Z264" i="3"/>
  <c r="R311" i="3"/>
  <c r="R300" i="3"/>
  <c r="R293" i="3"/>
  <c r="R292" i="3"/>
  <c r="R288" i="3"/>
  <c r="R284" i="3"/>
  <c r="R273" i="3"/>
  <c r="R272" i="3"/>
  <c r="R308" i="3"/>
  <c r="R302" i="3"/>
  <c r="R301" i="3"/>
  <c r="R289" i="3"/>
  <c r="R285" i="3"/>
  <c r="R262" i="3"/>
  <c r="R261" i="3"/>
  <c r="R254" i="3"/>
  <c r="R253" i="3"/>
  <c r="R245" i="3"/>
  <c r="R230" i="3"/>
  <c r="R229" i="3"/>
  <c r="R322" i="3"/>
  <c r="R315" i="3"/>
  <c r="R276" i="3"/>
  <c r="R327" i="3"/>
  <c r="R326" i="3"/>
  <c r="R314" i="3"/>
  <c r="R299" i="3"/>
  <c r="R291" i="3"/>
  <c r="R287" i="3"/>
  <c r="R283" i="3"/>
  <c r="R271" i="3"/>
  <c r="R240" i="3"/>
  <c r="R239" i="3"/>
  <c r="R318" i="3"/>
  <c r="R312" i="3"/>
  <c r="R313" i="3"/>
  <c r="R306" i="3"/>
  <c r="R295" i="3"/>
  <c r="R290" i="3"/>
  <c r="R274" i="3"/>
  <c r="R307" i="3"/>
  <c r="R280" i="3"/>
  <c r="R317" i="3"/>
  <c r="R303" i="3"/>
  <c r="R298" i="3"/>
  <c r="R282" i="3"/>
  <c r="R294" i="3"/>
  <c r="R281" i="3"/>
  <c r="R257" i="3"/>
  <c r="R250" i="3"/>
  <c r="R228" i="3"/>
  <c r="R198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279" i="3"/>
  <c r="R266" i="3"/>
  <c r="R258" i="3"/>
  <c r="R241" i="3"/>
  <c r="R232" i="3"/>
  <c r="R221" i="3"/>
  <c r="R217" i="3"/>
  <c r="R138" i="3"/>
  <c r="R269" i="3"/>
  <c r="R246" i="3"/>
  <c r="R242" i="3"/>
  <c r="R212" i="3"/>
  <c r="R208" i="3"/>
  <c r="R316" i="3"/>
  <c r="R211" i="3"/>
  <c r="R309" i="3"/>
  <c r="R286" i="3"/>
  <c r="R270" i="3"/>
  <c r="R251" i="3"/>
  <c r="R237" i="3"/>
  <c r="R204" i="3"/>
  <c r="R199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297" i="3"/>
  <c r="R275" i="3"/>
  <c r="R259" i="3"/>
  <c r="R255" i="3"/>
  <c r="R247" i="3"/>
  <c r="R238" i="3"/>
  <c r="R223" i="3"/>
  <c r="R222" i="3"/>
  <c r="R218" i="3"/>
  <c r="R203" i="3"/>
  <c r="R201" i="3"/>
  <c r="R207" i="3"/>
  <c r="R277" i="3"/>
  <c r="R267" i="3"/>
  <c r="R263" i="3"/>
  <c r="R252" i="3"/>
  <c r="R243" i="3"/>
  <c r="R233" i="3"/>
  <c r="R213" i="3"/>
  <c r="R209" i="3"/>
  <c r="R205" i="3"/>
  <c r="P201" i="3"/>
  <c r="R236" i="3"/>
  <c r="R264" i="3"/>
  <c r="R260" i="3"/>
  <c r="R244" i="3"/>
  <c r="R225" i="3"/>
  <c r="R224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310" i="3"/>
  <c r="R248" i="3"/>
  <c r="R219" i="3"/>
  <c r="R249" i="3"/>
  <c r="R227" i="3"/>
  <c r="R256" i="3"/>
  <c r="R226" i="3"/>
  <c r="R215" i="3"/>
  <c r="R214" i="3"/>
  <c r="R210" i="3"/>
  <c r="R206" i="3"/>
  <c r="R305" i="3"/>
  <c r="R278" i="3"/>
  <c r="R268" i="3"/>
  <c r="R265" i="3"/>
  <c r="R235" i="3"/>
  <c r="R234" i="3"/>
  <c r="R231" i="3"/>
  <c r="R197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296" i="3"/>
  <c r="R220" i="3"/>
  <c r="R216" i="3"/>
  <c r="X12" i="3"/>
  <c r="Z20" i="3"/>
  <c r="Z32" i="3"/>
  <c r="Z108" i="3"/>
  <c r="Z16" i="3"/>
  <c r="Z54" i="3"/>
  <c r="N225" i="3"/>
  <c r="Z81" i="3"/>
  <c r="Z104" i="3"/>
  <c r="Z56" i="3"/>
  <c r="Z58" i="3"/>
  <c r="Z62" i="3"/>
  <c r="Z66" i="3"/>
  <c r="Z70" i="3"/>
  <c r="Z118" i="3"/>
  <c r="Z60" i="3"/>
  <c r="Z64" i="3"/>
  <c r="Z74" i="3"/>
  <c r="Z225" i="3"/>
  <c r="V150" i="3"/>
  <c r="V170" i="3"/>
  <c r="Z228" i="3"/>
  <c r="V262" i="3"/>
  <c r="X16" i="3"/>
  <c r="X20" i="3"/>
  <c r="X24" i="3"/>
  <c r="Z24" i="3" s="1"/>
  <c r="X28" i="3"/>
  <c r="Z28" i="3" s="1"/>
  <c r="X32" i="3"/>
  <c r="X36" i="3"/>
  <c r="Z36" i="3" s="1"/>
  <c r="X40" i="3"/>
  <c r="Z40" i="3" s="1"/>
  <c r="X44" i="3"/>
  <c r="Z44" i="3" s="1"/>
  <c r="X48" i="3"/>
  <c r="Z48" i="3" s="1"/>
  <c r="X52" i="3"/>
  <c r="Z52" i="3" s="1"/>
  <c r="X56" i="3"/>
  <c r="X60" i="3"/>
  <c r="X64" i="3"/>
  <c r="X68" i="3"/>
  <c r="Z68" i="3" s="1"/>
  <c r="X72" i="3"/>
  <c r="Z72" i="3" s="1"/>
  <c r="X76" i="3"/>
  <c r="Z76" i="3" s="1"/>
  <c r="X80" i="3"/>
  <c r="X84" i="3"/>
  <c r="Z84" i="3" s="1"/>
  <c r="X88" i="3"/>
  <c r="X92" i="3"/>
  <c r="Z92" i="3" s="1"/>
  <c r="X96" i="3"/>
  <c r="X100" i="3"/>
  <c r="Z100" i="3" s="1"/>
  <c r="X104" i="3"/>
  <c r="X108" i="3"/>
  <c r="X112" i="3"/>
  <c r="Z112" i="3" s="1"/>
  <c r="X116" i="3"/>
  <c r="Z116" i="3" s="1"/>
  <c r="X120" i="3"/>
  <c r="X124" i="3"/>
  <c r="Z124" i="3" s="1"/>
  <c r="X128" i="3"/>
  <c r="Z128" i="3" s="1"/>
  <c r="X132" i="3"/>
  <c r="X136" i="3"/>
  <c r="Z136" i="3" s="1"/>
  <c r="V207" i="3"/>
  <c r="V211" i="3"/>
  <c r="V227" i="3"/>
  <c r="V228" i="3"/>
  <c r="N244" i="3"/>
  <c r="V249" i="3"/>
  <c r="X250" i="3"/>
  <c r="V254" i="3"/>
  <c r="N260" i="3"/>
  <c r="V274" i="3"/>
  <c r="V276" i="3"/>
  <c r="V311" i="3"/>
  <c r="X316" i="3"/>
  <c r="Z316" i="3" s="1"/>
  <c r="Z12" i="3"/>
  <c r="V216" i="3"/>
  <c r="V220" i="3"/>
  <c r="V245" i="3"/>
  <c r="N252" i="3"/>
  <c r="V261" i="3"/>
  <c r="L264" i="3"/>
  <c r="V269" i="3"/>
  <c r="X308" i="3"/>
  <c r="V141" i="3"/>
  <c r="V145" i="3"/>
  <c r="V149" i="3"/>
  <c r="V153" i="3"/>
  <c r="V157" i="3"/>
  <c r="V161" i="3"/>
  <c r="V165" i="3"/>
  <c r="V169" i="3"/>
  <c r="V173" i="3"/>
  <c r="V177" i="3"/>
  <c r="V181" i="3"/>
  <c r="V185" i="3"/>
  <c r="V189" i="3"/>
  <c r="V193" i="3"/>
  <c r="V197" i="3"/>
  <c r="V231" i="3"/>
  <c r="V234" i="3"/>
  <c r="N238" i="3"/>
  <c r="V240" i="3"/>
  <c r="V253" i="3"/>
  <c r="V265" i="3"/>
  <c r="V271" i="3"/>
  <c r="Z308" i="3"/>
  <c r="N29" i="6"/>
  <c r="Z39" i="12"/>
  <c r="L90" i="12"/>
  <c r="N90" i="12" s="1"/>
  <c r="V174" i="3"/>
  <c r="X15" i="3"/>
  <c r="Z15" i="3" s="1"/>
  <c r="X19" i="3"/>
  <c r="X23" i="3"/>
  <c r="Z23" i="3" s="1"/>
  <c r="V206" i="3"/>
  <c r="V210" i="3"/>
  <c r="V214" i="3"/>
  <c r="V226" i="3"/>
  <c r="V235" i="3"/>
  <c r="V239" i="3"/>
  <c r="V256" i="3"/>
  <c r="V300" i="3"/>
  <c r="V215" i="3"/>
  <c r="V219" i="3"/>
  <c r="V248" i="3"/>
  <c r="N34" i="12"/>
  <c r="L34" i="12"/>
  <c r="V142" i="3"/>
  <c r="V154" i="3"/>
  <c r="V162" i="3"/>
  <c r="V140" i="3"/>
  <c r="V144" i="3"/>
  <c r="V148" i="3"/>
  <c r="V152" i="3"/>
  <c r="V156" i="3"/>
  <c r="V160" i="3"/>
  <c r="V164" i="3"/>
  <c r="V168" i="3"/>
  <c r="V172" i="3"/>
  <c r="V176" i="3"/>
  <c r="V180" i="3"/>
  <c r="V184" i="3"/>
  <c r="V188" i="3"/>
  <c r="V192" i="3"/>
  <c r="V196" i="3"/>
  <c r="X215" i="3"/>
  <c r="Z215" i="3" s="1"/>
  <c r="V224" i="3"/>
  <c r="L242" i="3"/>
  <c r="N242" i="3" s="1"/>
  <c r="Z244" i="3"/>
  <c r="Z260" i="3"/>
  <c r="V298" i="3"/>
  <c r="X305" i="3"/>
  <c r="N309" i="3"/>
  <c r="L309" i="3"/>
  <c r="V310" i="3"/>
  <c r="X315" i="3"/>
  <c r="Z315" i="3" s="1"/>
  <c r="V194" i="3"/>
  <c r="N13" i="3"/>
  <c r="X14" i="3"/>
  <c r="Z14" i="3" s="1"/>
  <c r="V205" i="3"/>
  <c r="V209" i="3"/>
  <c r="V213" i="3"/>
  <c r="V225" i="3"/>
  <c r="N228" i="3"/>
  <c r="V230" i="3"/>
  <c r="V233" i="3"/>
  <c r="V243" i="3"/>
  <c r="V244" i="3"/>
  <c r="Z252" i="3"/>
  <c r="V260" i="3"/>
  <c r="V263" i="3"/>
  <c r="V277" i="3"/>
  <c r="X298" i="3"/>
  <c r="Z298" i="3" s="1"/>
  <c r="L306" i="3"/>
  <c r="H305" i="3"/>
  <c r="L305" i="3" s="1"/>
  <c r="V317" i="3"/>
  <c r="N327" i="3"/>
  <c r="V146" i="3"/>
  <c r="V158" i="3"/>
  <c r="V178" i="3"/>
  <c r="V186" i="3"/>
  <c r="V198" i="3"/>
  <c r="V281" i="3"/>
  <c r="T201" i="3"/>
  <c r="V201" i="3" s="1"/>
  <c r="V218" i="3"/>
  <c r="V222" i="3"/>
  <c r="V229" i="3"/>
  <c r="Z238" i="3"/>
  <c r="V252" i="3"/>
  <c r="V255" i="3"/>
  <c r="V273" i="3"/>
  <c r="V275" i="3"/>
  <c r="N279" i="3"/>
  <c r="X293" i="3"/>
  <c r="V297" i="3"/>
  <c r="N306" i="3"/>
  <c r="X307" i="3"/>
  <c r="Z307" i="3" s="1"/>
  <c r="P16" i="6"/>
  <c r="D91" i="9"/>
  <c r="L16" i="9"/>
  <c r="Z63" i="12"/>
  <c r="N192" i="15"/>
  <c r="L192" i="15"/>
  <c r="V257" i="3"/>
  <c r="V139" i="3"/>
  <c r="V143" i="3"/>
  <c r="V147" i="3"/>
  <c r="V151" i="3"/>
  <c r="V155" i="3"/>
  <c r="V159" i="3"/>
  <c r="V163" i="3"/>
  <c r="V167" i="3"/>
  <c r="V171" i="3"/>
  <c r="V175" i="3"/>
  <c r="V179" i="3"/>
  <c r="V183" i="3"/>
  <c r="V187" i="3"/>
  <c r="V191" i="3"/>
  <c r="V195" i="3"/>
  <c r="V199" i="3"/>
  <c r="V203" i="3"/>
  <c r="V223" i="3"/>
  <c r="V237" i="3"/>
  <c r="V238" i="3"/>
  <c r="V247" i="3"/>
  <c r="V270" i="3"/>
  <c r="V284" i="3"/>
  <c r="Z293" i="3"/>
  <c r="V301" i="3"/>
  <c r="V138" i="3"/>
  <c r="V182" i="3"/>
  <c r="V190" i="3"/>
  <c r="X13" i="3"/>
  <c r="X17" i="3"/>
  <c r="X21" i="3"/>
  <c r="Z21" i="3" s="1"/>
  <c r="X25" i="3"/>
  <c r="Z25" i="3" s="1"/>
  <c r="X29" i="3"/>
  <c r="Z29" i="3" s="1"/>
  <c r="X33" i="3"/>
  <c r="X37" i="3"/>
  <c r="Z37" i="3" s="1"/>
  <c r="X41" i="3"/>
  <c r="Z41" i="3" s="1"/>
  <c r="X45" i="3"/>
  <c r="X49" i="3"/>
  <c r="Z49" i="3" s="1"/>
  <c r="X53" i="3"/>
  <c r="X57" i="3"/>
  <c r="Z57" i="3" s="1"/>
  <c r="X61" i="3"/>
  <c r="Z61" i="3" s="1"/>
  <c r="X65" i="3"/>
  <c r="Z65" i="3" s="1"/>
  <c r="X69" i="3"/>
  <c r="Z69" i="3" s="1"/>
  <c r="X73" i="3"/>
  <c r="Z73" i="3" s="1"/>
  <c r="X77" i="3"/>
  <c r="Z77" i="3" s="1"/>
  <c r="X81" i="3"/>
  <c r="X85" i="3"/>
  <c r="Z85" i="3" s="1"/>
  <c r="X89" i="3"/>
  <c r="Z89" i="3" s="1"/>
  <c r="X93" i="3"/>
  <c r="Z93" i="3" s="1"/>
  <c r="X97" i="3"/>
  <c r="Z97" i="3" s="1"/>
  <c r="X101" i="3"/>
  <c r="X105" i="3"/>
  <c r="Z105" i="3" s="1"/>
  <c r="X109" i="3"/>
  <c r="Z109" i="3" s="1"/>
  <c r="X113" i="3"/>
  <c r="Z113" i="3" s="1"/>
  <c r="X117" i="3"/>
  <c r="Z117" i="3" s="1"/>
  <c r="X121" i="3"/>
  <c r="X125" i="3"/>
  <c r="Z125" i="3" s="1"/>
  <c r="X129" i="3"/>
  <c r="Z129" i="3" s="1"/>
  <c r="X133" i="3"/>
  <c r="Z133" i="3" s="1"/>
  <c r="V204" i="3"/>
  <c r="V208" i="3"/>
  <c r="V212" i="3"/>
  <c r="V246" i="3"/>
  <c r="V272" i="3"/>
  <c r="Z282" i="3"/>
  <c r="X309" i="3"/>
  <c r="Z309" i="3" s="1"/>
  <c r="N58" i="12"/>
  <c r="L58" i="12"/>
  <c r="V309" i="3"/>
  <c r="V279" i="3"/>
  <c r="V267" i="3"/>
  <c r="V259" i="3"/>
  <c r="V251" i="3"/>
  <c r="V318" i="3"/>
  <c r="V306" i="3"/>
  <c r="V296" i="3"/>
  <c r="V280" i="3"/>
  <c r="V268" i="3"/>
  <c r="V264" i="3"/>
  <c r="V236" i="3"/>
  <c r="V313" i="3"/>
  <c r="V299" i="3"/>
  <c r="V291" i="3"/>
  <c r="V287" i="3"/>
  <c r="V283" i="3"/>
  <c r="V312" i="3"/>
  <c r="V266" i="3"/>
  <c r="V258" i="3"/>
  <c r="V250" i="3"/>
  <c r="V242" i="3"/>
  <c r="V305" i="3"/>
  <c r="V285" i="3"/>
  <c r="V307" i="3"/>
  <c r="V302" i="3"/>
  <c r="V295" i="3"/>
  <c r="V292" i="3"/>
  <c r="V290" i="3"/>
  <c r="V314" i="3"/>
  <c r="V326" i="3"/>
  <c r="V316" i="3"/>
  <c r="V315" i="3"/>
  <c r="V308" i="3"/>
  <c r="V293" i="3"/>
  <c r="V288" i="3"/>
  <c r="V286" i="3"/>
  <c r="V327" i="3"/>
  <c r="V322" i="3"/>
  <c r="V294" i="3"/>
  <c r="V289" i="3"/>
  <c r="V278" i="3"/>
  <c r="V166" i="3"/>
  <c r="V217" i="3"/>
  <c r="V221" i="3"/>
  <c r="V232" i="3"/>
  <c r="V241" i="3"/>
  <c r="X254" i="3"/>
  <c r="Z254" i="3" s="1"/>
  <c r="X279" i="3"/>
  <c r="Z279" i="3" s="1"/>
  <c r="V282" i="3"/>
  <c r="N296" i="3"/>
  <c r="X273" i="3"/>
  <c r="Z273" i="3" s="1"/>
  <c r="L310" i="3"/>
  <c r="X311" i="3"/>
  <c r="Z312" i="3"/>
  <c r="X317" i="3"/>
  <c r="L326" i="3"/>
  <c r="N326" i="3" s="1"/>
  <c r="F14" i="6"/>
  <c r="Z28" i="6"/>
  <c r="F46" i="9"/>
  <c r="N51" i="9"/>
  <c r="P12" i="12"/>
  <c r="N30" i="12"/>
  <c r="Z35" i="12"/>
  <c r="N54" i="12"/>
  <c r="Z59" i="12"/>
  <c r="N82" i="12"/>
  <c r="L82" i="12"/>
  <c r="Z95" i="12"/>
  <c r="N225" i="12"/>
  <c r="Z311" i="3"/>
  <c r="L314" i="3"/>
  <c r="F29" i="9"/>
  <c r="L39" i="9"/>
  <c r="N39" i="9" s="1"/>
  <c r="F61" i="9"/>
  <c r="F73" i="9"/>
  <c r="X15" i="12"/>
  <c r="Z15" i="12" s="1"/>
  <c r="X39" i="12"/>
  <c r="X63" i="12"/>
  <c r="N86" i="12"/>
  <c r="L86" i="12"/>
  <c r="N88" i="12"/>
  <c r="Z99" i="12"/>
  <c r="F31" i="6"/>
  <c r="F29" i="6"/>
  <c r="F28" i="6"/>
  <c r="F26" i="6"/>
  <c r="X74" i="9"/>
  <c r="Z74" i="9" s="1"/>
  <c r="Z17" i="12"/>
  <c r="X19" i="12"/>
  <c r="Z19" i="12" s="1"/>
  <c r="N36" i="12"/>
  <c r="Z41" i="12"/>
  <c r="X43" i="12"/>
  <c r="Z43" i="12" s="1"/>
  <c r="N60" i="12"/>
  <c r="X67" i="12"/>
  <c r="Z67" i="12" s="1"/>
  <c r="L94" i="12"/>
  <c r="N94" i="12" s="1"/>
  <c r="Z107" i="12"/>
  <c r="N16" i="6"/>
  <c r="H22" i="6"/>
  <c r="F52" i="9"/>
  <c r="F51" i="9"/>
  <c r="F40" i="9"/>
  <c r="F39" i="9"/>
  <c r="F87" i="9"/>
  <c r="F79" i="9"/>
  <c r="F75" i="9"/>
  <c r="F74" i="9"/>
  <c r="F67" i="9"/>
  <c r="F35" i="9"/>
  <c r="F62" i="9"/>
  <c r="F54" i="9"/>
  <c r="F53" i="9"/>
  <c r="F42" i="9"/>
  <c r="F41" i="9"/>
  <c r="F30" i="9"/>
  <c r="F26" i="9"/>
  <c r="F22" i="9"/>
  <c r="F81" i="9"/>
  <c r="F80" i="9"/>
  <c r="F91" i="9"/>
  <c r="F89" i="9"/>
  <c r="F76" i="9"/>
  <c r="F68" i="9"/>
  <c r="F44" i="9"/>
  <c r="F43" i="9"/>
  <c r="F36" i="9"/>
  <c r="F32" i="9"/>
  <c r="F31" i="9"/>
  <c r="L12" i="9"/>
  <c r="F93" i="9"/>
  <c r="F63" i="9"/>
  <c r="F55" i="9"/>
  <c r="F27" i="9"/>
  <c r="F23" i="9"/>
  <c r="F82" i="9"/>
  <c r="F77" i="9"/>
  <c r="F57" i="9"/>
  <c r="F56" i="9"/>
  <c r="F98" i="9"/>
  <c r="F95" i="9"/>
  <c r="F84" i="9"/>
  <c r="F83" i="9"/>
  <c r="F64" i="9"/>
  <c r="F48" i="9"/>
  <c r="F47" i="9"/>
  <c r="F28" i="9"/>
  <c r="F24" i="9"/>
  <c r="F20" i="9"/>
  <c r="F19" i="9"/>
  <c r="F71" i="9"/>
  <c r="F59" i="9"/>
  <c r="F58" i="9"/>
  <c r="F18" i="9"/>
  <c r="F16" i="9"/>
  <c r="F14" i="9"/>
  <c r="Z51" i="9"/>
  <c r="X69" i="9"/>
  <c r="H12" i="12"/>
  <c r="N14" i="12"/>
  <c r="N38" i="12"/>
  <c r="N62" i="12"/>
  <c r="N98" i="12"/>
  <c r="L98" i="12"/>
  <c r="Z69" i="9"/>
  <c r="N102" i="12"/>
  <c r="L102" i="12"/>
  <c r="F20" i="6"/>
  <c r="L28" i="6"/>
  <c r="N28" i="6" s="1"/>
  <c r="N19" i="9"/>
  <c r="L19" i="9"/>
  <c r="Z39" i="9"/>
  <c r="X41" i="9"/>
  <c r="Z41" i="9" s="1"/>
  <c r="F45" i="9"/>
  <c r="N18" i="12"/>
  <c r="Z23" i="12"/>
  <c r="Z47" i="12"/>
  <c r="Z71" i="12"/>
  <c r="N106" i="12"/>
  <c r="L106" i="12"/>
  <c r="N113" i="12"/>
  <c r="N170" i="12"/>
  <c r="P12" i="15"/>
  <c r="X20" i="15"/>
  <c r="Z20" i="15" s="1"/>
  <c r="X72" i="18"/>
  <c r="Z72" i="18"/>
  <c r="L273" i="3"/>
  <c r="N273" i="3" s="1"/>
  <c r="L311" i="3"/>
  <c r="N311" i="3" s="1"/>
  <c r="F18" i="6"/>
  <c r="F21" i="9"/>
  <c r="F38" i="9"/>
  <c r="N45" i="9"/>
  <c r="L56" i="9"/>
  <c r="N56" i="9" s="1"/>
  <c r="L60" i="9"/>
  <c r="T12" i="12"/>
  <c r="L18" i="12"/>
  <c r="N20" i="12"/>
  <c r="Z25" i="12"/>
  <c r="X27" i="12"/>
  <c r="L42" i="12"/>
  <c r="N42" i="12" s="1"/>
  <c r="N44" i="12"/>
  <c r="Z49" i="12"/>
  <c r="X51" i="12"/>
  <c r="Z51" i="12" s="1"/>
  <c r="L66" i="12"/>
  <c r="N66" i="12" s="1"/>
  <c r="N68" i="12"/>
  <c r="Z75" i="12"/>
  <c r="N110" i="12"/>
  <c r="L110" i="12"/>
  <c r="X113" i="12"/>
  <c r="N217" i="12"/>
  <c r="X39" i="15"/>
  <c r="Z39" i="15" s="1"/>
  <c r="X45" i="9"/>
  <c r="F60" i="9"/>
  <c r="F70" i="9"/>
  <c r="F72" i="9"/>
  <c r="F86" i="9"/>
  <c r="N22" i="12"/>
  <c r="Z27" i="12"/>
  <c r="N46" i="12"/>
  <c r="N70" i="12"/>
  <c r="Z113" i="12"/>
  <c r="Z45" i="9"/>
  <c r="F49" i="9"/>
  <c r="N60" i="9"/>
  <c r="F66" i="9"/>
  <c r="N72" i="9"/>
  <c r="L72" i="9"/>
  <c r="F78" i="9"/>
  <c r="D16" i="6"/>
  <c r="F25" i="9"/>
  <c r="F34" i="9"/>
  <c r="Z31" i="12"/>
  <c r="Z55" i="12"/>
  <c r="L74" i="12"/>
  <c r="N74" i="12" s="1"/>
  <c r="Z87" i="12"/>
  <c r="F16" i="6"/>
  <c r="L26" i="12"/>
  <c r="N26" i="12" s="1"/>
  <c r="N28" i="12"/>
  <c r="Z33" i="12"/>
  <c r="L50" i="12"/>
  <c r="N50" i="12" s="1"/>
  <c r="N52" i="12"/>
  <c r="Z57" i="12"/>
  <c r="L78" i="12"/>
  <c r="N78" i="12" s="1"/>
  <c r="Z91" i="12"/>
  <c r="Z182" i="12"/>
  <c r="F135" i="12"/>
  <c r="F142" i="12"/>
  <c r="F156" i="12"/>
  <c r="F186" i="12"/>
  <c r="F193" i="12"/>
  <c r="F209" i="12"/>
  <c r="F230" i="12"/>
  <c r="F232" i="12"/>
  <c r="F243" i="12"/>
  <c r="F270" i="12"/>
  <c r="Z271" i="12"/>
  <c r="Z18" i="15"/>
  <c r="Z43" i="15"/>
  <c r="X43" i="15"/>
  <c r="N49" i="15"/>
  <c r="Z58" i="15"/>
  <c r="Z71" i="15"/>
  <c r="X71" i="15"/>
  <c r="N85" i="15"/>
  <c r="N89" i="15"/>
  <c r="Z218" i="15"/>
  <c r="N234" i="15"/>
  <c r="Z261" i="15"/>
  <c r="T16" i="6"/>
  <c r="V22" i="9"/>
  <c r="V26" i="9"/>
  <c r="V30" i="9"/>
  <c r="J34" i="9"/>
  <c r="R35" i="9"/>
  <c r="J38" i="9"/>
  <c r="V42" i="9"/>
  <c r="J50" i="9"/>
  <c r="V54" i="9"/>
  <c r="J60" i="9"/>
  <c r="V62" i="9"/>
  <c r="J66" i="9"/>
  <c r="R67" i="9"/>
  <c r="J72" i="9"/>
  <c r="R75" i="9"/>
  <c r="J78" i="9"/>
  <c r="R79" i="9"/>
  <c r="R80" i="9"/>
  <c r="J86" i="9"/>
  <c r="R87" i="9"/>
  <c r="F115" i="12"/>
  <c r="F119" i="12"/>
  <c r="F123" i="12"/>
  <c r="F127" i="12"/>
  <c r="F131" i="12"/>
  <c r="F159" i="12"/>
  <c r="F176" i="12"/>
  <c r="F199" i="12"/>
  <c r="F215" i="12"/>
  <c r="F223" i="12"/>
  <c r="L236" i="12"/>
  <c r="N245" i="12"/>
  <c r="F257" i="12"/>
  <c r="F264" i="12"/>
  <c r="T267" i="12"/>
  <c r="N270" i="12"/>
  <c r="L270" i="12"/>
  <c r="X271" i="12"/>
  <c r="D12" i="15"/>
  <c r="Z22" i="15"/>
  <c r="L55" i="15"/>
  <c r="N55" i="15" s="1"/>
  <c r="L107" i="15"/>
  <c r="N190" i="15"/>
  <c r="X212" i="15"/>
  <c r="Z216" i="15"/>
  <c r="Z254" i="15"/>
  <c r="P257" i="15"/>
  <c r="X258" i="15"/>
  <c r="Z258" i="15" s="1"/>
  <c r="Z20" i="18"/>
  <c r="Z24" i="18"/>
  <c r="Z56" i="18"/>
  <c r="X64" i="18"/>
  <c r="Z64" i="18" s="1"/>
  <c r="X59" i="21"/>
  <c r="Z59" i="21" s="1"/>
  <c r="R59" i="21"/>
  <c r="R155" i="30"/>
  <c r="R154" i="30"/>
  <c r="R143" i="30"/>
  <c r="R142" i="30"/>
  <c r="R111" i="30"/>
  <c r="R110" i="30"/>
  <c r="R98" i="30"/>
  <c r="R94" i="30"/>
  <c r="R149" i="30"/>
  <c r="R137" i="30"/>
  <c r="R130" i="30"/>
  <c r="R129" i="30"/>
  <c r="R85" i="30"/>
  <c r="R81" i="30"/>
  <c r="R77" i="30"/>
  <c r="R73" i="30"/>
  <c r="R69" i="30"/>
  <c r="R65" i="30"/>
  <c r="R61" i="30"/>
  <c r="R57" i="30"/>
  <c r="R157" i="30"/>
  <c r="R156" i="30"/>
  <c r="R144" i="30"/>
  <c r="R121" i="30"/>
  <c r="R120" i="30"/>
  <c r="R132" i="30"/>
  <c r="R131" i="30"/>
  <c r="R100" i="30"/>
  <c r="R99" i="30"/>
  <c r="R95" i="30"/>
  <c r="R158" i="30"/>
  <c r="R150" i="30"/>
  <c r="R139" i="30"/>
  <c r="R138" i="30"/>
  <c r="R123" i="30"/>
  <c r="R122" i="30"/>
  <c r="R114" i="30"/>
  <c r="R91" i="30"/>
  <c r="R86" i="30"/>
  <c r="R82" i="30"/>
  <c r="R78" i="30"/>
  <c r="R74" i="30"/>
  <c r="R70" i="30"/>
  <c r="R66" i="30"/>
  <c r="R62" i="30"/>
  <c r="R58" i="30"/>
  <c r="R146" i="30"/>
  <c r="R145" i="30"/>
  <c r="R133" i="30"/>
  <c r="R165" i="30"/>
  <c r="R134" i="30"/>
  <c r="R126" i="30"/>
  <c r="R107" i="30"/>
  <c r="R106" i="30"/>
  <c r="R102" i="30"/>
  <c r="R164" i="30"/>
  <c r="R161" i="30"/>
  <c r="R141" i="30"/>
  <c r="R118" i="30"/>
  <c r="R117" i="30"/>
  <c r="R97" i="30"/>
  <c r="R93" i="30"/>
  <c r="R159" i="30"/>
  <c r="R128" i="30"/>
  <c r="R71" i="30"/>
  <c r="R113" i="30"/>
  <c r="R116" i="30"/>
  <c r="R76" i="30"/>
  <c r="R67" i="30"/>
  <c r="R60" i="30"/>
  <c r="R160" i="30"/>
  <c r="R153" i="30"/>
  <c r="R147" i="30"/>
  <c r="R108" i="30"/>
  <c r="R105" i="30"/>
  <c r="R96" i="30"/>
  <c r="R92" i="30"/>
  <c r="P88" i="30"/>
  <c r="R88" i="30" s="1"/>
  <c r="R83" i="30"/>
  <c r="R151" i="30"/>
  <c r="R72" i="30"/>
  <c r="R169" i="30"/>
  <c r="R135" i="30"/>
  <c r="R124" i="30"/>
  <c r="R63" i="30"/>
  <c r="R56" i="30"/>
  <c r="R119" i="30"/>
  <c r="R103" i="30"/>
  <c r="R79" i="30"/>
  <c r="R109" i="30"/>
  <c r="R101" i="30"/>
  <c r="R90" i="30"/>
  <c r="R68" i="30"/>
  <c r="R125" i="30"/>
  <c r="R84" i="30"/>
  <c r="R152" i="30"/>
  <c r="R112" i="30"/>
  <c r="R80" i="30"/>
  <c r="R64" i="30"/>
  <c r="R104" i="30"/>
  <c r="R140" i="30"/>
  <c r="R75" i="30"/>
  <c r="R127" i="30"/>
  <c r="R148" i="30"/>
  <c r="R59" i="30"/>
  <c r="R115" i="30"/>
  <c r="R136" i="30"/>
  <c r="V14" i="6"/>
  <c r="V16" i="6"/>
  <c r="V18" i="6"/>
  <c r="V20" i="6"/>
  <c r="V22" i="6"/>
  <c r="H16" i="9"/>
  <c r="V31" i="9"/>
  <c r="V35" i="9"/>
  <c r="R40" i="9"/>
  <c r="R41" i="9"/>
  <c r="V43" i="9"/>
  <c r="J49" i="9"/>
  <c r="R52" i="9"/>
  <c r="R53" i="9"/>
  <c r="J59" i="9"/>
  <c r="J65" i="9"/>
  <c r="V67" i="9"/>
  <c r="J71" i="9"/>
  <c r="V75" i="9"/>
  <c r="V79" i="9"/>
  <c r="J85" i="9"/>
  <c r="V87" i="9"/>
  <c r="V89" i="9"/>
  <c r="V91" i="9"/>
  <c r="F138" i="12"/>
  <c r="F152" i="12"/>
  <c r="F179" i="12"/>
  <c r="F192" i="12"/>
  <c r="F205" i="12"/>
  <c r="F212" i="12"/>
  <c r="Z219" i="12"/>
  <c r="F236" i="12"/>
  <c r="N264" i="12"/>
  <c r="L264" i="12"/>
  <c r="D267" i="12"/>
  <c r="L267" i="12" s="1"/>
  <c r="H12" i="15"/>
  <c r="Z47" i="15"/>
  <c r="X47" i="15"/>
  <c r="L59" i="15"/>
  <c r="N59" i="15" s="1"/>
  <c r="Z212" i="15"/>
  <c r="T257" i="15"/>
  <c r="Z16" i="18"/>
  <c r="X16" i="18"/>
  <c r="Z263" i="18"/>
  <c r="T12" i="21"/>
  <c r="Z14" i="21"/>
  <c r="X14" i="21"/>
  <c r="X48" i="24"/>
  <c r="Z48" i="24" s="1"/>
  <c r="V52" i="9"/>
  <c r="J64" i="9"/>
  <c r="V80" i="9"/>
  <c r="J84" i="9"/>
  <c r="F148" i="12"/>
  <c r="F155" i="12"/>
  <c r="F162" i="12"/>
  <c r="F172" i="12"/>
  <c r="F183" i="12"/>
  <c r="F196" i="12"/>
  <c r="N236" i="12"/>
  <c r="X245" i="12"/>
  <c r="H267" i="12"/>
  <c r="L23" i="15"/>
  <c r="N262" i="15"/>
  <c r="N69" i="18"/>
  <c r="L69" i="18"/>
  <c r="J95" i="9"/>
  <c r="J98" i="9"/>
  <c r="F244" i="12"/>
  <c r="F228" i="12"/>
  <c r="F227" i="12"/>
  <c r="F220" i="12"/>
  <c r="F219" i="12"/>
  <c r="F200" i="12"/>
  <c r="F276" i="12"/>
  <c r="F239" i="12"/>
  <c r="F280" i="12"/>
  <c r="F275" i="12"/>
  <c r="F262" i="12"/>
  <c r="F254" i="12"/>
  <c r="F250" i="12"/>
  <c r="F246" i="12"/>
  <c r="F245" i="12"/>
  <c r="F234" i="12"/>
  <c r="F202" i="12"/>
  <c r="F201" i="12"/>
  <c r="F194" i="12"/>
  <c r="F178" i="12"/>
  <c r="F174" i="12"/>
  <c r="F274" i="12"/>
  <c r="F229" i="12"/>
  <c r="F221" i="12"/>
  <c r="F165" i="12"/>
  <c r="F161" i="12"/>
  <c r="F157" i="12"/>
  <c r="F153" i="12"/>
  <c r="F149" i="12"/>
  <c r="F145" i="12"/>
  <c r="F141" i="12"/>
  <c r="F137" i="12"/>
  <c r="F273" i="12"/>
  <c r="F256" i="12"/>
  <c r="F255" i="12"/>
  <c r="F240" i="12"/>
  <c r="F272" i="12"/>
  <c r="F263" i="12"/>
  <c r="F251" i="12"/>
  <c r="F247" i="12"/>
  <c r="F235" i="12"/>
  <c r="F203" i="12"/>
  <c r="F269" i="12"/>
  <c r="F252" i="12"/>
  <c r="F248" i="12"/>
  <c r="F267" i="12"/>
  <c r="F238" i="12"/>
  <c r="F226" i="12"/>
  <c r="F225" i="12"/>
  <c r="F218" i="12"/>
  <c r="F217" i="12"/>
  <c r="F113" i="12"/>
  <c r="F114" i="12"/>
  <c r="F118" i="12"/>
  <c r="F122" i="12"/>
  <c r="F126" i="12"/>
  <c r="F130" i="12"/>
  <c r="F134" i="12"/>
  <c r="F170" i="12"/>
  <c r="F171" i="12"/>
  <c r="F175" i="12"/>
  <c r="F182" i="12"/>
  <c r="F188" i="12"/>
  <c r="F191" i="12"/>
  <c r="F204" i="12"/>
  <c r="F242" i="12"/>
  <c r="Z245" i="12"/>
  <c r="F259" i="12"/>
  <c r="Z51" i="15"/>
  <c r="X51" i="15"/>
  <c r="N21" i="18"/>
  <c r="L21" i="18"/>
  <c r="V34" i="9"/>
  <c r="V38" i="9"/>
  <c r="J46" i="9"/>
  <c r="L47" i="9"/>
  <c r="V50" i="9"/>
  <c r="X53" i="9"/>
  <c r="Z53" i="9" s="1"/>
  <c r="J56" i="9"/>
  <c r="R59" i="9"/>
  <c r="R60" i="9"/>
  <c r="V66" i="9"/>
  <c r="J70" i="9"/>
  <c r="R71" i="9"/>
  <c r="R72" i="9"/>
  <c r="V74" i="9"/>
  <c r="V78" i="9"/>
  <c r="J82" i="9"/>
  <c r="L83" i="9"/>
  <c r="N83" i="9" s="1"/>
  <c r="V86" i="9"/>
  <c r="Z14" i="12"/>
  <c r="F144" i="12"/>
  <c r="F151" i="12"/>
  <c r="F158" i="12"/>
  <c r="D168" i="12"/>
  <c r="N204" i="12"/>
  <c r="X210" i="12"/>
  <c r="Z210" i="12" s="1"/>
  <c r="F231" i="12"/>
  <c r="Z260" i="12"/>
  <c r="Z273" i="12"/>
  <c r="X15" i="15"/>
  <c r="Z15" i="15" s="1"/>
  <c r="N25" i="15"/>
  <c r="Z38" i="15"/>
  <c r="Z55" i="15"/>
  <c r="X55" i="15"/>
  <c r="Z107" i="15"/>
  <c r="X110" i="15"/>
  <c r="Z110" i="15" s="1"/>
  <c r="N177" i="15"/>
  <c r="Z248" i="15"/>
  <c r="X250" i="15"/>
  <c r="Z250" i="15" s="1"/>
  <c r="Z260" i="15"/>
  <c r="D257" i="15"/>
  <c r="L257" i="15" s="1"/>
  <c r="N257" i="15" s="1"/>
  <c r="L264" i="15"/>
  <c r="N13" i="18"/>
  <c r="H12" i="18"/>
  <c r="L13" i="18"/>
  <c r="N61" i="18"/>
  <c r="L61" i="18"/>
  <c r="Z75" i="18"/>
  <c r="P16" i="9"/>
  <c r="J23" i="9"/>
  <c r="J27" i="9"/>
  <c r="V39" i="9"/>
  <c r="J45" i="9"/>
  <c r="V51" i="9"/>
  <c r="J55" i="9"/>
  <c r="V59" i="9"/>
  <c r="J63" i="9"/>
  <c r="R64" i="9"/>
  <c r="R65" i="9"/>
  <c r="J69" i="9"/>
  <c r="V71" i="9"/>
  <c r="R84" i="9"/>
  <c r="R85" i="9"/>
  <c r="J93" i="9"/>
  <c r="L12" i="12"/>
  <c r="F147" i="12"/>
  <c r="F181" i="12"/>
  <c r="F185" i="12"/>
  <c r="F190" i="12"/>
  <c r="F195" i="12"/>
  <c r="N201" i="12"/>
  <c r="F207" i="12"/>
  <c r="F214" i="12"/>
  <c r="F222" i="12"/>
  <c r="Z232" i="12"/>
  <c r="Z19" i="15"/>
  <c r="X19" i="15"/>
  <c r="N29" i="15"/>
  <c r="Z42" i="15"/>
  <c r="X59" i="15"/>
  <c r="Z59" i="15" s="1"/>
  <c r="N65" i="15"/>
  <c r="Z70" i="15"/>
  <c r="Z74" i="15"/>
  <c r="Z262" i="15"/>
  <c r="L36" i="18"/>
  <c r="N36" i="18" s="1"/>
  <c r="N38" i="18"/>
  <c r="L38" i="18"/>
  <c r="Z49" i="18"/>
  <c r="N37" i="24"/>
  <c r="N12" i="9"/>
  <c r="R14" i="9"/>
  <c r="R16" i="9"/>
  <c r="R18" i="9"/>
  <c r="V20" i="9"/>
  <c r="V24" i="9"/>
  <c r="V28" i="9"/>
  <c r="J32" i="9"/>
  <c r="R33" i="9"/>
  <c r="J36" i="9"/>
  <c r="R37" i="9"/>
  <c r="J44" i="9"/>
  <c r="V48" i="9"/>
  <c r="R57" i="9"/>
  <c r="R58" i="9"/>
  <c r="V60" i="9"/>
  <c r="V64" i="9"/>
  <c r="J68" i="9"/>
  <c r="V72" i="9"/>
  <c r="J76" i="9"/>
  <c r="R77" i="9"/>
  <c r="V84" i="9"/>
  <c r="X13" i="12"/>
  <c r="F117" i="12"/>
  <c r="F121" i="12"/>
  <c r="F125" i="12"/>
  <c r="F129" i="12"/>
  <c r="F133" i="12"/>
  <c r="F140" i="12"/>
  <c r="F154" i="12"/>
  <c r="F164" i="12"/>
  <c r="X192" i="12"/>
  <c r="Z192" i="12" s="1"/>
  <c r="F198" i="12"/>
  <c r="L201" i="12"/>
  <c r="F211" i="12"/>
  <c r="X215" i="12"/>
  <c r="Z215" i="12" s="1"/>
  <c r="N227" i="12"/>
  <c r="F261" i="12"/>
  <c r="X23" i="15"/>
  <c r="Z23" i="15" s="1"/>
  <c r="N33" i="15"/>
  <c r="L39" i="15"/>
  <c r="N39" i="15" s="1"/>
  <c r="Z78" i="15"/>
  <c r="L46" i="18"/>
  <c r="Z57" i="18"/>
  <c r="Z67" i="18"/>
  <c r="N88" i="18"/>
  <c r="L88" i="18"/>
  <c r="N98" i="18"/>
  <c r="L100" i="18"/>
  <c r="N100" i="18" s="1"/>
  <c r="N112" i="18"/>
  <c r="L112" i="18"/>
  <c r="H283" i="18"/>
  <c r="N39" i="21"/>
  <c r="T16" i="9"/>
  <c r="R19" i="9"/>
  <c r="J31" i="9"/>
  <c r="V33" i="9"/>
  <c r="V37" i="9"/>
  <c r="J43" i="9"/>
  <c r="R46" i="9"/>
  <c r="R47" i="9"/>
  <c r="V49" i="9"/>
  <c r="V57" i="9"/>
  <c r="V65" i="9"/>
  <c r="R70" i="9"/>
  <c r="V77" i="9"/>
  <c r="J81" i="9"/>
  <c r="R82" i="9"/>
  <c r="R83" i="9"/>
  <c r="V85" i="9"/>
  <c r="J89" i="9"/>
  <c r="J91" i="9"/>
  <c r="R95" i="9"/>
  <c r="R98" i="9"/>
  <c r="F143" i="12"/>
  <c r="F150" i="12"/>
  <c r="F187" i="12"/>
  <c r="F224" i="12"/>
  <c r="F233" i="12"/>
  <c r="F258" i="12"/>
  <c r="F268" i="12"/>
  <c r="X27" i="15"/>
  <c r="Z27" i="15" s="1"/>
  <c r="X63" i="15"/>
  <c r="Z63" i="15" s="1"/>
  <c r="N46" i="18"/>
  <c r="L76" i="18"/>
  <c r="N76" i="18" s="1"/>
  <c r="N124" i="18"/>
  <c r="L124" i="18"/>
  <c r="F112" i="27"/>
  <c r="F72" i="27"/>
  <c r="F68" i="27"/>
  <c r="F107" i="27"/>
  <c r="F106" i="27"/>
  <c r="F99" i="27"/>
  <c r="F91" i="27"/>
  <c r="F90" i="27"/>
  <c r="F59" i="27"/>
  <c r="F55" i="27"/>
  <c r="F51" i="27"/>
  <c r="F47" i="27"/>
  <c r="F114" i="27"/>
  <c r="F113" i="27"/>
  <c r="F82" i="27"/>
  <c r="F78" i="27"/>
  <c r="F101" i="27"/>
  <c r="F100" i="27"/>
  <c r="F93" i="27"/>
  <c r="F92" i="27"/>
  <c r="F73" i="27"/>
  <c r="F69" i="27"/>
  <c r="F121" i="27"/>
  <c r="F116" i="27"/>
  <c r="F115" i="27"/>
  <c r="F108" i="27"/>
  <c r="F84" i="27"/>
  <c r="F83" i="27"/>
  <c r="F60" i="27"/>
  <c r="F56" i="27"/>
  <c r="F52" i="27"/>
  <c r="F48" i="27"/>
  <c r="F44" i="27"/>
  <c r="F43" i="27"/>
  <c r="F125" i="27"/>
  <c r="F120" i="27"/>
  <c r="F79" i="27"/>
  <c r="F119" i="27"/>
  <c r="F102" i="27"/>
  <c r="F94" i="27"/>
  <c r="F86" i="27"/>
  <c r="F85" i="27"/>
  <c r="F74" i="27"/>
  <c r="F70" i="27"/>
  <c r="F66" i="27"/>
  <c r="F65" i="27"/>
  <c r="F118" i="27"/>
  <c r="F109" i="27"/>
  <c r="F64" i="27"/>
  <c r="F57" i="27"/>
  <c r="F53" i="27"/>
  <c r="F49" i="27"/>
  <c r="F45" i="27"/>
  <c r="F104" i="27"/>
  <c r="F103" i="27"/>
  <c r="F96" i="27"/>
  <c r="F95" i="27"/>
  <c r="F80" i="27"/>
  <c r="F76" i="27"/>
  <c r="F75" i="27"/>
  <c r="D62" i="27"/>
  <c r="F98" i="27"/>
  <c r="F97" i="27"/>
  <c r="F58" i="27"/>
  <c r="F54" i="27"/>
  <c r="F50" i="27"/>
  <c r="F46" i="27"/>
  <c r="F105" i="27"/>
  <c r="F88" i="27"/>
  <c r="F81" i="27"/>
  <c r="F71" i="27"/>
  <c r="F89" i="27"/>
  <c r="F110" i="27"/>
  <c r="F87" i="27"/>
  <c r="F77" i="27"/>
  <c r="F111" i="27"/>
  <c r="F67" i="27"/>
  <c r="V14" i="9"/>
  <c r="V16" i="9"/>
  <c r="V18" i="9"/>
  <c r="J30" i="9"/>
  <c r="J42" i="9"/>
  <c r="V46" i="9"/>
  <c r="J54" i="9"/>
  <c r="V58" i="9"/>
  <c r="J62" i="9"/>
  <c r="V70" i="9"/>
  <c r="J80" i="9"/>
  <c r="V82" i="9"/>
  <c r="R93" i="9"/>
  <c r="F136" i="12"/>
  <c r="F177" i="12"/>
  <c r="F206" i="12"/>
  <c r="F210" i="12"/>
  <c r="F216" i="12"/>
  <c r="F241" i="12"/>
  <c r="N258" i="12"/>
  <c r="F265" i="12"/>
  <c r="N268" i="12"/>
  <c r="F271" i="12"/>
  <c r="Z275" i="12"/>
  <c r="X31" i="15"/>
  <c r="Z31" i="15" s="1"/>
  <c r="N41" i="15"/>
  <c r="Z67" i="15"/>
  <c r="X67" i="15"/>
  <c r="N28" i="18"/>
  <c r="L28" i="18"/>
  <c r="Z100" i="18"/>
  <c r="X31" i="24"/>
  <c r="P12" i="24"/>
  <c r="V24" i="6"/>
  <c r="V26" i="6"/>
  <c r="V28" i="6"/>
  <c r="V29" i="6"/>
  <c r="X12" i="9"/>
  <c r="V19" i="9"/>
  <c r="V23" i="9"/>
  <c r="V27" i="9"/>
  <c r="R32" i="9"/>
  <c r="J35" i="9"/>
  <c r="R36" i="9"/>
  <c r="J41" i="9"/>
  <c r="R44" i="9"/>
  <c r="R45" i="9"/>
  <c r="V47" i="9"/>
  <c r="J53" i="9"/>
  <c r="V55" i="9"/>
  <c r="V63" i="9"/>
  <c r="J67" i="9"/>
  <c r="R68" i="9"/>
  <c r="R69" i="9"/>
  <c r="J75" i="9"/>
  <c r="J79" i="9"/>
  <c r="V83" i="9"/>
  <c r="V93" i="9"/>
  <c r="V95" i="9"/>
  <c r="F116" i="12"/>
  <c r="F120" i="12"/>
  <c r="F124" i="12"/>
  <c r="F128" i="12"/>
  <c r="F132" i="12"/>
  <c r="F139" i="12"/>
  <c r="F146" i="12"/>
  <c r="F160" i="12"/>
  <c r="F163" i="12"/>
  <c r="F180" i="12"/>
  <c r="N206" i="12"/>
  <c r="F213" i="12"/>
  <c r="F237" i="12"/>
  <c r="F253" i="12"/>
  <c r="N271" i="12"/>
  <c r="X35" i="15"/>
  <c r="Z35" i="15" s="1"/>
  <c r="N45" i="15"/>
  <c r="L47" i="15"/>
  <c r="N47" i="15" s="1"/>
  <c r="Z50" i="15"/>
  <c r="L83" i="15"/>
  <c r="N83" i="15" s="1"/>
  <c r="L87" i="15"/>
  <c r="N87" i="15" s="1"/>
  <c r="L91" i="15"/>
  <c r="N91" i="15" s="1"/>
  <c r="L95" i="15"/>
  <c r="Z98" i="15"/>
  <c r="Z102" i="15"/>
  <c r="Z196" i="15"/>
  <c r="N205" i="15"/>
  <c r="X220" i="15"/>
  <c r="Z220" i="15" s="1"/>
  <c r="N254" i="15"/>
  <c r="Z266" i="15"/>
  <c r="T12" i="15"/>
  <c r="D12" i="18"/>
  <c r="N18" i="18"/>
  <c r="X26" i="18"/>
  <c r="Z26" i="18" s="1"/>
  <c r="Z29" i="18"/>
  <c r="N41" i="18"/>
  <c r="X49" i="18"/>
  <c r="N56" i="18"/>
  <c r="X59" i="18"/>
  <c r="Z59" i="18" s="1"/>
  <c r="X74" i="18"/>
  <c r="Z74" i="18" s="1"/>
  <c r="Z77" i="18"/>
  <c r="Z89" i="18"/>
  <c r="Z101" i="18"/>
  <c r="Z113" i="18"/>
  <c r="L126" i="18"/>
  <c r="N191" i="18"/>
  <c r="Z231" i="18"/>
  <c r="T283" i="18"/>
  <c r="Z285" i="18"/>
  <c r="L291" i="18"/>
  <c r="N291" i="18" s="1"/>
  <c r="Z16" i="21"/>
  <c r="L55" i="21"/>
  <c r="N55" i="21" s="1"/>
  <c r="N59" i="21"/>
  <c r="Z61" i="21"/>
  <c r="J75" i="21"/>
  <c r="J101" i="21"/>
  <c r="T12" i="24"/>
  <c r="L37" i="24"/>
  <c r="X18" i="18"/>
  <c r="Z18" i="18" s="1"/>
  <c r="Z21" i="18"/>
  <c r="N33" i="18"/>
  <c r="X41" i="18"/>
  <c r="N48" i="18"/>
  <c r="X51" i="18"/>
  <c r="Z51" i="18" s="1"/>
  <c r="N58" i="18"/>
  <c r="X66" i="18"/>
  <c r="Z66" i="18" s="1"/>
  <c r="Z69" i="18"/>
  <c r="Z79" i="18"/>
  <c r="Z91" i="18"/>
  <c r="Z103" i="18"/>
  <c r="Z115" i="18"/>
  <c r="Z191" i="18"/>
  <c r="Z18" i="21"/>
  <c r="Z50" i="21"/>
  <c r="X50" i="21"/>
  <c r="J55" i="21"/>
  <c r="Z75" i="21"/>
  <c r="Z31" i="24"/>
  <c r="Z33" i="24"/>
  <c r="Z113" i="24"/>
  <c r="X113" i="24"/>
  <c r="P12" i="18"/>
  <c r="X13" i="18"/>
  <c r="N30" i="18"/>
  <c r="Z41" i="18"/>
  <c r="N78" i="18"/>
  <c r="N114" i="18"/>
  <c r="L213" i="18"/>
  <c r="N213" i="18" s="1"/>
  <c r="X271" i="18"/>
  <c r="Z271" i="18" s="1"/>
  <c r="Z57" i="21"/>
  <c r="X75" i="15"/>
  <c r="Z75" i="15" s="1"/>
  <c r="X79" i="15"/>
  <c r="Z79" i="15" s="1"/>
  <c r="X83" i="15"/>
  <c r="Z83" i="15" s="1"/>
  <c r="X87" i="15"/>
  <c r="Z87" i="15" s="1"/>
  <c r="X91" i="15"/>
  <c r="Z91" i="15" s="1"/>
  <c r="X95" i="15"/>
  <c r="Z95" i="15" s="1"/>
  <c r="X99" i="15"/>
  <c r="Z99" i="15" s="1"/>
  <c r="X103" i="15"/>
  <c r="Z103" i="15" s="1"/>
  <c r="X107" i="15"/>
  <c r="L20" i="18"/>
  <c r="N20" i="18" s="1"/>
  <c r="N25" i="18"/>
  <c r="L30" i="18"/>
  <c r="N40" i="18"/>
  <c r="N50" i="18"/>
  <c r="L53" i="18"/>
  <c r="X56" i="18"/>
  <c r="Z61" i="18"/>
  <c r="L68" i="18"/>
  <c r="N68" i="18" s="1"/>
  <c r="L78" i="18"/>
  <c r="Z81" i="18"/>
  <c r="L90" i="18"/>
  <c r="Z93" i="18"/>
  <c r="L102" i="18"/>
  <c r="N102" i="18" s="1"/>
  <c r="Z105" i="18"/>
  <c r="L114" i="18"/>
  <c r="Z117" i="18"/>
  <c r="Z216" i="18"/>
  <c r="X216" i="18"/>
  <c r="N236" i="18"/>
  <c r="X255" i="18"/>
  <c r="Z255" i="18" s="1"/>
  <c r="Z291" i="18"/>
  <c r="Z29" i="21"/>
  <c r="Z55" i="21"/>
  <c r="N71" i="21"/>
  <c r="J76" i="21"/>
  <c r="Z82" i="21"/>
  <c r="N94" i="21"/>
  <c r="L47" i="24"/>
  <c r="N47" i="24" s="1"/>
  <c r="Z51" i="24"/>
  <c r="P267" i="12"/>
  <c r="X267" i="12" s="1"/>
  <c r="N22" i="18"/>
  <c r="L25" i="18"/>
  <c r="X28" i="18"/>
  <c r="Z28" i="18" s="1"/>
  <c r="Z33" i="18"/>
  <c r="L40" i="18"/>
  <c r="N70" i="18"/>
  <c r="L73" i="18"/>
  <c r="X76" i="18"/>
  <c r="Z76" i="18" s="1"/>
  <c r="N80" i="18"/>
  <c r="X88" i="18"/>
  <c r="Z88" i="18" s="1"/>
  <c r="X100" i="18"/>
  <c r="X112" i="18"/>
  <c r="Z112" i="18" s="1"/>
  <c r="Z119" i="18"/>
  <c r="X211" i="18"/>
  <c r="Z211" i="18" s="1"/>
  <c r="N246" i="18"/>
  <c r="N251" i="18"/>
  <c r="Z280" i="18"/>
  <c r="X280" i="18"/>
  <c r="Z293" i="18"/>
  <c r="N15" i="21"/>
  <c r="N67" i="21"/>
  <c r="J92" i="21"/>
  <c r="N18" i="24"/>
  <c r="N32" i="24"/>
  <c r="Z51" i="30"/>
  <c r="X276" i="12"/>
  <c r="Z276" i="12" s="1"/>
  <c r="L13" i="15"/>
  <c r="N42" i="18"/>
  <c r="L45" i="18"/>
  <c r="X48" i="18"/>
  <c r="Z48" i="18" s="1"/>
  <c r="Z53" i="18"/>
  <c r="L60" i="18"/>
  <c r="N60" i="18" s="1"/>
  <c r="L80" i="18"/>
  <c r="Z83" i="18"/>
  <c r="L92" i="18"/>
  <c r="N92" i="18" s="1"/>
  <c r="Z95" i="18"/>
  <c r="L104" i="18"/>
  <c r="N104" i="18" s="1"/>
  <c r="Z107" i="18"/>
  <c r="L116" i="18"/>
  <c r="J81" i="21"/>
  <c r="N38" i="24"/>
  <c r="Z47" i="24"/>
  <c r="N13" i="15"/>
  <c r="N14" i="18"/>
  <c r="L17" i="18"/>
  <c r="X20" i="18"/>
  <c r="X22" i="18"/>
  <c r="Z22" i="18" s="1"/>
  <c r="Z25" i="18"/>
  <c r="L32" i="18"/>
  <c r="N32" i="18" s="1"/>
  <c r="N37" i="18"/>
  <c r="X45" i="18"/>
  <c r="N52" i="18"/>
  <c r="X55" i="18"/>
  <c r="Z55" i="18" s="1"/>
  <c r="N62" i="18"/>
  <c r="L65" i="18"/>
  <c r="X68" i="18"/>
  <c r="Z68" i="18" s="1"/>
  <c r="X70" i="18"/>
  <c r="Z70" i="18" s="1"/>
  <c r="Z73" i="18"/>
  <c r="X85" i="18"/>
  <c r="Z85" i="18" s="1"/>
  <c r="N94" i="18"/>
  <c r="X97" i="18"/>
  <c r="X109" i="18"/>
  <c r="Z121" i="18"/>
  <c r="N225" i="18"/>
  <c r="N229" i="18"/>
  <c r="L229" i="18"/>
  <c r="Z251" i="18"/>
  <c r="Z69" i="21"/>
  <c r="X94" i="21"/>
  <c r="Z94" i="21" s="1"/>
  <c r="N30" i="24"/>
  <c r="X38" i="24"/>
  <c r="N44" i="24"/>
  <c r="Z22" i="27"/>
  <c r="N23" i="30"/>
  <c r="T12" i="18"/>
  <c r="X17" i="18"/>
  <c r="N24" i="18"/>
  <c r="X27" i="18"/>
  <c r="Z27" i="18" s="1"/>
  <c r="N34" i="18"/>
  <c r="X42" i="18"/>
  <c r="Z42" i="18" s="1"/>
  <c r="Z45" i="18"/>
  <c r="N57" i="18"/>
  <c r="X65" i="18"/>
  <c r="N72" i="18"/>
  <c r="X75" i="18"/>
  <c r="Z97" i="18"/>
  <c r="Z109" i="18"/>
  <c r="N227" i="18"/>
  <c r="Z286" i="18"/>
  <c r="Z19" i="21"/>
  <c r="Z38" i="24"/>
  <c r="L50" i="24"/>
  <c r="Z17" i="18"/>
  <c r="X37" i="18"/>
  <c r="X47" i="18"/>
  <c r="Z47" i="18" s="1"/>
  <c r="N54" i="18"/>
  <c r="X62" i="18"/>
  <c r="Z62" i="18" s="1"/>
  <c r="Z65" i="18"/>
  <c r="N77" i="18"/>
  <c r="X87" i="18"/>
  <c r="X94" i="18"/>
  <c r="Z94" i="18" s="1"/>
  <c r="N96" i="18"/>
  <c r="X99" i="18"/>
  <c r="Z99" i="18" s="1"/>
  <c r="N101" i="18"/>
  <c r="X106" i="18"/>
  <c r="Z106" i="18" s="1"/>
  <c r="X111" i="18"/>
  <c r="L122" i="18"/>
  <c r="X125" i="18"/>
  <c r="Z260" i="18"/>
  <c r="J41" i="21"/>
  <c r="H12" i="24"/>
  <c r="N134" i="24"/>
  <c r="H133" i="24"/>
  <c r="N133" i="24" s="1"/>
  <c r="N16" i="18"/>
  <c r="X19" i="18"/>
  <c r="Z19" i="18" s="1"/>
  <c r="N26" i="18"/>
  <c r="L29" i="18"/>
  <c r="N29" i="18" s="1"/>
  <c r="X34" i="18"/>
  <c r="Z34" i="18" s="1"/>
  <c r="Z37" i="18"/>
  <c r="X57" i="18"/>
  <c r="N64" i="18"/>
  <c r="X67" i="18"/>
  <c r="N74" i="18"/>
  <c r="L77" i="18"/>
  <c r="Z87" i="18"/>
  <c r="Z111" i="18"/>
  <c r="Z125" i="18"/>
  <c r="Z192" i="18"/>
  <c r="Z227" i="18"/>
  <c r="X263" i="18"/>
  <c r="N285" i="18"/>
  <c r="D12" i="21"/>
  <c r="J105" i="21"/>
  <c r="J83" i="21"/>
  <c r="J77" i="21"/>
  <c r="J69" i="21"/>
  <c r="J57" i="21"/>
  <c r="J47" i="21"/>
  <c r="J84" i="21"/>
  <c r="J78" i="21"/>
  <c r="J70" i="21"/>
  <c r="J58" i="21"/>
  <c r="J48" i="21"/>
  <c r="J42" i="21"/>
  <c r="J93" i="21"/>
  <c r="J89" i="21"/>
  <c r="J85" i="21"/>
  <c r="J71" i="21"/>
  <c r="J59" i="21"/>
  <c r="J49" i="21"/>
  <c r="J37" i="21"/>
  <c r="J33" i="21"/>
  <c r="J23" i="21"/>
  <c r="J94" i="21"/>
  <c r="J72" i="21"/>
  <c r="J60" i="21"/>
  <c r="J50" i="21"/>
  <c r="J24" i="21"/>
  <c r="J95" i="21"/>
  <c r="J79" i="21"/>
  <c r="J61" i="21"/>
  <c r="J51" i="21"/>
  <c r="J43" i="21"/>
  <c r="J96" i="21"/>
  <c r="J90" i="21"/>
  <c r="J86" i="21"/>
  <c r="J62" i="21"/>
  <c r="J52" i="21"/>
  <c r="J38" i="21"/>
  <c r="J34" i="21"/>
  <c r="J97" i="21"/>
  <c r="J73" i="21"/>
  <c r="J63" i="21"/>
  <c r="J53" i="21"/>
  <c r="J39" i="21"/>
  <c r="J25" i="21"/>
  <c r="J98" i="21"/>
  <c r="J80" i="21"/>
  <c r="J64" i="21"/>
  <c r="J44" i="21"/>
  <c r="J40" i="21"/>
  <c r="J30" i="21"/>
  <c r="J99" i="21"/>
  <c r="J91" i="21"/>
  <c r="J87" i="21"/>
  <c r="J65" i="21"/>
  <c r="J35" i="21"/>
  <c r="J31" i="21"/>
  <c r="J29" i="21"/>
  <c r="J74" i="21"/>
  <c r="J66" i="21"/>
  <c r="J54" i="21"/>
  <c r="H27" i="21"/>
  <c r="N61" i="21"/>
  <c r="J68" i="21"/>
  <c r="L75" i="21"/>
  <c r="N75" i="21" s="1"/>
  <c r="L101" i="21"/>
  <c r="D12" i="24"/>
  <c r="L15" i="24"/>
  <c r="L19" i="24"/>
  <c r="N19" i="24" s="1"/>
  <c r="L23" i="24"/>
  <c r="N23" i="24" s="1"/>
  <c r="X28" i="24"/>
  <c r="Z28" i="24" s="1"/>
  <c r="Z128" i="24"/>
  <c r="N21" i="27"/>
  <c r="N23" i="27"/>
  <c r="D283" i="18"/>
  <c r="L283" i="18" s="1"/>
  <c r="R47" i="21"/>
  <c r="R48" i="21"/>
  <c r="R83" i="21"/>
  <c r="R84" i="21"/>
  <c r="R105" i="21"/>
  <c r="X34" i="24"/>
  <c r="Z34" i="24" s="1"/>
  <c r="N84" i="24"/>
  <c r="L15" i="27"/>
  <c r="N19" i="27"/>
  <c r="Z27" i="27"/>
  <c r="X43" i="27"/>
  <c r="V60" i="27"/>
  <c r="V82" i="27"/>
  <c r="V84" i="27"/>
  <c r="V120" i="27"/>
  <c r="N36" i="30"/>
  <c r="J158" i="30"/>
  <c r="R32" i="21"/>
  <c r="R36" i="21"/>
  <c r="R56" i="21"/>
  <c r="R57" i="21"/>
  <c r="R68" i="21"/>
  <c r="R69" i="21"/>
  <c r="R76" i="21"/>
  <c r="R77" i="21"/>
  <c r="R88" i="21"/>
  <c r="R92" i="21"/>
  <c r="N33" i="24"/>
  <c r="Z102" i="24"/>
  <c r="X126" i="24"/>
  <c r="N15" i="27"/>
  <c r="N36" i="27"/>
  <c r="L36" i="27"/>
  <c r="L40" i="27"/>
  <c r="N40" i="27" s="1"/>
  <c r="Z43" i="27"/>
  <c r="L97" i="27"/>
  <c r="X115" i="27"/>
  <c r="D12" i="30"/>
  <c r="Z16" i="30"/>
  <c r="X16" i="30"/>
  <c r="J103" i="30"/>
  <c r="P163" i="30"/>
  <c r="X163" i="30" s="1"/>
  <c r="X164" i="30"/>
  <c r="Z164" i="30" s="1"/>
  <c r="H12" i="36"/>
  <c r="L14" i="36"/>
  <c r="N14" i="36" s="1"/>
  <c r="R81" i="21"/>
  <c r="R82" i="21"/>
  <c r="Z126" i="24"/>
  <c r="V125" i="27"/>
  <c r="V103" i="27"/>
  <c r="V95" i="27"/>
  <c r="V79" i="27"/>
  <c r="V75" i="27"/>
  <c r="T62" i="27"/>
  <c r="V110" i="27"/>
  <c r="V102" i="27"/>
  <c r="V94" i="27"/>
  <c r="V86" i="27"/>
  <c r="V74" i="27"/>
  <c r="V70" i="27"/>
  <c r="V66" i="27"/>
  <c r="V109" i="27"/>
  <c r="V97" i="27"/>
  <c r="V57" i="27"/>
  <c r="V53" i="27"/>
  <c r="V49" i="27"/>
  <c r="V45" i="27"/>
  <c r="V104" i="27"/>
  <c r="V96" i="27"/>
  <c r="V88" i="27"/>
  <c r="V80" i="27"/>
  <c r="V76" i="27"/>
  <c r="V111" i="27"/>
  <c r="V87" i="27"/>
  <c r="V71" i="27"/>
  <c r="V67" i="27"/>
  <c r="V106" i="27"/>
  <c r="V98" i="27"/>
  <c r="V90" i="27"/>
  <c r="V58" i="27"/>
  <c r="V54" i="27"/>
  <c r="V50" i="27"/>
  <c r="V46" i="27"/>
  <c r="V113" i="27"/>
  <c r="V105" i="27"/>
  <c r="V89" i="27"/>
  <c r="V81" i="27"/>
  <c r="V77" i="27"/>
  <c r="V112" i="27"/>
  <c r="V100" i="27"/>
  <c r="V92" i="27"/>
  <c r="V72" i="27"/>
  <c r="V68" i="27"/>
  <c r="V121" i="27"/>
  <c r="V115" i="27"/>
  <c r="V107" i="27"/>
  <c r="V99" i="27"/>
  <c r="V91" i="27"/>
  <c r="V83" i="27"/>
  <c r="V59" i="27"/>
  <c r="V55" i="27"/>
  <c r="V51" i="27"/>
  <c r="V47" i="27"/>
  <c r="V43" i="27"/>
  <c r="V119" i="27"/>
  <c r="V101" i="27"/>
  <c r="V93" i="27"/>
  <c r="V85" i="27"/>
  <c r="V73" i="27"/>
  <c r="V69" i="27"/>
  <c r="V65" i="27"/>
  <c r="N32" i="27"/>
  <c r="L32" i="27"/>
  <c r="N97" i="27"/>
  <c r="Z115" i="27"/>
  <c r="J132" i="30"/>
  <c r="R54" i="21"/>
  <c r="R55" i="21"/>
  <c r="R66" i="21"/>
  <c r="R67" i="21"/>
  <c r="R74" i="21"/>
  <c r="R75" i="21"/>
  <c r="R101" i="21"/>
  <c r="L14" i="24"/>
  <c r="N14" i="24" s="1"/>
  <c r="L18" i="24"/>
  <c r="L22" i="24"/>
  <c r="N22" i="24" s="1"/>
  <c r="N29" i="24"/>
  <c r="L36" i="24"/>
  <c r="N36" i="24" s="1"/>
  <c r="X37" i="24"/>
  <c r="Z37" i="24" s="1"/>
  <c r="L46" i="24"/>
  <c r="N46" i="24" s="1"/>
  <c r="X47" i="24"/>
  <c r="N49" i="24"/>
  <c r="N28" i="27"/>
  <c r="L28" i="27"/>
  <c r="Z36" i="27"/>
  <c r="Z40" i="27"/>
  <c r="V62" i="27"/>
  <c r="N75" i="27"/>
  <c r="Z88" i="27"/>
  <c r="J109" i="30"/>
  <c r="L125" i="30"/>
  <c r="N125" i="30" s="1"/>
  <c r="X289" i="18"/>
  <c r="Z289" i="18" s="1"/>
  <c r="L295" i="18"/>
  <c r="P27" i="21"/>
  <c r="R31" i="21"/>
  <c r="R35" i="21"/>
  <c r="L39" i="21"/>
  <c r="X57" i="21"/>
  <c r="L63" i="21"/>
  <c r="N63" i="21" s="1"/>
  <c r="X69" i="21"/>
  <c r="X77" i="21"/>
  <c r="Z77" i="21" s="1"/>
  <c r="R87" i="21"/>
  <c r="R91" i="21"/>
  <c r="R99" i="21"/>
  <c r="L83" i="24"/>
  <c r="N83" i="24" s="1"/>
  <c r="L24" i="27"/>
  <c r="N24" i="27" s="1"/>
  <c r="Z32" i="27"/>
  <c r="V56" i="27"/>
  <c r="X65" i="27"/>
  <c r="Z65" i="27" s="1"/>
  <c r="T118" i="27"/>
  <c r="Z119" i="27"/>
  <c r="Z27" i="30"/>
  <c r="X27" i="30"/>
  <c r="L238" i="18"/>
  <c r="N238" i="18" s="1"/>
  <c r="L246" i="18"/>
  <c r="X260" i="18"/>
  <c r="L274" i="18"/>
  <c r="N274" i="18" s="1"/>
  <c r="L284" i="18"/>
  <c r="N284" i="18" s="1"/>
  <c r="X290" i="18"/>
  <c r="Z290" i="18" s="1"/>
  <c r="X12" i="21"/>
  <c r="R27" i="21"/>
  <c r="R29" i="21"/>
  <c r="R40" i="21"/>
  <c r="R44" i="21"/>
  <c r="X46" i="21"/>
  <c r="Z46" i="21" s="1"/>
  <c r="L52" i="21"/>
  <c r="N52" i="21" s="1"/>
  <c r="R64" i="21"/>
  <c r="R65" i="21"/>
  <c r="R80" i="21"/>
  <c r="X82" i="21"/>
  <c r="L96" i="21"/>
  <c r="N25" i="24"/>
  <c r="L32" i="24"/>
  <c r="N52" i="24"/>
  <c r="Z109" i="24"/>
  <c r="Z119" i="24"/>
  <c r="L20" i="27"/>
  <c r="N20" i="27" s="1"/>
  <c r="Z28" i="27"/>
  <c r="V44" i="27"/>
  <c r="N85" i="27"/>
  <c r="V108" i="27"/>
  <c r="X119" i="27"/>
  <c r="J165" i="30"/>
  <c r="J161" i="30"/>
  <c r="J141" i="30"/>
  <c r="J117" i="30"/>
  <c r="J107" i="30"/>
  <c r="J97" i="30"/>
  <c r="J93" i="30"/>
  <c r="J164" i="30"/>
  <c r="J152" i="30"/>
  <c r="J148" i="30"/>
  <c r="J118" i="30"/>
  <c r="J108" i="30"/>
  <c r="J84" i="30"/>
  <c r="J80" i="30"/>
  <c r="J76" i="30"/>
  <c r="J72" i="30"/>
  <c r="J68" i="30"/>
  <c r="J64" i="30"/>
  <c r="J60" i="30"/>
  <c r="J169" i="30"/>
  <c r="J163" i="30"/>
  <c r="J153" i="30"/>
  <c r="J135" i="30"/>
  <c r="J127" i="30"/>
  <c r="J119" i="30"/>
  <c r="J154" i="30"/>
  <c r="J142" i="30"/>
  <c r="J136" i="30"/>
  <c r="J128" i="30"/>
  <c r="J110" i="30"/>
  <c r="J98" i="30"/>
  <c r="J94" i="30"/>
  <c r="J56" i="30"/>
  <c r="J155" i="30"/>
  <c r="J149" i="30"/>
  <c r="J143" i="30"/>
  <c r="J137" i="30"/>
  <c r="J129" i="30"/>
  <c r="J111" i="30"/>
  <c r="J85" i="30"/>
  <c r="J81" i="30"/>
  <c r="J77" i="30"/>
  <c r="J73" i="30"/>
  <c r="J69" i="30"/>
  <c r="J65" i="30"/>
  <c r="J61" i="30"/>
  <c r="J57" i="30"/>
  <c r="J156" i="30"/>
  <c r="J144" i="30"/>
  <c r="J130" i="30"/>
  <c r="J145" i="30"/>
  <c r="J139" i="30"/>
  <c r="J133" i="30"/>
  <c r="J123" i="30"/>
  <c r="J105" i="30"/>
  <c r="J101" i="30"/>
  <c r="J91" i="30"/>
  <c r="J146" i="30"/>
  <c r="J140" i="30"/>
  <c r="J124" i="30"/>
  <c r="J96" i="30"/>
  <c r="J92" i="30"/>
  <c r="J90" i="30"/>
  <c r="J150" i="30"/>
  <c r="J138" i="30"/>
  <c r="J134" i="30"/>
  <c r="J120" i="30"/>
  <c r="J104" i="30"/>
  <c r="J99" i="30"/>
  <c r="J95" i="30"/>
  <c r="J82" i="30"/>
  <c r="J75" i="30"/>
  <c r="J59" i="30"/>
  <c r="J112" i="30"/>
  <c r="J115" i="30"/>
  <c r="J159" i="30"/>
  <c r="J157" i="30"/>
  <c r="J102" i="30"/>
  <c r="J71" i="30"/>
  <c r="J62" i="30"/>
  <c r="J121" i="30"/>
  <c r="J113" i="30"/>
  <c r="J100" i="30"/>
  <c r="J78" i="30"/>
  <c r="J126" i="30"/>
  <c r="J116" i="30"/>
  <c r="H88" i="30"/>
  <c r="J67" i="30"/>
  <c r="J160" i="30"/>
  <c r="J147" i="30"/>
  <c r="J131" i="30"/>
  <c r="J83" i="30"/>
  <c r="J74" i="30"/>
  <c r="J58" i="30"/>
  <c r="J151" i="30"/>
  <c r="J114" i="30"/>
  <c r="J63" i="30"/>
  <c r="J125" i="30"/>
  <c r="J86" i="30"/>
  <c r="N33" i="30"/>
  <c r="L33" i="30"/>
  <c r="J106" i="30"/>
  <c r="R25" i="21"/>
  <c r="R30" i="21"/>
  <c r="R53" i="21"/>
  <c r="R73" i="21"/>
  <c r="R97" i="21"/>
  <c r="R98" i="21"/>
  <c r="N45" i="24"/>
  <c r="X111" i="24"/>
  <c r="Z111" i="24" s="1"/>
  <c r="Z121" i="24"/>
  <c r="Z130" i="24"/>
  <c r="L16" i="27"/>
  <c r="N16" i="27" s="1"/>
  <c r="X22" i="27"/>
  <c r="Z24" i="27"/>
  <c r="N41" i="27"/>
  <c r="N64" i="27"/>
  <c r="Z95" i="27"/>
  <c r="V114" i="27"/>
  <c r="V116" i="27"/>
  <c r="Z15" i="30"/>
  <c r="N19" i="30"/>
  <c r="Z42" i="30"/>
  <c r="L122" i="36"/>
  <c r="N122" i="36" s="1"/>
  <c r="D121" i="36"/>
  <c r="F122" i="36"/>
  <c r="R34" i="21"/>
  <c r="R38" i="21"/>
  <c r="R39" i="21"/>
  <c r="R62" i="21"/>
  <c r="R63" i="21"/>
  <c r="R86" i="21"/>
  <c r="R90" i="21"/>
  <c r="H12" i="27"/>
  <c r="V78" i="27"/>
  <c r="L61" i="36"/>
  <c r="N61" i="36" s="1"/>
  <c r="F61" i="36"/>
  <c r="Z59" i="42"/>
  <c r="X59" i="42"/>
  <c r="X15" i="21"/>
  <c r="Z15" i="21" s="1"/>
  <c r="X19" i="21"/>
  <c r="R43" i="21"/>
  <c r="R51" i="21"/>
  <c r="R52" i="21"/>
  <c r="R79" i="21"/>
  <c r="R95" i="21"/>
  <c r="R96" i="21"/>
  <c r="L31" i="24"/>
  <c r="N31" i="24" s="1"/>
  <c r="L38" i="24"/>
  <c r="X39" i="24"/>
  <c r="Z39" i="24" s="1"/>
  <c r="N48" i="24"/>
  <c r="L51" i="24"/>
  <c r="X52" i="24"/>
  <c r="Z52" i="24" s="1"/>
  <c r="Z83" i="24"/>
  <c r="P12" i="27"/>
  <c r="Z16" i="27"/>
  <c r="V52" i="27"/>
  <c r="Z83" i="27"/>
  <c r="X85" i="27"/>
  <c r="Z85" i="27" s="1"/>
  <c r="Z106" i="27"/>
  <c r="Z121" i="27"/>
  <c r="N21" i="30"/>
  <c r="Z24" i="30"/>
  <c r="Z47" i="30"/>
  <c r="X128" i="30"/>
  <c r="Z128" i="30"/>
  <c r="R24" i="21"/>
  <c r="R60" i="21"/>
  <c r="R61" i="21"/>
  <c r="L134" i="24"/>
  <c r="D133" i="24"/>
  <c r="N31" i="27"/>
  <c r="V64" i="27"/>
  <c r="P118" i="27"/>
  <c r="X118" i="27" s="1"/>
  <c r="Z26" i="30"/>
  <c r="Z35" i="30"/>
  <c r="J66" i="30"/>
  <c r="Z20" i="30"/>
  <c r="Z45" i="30"/>
  <c r="Z107" i="30"/>
  <c r="L111" i="30"/>
  <c r="N111" i="30" s="1"/>
  <c r="T163" i="30"/>
  <c r="Z17" i="33"/>
  <c r="N21" i="33"/>
  <c r="Z30" i="33"/>
  <c r="V38" i="33"/>
  <c r="Z88" i="33"/>
  <c r="X88" i="33"/>
  <c r="Z49" i="36"/>
  <c r="Z16" i="39"/>
  <c r="T12" i="39"/>
  <c r="Z26" i="39"/>
  <c r="D118" i="27"/>
  <c r="L118" i="27" s="1"/>
  <c r="N118" i="27" s="1"/>
  <c r="T12" i="30"/>
  <c r="X12" i="30" s="1"/>
  <c r="Z41" i="30"/>
  <c r="Z53" i="30"/>
  <c r="N56" i="30"/>
  <c r="L163" i="30"/>
  <c r="N163" i="30" s="1"/>
  <c r="Z21" i="33"/>
  <c r="N43" i="33"/>
  <c r="V51" i="33"/>
  <c r="N18" i="36"/>
  <c r="N20" i="36"/>
  <c r="N63" i="36"/>
  <c r="N69" i="36"/>
  <c r="N124" i="36"/>
  <c r="L124" i="36"/>
  <c r="X50" i="30"/>
  <c r="Z50" i="30" s="1"/>
  <c r="Z125" i="30"/>
  <c r="P12" i="33"/>
  <c r="X14" i="33"/>
  <c r="Z14" i="33" s="1"/>
  <c r="V40" i="33"/>
  <c r="V58" i="33"/>
  <c r="Z37" i="30"/>
  <c r="Z90" i="30"/>
  <c r="V103" i="33"/>
  <c r="V95" i="33"/>
  <c r="V89" i="33"/>
  <c r="V77" i="33"/>
  <c r="V69" i="33"/>
  <c r="V57" i="33"/>
  <c r="V53" i="33"/>
  <c r="T40" i="33"/>
  <c r="V94" i="33"/>
  <c r="V76" i="33"/>
  <c r="V68" i="33"/>
  <c r="V60" i="33"/>
  <c r="V48" i="33"/>
  <c r="V44" i="33"/>
  <c r="V93" i="33"/>
  <c r="V91" i="33"/>
  <c r="V83" i="33"/>
  <c r="V79" i="33"/>
  <c r="V71" i="33"/>
  <c r="V59" i="33"/>
  <c r="V35" i="33"/>
  <c r="V78" i="33"/>
  <c r="V70" i="33"/>
  <c r="V62" i="33"/>
  <c r="V54" i="33"/>
  <c r="V73" i="33"/>
  <c r="V61" i="33"/>
  <c r="V49" i="33"/>
  <c r="V45" i="33"/>
  <c r="V84" i="33"/>
  <c r="V80" i="33"/>
  <c r="V72" i="33"/>
  <c r="V64" i="33"/>
  <c r="V36" i="33"/>
  <c r="V63" i="33"/>
  <c r="V55" i="33"/>
  <c r="V86" i="33"/>
  <c r="V74" i="33"/>
  <c r="V66" i="33"/>
  <c r="V50" i="33"/>
  <c r="V46" i="33"/>
  <c r="V99" i="33"/>
  <c r="V85" i="33"/>
  <c r="V81" i="33"/>
  <c r="V65" i="33"/>
  <c r="V37" i="33"/>
  <c r="V33" i="33"/>
  <c r="V98" i="33"/>
  <c r="V88" i="33"/>
  <c r="V56" i="33"/>
  <c r="V52" i="33"/>
  <c r="Z43" i="33"/>
  <c r="X43" i="33"/>
  <c r="Z98" i="33"/>
  <c r="X98" i="33"/>
  <c r="L22" i="36"/>
  <c r="N22" i="36" s="1"/>
  <c r="Z65" i="36"/>
  <c r="Z69" i="36"/>
  <c r="N15" i="39"/>
  <c r="N27" i="39"/>
  <c r="X15" i="30"/>
  <c r="X44" i="30"/>
  <c r="X47" i="30"/>
  <c r="N49" i="30"/>
  <c r="L52" i="30"/>
  <c r="N52" i="30" s="1"/>
  <c r="Z111" i="30"/>
  <c r="X111" i="30"/>
  <c r="V34" i="33"/>
  <c r="V43" i="33"/>
  <c r="Z79" i="33"/>
  <c r="V87" i="33"/>
  <c r="Z61" i="36"/>
  <c r="Z63" i="36"/>
  <c r="N78" i="36"/>
  <c r="Z118" i="36"/>
  <c r="N19" i="39"/>
  <c r="Z40" i="30"/>
  <c r="Z143" i="30"/>
  <c r="X143" i="30"/>
  <c r="N155" i="30"/>
  <c r="L157" i="30"/>
  <c r="N157" i="30" s="1"/>
  <c r="V82" i="33"/>
  <c r="L13" i="30"/>
  <c r="X40" i="30"/>
  <c r="L113" i="30"/>
  <c r="N113" i="30" s="1"/>
  <c r="X116" i="30"/>
  <c r="L121" i="30"/>
  <c r="L130" i="30"/>
  <c r="N130" i="30" s="1"/>
  <c r="D12" i="33"/>
  <c r="L13" i="33"/>
  <c r="X16" i="33"/>
  <c r="Z16" i="33" s="1"/>
  <c r="N42" i="33"/>
  <c r="L73" i="33"/>
  <c r="N73" i="33" s="1"/>
  <c r="D93" i="33"/>
  <c r="N97" i="33"/>
  <c r="F41" i="36"/>
  <c r="F53" i="36"/>
  <c r="N55" i="36"/>
  <c r="L72" i="36"/>
  <c r="N72" i="36" s="1"/>
  <c r="X87" i="36"/>
  <c r="Z87" i="36" s="1"/>
  <c r="X21" i="39"/>
  <c r="Z21" i="39" s="1"/>
  <c r="Z69" i="39"/>
  <c r="Z64" i="45"/>
  <c r="X64" i="45"/>
  <c r="Z36" i="30"/>
  <c r="Z49" i="30"/>
  <c r="Z52" i="30"/>
  <c r="X155" i="30"/>
  <c r="Z155" i="30" s="1"/>
  <c r="Z160" i="30"/>
  <c r="H12" i="33"/>
  <c r="N13" i="33"/>
  <c r="Z20" i="33"/>
  <c r="V75" i="33"/>
  <c r="P93" i="33"/>
  <c r="X93" i="33" s="1"/>
  <c r="Z93" i="33" s="1"/>
  <c r="X99" i="33"/>
  <c r="Z99" i="33" s="1"/>
  <c r="Z78" i="36"/>
  <c r="X78" i="36"/>
  <c r="H121" i="36"/>
  <c r="N123" i="36"/>
  <c r="L123" i="36"/>
  <c r="T119" i="42"/>
  <c r="X15" i="27"/>
  <c r="Z15" i="27" s="1"/>
  <c r="X19" i="27"/>
  <c r="Z19" i="27" s="1"/>
  <c r="X23" i="27"/>
  <c r="Z23" i="27" s="1"/>
  <c r="X27" i="27"/>
  <c r="X31" i="27"/>
  <c r="Z31" i="27" s="1"/>
  <c r="X35" i="27"/>
  <c r="Z35" i="27" s="1"/>
  <c r="X39" i="27"/>
  <c r="Z39" i="27" s="1"/>
  <c r="Z116" i="30"/>
  <c r="Z165" i="30"/>
  <c r="X165" i="30"/>
  <c r="V47" i="33"/>
  <c r="X52" i="33"/>
  <c r="Z52" i="33" s="1"/>
  <c r="N62" i="33"/>
  <c r="L62" i="33"/>
  <c r="Z97" i="33"/>
  <c r="X97" i="33"/>
  <c r="P12" i="36"/>
  <c r="X15" i="36"/>
  <c r="Z15" i="36" s="1"/>
  <c r="N51" i="36"/>
  <c r="Z24" i="33"/>
  <c r="V42" i="33"/>
  <c r="V97" i="33"/>
  <c r="T12" i="36"/>
  <c r="X19" i="36"/>
  <c r="Z19" i="36" s="1"/>
  <c r="D126" i="36"/>
  <c r="Z30" i="42"/>
  <c r="X30" i="42"/>
  <c r="H93" i="33"/>
  <c r="F28" i="36"/>
  <c r="F30" i="36"/>
  <c r="F71" i="36"/>
  <c r="F104" i="36"/>
  <c r="F111" i="36"/>
  <c r="Z114" i="36"/>
  <c r="F116" i="36"/>
  <c r="Z18" i="39"/>
  <c r="N37" i="39"/>
  <c r="Z71" i="39"/>
  <c r="L76" i="39"/>
  <c r="N76" i="39" s="1"/>
  <c r="L92" i="39"/>
  <c r="N92" i="39" s="1"/>
  <c r="F31" i="36"/>
  <c r="F32" i="36"/>
  <c r="F36" i="36"/>
  <c r="F40" i="36"/>
  <c r="F51" i="36"/>
  <c r="F52" i="36"/>
  <c r="F59" i="36"/>
  <c r="F60" i="36"/>
  <c r="F97" i="36"/>
  <c r="F101" i="36"/>
  <c r="F110" i="36"/>
  <c r="F121" i="36"/>
  <c r="D12" i="39"/>
  <c r="Z28" i="39"/>
  <c r="F45" i="36"/>
  <c r="R97" i="42"/>
  <c r="R96" i="42"/>
  <c r="R85" i="42"/>
  <c r="R84" i="42"/>
  <c r="R91" i="42"/>
  <c r="R80" i="42"/>
  <c r="R79" i="42"/>
  <c r="R114" i="42"/>
  <c r="R106" i="42"/>
  <c r="R102" i="42"/>
  <c r="R98" i="42"/>
  <c r="R86" i="42"/>
  <c r="R81" i="42"/>
  <c r="R92" i="42"/>
  <c r="R61" i="42"/>
  <c r="R60" i="42"/>
  <c r="R122" i="42"/>
  <c r="R116" i="42"/>
  <c r="R115" i="42"/>
  <c r="R108" i="42"/>
  <c r="R107" i="42"/>
  <c r="R103" i="42"/>
  <c r="R99" i="42"/>
  <c r="R88" i="42"/>
  <c r="R87" i="42"/>
  <c r="R126" i="42"/>
  <c r="R119" i="42"/>
  <c r="R104" i="42"/>
  <c r="R100" i="42"/>
  <c r="R90" i="42"/>
  <c r="R67" i="42"/>
  <c r="R66" i="42"/>
  <c r="R120" i="42"/>
  <c r="R94" i="42"/>
  <c r="R64" i="42"/>
  <c r="R59" i="42"/>
  <c r="R45" i="42"/>
  <c r="R30" i="42"/>
  <c r="R117" i="42"/>
  <c r="R75" i="42"/>
  <c r="R68" i="42"/>
  <c r="R65" i="42"/>
  <c r="R53" i="42"/>
  <c r="R52" i="42"/>
  <c r="R41" i="42"/>
  <c r="R40" i="42"/>
  <c r="R36" i="42"/>
  <c r="R32" i="42"/>
  <c r="P28" i="42"/>
  <c r="R28" i="42" s="1"/>
  <c r="R113" i="42"/>
  <c r="R76" i="42"/>
  <c r="R69" i="42"/>
  <c r="R55" i="42"/>
  <c r="R54" i="42"/>
  <c r="R46" i="42"/>
  <c r="R42" i="42"/>
  <c r="R82" i="42"/>
  <c r="R73" i="42"/>
  <c r="R37" i="42"/>
  <c r="R33" i="42"/>
  <c r="R121" i="42"/>
  <c r="R89" i="42"/>
  <c r="R56" i="42"/>
  <c r="R70" i="42"/>
  <c r="R47" i="42"/>
  <c r="R43" i="42"/>
  <c r="R24" i="42"/>
  <c r="R111" i="42"/>
  <c r="R95" i="42"/>
  <c r="R77" i="42"/>
  <c r="R74" i="42"/>
  <c r="R38" i="42"/>
  <c r="R34" i="42"/>
  <c r="R109" i="42"/>
  <c r="R101" i="42"/>
  <c r="R63" i="42"/>
  <c r="R62" i="42"/>
  <c r="R57" i="42"/>
  <c r="R25" i="42"/>
  <c r="R112" i="42"/>
  <c r="R105" i="42"/>
  <c r="R83" i="42"/>
  <c r="R71" i="42"/>
  <c r="R39" i="42"/>
  <c r="R35" i="42"/>
  <c r="V58" i="48"/>
  <c r="V50" i="48"/>
  <c r="V71" i="48"/>
  <c r="V41" i="48"/>
  <c r="V33" i="48"/>
  <c r="V52" i="48"/>
  <c r="V59" i="48"/>
  <c r="V43" i="48"/>
  <c r="V34" i="48"/>
  <c r="V30" i="48"/>
  <c r="V61" i="48"/>
  <c r="V53" i="48"/>
  <c r="V67" i="48"/>
  <c r="V57" i="48"/>
  <c r="V49" i="48"/>
  <c r="V37" i="48"/>
  <c r="V24" i="48"/>
  <c r="V19" i="48"/>
  <c r="V15" i="48"/>
  <c r="V62" i="48"/>
  <c r="V38" i="48"/>
  <c r="V27" i="48"/>
  <c r="T17" i="48"/>
  <c r="V17" i="48" s="1"/>
  <c r="V60" i="48"/>
  <c r="V51" i="48"/>
  <c r="V48" i="48"/>
  <c r="V42" i="48"/>
  <c r="V31" i="48"/>
  <c r="V21" i="48"/>
  <c r="V66" i="48"/>
  <c r="V63" i="48"/>
  <c r="V25" i="48"/>
  <c r="V56" i="48"/>
  <c r="V28" i="48"/>
  <c r="V22" i="48"/>
  <c r="V36" i="48"/>
  <c r="V32" i="48"/>
  <c r="V46" i="48"/>
  <c r="V39" i="48"/>
  <c r="V35" i="48"/>
  <c r="V54" i="48"/>
  <c r="V23" i="48"/>
  <c r="V64" i="48"/>
  <c r="V47" i="48"/>
  <c r="V44" i="48"/>
  <c r="V55" i="48"/>
  <c r="V26" i="48"/>
  <c r="V40" i="48"/>
  <c r="V45" i="48"/>
  <c r="D69" i="48"/>
  <c r="J94" i="51"/>
  <c r="J84" i="51"/>
  <c r="J70" i="51"/>
  <c r="H57" i="51"/>
  <c r="J52" i="51"/>
  <c r="J48" i="51"/>
  <c r="J44" i="51"/>
  <c r="J40" i="51"/>
  <c r="J99" i="51"/>
  <c r="J95" i="51"/>
  <c r="J85" i="51"/>
  <c r="J75" i="51"/>
  <c r="J71" i="51"/>
  <c r="J100" i="51"/>
  <c r="J86" i="51"/>
  <c r="J76" i="51"/>
  <c r="J66" i="51"/>
  <c r="J62" i="51"/>
  <c r="J101" i="51"/>
  <c r="J87" i="51"/>
  <c r="J77" i="51"/>
  <c r="J53" i="51"/>
  <c r="J49" i="51"/>
  <c r="J45" i="51"/>
  <c r="J41" i="51"/>
  <c r="J102" i="51"/>
  <c r="J96" i="51"/>
  <c r="J88" i="51"/>
  <c r="J78" i="51"/>
  <c r="J72" i="51"/>
  <c r="J111" i="51"/>
  <c r="J103" i="51"/>
  <c r="J89" i="51"/>
  <c r="J79" i="51"/>
  <c r="J67" i="51"/>
  <c r="J63" i="51"/>
  <c r="J110" i="51"/>
  <c r="J104" i="51"/>
  <c r="J90" i="51"/>
  <c r="J80" i="51"/>
  <c r="J115" i="51"/>
  <c r="J109" i="51"/>
  <c r="J105" i="51"/>
  <c r="J97" i="51"/>
  <c r="J108" i="51"/>
  <c r="J82" i="51"/>
  <c r="J68" i="51"/>
  <c r="J64" i="51"/>
  <c r="J107" i="51"/>
  <c r="J91" i="51"/>
  <c r="J83" i="51"/>
  <c r="J55" i="51"/>
  <c r="J51" i="51"/>
  <c r="J47" i="51"/>
  <c r="J43" i="51"/>
  <c r="J42" i="51"/>
  <c r="J60" i="51"/>
  <c r="J46" i="51"/>
  <c r="J65" i="51"/>
  <c r="J57" i="51"/>
  <c r="J54" i="51"/>
  <c r="J50" i="51"/>
  <c r="J98" i="51"/>
  <c r="J74" i="51"/>
  <c r="J39" i="51"/>
  <c r="J93" i="51"/>
  <c r="J69" i="51"/>
  <c r="J61" i="51"/>
  <c r="J92" i="51"/>
  <c r="F93" i="36"/>
  <c r="F81" i="36"/>
  <c r="F80" i="36"/>
  <c r="F128" i="36"/>
  <c r="F123" i="36"/>
  <c r="F106" i="36"/>
  <c r="F102" i="36"/>
  <c r="F26" i="36"/>
  <c r="F49" i="36"/>
  <c r="F50" i="36"/>
  <c r="F58" i="36"/>
  <c r="F69" i="36"/>
  <c r="F70" i="36"/>
  <c r="F79" i="36"/>
  <c r="F84" i="36"/>
  <c r="F88" i="36"/>
  <c r="Z20" i="39"/>
  <c r="N22" i="39"/>
  <c r="L27" i="39"/>
  <c r="R110" i="42"/>
  <c r="Z47" i="48"/>
  <c r="X47" i="48"/>
  <c r="L69" i="33"/>
  <c r="L77" i="33"/>
  <c r="N77" i="33" s="1"/>
  <c r="L95" i="33"/>
  <c r="L31" i="36"/>
  <c r="N31" i="36" s="1"/>
  <c r="F35" i="36"/>
  <c r="F39" i="36"/>
  <c r="L51" i="36"/>
  <c r="L59" i="36"/>
  <c r="X65" i="36"/>
  <c r="F78" i="36"/>
  <c r="F87" i="36"/>
  <c r="X90" i="36"/>
  <c r="Z90" i="36" s="1"/>
  <c r="F92" i="36"/>
  <c r="F95" i="36"/>
  <c r="F103" i="36"/>
  <c r="F109" i="36"/>
  <c r="L110" i="36"/>
  <c r="N110" i="36" s="1"/>
  <c r="F115" i="36"/>
  <c r="F119" i="36"/>
  <c r="P12" i="39"/>
  <c r="X25" i="39"/>
  <c r="Z25" i="39" s="1"/>
  <c r="N36" i="39"/>
  <c r="Z126" i="39"/>
  <c r="Z129" i="39"/>
  <c r="R26" i="42"/>
  <c r="R48" i="42"/>
  <c r="R50" i="42"/>
  <c r="R58" i="42"/>
  <c r="N80" i="42"/>
  <c r="L58" i="33"/>
  <c r="N58" i="33" s="1"/>
  <c r="X64" i="33"/>
  <c r="Z64" i="33" s="1"/>
  <c r="L90" i="33"/>
  <c r="L96" i="33"/>
  <c r="F44" i="36"/>
  <c r="F48" i="36"/>
  <c r="F67" i="36"/>
  <c r="F68" i="36"/>
  <c r="X74" i="36"/>
  <c r="Z74" i="36" s="1"/>
  <c r="F100" i="36"/>
  <c r="L114" i="36"/>
  <c r="N114" i="36" s="1"/>
  <c r="F118" i="36"/>
  <c r="P121" i="36"/>
  <c r="X121" i="36" s="1"/>
  <c r="N14" i="39"/>
  <c r="Z22" i="39"/>
  <c r="N119" i="39"/>
  <c r="D12" i="42"/>
  <c r="L24" i="42"/>
  <c r="N24" i="42" s="1"/>
  <c r="R31" i="42"/>
  <c r="N41" i="42"/>
  <c r="R78" i="42"/>
  <c r="X13" i="36"/>
  <c r="Z13" i="36" s="1"/>
  <c r="F24" i="36"/>
  <c r="F25" i="36"/>
  <c r="F57" i="36"/>
  <c r="F76" i="36"/>
  <c r="F77" i="36"/>
  <c r="F99" i="36"/>
  <c r="F114" i="36"/>
  <c r="Z61" i="39"/>
  <c r="N104" i="39"/>
  <c r="H12" i="42"/>
  <c r="N17" i="42"/>
  <c r="N21" i="42"/>
  <c r="X119" i="42"/>
  <c r="F34" i="36"/>
  <c r="F38" i="36"/>
  <c r="F65" i="36"/>
  <c r="F66" i="36"/>
  <c r="F83" i="36"/>
  <c r="F86" i="36"/>
  <c r="F91" i="36"/>
  <c r="Z121" i="36"/>
  <c r="F126" i="36"/>
  <c r="F43" i="36"/>
  <c r="F47" i="36"/>
  <c r="F74" i="36"/>
  <c r="F75" i="36"/>
  <c r="F82" i="36"/>
  <c r="F90" i="36"/>
  <c r="F94" i="36"/>
  <c r="F105" i="36"/>
  <c r="F108" i="36"/>
  <c r="F117" i="36"/>
  <c r="L118" i="36"/>
  <c r="N118" i="36" s="1"/>
  <c r="Z24" i="39"/>
  <c r="N26" i="39"/>
  <c r="Z30" i="39"/>
  <c r="N126" i="39"/>
  <c r="Z128" i="39"/>
  <c r="Z19" i="42"/>
  <c r="N51" i="42"/>
  <c r="Z63" i="42"/>
  <c r="R93" i="42"/>
  <c r="V29" i="48"/>
  <c r="F55" i="36"/>
  <c r="F56" i="36"/>
  <c r="F63" i="36"/>
  <c r="F64" i="36"/>
  <c r="F98" i="36"/>
  <c r="F113" i="36"/>
  <c r="F124" i="36"/>
  <c r="N47" i="39"/>
  <c r="N57" i="39"/>
  <c r="N85" i="39"/>
  <c r="Z123" i="39"/>
  <c r="N30" i="42"/>
  <c r="R44" i="42"/>
  <c r="R72" i="42"/>
  <c r="H12" i="39"/>
  <c r="T12" i="42"/>
  <c r="Z72" i="42"/>
  <c r="N85" i="42"/>
  <c r="Z110" i="42"/>
  <c r="X25" i="45"/>
  <c r="X36" i="45"/>
  <c r="Z36" i="45" s="1"/>
  <c r="Z46" i="45"/>
  <c r="Z70" i="51"/>
  <c r="L69" i="42"/>
  <c r="N69" i="42" s="1"/>
  <c r="X74" i="42"/>
  <c r="Z74" i="42" s="1"/>
  <c r="X13" i="45"/>
  <c r="Z25" i="45"/>
  <c r="L56" i="45"/>
  <c r="N58" i="45"/>
  <c r="X62" i="45"/>
  <c r="V86" i="45"/>
  <c r="V70" i="45"/>
  <c r="V54" i="45"/>
  <c r="V42" i="45"/>
  <c r="V38" i="45"/>
  <c r="V89" i="45"/>
  <c r="V81" i="45"/>
  <c r="V77" i="45"/>
  <c r="V65" i="45"/>
  <c r="V53" i="45"/>
  <c r="V33" i="45"/>
  <c r="V29" i="45"/>
  <c r="V88" i="45"/>
  <c r="V56" i="45"/>
  <c r="V44" i="45"/>
  <c r="V20" i="45"/>
  <c r="V71" i="45"/>
  <c r="V55" i="45"/>
  <c r="V43" i="45"/>
  <c r="V39" i="45"/>
  <c r="V92" i="45"/>
  <c r="V90" i="45"/>
  <c r="V82" i="45"/>
  <c r="V78" i="45"/>
  <c r="V66" i="45"/>
  <c r="V58" i="45"/>
  <c r="V46" i="45"/>
  <c r="V34" i="45"/>
  <c r="V30" i="45"/>
  <c r="V26" i="45"/>
  <c r="V73" i="45"/>
  <c r="V57" i="45"/>
  <c r="V45" i="45"/>
  <c r="V25" i="45"/>
  <c r="V23" i="45"/>
  <c r="V21" i="45"/>
  <c r="V72" i="45"/>
  <c r="V68" i="45"/>
  <c r="V60" i="45"/>
  <c r="V48" i="45"/>
  <c r="V40" i="45"/>
  <c r="V36" i="45"/>
  <c r="V83" i="45"/>
  <c r="V79" i="45"/>
  <c r="V75" i="45"/>
  <c r="V67" i="45"/>
  <c r="V59" i="45"/>
  <c r="V47" i="45"/>
  <c r="V96" i="45"/>
  <c r="V74" i="45"/>
  <c r="V62" i="45"/>
  <c r="V50" i="45"/>
  <c r="V84" i="45"/>
  <c r="V80" i="45"/>
  <c r="V76" i="45"/>
  <c r="V64" i="45"/>
  <c r="V52" i="45"/>
  <c r="V32" i="45"/>
  <c r="V28" i="45"/>
  <c r="V49" i="45"/>
  <c r="N56" i="45"/>
  <c r="Z62" i="45"/>
  <c r="V69" i="45"/>
  <c r="F62" i="48"/>
  <c r="F61" i="48"/>
  <c r="F54" i="48"/>
  <c r="F46" i="48"/>
  <c r="F45" i="48"/>
  <c r="F26" i="48"/>
  <c r="F64" i="48"/>
  <c r="F63" i="48"/>
  <c r="F56" i="48"/>
  <c r="F55" i="48"/>
  <c r="F48" i="48"/>
  <c r="F47" i="48"/>
  <c r="F32" i="48"/>
  <c r="F39" i="48"/>
  <c r="F38" i="48"/>
  <c r="F67" i="48"/>
  <c r="F58" i="48"/>
  <c r="F57" i="48"/>
  <c r="F50" i="48"/>
  <c r="F34" i="48"/>
  <c r="F71" i="48"/>
  <c r="F59" i="48"/>
  <c r="L12" i="48"/>
  <c r="N12" i="48" s="1"/>
  <c r="F29" i="48"/>
  <c r="F23" i="48"/>
  <c r="F36" i="48"/>
  <c r="F33" i="48"/>
  <c r="F44" i="48"/>
  <c r="F40" i="48"/>
  <c r="F37" i="48"/>
  <c r="F53" i="48"/>
  <c r="F30" i="48"/>
  <c r="F27" i="48"/>
  <c r="F24" i="48"/>
  <c r="F66" i="48"/>
  <c r="F51" i="48"/>
  <c r="F41" i="48"/>
  <c r="F60" i="48"/>
  <c r="F31" i="48"/>
  <c r="F21" i="48"/>
  <c r="F20" i="48"/>
  <c r="F25" i="48"/>
  <c r="F19" i="48"/>
  <c r="F17" i="48"/>
  <c r="F15" i="48"/>
  <c r="F43" i="48"/>
  <c r="F28" i="48"/>
  <c r="F22" i="48"/>
  <c r="X12" i="54"/>
  <c r="R24" i="54"/>
  <c r="R14" i="54"/>
  <c r="R31" i="54"/>
  <c r="R16" i="54"/>
  <c r="P16" i="54"/>
  <c r="R18" i="54"/>
  <c r="R26" i="54"/>
  <c r="R20" i="54"/>
  <c r="R28" i="54"/>
  <c r="R22" i="54"/>
  <c r="R29" i="54"/>
  <c r="X15" i="42"/>
  <c r="Z15" i="42" s="1"/>
  <c r="X19" i="42"/>
  <c r="Z13" i="45"/>
  <c r="Z60" i="45"/>
  <c r="N19" i="48"/>
  <c r="X97" i="42"/>
  <c r="Z97" i="42" s="1"/>
  <c r="N26" i="45"/>
  <c r="V37" i="45"/>
  <c r="V87" i="45"/>
  <c r="R66" i="48"/>
  <c r="R58" i="48"/>
  <c r="R51" i="48"/>
  <c r="R50" i="48"/>
  <c r="R71" i="48"/>
  <c r="R52" i="48"/>
  <c r="R59" i="48"/>
  <c r="R43" i="48"/>
  <c r="R63" i="48"/>
  <c r="R62" i="48"/>
  <c r="R55" i="48"/>
  <c r="R54" i="48"/>
  <c r="R47" i="48"/>
  <c r="R46" i="48"/>
  <c r="R26" i="48"/>
  <c r="R37" i="48"/>
  <c r="R53" i="48"/>
  <c r="R45" i="48"/>
  <c r="R24" i="48"/>
  <c r="R20" i="48"/>
  <c r="R41" i="48"/>
  <c r="R27" i="48"/>
  <c r="R19" i="48"/>
  <c r="R15" i="48"/>
  <c r="R60" i="48"/>
  <c r="R48" i="48"/>
  <c r="R38" i="48"/>
  <c r="R34" i="48"/>
  <c r="R31" i="48"/>
  <c r="R21" i="48"/>
  <c r="P17" i="48"/>
  <c r="R42" i="48"/>
  <c r="R49" i="48"/>
  <c r="R25" i="48"/>
  <c r="R61" i="48"/>
  <c r="R56" i="48"/>
  <c r="R28" i="48"/>
  <c r="R22" i="48"/>
  <c r="R32" i="48"/>
  <c r="R39" i="48"/>
  <c r="R36" i="48"/>
  <c r="R35" i="48"/>
  <c r="X12" i="48"/>
  <c r="Z12" i="48" s="1"/>
  <c r="R57" i="48"/>
  <c r="R33" i="48"/>
  <c r="R29" i="48"/>
  <c r="R67" i="48"/>
  <c r="N28" i="51"/>
  <c r="X115" i="39"/>
  <c r="Z115" i="39" s="1"/>
  <c r="X123" i="39"/>
  <c r="L13" i="42"/>
  <c r="H119" i="42"/>
  <c r="L119" i="42" s="1"/>
  <c r="Z121" i="42"/>
  <c r="D12" i="45"/>
  <c r="L14" i="45"/>
  <c r="L26" i="45"/>
  <c r="V35" i="45"/>
  <c r="N52" i="45"/>
  <c r="V63" i="45"/>
  <c r="L92" i="45"/>
  <c r="R30" i="48"/>
  <c r="F35" i="48"/>
  <c r="R44" i="48"/>
  <c r="Z66" i="48"/>
  <c r="N13" i="42"/>
  <c r="P12" i="45"/>
  <c r="H12" i="45"/>
  <c r="N14" i="45"/>
  <c r="T23" i="45"/>
  <c r="Z54" i="45"/>
  <c r="V85" i="45"/>
  <c r="X42" i="56"/>
  <c r="Z42" i="56" s="1"/>
  <c r="N48" i="45"/>
  <c r="Z52" i="45"/>
  <c r="V61" i="45"/>
  <c r="N68" i="45"/>
  <c r="X57" i="48"/>
  <c r="Z57" i="48" s="1"/>
  <c r="R64" i="48"/>
  <c r="N31" i="55"/>
  <c r="L31" i="55"/>
  <c r="X94" i="42"/>
  <c r="Z94" i="42" s="1"/>
  <c r="X120" i="42"/>
  <c r="Z120" i="42" s="1"/>
  <c r="F49" i="48"/>
  <c r="Z65" i="42"/>
  <c r="L74" i="42"/>
  <c r="N74" i="42" s="1"/>
  <c r="N19" i="45"/>
  <c r="V31" i="45"/>
  <c r="N36" i="45"/>
  <c r="V41" i="45"/>
  <c r="N44" i="45"/>
  <c r="L46" i="45"/>
  <c r="N46" i="45" s="1"/>
  <c r="Z50" i="45"/>
  <c r="N20" i="48"/>
  <c r="L120" i="42"/>
  <c r="N120" i="42" s="1"/>
  <c r="J32" i="48"/>
  <c r="J35" i="48"/>
  <c r="J52" i="48"/>
  <c r="N61" i="48"/>
  <c r="X66" i="48"/>
  <c r="Z15" i="51"/>
  <c r="Z17" i="51"/>
  <c r="L28" i="51"/>
  <c r="Z31" i="51"/>
  <c r="Z33" i="51"/>
  <c r="X70" i="51"/>
  <c r="N59" i="58"/>
  <c r="N48" i="59"/>
  <c r="N18" i="60"/>
  <c r="N49" i="48"/>
  <c r="D12" i="51"/>
  <c r="V77" i="51"/>
  <c r="N40" i="59"/>
  <c r="L40" i="59"/>
  <c r="V73" i="62"/>
  <c r="V65" i="62"/>
  <c r="V53" i="62"/>
  <c r="V37" i="62"/>
  <c r="V33" i="62"/>
  <c r="T16" i="62"/>
  <c r="V92" i="62"/>
  <c r="V84" i="62"/>
  <c r="V80" i="62"/>
  <c r="V72" i="62"/>
  <c r="V68" i="62"/>
  <c r="V56" i="62"/>
  <c r="V40" i="62"/>
  <c r="V28" i="62"/>
  <c r="V24" i="62"/>
  <c r="V20" i="62"/>
  <c r="V79" i="62"/>
  <c r="V67" i="62"/>
  <c r="V55" i="62"/>
  <c r="V47" i="62"/>
  <c r="V39" i="62"/>
  <c r="V74" i="62"/>
  <c r="V58" i="62"/>
  <c r="V34" i="62"/>
  <c r="V30" i="62"/>
  <c r="V93" i="62"/>
  <c r="V85" i="62"/>
  <c r="V81" i="62"/>
  <c r="V69" i="62"/>
  <c r="V57" i="62"/>
  <c r="V49" i="62"/>
  <c r="V41" i="62"/>
  <c r="V29" i="62"/>
  <c r="V25" i="62"/>
  <c r="V21" i="62"/>
  <c r="V60" i="62"/>
  <c r="V48" i="62"/>
  <c r="V103" i="62"/>
  <c r="V101" i="62"/>
  <c r="V95" i="62"/>
  <c r="V87" i="62"/>
  <c r="V75" i="62"/>
  <c r="V59" i="62"/>
  <c r="V100" i="62"/>
  <c r="V94" i="62"/>
  <c r="V86" i="62"/>
  <c r="V82" i="62"/>
  <c r="V70" i="62"/>
  <c r="V62" i="62"/>
  <c r="V99" i="62"/>
  <c r="V89" i="62"/>
  <c r="V77" i="62"/>
  <c r="V61" i="62"/>
  <c r="V45" i="62"/>
  <c r="V110" i="62"/>
  <c r="V107" i="62"/>
  <c r="V105" i="62"/>
  <c r="V91" i="62"/>
  <c r="V83" i="62"/>
  <c r="V71" i="62"/>
  <c r="V63" i="62"/>
  <c r="V51" i="62"/>
  <c r="V27" i="62"/>
  <c r="V23" i="62"/>
  <c r="V19" i="62"/>
  <c r="V98" i="62"/>
  <c r="V38" i="62"/>
  <c r="V88" i="62"/>
  <c r="V36" i="62"/>
  <c r="V43" i="62"/>
  <c r="V31" i="62"/>
  <c r="V18" i="62"/>
  <c r="V90" i="62"/>
  <c r="V14" i="62"/>
  <c r="V96" i="62"/>
  <c r="V54" i="62"/>
  <c r="V35" i="62"/>
  <c r="V66" i="62"/>
  <c r="V52" i="62"/>
  <c r="V64" i="62"/>
  <c r="V50" i="62"/>
  <c r="V76" i="62"/>
  <c r="V44" i="62"/>
  <c r="V42" i="62"/>
  <c r="V22" i="62"/>
  <c r="V16" i="62"/>
  <c r="Z12" i="62"/>
  <c r="V78" i="62"/>
  <c r="V46" i="62"/>
  <c r="V32" i="62"/>
  <c r="V26" i="62"/>
  <c r="H17" i="48"/>
  <c r="L17" i="48" s="1"/>
  <c r="L16" i="51"/>
  <c r="Z19" i="51"/>
  <c r="L32" i="51"/>
  <c r="Z35" i="51"/>
  <c r="V49" i="51"/>
  <c r="V53" i="51"/>
  <c r="V61" i="51"/>
  <c r="N27" i="55"/>
  <c r="L27" i="55"/>
  <c r="N57" i="58"/>
  <c r="L57" i="58"/>
  <c r="J15" i="48"/>
  <c r="J19" i="48"/>
  <c r="V110" i="51"/>
  <c r="V104" i="51"/>
  <c r="V96" i="51"/>
  <c r="V88" i="51"/>
  <c r="V80" i="51"/>
  <c r="V72" i="51"/>
  <c r="V109" i="51"/>
  <c r="V103" i="51"/>
  <c r="V79" i="51"/>
  <c r="V67" i="51"/>
  <c r="V63" i="51"/>
  <c r="V108" i="51"/>
  <c r="V90" i="51"/>
  <c r="V82" i="51"/>
  <c r="V54" i="51"/>
  <c r="V50" i="51"/>
  <c r="V46" i="51"/>
  <c r="V42" i="51"/>
  <c r="V115" i="51"/>
  <c r="V107" i="51"/>
  <c r="V105" i="51"/>
  <c r="V97" i="51"/>
  <c r="V81" i="51"/>
  <c r="V73" i="51"/>
  <c r="V92" i="51"/>
  <c r="V68" i="51"/>
  <c r="V64" i="51"/>
  <c r="V60" i="51"/>
  <c r="V91" i="51"/>
  <c r="V83" i="51"/>
  <c r="V59" i="51"/>
  <c r="V55" i="51"/>
  <c r="V51" i="51"/>
  <c r="V47" i="51"/>
  <c r="V43" i="51"/>
  <c r="V39" i="51"/>
  <c r="V98" i="51"/>
  <c r="V94" i="51"/>
  <c r="V74" i="51"/>
  <c r="V70" i="51"/>
  <c r="V93" i="51"/>
  <c r="V100" i="51"/>
  <c r="V84" i="51"/>
  <c r="V76" i="51"/>
  <c r="V52" i="51"/>
  <c r="V48" i="51"/>
  <c r="V44" i="51"/>
  <c r="V40" i="51"/>
  <c r="V99" i="51"/>
  <c r="V95" i="51"/>
  <c r="V87" i="51"/>
  <c r="V75" i="51"/>
  <c r="V71" i="51"/>
  <c r="N16" i="51"/>
  <c r="V66" i="51"/>
  <c r="V111" i="51"/>
  <c r="J20" i="48"/>
  <c r="X36" i="48"/>
  <c r="Z36" i="48" s="1"/>
  <c r="N51" i="48"/>
  <c r="Z61" i="48"/>
  <c r="Z63" i="48"/>
  <c r="N66" i="48"/>
  <c r="V45" i="51"/>
  <c r="Z59" i="51"/>
  <c r="V69" i="51"/>
  <c r="N80" i="51"/>
  <c r="N102" i="51"/>
  <c r="D107" i="51"/>
  <c r="L107" i="51" s="1"/>
  <c r="N107" i="51" s="1"/>
  <c r="L108" i="51"/>
  <c r="N108" i="51" s="1"/>
  <c r="D33" i="55"/>
  <c r="J24" i="48"/>
  <c r="J27" i="48"/>
  <c r="L40" i="48"/>
  <c r="J45" i="48"/>
  <c r="Z16" i="51"/>
  <c r="Z25" i="51"/>
  <c r="Z32" i="51"/>
  <c r="V41" i="51"/>
  <c r="N78" i="51"/>
  <c r="Z87" i="51"/>
  <c r="V89" i="51"/>
  <c r="N110" i="51"/>
  <c r="L13" i="48"/>
  <c r="N13" i="48" s="1"/>
  <c r="Z51" i="48"/>
  <c r="N20" i="51"/>
  <c r="X23" i="51"/>
  <c r="Z23" i="51" s="1"/>
  <c r="N76" i="51"/>
  <c r="X102" i="51"/>
  <c r="Z102" i="51" s="1"/>
  <c r="N14" i="55"/>
  <c r="H16" i="55"/>
  <c r="Z19" i="55"/>
  <c r="J30" i="48"/>
  <c r="X45" i="48"/>
  <c r="Z45" i="48" s="1"/>
  <c r="P12" i="51"/>
  <c r="X13" i="51"/>
  <c r="X39" i="51"/>
  <c r="N60" i="51"/>
  <c r="L60" i="51"/>
  <c r="X78" i="51"/>
  <c r="Z78" i="51" s="1"/>
  <c r="V86" i="51"/>
  <c r="V102" i="51"/>
  <c r="J62" i="48"/>
  <c r="J54" i="48"/>
  <c r="J46" i="48"/>
  <c r="J63" i="48"/>
  <c r="J55" i="48"/>
  <c r="J47" i="48"/>
  <c r="J37" i="48"/>
  <c r="J64" i="48"/>
  <c r="J56" i="48"/>
  <c r="J67" i="48"/>
  <c r="J57" i="48"/>
  <c r="J49" i="48"/>
  <c r="J39" i="48"/>
  <c r="J66" i="48"/>
  <c r="J58" i="48"/>
  <c r="J50" i="48"/>
  <c r="J40" i="48"/>
  <c r="J71" i="48"/>
  <c r="J51" i="48"/>
  <c r="J53" i="48"/>
  <c r="J29" i="48"/>
  <c r="J25" i="48"/>
  <c r="J33" i="48"/>
  <c r="N47" i="48"/>
  <c r="Z20" i="51"/>
  <c r="L24" i="51"/>
  <c r="Z27" i="51"/>
  <c r="Z29" i="51"/>
  <c r="Z36" i="51"/>
  <c r="V62" i="51"/>
  <c r="V78" i="51"/>
  <c r="Z82" i="51"/>
  <c r="N23" i="55"/>
  <c r="N34" i="56"/>
  <c r="L34" i="56"/>
  <c r="P12" i="64"/>
  <c r="X22" i="64"/>
  <c r="Z22" i="64" s="1"/>
  <c r="Z55" i="48"/>
  <c r="Z39" i="51"/>
  <c r="T57" i="51"/>
  <c r="V65" i="51"/>
  <c r="N92" i="51"/>
  <c r="L92" i="51"/>
  <c r="D16" i="54"/>
  <c r="X20" i="54"/>
  <c r="V22" i="54"/>
  <c r="V29" i="54"/>
  <c r="Z21" i="55"/>
  <c r="F53" i="56"/>
  <c r="F37" i="56"/>
  <c r="F36" i="56"/>
  <c r="F29" i="56"/>
  <c r="F28" i="56"/>
  <c r="F60" i="56"/>
  <c r="F48" i="56"/>
  <c r="F24" i="56"/>
  <c r="F20" i="56"/>
  <c r="F19" i="56"/>
  <c r="F77" i="56"/>
  <c r="F74" i="56"/>
  <c r="F55" i="56"/>
  <c r="F54" i="56"/>
  <c r="F39" i="56"/>
  <c r="F38" i="56"/>
  <c r="F18" i="56"/>
  <c r="F16" i="56"/>
  <c r="F14" i="56"/>
  <c r="F62" i="56"/>
  <c r="F61" i="56"/>
  <c r="F30" i="56"/>
  <c r="D16" i="56"/>
  <c r="F57" i="56"/>
  <c r="F56" i="56"/>
  <c r="F49" i="56"/>
  <c r="F41" i="56"/>
  <c r="F40" i="56"/>
  <c r="F25" i="56"/>
  <c r="F21" i="56"/>
  <c r="F64" i="56"/>
  <c r="F63" i="56"/>
  <c r="F70" i="56"/>
  <c r="F68" i="56"/>
  <c r="F59" i="56"/>
  <c r="F47" i="56"/>
  <c r="F46" i="56"/>
  <c r="F35" i="56"/>
  <c r="F34" i="56"/>
  <c r="F27" i="56"/>
  <c r="F23" i="56"/>
  <c r="Z19" i="56"/>
  <c r="F31" i="56"/>
  <c r="Z32" i="56"/>
  <c r="V53" i="56"/>
  <c r="F66" i="56"/>
  <c r="L39" i="57"/>
  <c r="Z54" i="57"/>
  <c r="N38" i="59"/>
  <c r="N42" i="59"/>
  <c r="D51" i="61"/>
  <c r="L16" i="61"/>
  <c r="Z12" i="54"/>
  <c r="V28" i="54"/>
  <c r="L18" i="55"/>
  <c r="N18" i="55" s="1"/>
  <c r="X21" i="55"/>
  <c r="F50" i="56"/>
  <c r="H70" i="56"/>
  <c r="R64" i="57"/>
  <c r="R63" i="57"/>
  <c r="R56" i="57"/>
  <c r="R55" i="57"/>
  <c r="R48" i="57"/>
  <c r="R47" i="57"/>
  <c r="R39" i="57"/>
  <c r="R38" i="57"/>
  <c r="R30" i="57"/>
  <c r="R65" i="57"/>
  <c r="R57" i="57"/>
  <c r="R49" i="57"/>
  <c r="R25" i="57"/>
  <c r="R21" i="57"/>
  <c r="R69" i="57"/>
  <c r="R67" i="57"/>
  <c r="R41" i="57"/>
  <c r="R40" i="57"/>
  <c r="R31" i="57"/>
  <c r="R58" i="57"/>
  <c r="R50" i="57"/>
  <c r="R42" i="57"/>
  <c r="R26" i="57"/>
  <c r="R22" i="57"/>
  <c r="R71" i="57"/>
  <c r="R76" i="57"/>
  <c r="R73" i="57"/>
  <c r="R60" i="57"/>
  <c r="R59" i="57"/>
  <c r="R52" i="57"/>
  <c r="R51" i="57"/>
  <c r="R44" i="57"/>
  <c r="R43" i="57"/>
  <c r="R28" i="57"/>
  <c r="R27" i="57"/>
  <c r="R23" i="57"/>
  <c r="R62" i="57"/>
  <c r="R61" i="57"/>
  <c r="R54" i="57"/>
  <c r="R53" i="57"/>
  <c r="R46" i="57"/>
  <c r="R45" i="57"/>
  <c r="R29" i="57"/>
  <c r="R18" i="57"/>
  <c r="R16" i="57"/>
  <c r="R14" i="57"/>
  <c r="P16" i="57"/>
  <c r="R20" i="57"/>
  <c r="R24" i="57"/>
  <c r="N28" i="57"/>
  <c r="Z33" i="57"/>
  <c r="R35" i="57"/>
  <c r="N44" i="57"/>
  <c r="Z56" i="57"/>
  <c r="X60" i="57"/>
  <c r="J65" i="58"/>
  <c r="J59" i="58"/>
  <c r="J41" i="58"/>
  <c r="J33" i="58"/>
  <c r="J19" i="58"/>
  <c r="J66" i="58"/>
  <c r="J60" i="58"/>
  <c r="J52" i="58"/>
  <c r="J42" i="58"/>
  <c r="J28" i="58"/>
  <c r="J24" i="58"/>
  <c r="J20" i="58"/>
  <c r="J18" i="58"/>
  <c r="J16" i="58"/>
  <c r="J14" i="58"/>
  <c r="J67" i="58"/>
  <c r="J43" i="58"/>
  <c r="H16" i="58"/>
  <c r="J68" i="58"/>
  <c r="J44" i="58"/>
  <c r="J34" i="58"/>
  <c r="J69" i="58"/>
  <c r="J61" i="58"/>
  <c r="J53" i="58"/>
  <c r="J45" i="58"/>
  <c r="J29" i="58"/>
  <c r="J25" i="58"/>
  <c r="J21" i="58"/>
  <c r="J54" i="58"/>
  <c r="J46" i="58"/>
  <c r="J30" i="58"/>
  <c r="J73" i="58"/>
  <c r="J71" i="58"/>
  <c r="J55" i="58"/>
  <c r="J47" i="58"/>
  <c r="J35" i="58"/>
  <c r="J31" i="58"/>
  <c r="J62" i="58"/>
  <c r="J48" i="58"/>
  <c r="J36" i="58"/>
  <c r="J26" i="58"/>
  <c r="J22" i="58"/>
  <c r="J75" i="58"/>
  <c r="J49" i="58"/>
  <c r="J37" i="58"/>
  <c r="J80" i="58"/>
  <c r="J77" i="58"/>
  <c r="J63" i="58"/>
  <c r="J57" i="58"/>
  <c r="J51" i="58"/>
  <c r="J39" i="58"/>
  <c r="J27" i="58"/>
  <c r="J23" i="58"/>
  <c r="N30" i="58"/>
  <c r="J38" i="58"/>
  <c r="Z59" i="58"/>
  <c r="J64" i="58"/>
  <c r="H61" i="59"/>
  <c r="N16" i="59"/>
  <c r="Z50" i="59"/>
  <c r="Z28" i="60"/>
  <c r="N32" i="60"/>
  <c r="F116" i="64"/>
  <c r="F115" i="64"/>
  <c r="F92" i="64"/>
  <c r="F91" i="64"/>
  <c r="F72" i="64"/>
  <c r="F68" i="64"/>
  <c r="F64" i="64"/>
  <c r="F60" i="64"/>
  <c r="F56" i="64"/>
  <c r="F52" i="64"/>
  <c r="F51" i="64"/>
  <c r="F121" i="64"/>
  <c r="F119" i="64"/>
  <c r="F110" i="64"/>
  <c r="F123" i="64"/>
  <c r="F118" i="64"/>
  <c r="F104" i="64"/>
  <c r="F96" i="64"/>
  <c r="F95" i="64"/>
  <c r="F88" i="64"/>
  <c r="F111" i="64"/>
  <c r="F83" i="64"/>
  <c r="F79" i="64"/>
  <c r="F114" i="64"/>
  <c r="F113" i="64"/>
  <c r="F90" i="64"/>
  <c r="F102" i="64"/>
  <c r="F98" i="64"/>
  <c r="F58" i="64"/>
  <c r="F86" i="64"/>
  <c r="F67" i="64"/>
  <c r="F61" i="64"/>
  <c r="F105" i="64"/>
  <c r="F89" i="64"/>
  <c r="F81" i="64"/>
  <c r="F70" i="64"/>
  <c r="F128" i="64"/>
  <c r="F108" i="64"/>
  <c r="F99" i="64"/>
  <c r="F74" i="64"/>
  <c r="F103" i="64"/>
  <c r="F87" i="64"/>
  <c r="D74" i="64"/>
  <c r="F59" i="64"/>
  <c r="F53" i="64"/>
  <c r="F93" i="64"/>
  <c r="F84" i="64"/>
  <c r="F76" i="64"/>
  <c r="F62" i="64"/>
  <c r="F109" i="64"/>
  <c r="F106" i="64"/>
  <c r="F82" i="64"/>
  <c r="F77" i="64"/>
  <c r="F71" i="64"/>
  <c r="F65" i="64"/>
  <c r="F100" i="64"/>
  <c r="F54" i="64"/>
  <c r="F57" i="64"/>
  <c r="F112" i="64"/>
  <c r="F85" i="64"/>
  <c r="F78" i="64"/>
  <c r="F69" i="64"/>
  <c r="F107" i="64"/>
  <c r="F63" i="64"/>
  <c r="F94" i="64"/>
  <c r="F80" i="64"/>
  <c r="F125" i="64"/>
  <c r="F101" i="64"/>
  <c r="F66" i="64"/>
  <c r="F55" i="64"/>
  <c r="Z18" i="56"/>
  <c r="T76" i="57"/>
  <c r="N39" i="57"/>
  <c r="Z60" i="57"/>
  <c r="L14" i="60"/>
  <c r="D16" i="60"/>
  <c r="J40" i="61"/>
  <c r="J53" i="61"/>
  <c r="J41" i="61"/>
  <c r="J31" i="61"/>
  <c r="J42" i="61"/>
  <c r="J26" i="61"/>
  <c r="J22" i="61"/>
  <c r="J58" i="61"/>
  <c r="J55" i="61"/>
  <c r="J32" i="61"/>
  <c r="N12" i="61"/>
  <c r="J43" i="61"/>
  <c r="J33" i="61"/>
  <c r="J27" i="61"/>
  <c r="J23" i="61"/>
  <c r="J46" i="61"/>
  <c r="J36" i="61"/>
  <c r="J38" i="61"/>
  <c r="J30" i="61"/>
  <c r="J34" i="61"/>
  <c r="J37" i="61"/>
  <c r="J28" i="61"/>
  <c r="J21" i="61"/>
  <c r="J18" i="61"/>
  <c r="J44" i="61"/>
  <c r="J49" i="61"/>
  <c r="J19" i="61"/>
  <c r="J35" i="61"/>
  <c r="J14" i="61"/>
  <c r="J24" i="61"/>
  <c r="J29" i="61"/>
  <c r="J16" i="61"/>
  <c r="J20" i="61"/>
  <c r="H16" i="61"/>
  <c r="J51" i="61"/>
  <c r="J47" i="61"/>
  <c r="Z27" i="55"/>
  <c r="Z34" i="56"/>
  <c r="Z19" i="58"/>
  <c r="Z30" i="60"/>
  <c r="P62" i="63"/>
  <c r="Z23" i="55"/>
  <c r="X31" i="55"/>
  <c r="R57" i="56"/>
  <c r="R50" i="56"/>
  <c r="R49" i="56"/>
  <c r="R42" i="56"/>
  <c r="R41" i="56"/>
  <c r="R25" i="56"/>
  <c r="R21" i="56"/>
  <c r="R65" i="56"/>
  <c r="R64" i="56"/>
  <c r="R51" i="56"/>
  <c r="R44" i="56"/>
  <c r="R43" i="56"/>
  <c r="R32" i="56"/>
  <c r="R31" i="56"/>
  <c r="R66" i="56"/>
  <c r="R58" i="56"/>
  <c r="R26" i="56"/>
  <c r="R22" i="56"/>
  <c r="R70" i="56"/>
  <c r="R68" i="56"/>
  <c r="R46" i="56"/>
  <c r="R45" i="56"/>
  <c r="R34" i="56"/>
  <c r="R33" i="56"/>
  <c r="R52" i="56"/>
  <c r="R77" i="56"/>
  <c r="R74" i="56"/>
  <c r="R54" i="56"/>
  <c r="R53" i="56"/>
  <c r="R56" i="56"/>
  <c r="R55" i="56"/>
  <c r="R40" i="56"/>
  <c r="R39" i="56"/>
  <c r="P16" i="56"/>
  <c r="R20" i="56"/>
  <c r="R24" i="56"/>
  <c r="L28" i="56"/>
  <c r="N28" i="56" s="1"/>
  <c r="R36" i="56"/>
  <c r="Z46" i="56"/>
  <c r="R59" i="56"/>
  <c r="F65" i="56"/>
  <c r="Z16" i="57"/>
  <c r="Z28" i="57"/>
  <c r="R34" i="57"/>
  <c r="Z44" i="57"/>
  <c r="Z62" i="57"/>
  <c r="J58" i="58"/>
  <c r="Z30" i="59"/>
  <c r="Z42" i="59"/>
  <c r="X44" i="59"/>
  <c r="N53" i="59"/>
  <c r="X30" i="60"/>
  <c r="J14" i="54"/>
  <c r="V18" i="54"/>
  <c r="V64" i="56"/>
  <c r="V44" i="56"/>
  <c r="V32" i="56"/>
  <c r="V51" i="56"/>
  <c r="V43" i="56"/>
  <c r="V31" i="56"/>
  <c r="V70" i="56"/>
  <c r="V68" i="56"/>
  <c r="V66" i="56"/>
  <c r="V58" i="56"/>
  <c r="V46" i="56"/>
  <c r="V34" i="56"/>
  <c r="V26" i="56"/>
  <c r="V22" i="56"/>
  <c r="V45" i="56"/>
  <c r="V33" i="56"/>
  <c r="V52" i="56"/>
  <c r="V36" i="56"/>
  <c r="V28" i="56"/>
  <c r="Z12" i="56"/>
  <c r="V59" i="56"/>
  <c r="V47" i="56"/>
  <c r="V35" i="56"/>
  <c r="V60" i="56"/>
  <c r="V56" i="56"/>
  <c r="V48" i="56"/>
  <c r="V62" i="56"/>
  <c r="V50" i="56"/>
  <c r="V42" i="56"/>
  <c r="V30" i="56"/>
  <c r="R16" i="56"/>
  <c r="V20" i="56"/>
  <c r="V24" i="56"/>
  <c r="Z36" i="56"/>
  <c r="F45" i="56"/>
  <c r="X50" i="56"/>
  <c r="Z50" i="56" s="1"/>
  <c r="N56" i="56"/>
  <c r="R61" i="56"/>
  <c r="R63" i="56"/>
  <c r="F72" i="56"/>
  <c r="J56" i="58"/>
  <c r="Z64" i="58"/>
  <c r="Z44" i="59"/>
  <c r="X25" i="66"/>
  <c r="Z25" i="66" s="1"/>
  <c r="T16" i="54"/>
  <c r="V24" i="54"/>
  <c r="V33" i="55"/>
  <c r="V31" i="55"/>
  <c r="V29" i="55"/>
  <c r="V21" i="55"/>
  <c r="T16" i="55"/>
  <c r="V22" i="55"/>
  <c r="V40" i="55"/>
  <c r="V37" i="55"/>
  <c r="V35" i="55"/>
  <c r="V25" i="55"/>
  <c r="V19" i="55"/>
  <c r="X12" i="56"/>
  <c r="T16" i="56"/>
  <c r="X28" i="56"/>
  <c r="Z28" i="56" s="1"/>
  <c r="R38" i="56"/>
  <c r="N40" i="56"/>
  <c r="X54" i="56"/>
  <c r="F58" i="56"/>
  <c r="Z61" i="56"/>
  <c r="N18" i="57"/>
  <c r="R19" i="57"/>
  <c r="F57" i="59"/>
  <c r="F49" i="59"/>
  <c r="F48" i="59"/>
  <c r="F41" i="59"/>
  <c r="F40" i="59"/>
  <c r="F33" i="59"/>
  <c r="F28" i="59"/>
  <c r="F24" i="59"/>
  <c r="F20" i="59"/>
  <c r="F19" i="59"/>
  <c r="F51" i="59"/>
  <c r="F50" i="59"/>
  <c r="F43" i="59"/>
  <c r="F42" i="59"/>
  <c r="F18" i="59"/>
  <c r="F16" i="59"/>
  <c r="F14" i="59"/>
  <c r="F61" i="59"/>
  <c r="F59" i="59"/>
  <c r="F34" i="59"/>
  <c r="D16" i="59"/>
  <c r="F63" i="59"/>
  <c r="F45" i="59"/>
  <c r="F44" i="59"/>
  <c r="F29" i="59"/>
  <c r="F25" i="59"/>
  <c r="F21" i="59"/>
  <c r="F52" i="59"/>
  <c r="F35" i="59"/>
  <c r="F31" i="59"/>
  <c r="F30" i="59"/>
  <c r="F68" i="59"/>
  <c r="F65" i="59"/>
  <c r="F54" i="59"/>
  <c r="F53" i="59"/>
  <c r="F46" i="59"/>
  <c r="F26" i="59"/>
  <c r="F22" i="59"/>
  <c r="F37" i="59"/>
  <c r="F36" i="59"/>
  <c r="F47" i="59"/>
  <c r="F39" i="59"/>
  <c r="F38" i="59"/>
  <c r="F27" i="59"/>
  <c r="F23" i="59"/>
  <c r="V16" i="54"/>
  <c r="N21" i="55"/>
  <c r="V16" i="56"/>
  <c r="R28" i="56"/>
  <c r="F32" i="56"/>
  <c r="Z38" i="56"/>
  <c r="F51" i="56"/>
  <c r="Z54" i="56"/>
  <c r="V61" i="56"/>
  <c r="V63" i="56"/>
  <c r="V77" i="56"/>
  <c r="Z19" i="57"/>
  <c r="X64" i="57"/>
  <c r="Z40" i="58"/>
  <c r="N54" i="58"/>
  <c r="N19" i="62"/>
  <c r="Z36" i="63"/>
  <c r="X40" i="63"/>
  <c r="Z40" i="63" s="1"/>
  <c r="X41" i="64"/>
  <c r="Z41" i="64" s="1"/>
  <c r="X76" i="64"/>
  <c r="Z76" i="64" s="1"/>
  <c r="X24" i="51"/>
  <c r="Z24" i="51" s="1"/>
  <c r="H16" i="54"/>
  <c r="J31" i="54"/>
  <c r="J29" i="54"/>
  <c r="J28" i="54"/>
  <c r="J26" i="54"/>
  <c r="L14" i="55"/>
  <c r="X25" i="55"/>
  <c r="Z25" i="55" s="1"/>
  <c r="R30" i="56"/>
  <c r="R35" i="56"/>
  <c r="V38" i="56"/>
  <c r="F42" i="56"/>
  <c r="V49" i="56"/>
  <c r="V54" i="56"/>
  <c r="R72" i="56"/>
  <c r="R36" i="57"/>
  <c r="J50" i="58"/>
  <c r="P61" i="59"/>
  <c r="L19" i="60"/>
  <c r="N19" i="60" s="1"/>
  <c r="D58" i="63"/>
  <c r="L12" i="54"/>
  <c r="P16" i="55"/>
  <c r="L44" i="56"/>
  <c r="N44" i="56" s="1"/>
  <c r="R47" i="56"/>
  <c r="R60" i="56"/>
  <c r="V65" i="56"/>
  <c r="V72" i="56"/>
  <c r="X48" i="57"/>
  <c r="Z48" i="57" s="1"/>
  <c r="X52" i="57"/>
  <c r="Z52" i="57" s="1"/>
  <c r="Z19" i="59"/>
  <c r="N50" i="59"/>
  <c r="J45" i="61"/>
  <c r="N19" i="63"/>
  <c r="X12" i="55"/>
  <c r="F23" i="55"/>
  <c r="F24" i="55"/>
  <c r="J25" i="55"/>
  <c r="R28" i="55"/>
  <c r="J37" i="55"/>
  <c r="J40" i="55"/>
  <c r="N14" i="56"/>
  <c r="J28" i="56"/>
  <c r="J36" i="56"/>
  <c r="J72" i="56"/>
  <c r="N12" i="57"/>
  <c r="V20" i="57"/>
  <c r="V24" i="57"/>
  <c r="J32" i="57"/>
  <c r="V36" i="57"/>
  <c r="V48" i="57"/>
  <c r="V56" i="57"/>
  <c r="V64" i="57"/>
  <c r="F71" i="57"/>
  <c r="L12" i="58"/>
  <c r="P16" i="58"/>
  <c r="R20" i="58"/>
  <c r="R24" i="58"/>
  <c r="R28" i="58"/>
  <c r="F32" i="58"/>
  <c r="V43" i="58"/>
  <c r="R52" i="58"/>
  <c r="F56" i="58"/>
  <c r="R60" i="58"/>
  <c r="V67" i="58"/>
  <c r="N14" i="59"/>
  <c r="V30" i="59"/>
  <c r="V34" i="59"/>
  <c r="J40" i="59"/>
  <c r="R43" i="59"/>
  <c r="R44" i="59"/>
  <c r="J48" i="59"/>
  <c r="R51" i="59"/>
  <c r="H16" i="60"/>
  <c r="J18" i="60"/>
  <c r="J23" i="60"/>
  <c r="V29" i="60"/>
  <c r="V30" i="60"/>
  <c r="J33" i="60"/>
  <c r="L39" i="60"/>
  <c r="J43" i="60"/>
  <c r="V44" i="60"/>
  <c r="F25" i="61"/>
  <c r="F21" i="61"/>
  <c r="F51" i="61"/>
  <c r="F49" i="61"/>
  <c r="F40" i="61"/>
  <c r="F39" i="61"/>
  <c r="F53" i="61"/>
  <c r="F31" i="61"/>
  <c r="F42" i="61"/>
  <c r="F41" i="61"/>
  <c r="F26" i="61"/>
  <c r="F22" i="61"/>
  <c r="F58" i="61"/>
  <c r="F55" i="61"/>
  <c r="F32" i="61"/>
  <c r="L12" i="61"/>
  <c r="F45" i="61"/>
  <c r="F44" i="61"/>
  <c r="F47" i="61"/>
  <c r="F46" i="61"/>
  <c r="F18" i="61"/>
  <c r="F16" i="61"/>
  <c r="F14" i="61"/>
  <c r="F27" i="61"/>
  <c r="F36" i="61"/>
  <c r="F43" i="61"/>
  <c r="Z58" i="62"/>
  <c r="T12" i="64"/>
  <c r="Z20" i="64"/>
  <c r="Z43" i="64"/>
  <c r="Z45" i="64"/>
  <c r="V14" i="57"/>
  <c r="V16" i="57"/>
  <c r="V18" i="57"/>
  <c r="V34" i="57"/>
  <c r="V46" i="57"/>
  <c r="V54" i="57"/>
  <c r="V62" i="57"/>
  <c r="T16" i="58"/>
  <c r="R19" i="58"/>
  <c r="V33" i="58"/>
  <c r="V41" i="58"/>
  <c r="R58" i="58"/>
  <c r="R59" i="58"/>
  <c r="F62" i="58"/>
  <c r="V65" i="58"/>
  <c r="F71" i="58"/>
  <c r="F73" i="58"/>
  <c r="R14" i="59"/>
  <c r="R16" i="59"/>
  <c r="R18" i="59"/>
  <c r="V20" i="59"/>
  <c r="V24" i="59"/>
  <c r="V28" i="59"/>
  <c r="R33" i="59"/>
  <c r="R41" i="59"/>
  <c r="R42" i="59"/>
  <c r="V44" i="59"/>
  <c r="R49" i="59"/>
  <c r="R50" i="59"/>
  <c r="R57" i="59"/>
  <c r="J14" i="60"/>
  <c r="V20" i="60"/>
  <c r="J26" i="60"/>
  <c r="J32" i="60"/>
  <c r="J42" i="60"/>
  <c r="V46" i="60"/>
  <c r="J50" i="60"/>
  <c r="L18" i="62"/>
  <c r="N89" i="62"/>
  <c r="Z91" i="62"/>
  <c r="P98" i="62"/>
  <c r="X99" i="62"/>
  <c r="Z38" i="63"/>
  <c r="N44" i="63"/>
  <c r="N51" i="64"/>
  <c r="X21" i="66"/>
  <c r="Z21" i="66" s="1"/>
  <c r="T12" i="70"/>
  <c r="Z13" i="70"/>
  <c r="V14" i="58"/>
  <c r="V16" i="58"/>
  <c r="V18" i="58"/>
  <c r="V42" i="58"/>
  <c r="V58" i="58"/>
  <c r="V66" i="58"/>
  <c r="T16" i="59"/>
  <c r="X16" i="59" s="1"/>
  <c r="R19" i="59"/>
  <c r="V33" i="59"/>
  <c r="V41" i="59"/>
  <c r="V49" i="59"/>
  <c r="V57" i="59"/>
  <c r="V59" i="59"/>
  <c r="V61" i="59"/>
  <c r="P16" i="60"/>
  <c r="J22" i="60"/>
  <c r="Z37" i="60"/>
  <c r="N33" i="61"/>
  <c r="Z39" i="61"/>
  <c r="Z99" i="62"/>
  <c r="T98" i="62"/>
  <c r="L51" i="64"/>
  <c r="X12" i="58"/>
  <c r="V19" i="58"/>
  <c r="V23" i="58"/>
  <c r="V27" i="58"/>
  <c r="V39" i="58"/>
  <c r="V51" i="58"/>
  <c r="R56" i="58"/>
  <c r="R57" i="58"/>
  <c r="V59" i="58"/>
  <c r="V63" i="58"/>
  <c r="R77" i="58"/>
  <c r="R80" i="58"/>
  <c r="V14" i="59"/>
  <c r="V16" i="59"/>
  <c r="V18" i="59"/>
  <c r="R23" i="59"/>
  <c r="R27" i="59"/>
  <c r="R39" i="59"/>
  <c r="R40" i="59"/>
  <c r="V42" i="59"/>
  <c r="R47" i="59"/>
  <c r="R48" i="59"/>
  <c r="V50" i="59"/>
  <c r="J46" i="60"/>
  <c r="J38" i="60"/>
  <c r="J39" i="60"/>
  <c r="J29" i="60"/>
  <c r="J19" i="60"/>
  <c r="J31" i="60"/>
  <c r="J52" i="60"/>
  <c r="J44" i="60"/>
  <c r="J36" i="60"/>
  <c r="N18" i="62"/>
  <c r="Z19" i="62"/>
  <c r="Z89" i="62"/>
  <c r="N18" i="63"/>
  <c r="N15" i="64"/>
  <c r="D16" i="57"/>
  <c r="F30" i="57"/>
  <c r="V33" i="57"/>
  <c r="F37" i="57"/>
  <c r="F38" i="57"/>
  <c r="J57" i="57"/>
  <c r="J65" i="57"/>
  <c r="V71" i="57"/>
  <c r="V73" i="57"/>
  <c r="V76" i="57"/>
  <c r="Z12" i="58"/>
  <c r="V32" i="58"/>
  <c r="R37" i="58"/>
  <c r="R38" i="58"/>
  <c r="V40" i="58"/>
  <c r="F44" i="58"/>
  <c r="F45" i="58"/>
  <c r="R49" i="58"/>
  <c r="R50" i="58"/>
  <c r="F53" i="58"/>
  <c r="V56" i="58"/>
  <c r="F61" i="58"/>
  <c r="V64" i="58"/>
  <c r="F68" i="58"/>
  <c r="F69" i="58"/>
  <c r="R75" i="58"/>
  <c r="X12" i="59"/>
  <c r="V19" i="59"/>
  <c r="V23" i="59"/>
  <c r="V27" i="59"/>
  <c r="R32" i="59"/>
  <c r="V39" i="59"/>
  <c r="V47" i="59"/>
  <c r="R56" i="59"/>
  <c r="L12" i="60"/>
  <c r="T16" i="60"/>
  <c r="V18" i="60"/>
  <c r="V19" i="60"/>
  <c r="V36" i="60"/>
  <c r="Z43" i="60"/>
  <c r="J45" i="60"/>
  <c r="V50" i="60"/>
  <c r="X16" i="62"/>
  <c r="X19" i="62"/>
  <c r="N45" i="62"/>
  <c r="N49" i="62"/>
  <c r="Z87" i="62"/>
  <c r="Z44" i="63"/>
  <c r="X19" i="64"/>
  <c r="Z19" i="64" s="1"/>
  <c r="L31" i="64"/>
  <c r="Z38" i="64"/>
  <c r="X38" i="64"/>
  <c r="J19" i="55"/>
  <c r="R22" i="55"/>
  <c r="R23" i="55"/>
  <c r="J29" i="55"/>
  <c r="J42" i="56"/>
  <c r="J50" i="56"/>
  <c r="J64" i="56"/>
  <c r="F14" i="57"/>
  <c r="F16" i="57"/>
  <c r="F18" i="57"/>
  <c r="V22" i="57"/>
  <c r="V26" i="57"/>
  <c r="J38" i="57"/>
  <c r="V42" i="57"/>
  <c r="F46" i="57"/>
  <c r="F47" i="57"/>
  <c r="J48" i="57"/>
  <c r="V50" i="57"/>
  <c r="F54" i="57"/>
  <c r="F55" i="57"/>
  <c r="J56" i="57"/>
  <c r="V58" i="57"/>
  <c r="F62" i="57"/>
  <c r="F63" i="57"/>
  <c r="J64" i="57"/>
  <c r="D16" i="58"/>
  <c r="R22" i="58"/>
  <c r="R26" i="58"/>
  <c r="F34" i="58"/>
  <c r="V37" i="58"/>
  <c r="V49" i="58"/>
  <c r="V57" i="58"/>
  <c r="R62" i="58"/>
  <c r="V75" i="58"/>
  <c r="V77" i="58"/>
  <c r="V80" i="58"/>
  <c r="Z12" i="59"/>
  <c r="V32" i="59"/>
  <c r="R37" i="59"/>
  <c r="R38" i="59"/>
  <c r="V40" i="59"/>
  <c r="V48" i="59"/>
  <c r="V56" i="59"/>
  <c r="N12" i="60"/>
  <c r="V16" i="60"/>
  <c r="X19" i="60"/>
  <c r="Z19" i="60" s="1"/>
  <c r="J25" i="60"/>
  <c r="V26" i="60"/>
  <c r="V39" i="60"/>
  <c r="J41" i="60"/>
  <c r="N19" i="61"/>
  <c r="L28" i="61"/>
  <c r="N31" i="64"/>
  <c r="X16" i="66"/>
  <c r="Z16" i="66" s="1"/>
  <c r="P12" i="66"/>
  <c r="J25" i="56"/>
  <c r="J41" i="56"/>
  <c r="J49" i="56"/>
  <c r="J57" i="56"/>
  <c r="J63" i="56"/>
  <c r="H16" i="57"/>
  <c r="F19" i="57"/>
  <c r="F20" i="57"/>
  <c r="F24" i="57"/>
  <c r="V31" i="57"/>
  <c r="F35" i="57"/>
  <c r="F36" i="57"/>
  <c r="J37" i="57"/>
  <c r="J47" i="57"/>
  <c r="J55" i="57"/>
  <c r="J63" i="57"/>
  <c r="F14" i="58"/>
  <c r="F16" i="58"/>
  <c r="F18" i="58"/>
  <c r="V22" i="58"/>
  <c r="V26" i="58"/>
  <c r="R31" i="58"/>
  <c r="R35" i="58"/>
  <c r="R36" i="58"/>
  <c r="V38" i="58"/>
  <c r="F42" i="58"/>
  <c r="F43" i="58"/>
  <c r="R47" i="58"/>
  <c r="R48" i="58"/>
  <c r="V50" i="58"/>
  <c r="R55" i="58"/>
  <c r="V62" i="58"/>
  <c r="F66" i="58"/>
  <c r="F67" i="58"/>
  <c r="J21" i="59"/>
  <c r="R22" i="59"/>
  <c r="J25" i="59"/>
  <c r="R26" i="59"/>
  <c r="J29" i="59"/>
  <c r="V37" i="59"/>
  <c r="J45" i="59"/>
  <c r="R46" i="59"/>
  <c r="R54" i="59"/>
  <c r="R55" i="59"/>
  <c r="R52" i="60"/>
  <c r="R57" i="60"/>
  <c r="R54" i="60"/>
  <c r="R50" i="60"/>
  <c r="R48" i="60"/>
  <c r="V14" i="60"/>
  <c r="J21" i="60"/>
  <c r="V22" i="60"/>
  <c r="J30" i="60"/>
  <c r="V31" i="60"/>
  <c r="J35" i="60"/>
  <c r="R38" i="60"/>
  <c r="X45" i="60"/>
  <c r="J48" i="60"/>
  <c r="F28" i="61"/>
  <c r="F37" i="61"/>
  <c r="N44" i="61"/>
  <c r="N38" i="62"/>
  <c r="L38" i="62"/>
  <c r="Z43" i="62"/>
  <c r="Z45" i="62"/>
  <c r="Z77" i="62"/>
  <c r="X56" i="63"/>
  <c r="X25" i="64"/>
  <c r="Z25" i="64" s="1"/>
  <c r="Z29" i="64"/>
  <c r="L98" i="64"/>
  <c r="J62" i="56"/>
  <c r="V40" i="57"/>
  <c r="F44" i="57"/>
  <c r="F45" i="57"/>
  <c r="F52" i="57"/>
  <c r="F53" i="57"/>
  <c r="F60" i="57"/>
  <c r="F61" i="57"/>
  <c r="V31" i="58"/>
  <c r="V35" i="58"/>
  <c r="V47" i="58"/>
  <c r="F52" i="58"/>
  <c r="V55" i="58"/>
  <c r="F59" i="58"/>
  <c r="F60" i="58"/>
  <c r="R71" i="58"/>
  <c r="R73" i="58"/>
  <c r="V22" i="59"/>
  <c r="V26" i="59"/>
  <c r="R31" i="59"/>
  <c r="R35" i="59"/>
  <c r="R36" i="59"/>
  <c r="V38" i="59"/>
  <c r="V46" i="59"/>
  <c r="V54" i="59"/>
  <c r="R68" i="59"/>
  <c r="V57" i="60"/>
  <c r="V54" i="60"/>
  <c r="V52" i="60"/>
  <c r="V41" i="60"/>
  <c r="V33" i="60"/>
  <c r="V25" i="60"/>
  <c r="V21" i="60"/>
  <c r="V43" i="60"/>
  <c r="V35" i="60"/>
  <c r="V42" i="60"/>
  <c r="V45" i="60"/>
  <c r="V40" i="60"/>
  <c r="V38" i="60"/>
  <c r="J57" i="60"/>
  <c r="N28" i="61"/>
  <c r="P103" i="62"/>
  <c r="Z51" i="63"/>
  <c r="J55" i="56"/>
  <c r="J61" i="56"/>
  <c r="V21" i="57"/>
  <c r="V25" i="57"/>
  <c r="F33" i="57"/>
  <c r="F34" i="57"/>
  <c r="V41" i="57"/>
  <c r="J45" i="57"/>
  <c r="V49" i="57"/>
  <c r="J53" i="57"/>
  <c r="V57" i="57"/>
  <c r="J61" i="57"/>
  <c r="V65" i="57"/>
  <c r="V67" i="57"/>
  <c r="V69" i="57"/>
  <c r="F73" i="57"/>
  <c r="F76" i="57"/>
  <c r="R21" i="58"/>
  <c r="R25" i="58"/>
  <c r="R29" i="58"/>
  <c r="R30" i="58"/>
  <c r="V36" i="58"/>
  <c r="F41" i="58"/>
  <c r="R45" i="58"/>
  <c r="R46" i="58"/>
  <c r="V48" i="58"/>
  <c r="R53" i="58"/>
  <c r="R54" i="58"/>
  <c r="R61" i="58"/>
  <c r="F64" i="58"/>
  <c r="F65" i="58"/>
  <c r="R69" i="58"/>
  <c r="V31" i="59"/>
  <c r="V35" i="59"/>
  <c r="R52" i="59"/>
  <c r="R53" i="59"/>
  <c r="V55" i="59"/>
  <c r="R65" i="59"/>
  <c r="X12" i="60"/>
  <c r="L18" i="60"/>
  <c r="J24" i="60"/>
  <c r="J34" i="60"/>
  <c r="Z45" i="60"/>
  <c r="X49" i="61"/>
  <c r="Z13" i="68"/>
  <c r="T12" i="68"/>
  <c r="L19" i="69"/>
  <c r="N19" i="69" s="1"/>
  <c r="D12" i="69"/>
  <c r="F25" i="55"/>
  <c r="F26" i="55"/>
  <c r="F37" i="55"/>
  <c r="J14" i="56"/>
  <c r="J16" i="56"/>
  <c r="J18" i="56"/>
  <c r="J20" i="56"/>
  <c r="J24" i="56"/>
  <c r="J38" i="56"/>
  <c r="J48" i="56"/>
  <c r="J54" i="56"/>
  <c r="J60" i="56"/>
  <c r="J74" i="56"/>
  <c r="F23" i="57"/>
  <c r="F27" i="57"/>
  <c r="J28" i="57"/>
  <c r="V30" i="57"/>
  <c r="J34" i="57"/>
  <c r="F43" i="57"/>
  <c r="J44" i="57"/>
  <c r="F51" i="57"/>
  <c r="J52" i="57"/>
  <c r="V21" i="58"/>
  <c r="V25" i="58"/>
  <c r="V29" i="58"/>
  <c r="V45" i="58"/>
  <c r="V53" i="58"/>
  <c r="F57" i="58"/>
  <c r="F58" i="58"/>
  <c r="V61" i="58"/>
  <c r="V69" i="58"/>
  <c r="V71" i="58"/>
  <c r="F77" i="58"/>
  <c r="R21" i="59"/>
  <c r="R25" i="59"/>
  <c r="R29" i="59"/>
  <c r="R30" i="59"/>
  <c r="V36" i="59"/>
  <c r="R45" i="59"/>
  <c r="V52" i="59"/>
  <c r="Z12" i="60"/>
  <c r="J20" i="60"/>
  <c r="J28" i="60"/>
  <c r="J40" i="60"/>
  <c r="H16" i="62"/>
  <c r="Z53" i="63"/>
  <c r="Z39" i="64"/>
  <c r="V22" i="61"/>
  <c r="V26" i="61"/>
  <c r="R31" i="61"/>
  <c r="V42" i="61"/>
  <c r="R53" i="61"/>
  <c r="X12" i="62"/>
  <c r="X14" i="62"/>
  <c r="J31" i="62"/>
  <c r="R32" i="62"/>
  <c r="J35" i="62"/>
  <c r="R36" i="62"/>
  <c r="R44" i="62"/>
  <c r="R45" i="62"/>
  <c r="F48" i="62"/>
  <c r="J49" i="62"/>
  <c r="J59" i="62"/>
  <c r="J75" i="62"/>
  <c r="R76" i="62"/>
  <c r="R77" i="62"/>
  <c r="R88" i="62"/>
  <c r="R89" i="62"/>
  <c r="R96" i="62"/>
  <c r="R99" i="62"/>
  <c r="F21" i="63"/>
  <c r="F25" i="63"/>
  <c r="V32" i="63"/>
  <c r="R37" i="63"/>
  <c r="R38" i="63"/>
  <c r="V40" i="63"/>
  <c r="F44" i="63"/>
  <c r="F45" i="63"/>
  <c r="V48" i="63"/>
  <c r="J52" i="63"/>
  <c r="R56" i="63"/>
  <c r="R58" i="63"/>
  <c r="Z113" i="64"/>
  <c r="Z119" i="64"/>
  <c r="Z16" i="65"/>
  <c r="Z55" i="65"/>
  <c r="N63" i="65"/>
  <c r="N14" i="66"/>
  <c r="L35" i="66"/>
  <c r="Z38" i="66"/>
  <c r="Z17" i="67"/>
  <c r="X17" i="67"/>
  <c r="V40" i="61"/>
  <c r="D16" i="62"/>
  <c r="R22" i="62"/>
  <c r="J25" i="62"/>
  <c r="R26" i="62"/>
  <c r="J29" i="62"/>
  <c r="F34" i="62"/>
  <c r="J41" i="62"/>
  <c r="R42" i="62"/>
  <c r="R43" i="62"/>
  <c r="R50" i="62"/>
  <c r="J57" i="62"/>
  <c r="J69" i="62"/>
  <c r="R70" i="62"/>
  <c r="F73" i="62"/>
  <c r="F74" i="62"/>
  <c r="J81" i="62"/>
  <c r="R82" i="62"/>
  <c r="J85" i="62"/>
  <c r="R86" i="62"/>
  <c r="R87" i="62"/>
  <c r="J93" i="62"/>
  <c r="R94" i="62"/>
  <c r="R95" i="62"/>
  <c r="R101" i="62"/>
  <c r="R103" i="62"/>
  <c r="F14" i="63"/>
  <c r="F16" i="63"/>
  <c r="F18" i="63"/>
  <c r="J30" i="63"/>
  <c r="J34" i="63"/>
  <c r="V38" i="63"/>
  <c r="F42" i="63"/>
  <c r="F43" i="63"/>
  <c r="J44" i="63"/>
  <c r="V46" i="63"/>
  <c r="J50" i="63"/>
  <c r="V54" i="63"/>
  <c r="V56" i="63"/>
  <c r="V58" i="63"/>
  <c r="N27" i="64"/>
  <c r="N43" i="64"/>
  <c r="X98" i="64"/>
  <c r="Z98" i="64" s="1"/>
  <c r="X102" i="64"/>
  <c r="P12" i="65"/>
  <c r="Z32" i="65"/>
  <c r="Z44" i="65"/>
  <c r="L50" i="65"/>
  <c r="Z59" i="65"/>
  <c r="N18" i="66"/>
  <c r="L39" i="66"/>
  <c r="N39" i="66" s="1"/>
  <c r="R63" i="67"/>
  <c r="R48" i="67"/>
  <c r="R47" i="67"/>
  <c r="R39" i="67"/>
  <c r="R20" i="67"/>
  <c r="R70" i="67"/>
  <c r="R34" i="67"/>
  <c r="R30" i="67"/>
  <c r="R74" i="67"/>
  <c r="R72" i="67"/>
  <c r="R58" i="67"/>
  <c r="R57" i="67"/>
  <c r="R50" i="67"/>
  <c r="R49" i="67"/>
  <c r="R21" i="67"/>
  <c r="R60" i="67"/>
  <c r="R59" i="67"/>
  <c r="R52" i="67"/>
  <c r="R51" i="67"/>
  <c r="R36" i="67"/>
  <c r="R35" i="67"/>
  <c r="R31" i="67"/>
  <c r="R76" i="67"/>
  <c r="R27" i="67"/>
  <c r="R22" i="67"/>
  <c r="R55" i="67"/>
  <c r="R44" i="67"/>
  <c r="R43" i="67"/>
  <c r="R53" i="67"/>
  <c r="R40" i="67"/>
  <c r="R81" i="67"/>
  <c r="R69" i="67"/>
  <c r="R56" i="67"/>
  <c r="R38" i="67"/>
  <c r="R61" i="67"/>
  <c r="R54" i="67"/>
  <c r="R46" i="67"/>
  <c r="R66" i="67"/>
  <c r="R41" i="67"/>
  <c r="R24" i="67"/>
  <c r="R32" i="67"/>
  <c r="R28" i="67"/>
  <c r="P24" i="67"/>
  <c r="R67" i="67"/>
  <c r="R64" i="67"/>
  <c r="R42" i="67"/>
  <c r="R78" i="67"/>
  <c r="R37" i="67"/>
  <c r="R68" i="67"/>
  <c r="R65" i="67"/>
  <c r="R33" i="67"/>
  <c r="R29" i="67"/>
  <c r="X17" i="68"/>
  <c r="Z17" i="68" s="1"/>
  <c r="P12" i="68"/>
  <c r="H16" i="63"/>
  <c r="N23" i="65"/>
  <c r="N50" i="65"/>
  <c r="D12" i="66"/>
  <c r="N42" i="66"/>
  <c r="X87" i="66"/>
  <c r="Z87" i="66" s="1"/>
  <c r="N42" i="67"/>
  <c r="X15" i="68"/>
  <c r="Z15" i="68" s="1"/>
  <c r="X36" i="69"/>
  <c r="Z36" i="69" s="1"/>
  <c r="F84" i="62"/>
  <c r="F91" i="62"/>
  <c r="F92" i="62"/>
  <c r="F107" i="62"/>
  <c r="F110" i="62"/>
  <c r="F60" i="63"/>
  <c r="Z18" i="64"/>
  <c r="Z34" i="64"/>
  <c r="L46" i="64"/>
  <c r="N46" i="64" s="1"/>
  <c r="L49" i="64"/>
  <c r="Z102" i="64"/>
  <c r="H12" i="66"/>
  <c r="L42" i="67"/>
  <c r="F52" i="60"/>
  <c r="P16" i="61"/>
  <c r="R24" i="61"/>
  <c r="R36" i="61"/>
  <c r="R37" i="61"/>
  <c r="V39" i="61"/>
  <c r="V47" i="61"/>
  <c r="V49" i="61"/>
  <c r="V51" i="61"/>
  <c r="R25" i="62"/>
  <c r="R29" i="62"/>
  <c r="R30" i="62"/>
  <c r="F33" i="62"/>
  <c r="F37" i="62"/>
  <c r="J38" i="62"/>
  <c r="R41" i="62"/>
  <c r="F52" i="62"/>
  <c r="F53" i="62"/>
  <c r="J54" i="62"/>
  <c r="R57" i="62"/>
  <c r="R58" i="62"/>
  <c r="F64" i="62"/>
  <c r="F65" i="62"/>
  <c r="J66" i="62"/>
  <c r="R69" i="62"/>
  <c r="J72" i="62"/>
  <c r="R81" i="62"/>
  <c r="J84" i="62"/>
  <c r="R85" i="62"/>
  <c r="J92" i="62"/>
  <c r="R93" i="62"/>
  <c r="F98" i="62"/>
  <c r="J41" i="63"/>
  <c r="V45" i="63"/>
  <c r="J49" i="63"/>
  <c r="V53" i="63"/>
  <c r="V65" i="63"/>
  <c r="X21" i="64"/>
  <c r="Z21" i="64" s="1"/>
  <c r="N23" i="64"/>
  <c r="X37" i="64"/>
  <c r="Z37" i="64" s="1"/>
  <c r="N77" i="64"/>
  <c r="D12" i="65"/>
  <c r="Z48" i="65"/>
  <c r="Z22" i="66"/>
  <c r="N26" i="66"/>
  <c r="Z33" i="66"/>
  <c r="Z42" i="66"/>
  <c r="J125" i="69"/>
  <c r="J113" i="69"/>
  <c r="J105" i="69"/>
  <c r="J87" i="69"/>
  <c r="J83" i="69"/>
  <c r="J81" i="69"/>
  <c r="J79" i="69"/>
  <c r="J126" i="69"/>
  <c r="J114" i="69"/>
  <c r="J106" i="69"/>
  <c r="H79" i="69"/>
  <c r="J74" i="69"/>
  <c r="J70" i="69"/>
  <c r="J66" i="69"/>
  <c r="J62" i="69"/>
  <c r="J58" i="69"/>
  <c r="J54" i="69"/>
  <c r="J127" i="69"/>
  <c r="J121" i="69"/>
  <c r="J97" i="69"/>
  <c r="J93" i="69"/>
  <c r="J128" i="69"/>
  <c r="J129" i="69"/>
  <c r="J115" i="69"/>
  <c r="J107" i="69"/>
  <c r="J99" i="69"/>
  <c r="J75" i="69"/>
  <c r="J71" i="69"/>
  <c r="J67" i="69"/>
  <c r="J63" i="69"/>
  <c r="J59" i="69"/>
  <c r="J55" i="69"/>
  <c r="J130" i="69"/>
  <c r="J117" i="69"/>
  <c r="J109" i="69"/>
  <c r="J101" i="69"/>
  <c r="J89" i="69"/>
  <c r="J85" i="69"/>
  <c r="J139" i="69"/>
  <c r="J133" i="69"/>
  <c r="J119" i="69"/>
  <c r="J111" i="69"/>
  <c r="J103" i="69"/>
  <c r="J91" i="69"/>
  <c r="J77" i="69"/>
  <c r="J73" i="69"/>
  <c r="J69" i="69"/>
  <c r="J65" i="69"/>
  <c r="J61" i="69"/>
  <c r="J57" i="69"/>
  <c r="J53" i="69"/>
  <c r="J112" i="69"/>
  <c r="J102" i="69"/>
  <c r="J100" i="69"/>
  <c r="J92" i="69"/>
  <c r="J52" i="69"/>
  <c r="J124" i="69"/>
  <c r="J68" i="69"/>
  <c r="J122" i="69"/>
  <c r="J110" i="69"/>
  <c r="J108" i="69"/>
  <c r="J95" i="69"/>
  <c r="J90" i="69"/>
  <c r="J88" i="69"/>
  <c r="J86" i="69"/>
  <c r="J84" i="69"/>
  <c r="J64" i="69"/>
  <c r="J98" i="69"/>
  <c r="J82" i="69"/>
  <c r="J60" i="69"/>
  <c r="J120" i="69"/>
  <c r="J134" i="69"/>
  <c r="J131" i="69"/>
  <c r="J118" i="69"/>
  <c r="J116" i="69"/>
  <c r="J56" i="69"/>
  <c r="J76" i="69"/>
  <c r="J123" i="69"/>
  <c r="J94" i="69"/>
  <c r="J135" i="69"/>
  <c r="J96" i="69"/>
  <c r="J72" i="69"/>
  <c r="J104" i="69"/>
  <c r="Z27" i="69"/>
  <c r="X27" i="69"/>
  <c r="F48" i="60"/>
  <c r="F50" i="60"/>
  <c r="V20" i="61"/>
  <c r="V24" i="61"/>
  <c r="R29" i="61"/>
  <c r="V36" i="61"/>
  <c r="R45" i="61"/>
  <c r="R46" i="61"/>
  <c r="J33" i="62"/>
  <c r="R34" i="62"/>
  <c r="J37" i="62"/>
  <c r="F45" i="62"/>
  <c r="F46" i="62"/>
  <c r="J53" i="62"/>
  <c r="L54" i="62"/>
  <c r="N54" i="62" s="1"/>
  <c r="X60" i="62"/>
  <c r="Z60" i="62" s="1"/>
  <c r="J65" i="62"/>
  <c r="L66" i="62"/>
  <c r="N66" i="62" s="1"/>
  <c r="R74" i="62"/>
  <c r="F77" i="62"/>
  <c r="F78" i="62"/>
  <c r="F89" i="62"/>
  <c r="F90" i="62"/>
  <c r="J91" i="62"/>
  <c r="H98" i="62"/>
  <c r="L98" i="62" s="1"/>
  <c r="F99" i="62"/>
  <c r="J107" i="62"/>
  <c r="J110" i="62"/>
  <c r="J65" i="63"/>
  <c r="J62" i="63"/>
  <c r="F23" i="63"/>
  <c r="F27" i="63"/>
  <c r="V34" i="63"/>
  <c r="F38" i="63"/>
  <c r="F39" i="63"/>
  <c r="J40" i="63"/>
  <c r="V50" i="63"/>
  <c r="F56" i="63"/>
  <c r="F58" i="63"/>
  <c r="R62" i="63"/>
  <c r="H12" i="64"/>
  <c r="L12" i="64" s="1"/>
  <c r="N93" i="64"/>
  <c r="H12" i="65"/>
  <c r="N13" i="65"/>
  <c r="Z14" i="65"/>
  <c r="J82" i="68"/>
  <c r="J72" i="68"/>
  <c r="J64" i="68"/>
  <c r="J60" i="68"/>
  <c r="J56" i="68"/>
  <c r="J54" i="68"/>
  <c r="J83" i="68"/>
  <c r="J65" i="68"/>
  <c r="H52" i="68"/>
  <c r="J47" i="68"/>
  <c r="J43" i="68"/>
  <c r="J39" i="68"/>
  <c r="J66" i="68"/>
  <c r="J85" i="68"/>
  <c r="J73" i="68"/>
  <c r="J61" i="68"/>
  <c r="J57" i="68"/>
  <c r="J74" i="68"/>
  <c r="J48" i="68"/>
  <c r="J44" i="68"/>
  <c r="J40" i="68"/>
  <c r="J36" i="68"/>
  <c r="J89" i="68"/>
  <c r="J75" i="68"/>
  <c r="J67" i="68"/>
  <c r="J76" i="68"/>
  <c r="J62" i="68"/>
  <c r="J58" i="68"/>
  <c r="J77" i="68"/>
  <c r="J49" i="68"/>
  <c r="J45" i="68"/>
  <c r="J41" i="68"/>
  <c r="J37" i="68"/>
  <c r="J78" i="68"/>
  <c r="J68" i="68"/>
  <c r="J71" i="68"/>
  <c r="J69" i="68"/>
  <c r="J59" i="68"/>
  <c r="J46" i="68"/>
  <c r="J63" i="68"/>
  <c r="J80" i="68"/>
  <c r="J50" i="68"/>
  <c r="J38" i="68"/>
  <c r="J70" i="68"/>
  <c r="N21" i="71"/>
  <c r="L21" i="71"/>
  <c r="F39" i="60"/>
  <c r="F40" i="60"/>
  <c r="T16" i="61"/>
  <c r="R19" i="61"/>
  <c r="V29" i="61"/>
  <c r="R34" i="61"/>
  <c r="R35" i="61"/>
  <c r="V37" i="61"/>
  <c r="V45" i="61"/>
  <c r="F23" i="62"/>
  <c r="F27" i="62"/>
  <c r="R39" i="62"/>
  <c r="R40" i="62"/>
  <c r="J46" i="62"/>
  <c r="R47" i="62"/>
  <c r="F51" i="62"/>
  <c r="J52" i="62"/>
  <c r="R55" i="62"/>
  <c r="R56" i="62"/>
  <c r="F62" i="62"/>
  <c r="F63" i="62"/>
  <c r="J64" i="62"/>
  <c r="R67" i="62"/>
  <c r="R68" i="62"/>
  <c r="F71" i="62"/>
  <c r="J78" i="62"/>
  <c r="R79" i="62"/>
  <c r="R80" i="62"/>
  <c r="F83" i="62"/>
  <c r="J90" i="62"/>
  <c r="J98" i="62"/>
  <c r="F100" i="62"/>
  <c r="F105" i="62"/>
  <c r="L12" i="63"/>
  <c r="J27" i="63"/>
  <c r="F32" i="63"/>
  <c r="J39" i="63"/>
  <c r="V43" i="63"/>
  <c r="F47" i="63"/>
  <c r="F48" i="63"/>
  <c r="V51" i="63"/>
  <c r="V62" i="63"/>
  <c r="L13" i="64"/>
  <c r="Z14" i="64"/>
  <c r="X20" i="64"/>
  <c r="Z30" i="64"/>
  <c r="X36" i="64"/>
  <c r="Z36" i="64" s="1"/>
  <c r="Z46" i="64"/>
  <c r="L118" i="64"/>
  <c r="L13" i="65"/>
  <c r="N22" i="65"/>
  <c r="Z37" i="66"/>
  <c r="N63" i="66"/>
  <c r="L102" i="66"/>
  <c r="N102" i="66" s="1"/>
  <c r="N109" i="66"/>
  <c r="Z21" i="70"/>
  <c r="V14" i="61"/>
  <c r="V16" i="61"/>
  <c r="V18" i="61"/>
  <c r="V34" i="61"/>
  <c r="R43" i="61"/>
  <c r="R44" i="61"/>
  <c r="V46" i="61"/>
  <c r="R20" i="62"/>
  <c r="J23" i="62"/>
  <c r="R24" i="62"/>
  <c r="J27" i="62"/>
  <c r="R28" i="62"/>
  <c r="F32" i="62"/>
  <c r="F36" i="62"/>
  <c r="F43" i="62"/>
  <c r="F44" i="62"/>
  <c r="J45" i="62"/>
  <c r="J51" i="62"/>
  <c r="J63" i="62"/>
  <c r="J71" i="62"/>
  <c r="R72" i="62"/>
  <c r="R73" i="62"/>
  <c r="F76" i="62"/>
  <c r="J77" i="62"/>
  <c r="J83" i="62"/>
  <c r="R84" i="62"/>
  <c r="F87" i="62"/>
  <c r="F88" i="62"/>
  <c r="J89" i="62"/>
  <c r="R92" i="62"/>
  <c r="F95" i="62"/>
  <c r="F96" i="62"/>
  <c r="J99" i="62"/>
  <c r="F101" i="62"/>
  <c r="F103" i="62"/>
  <c r="J105" i="62"/>
  <c r="F36" i="63"/>
  <c r="F37" i="63"/>
  <c r="J48" i="63"/>
  <c r="J56" i="63"/>
  <c r="J58" i="63"/>
  <c r="N19" i="64"/>
  <c r="N35" i="64"/>
  <c r="H118" i="64"/>
  <c r="N118" i="64" s="1"/>
  <c r="N119" i="64"/>
  <c r="T12" i="66"/>
  <c r="X13" i="66"/>
  <c r="Z30" i="66"/>
  <c r="J35" i="68"/>
  <c r="F37" i="60"/>
  <c r="F38" i="60"/>
  <c r="F45" i="60"/>
  <c r="X12" i="61"/>
  <c r="V19" i="61"/>
  <c r="V23" i="61"/>
  <c r="V27" i="61"/>
  <c r="R32" i="61"/>
  <c r="V35" i="61"/>
  <c r="V43" i="61"/>
  <c r="N12" i="62"/>
  <c r="R14" i="62"/>
  <c r="R16" i="62"/>
  <c r="R18" i="62"/>
  <c r="J32" i="62"/>
  <c r="R33" i="62"/>
  <c r="J36" i="62"/>
  <c r="R37" i="62"/>
  <c r="R38" i="62"/>
  <c r="J44" i="62"/>
  <c r="R53" i="62"/>
  <c r="R54" i="62"/>
  <c r="F60" i="62"/>
  <c r="F61" i="62"/>
  <c r="J62" i="62"/>
  <c r="R65" i="62"/>
  <c r="R66" i="62"/>
  <c r="J76" i="62"/>
  <c r="J88" i="62"/>
  <c r="J96" i="62"/>
  <c r="J100" i="62"/>
  <c r="T16" i="63"/>
  <c r="R19" i="63"/>
  <c r="F22" i="63"/>
  <c r="F26" i="63"/>
  <c r="V29" i="63"/>
  <c r="V33" i="63"/>
  <c r="J37" i="63"/>
  <c r="V41" i="63"/>
  <c r="F46" i="63"/>
  <c r="J47" i="63"/>
  <c r="V49" i="63"/>
  <c r="F53" i="63"/>
  <c r="F54" i="63"/>
  <c r="V60" i="63"/>
  <c r="Z77" i="64"/>
  <c r="L119" i="64"/>
  <c r="T12" i="65"/>
  <c r="L38" i="65"/>
  <c r="N38" i="65" s="1"/>
  <c r="Z13" i="66"/>
  <c r="N23" i="66"/>
  <c r="Z48" i="67"/>
  <c r="Z13" i="69"/>
  <c r="T12" i="69"/>
  <c r="N26" i="69"/>
  <c r="L26" i="69"/>
  <c r="H12" i="71"/>
  <c r="L12" i="71" s="1"/>
  <c r="N13" i="71"/>
  <c r="L13" i="71"/>
  <c r="Z12" i="61"/>
  <c r="V28" i="61"/>
  <c r="V32" i="61"/>
  <c r="R19" i="62"/>
  <c r="F22" i="62"/>
  <c r="F26" i="62"/>
  <c r="F42" i="62"/>
  <c r="J43" i="62"/>
  <c r="R46" i="62"/>
  <c r="F49" i="62"/>
  <c r="F50" i="62"/>
  <c r="J61" i="62"/>
  <c r="F70" i="62"/>
  <c r="R78" i="62"/>
  <c r="F82" i="62"/>
  <c r="F86" i="62"/>
  <c r="J87" i="62"/>
  <c r="R90" i="62"/>
  <c r="R91" i="62"/>
  <c r="J95" i="62"/>
  <c r="J101" i="62"/>
  <c r="R107" i="62"/>
  <c r="V14" i="63"/>
  <c r="V16" i="63"/>
  <c r="V18" i="63"/>
  <c r="J22" i="63"/>
  <c r="J26" i="63"/>
  <c r="F31" i="63"/>
  <c r="J36" i="63"/>
  <c r="R39" i="63"/>
  <c r="J46" i="63"/>
  <c r="J54" i="63"/>
  <c r="X16" i="64"/>
  <c r="Z16" i="64" s="1"/>
  <c r="Z26" i="64"/>
  <c r="X32" i="64"/>
  <c r="Z32" i="64" s="1"/>
  <c r="Z42" i="64"/>
  <c r="X48" i="64"/>
  <c r="Z48" i="64" s="1"/>
  <c r="Z93" i="64"/>
  <c r="X119" i="64"/>
  <c r="P118" i="64"/>
  <c r="X118" i="64" s="1"/>
  <c r="Z118" i="64" s="1"/>
  <c r="Z22" i="65"/>
  <c r="N42" i="65"/>
  <c r="L31" i="66"/>
  <c r="J79" i="68"/>
  <c r="Z14" i="67"/>
  <c r="Z20" i="67"/>
  <c r="J39" i="67"/>
  <c r="J42" i="67"/>
  <c r="X60" i="67"/>
  <c r="Z60" i="67" s="1"/>
  <c r="D12" i="68"/>
  <c r="N35" i="68"/>
  <c r="Z81" i="69"/>
  <c r="Z27" i="71"/>
  <c r="L112" i="66"/>
  <c r="N112" i="66" s="1"/>
  <c r="L118" i="66"/>
  <c r="T117" i="66"/>
  <c r="Z120" i="66"/>
  <c r="J66" i="67"/>
  <c r="J62" i="67"/>
  <c r="J44" i="67"/>
  <c r="J38" i="67"/>
  <c r="J67" i="67"/>
  <c r="J45" i="67"/>
  <c r="J33" i="67"/>
  <c r="J29" i="67"/>
  <c r="J68" i="67"/>
  <c r="J56" i="67"/>
  <c r="J46" i="67"/>
  <c r="J70" i="67"/>
  <c r="J48" i="67"/>
  <c r="J34" i="67"/>
  <c r="J30" i="67"/>
  <c r="J20" i="67"/>
  <c r="J57" i="67"/>
  <c r="J49" i="67"/>
  <c r="J21" i="67"/>
  <c r="J76" i="67"/>
  <c r="J60" i="67"/>
  <c r="J52" i="67"/>
  <c r="J36" i="67"/>
  <c r="J22" i="67"/>
  <c r="X20" i="67"/>
  <c r="H24" i="67"/>
  <c r="J59" i="67"/>
  <c r="X35" i="68"/>
  <c r="P12" i="72"/>
  <c r="X15" i="72"/>
  <c r="Z15" i="72" s="1"/>
  <c r="Z105" i="66"/>
  <c r="N118" i="66"/>
  <c r="H117" i="66"/>
  <c r="Z19" i="68"/>
  <c r="X19" i="68"/>
  <c r="T58" i="72"/>
  <c r="Z61" i="72"/>
  <c r="X61" i="72"/>
  <c r="T72" i="74"/>
  <c r="V72" i="74" s="1"/>
  <c r="N99" i="66"/>
  <c r="Z52" i="67"/>
  <c r="J54" i="67"/>
  <c r="N16" i="68"/>
  <c r="Z21" i="68"/>
  <c r="Z35" i="68"/>
  <c r="L78" i="68"/>
  <c r="X63" i="66"/>
  <c r="Z63" i="66" s="1"/>
  <c r="N91" i="66"/>
  <c r="X94" i="66"/>
  <c r="Z94" i="66" s="1"/>
  <c r="N96" i="66"/>
  <c r="Z102" i="66"/>
  <c r="Z18" i="67"/>
  <c r="L27" i="67"/>
  <c r="N27" i="67" s="1"/>
  <c r="X44" i="67"/>
  <c r="N46" i="67"/>
  <c r="J51" i="67"/>
  <c r="L54" i="67"/>
  <c r="N54" i="67" s="1"/>
  <c r="J63" i="67"/>
  <c r="Z67" i="67"/>
  <c r="L72" i="67"/>
  <c r="Z23" i="68"/>
  <c r="X23" i="68"/>
  <c r="X25" i="68"/>
  <c r="X33" i="69"/>
  <c r="Z33" i="69" s="1"/>
  <c r="Z42" i="69"/>
  <c r="X42" i="69"/>
  <c r="L31" i="70"/>
  <c r="D33" i="70"/>
  <c r="F33" i="70" s="1"/>
  <c r="T12" i="67"/>
  <c r="Z13" i="67"/>
  <c r="Z44" i="67"/>
  <c r="J69" i="67"/>
  <c r="Z25" i="68"/>
  <c r="L69" i="68"/>
  <c r="N58" i="70"/>
  <c r="L84" i="66"/>
  <c r="Z109" i="66"/>
  <c r="D117" i="66"/>
  <c r="L117" i="66" s="1"/>
  <c r="X13" i="67"/>
  <c r="X36" i="67"/>
  <c r="Z36" i="67" s="1"/>
  <c r="J40" i="67"/>
  <c r="J43" i="67"/>
  <c r="J53" i="67"/>
  <c r="N58" i="67"/>
  <c r="J72" i="67"/>
  <c r="Z16" i="68"/>
  <c r="L20" i="68"/>
  <c r="N20" i="68" s="1"/>
  <c r="Z27" i="68"/>
  <c r="X27" i="68"/>
  <c r="X29" i="68"/>
  <c r="Z29" i="68" s="1"/>
  <c r="Z54" i="68"/>
  <c r="L22" i="69"/>
  <c r="N22" i="69" s="1"/>
  <c r="L58" i="70"/>
  <c r="N102" i="71"/>
  <c r="X46" i="73"/>
  <c r="Z46" i="73" s="1"/>
  <c r="N84" i="66"/>
  <c r="D12" i="67"/>
  <c r="J58" i="67"/>
  <c r="N24" i="68"/>
  <c r="Z74" i="68"/>
  <c r="X40" i="65"/>
  <c r="Z40" i="65" s="1"/>
  <c r="L46" i="65"/>
  <c r="X52" i="65"/>
  <c r="Z52" i="65" s="1"/>
  <c r="X66" i="65"/>
  <c r="X14" i="66"/>
  <c r="Z14" i="66" s="1"/>
  <c r="X18" i="66"/>
  <c r="Z18" i="66" s="1"/>
  <c r="X22" i="66"/>
  <c r="X26" i="66"/>
  <c r="Z26" i="66" s="1"/>
  <c r="X30" i="66"/>
  <c r="X34" i="66"/>
  <c r="Z34" i="66" s="1"/>
  <c r="L42" i="66"/>
  <c r="N64" i="66"/>
  <c r="Z74" i="66"/>
  <c r="N26" i="67"/>
  <c r="J31" i="67"/>
  <c r="J35" i="67"/>
  <c r="J65" i="67"/>
  <c r="Z20" i="68"/>
  <c r="X31" i="68"/>
  <c r="Z31" i="68" s="1"/>
  <c r="X85" i="68"/>
  <c r="X30" i="69"/>
  <c r="F54" i="70"/>
  <c r="N56" i="70"/>
  <c r="Z44" i="73"/>
  <c r="X82" i="66"/>
  <c r="Z82" i="66" s="1"/>
  <c r="Z114" i="66"/>
  <c r="N14" i="67"/>
  <c r="J26" i="67"/>
  <c r="N50" i="67"/>
  <c r="X13" i="68"/>
  <c r="Z33" i="68"/>
  <c r="X74" i="68"/>
  <c r="P12" i="69"/>
  <c r="X13" i="69"/>
  <c r="Z20" i="69"/>
  <c r="X105" i="69"/>
  <c r="Z105" i="69" s="1"/>
  <c r="X13" i="70"/>
  <c r="Z15" i="70"/>
  <c r="N25" i="71"/>
  <c r="Z33" i="71"/>
  <c r="Z23" i="69"/>
  <c r="Z119" i="69"/>
  <c r="X50" i="70"/>
  <c r="Z50" i="70" s="1"/>
  <c r="N54" i="70"/>
  <c r="Z25" i="71"/>
  <c r="D107" i="71"/>
  <c r="L110" i="71"/>
  <c r="N110" i="71" s="1"/>
  <c r="Z50" i="74"/>
  <c r="X50" i="74"/>
  <c r="N53" i="74"/>
  <c r="Z50" i="69"/>
  <c r="T12" i="71"/>
  <c r="X15" i="75"/>
  <c r="P12" i="75"/>
  <c r="L15" i="68"/>
  <c r="N15" i="68" s="1"/>
  <c r="L19" i="68"/>
  <c r="L23" i="68"/>
  <c r="N23" i="68" s="1"/>
  <c r="L27" i="68"/>
  <c r="L31" i="68"/>
  <c r="N31" i="68" s="1"/>
  <c r="L18" i="69"/>
  <c r="Z19" i="69"/>
  <c r="X26" i="69"/>
  <c r="Z47" i="69"/>
  <c r="X50" i="69"/>
  <c r="N127" i="69"/>
  <c r="N18" i="70"/>
  <c r="Z28" i="70"/>
  <c r="X52" i="70"/>
  <c r="Z52" i="70" s="1"/>
  <c r="Z56" i="70"/>
  <c r="Z58" i="70"/>
  <c r="P83" i="70"/>
  <c r="X83" i="70" s="1"/>
  <c r="X84" i="70"/>
  <c r="Z15" i="71"/>
  <c r="Z19" i="71"/>
  <c r="Z100" i="71"/>
  <c r="Z27" i="72"/>
  <c r="X29" i="69"/>
  <c r="X32" i="69"/>
  <c r="Z35" i="69"/>
  <c r="X44" i="69"/>
  <c r="Z44" i="69" s="1"/>
  <c r="X127" i="69"/>
  <c r="Z127" i="69" s="1"/>
  <c r="L12" i="70"/>
  <c r="N14" i="70"/>
  <c r="X20" i="70"/>
  <c r="Z22" i="70"/>
  <c r="Z24" i="70"/>
  <c r="N36" i="70"/>
  <c r="Z84" i="70"/>
  <c r="T83" i="70"/>
  <c r="N28" i="71"/>
  <c r="X34" i="71"/>
  <c r="Z34" i="71" s="1"/>
  <c r="Z36" i="71"/>
  <c r="L94" i="71"/>
  <c r="N94" i="71" s="1"/>
  <c r="Z43" i="72"/>
  <c r="J65" i="74"/>
  <c r="J66" i="74"/>
  <c r="J57" i="74"/>
  <c r="J70" i="74"/>
  <c r="J62" i="74"/>
  <c r="J49" i="74"/>
  <c r="J37" i="74"/>
  <c r="J33" i="74"/>
  <c r="J23" i="74"/>
  <c r="J50" i="74"/>
  <c r="J38" i="74"/>
  <c r="J28" i="74"/>
  <c r="J24" i="74"/>
  <c r="J22" i="74"/>
  <c r="J59" i="74"/>
  <c r="J55" i="74"/>
  <c r="J51" i="74"/>
  <c r="J39" i="74"/>
  <c r="H20" i="74"/>
  <c r="J40" i="74"/>
  <c r="J34" i="74"/>
  <c r="J67" i="74"/>
  <c r="J63" i="74"/>
  <c r="J41" i="74"/>
  <c r="J29" i="74"/>
  <c r="J25" i="74"/>
  <c r="J42" i="74"/>
  <c r="J60" i="74"/>
  <c r="J56" i="74"/>
  <c r="J52" i="74"/>
  <c r="J43" i="74"/>
  <c r="J35" i="74"/>
  <c r="J44" i="74"/>
  <c r="J30" i="74"/>
  <c r="J26" i="74"/>
  <c r="J16" i="74"/>
  <c r="J58" i="74"/>
  <c r="J54" i="74"/>
  <c r="J47" i="74"/>
  <c r="J31" i="74"/>
  <c r="J27" i="74"/>
  <c r="J64" i="74"/>
  <c r="J74" i="74"/>
  <c r="J68" i="74"/>
  <c r="J32" i="74"/>
  <c r="J48" i="74"/>
  <c r="J61" i="74"/>
  <c r="J46" i="74"/>
  <c r="J36" i="74"/>
  <c r="J18" i="74"/>
  <c r="J53" i="74"/>
  <c r="N35" i="77"/>
  <c r="Z38" i="69"/>
  <c r="Z91" i="69"/>
  <c r="Z111" i="69"/>
  <c r="P12" i="70"/>
  <c r="X16" i="70"/>
  <c r="Z20" i="70"/>
  <c r="X30" i="71"/>
  <c r="J42" i="72"/>
  <c r="J45" i="74"/>
  <c r="Z16" i="70"/>
  <c r="Z30" i="71"/>
  <c r="J53" i="72"/>
  <c r="J43" i="72"/>
  <c r="J37" i="72"/>
  <c r="J27" i="72"/>
  <c r="J44" i="72"/>
  <c r="J32" i="72"/>
  <c r="J28" i="72"/>
  <c r="J26" i="72"/>
  <c r="J24" i="72"/>
  <c r="J63" i="72"/>
  <c r="J45" i="72"/>
  <c r="H24" i="72"/>
  <c r="J19" i="72"/>
  <c r="J67" i="72"/>
  <c r="J61" i="72"/>
  <c r="J55" i="72"/>
  <c r="J33" i="72"/>
  <c r="J29" i="72"/>
  <c r="J60" i="72"/>
  <c r="J56" i="72"/>
  <c r="J59" i="72"/>
  <c r="J47" i="72"/>
  <c r="J39" i="72"/>
  <c r="J58" i="72"/>
  <c r="J48" i="72"/>
  <c r="J34" i="72"/>
  <c r="J30" i="72"/>
  <c r="J51" i="72"/>
  <c r="J41" i="72"/>
  <c r="J31" i="72"/>
  <c r="J17" i="72"/>
  <c r="J18" i="72"/>
  <c r="J49" i="72"/>
  <c r="J40" i="72"/>
  <c r="J62" i="72"/>
  <c r="J54" i="72"/>
  <c r="J52" i="72"/>
  <c r="J35" i="72"/>
  <c r="J21" i="72"/>
  <c r="J50" i="72"/>
  <c r="J22" i="72"/>
  <c r="J20" i="72"/>
  <c r="X18" i="69"/>
  <c r="X28" i="69"/>
  <c r="N81" i="69"/>
  <c r="N25" i="70"/>
  <c r="L27" i="70"/>
  <c r="X36" i="70"/>
  <c r="Z36" i="70" s="1"/>
  <c r="P12" i="71"/>
  <c r="X14" i="71"/>
  <c r="Z24" i="71"/>
  <c r="Z26" i="71"/>
  <c r="Z21" i="69"/>
  <c r="Z34" i="69"/>
  <c r="L42" i="69"/>
  <c r="N42" i="69" s="1"/>
  <c r="Z43" i="69"/>
  <c r="X46" i="69"/>
  <c r="Z46" i="69" s="1"/>
  <c r="Z103" i="69"/>
  <c r="L135" i="69"/>
  <c r="F79" i="70"/>
  <c r="F78" i="70"/>
  <c r="F59" i="70"/>
  <c r="F58" i="70"/>
  <c r="F43" i="70"/>
  <c r="F39" i="70"/>
  <c r="F66" i="70"/>
  <c r="F81" i="70"/>
  <c r="F80" i="70"/>
  <c r="F73" i="70"/>
  <c r="F49" i="70"/>
  <c r="F68" i="70"/>
  <c r="F67" i="70"/>
  <c r="F60" i="70"/>
  <c r="F44" i="70"/>
  <c r="F40" i="70"/>
  <c r="F84" i="70"/>
  <c r="F51" i="70"/>
  <c r="F50" i="70"/>
  <c r="F88" i="70"/>
  <c r="F83" i="70"/>
  <c r="F74" i="70"/>
  <c r="F70" i="70"/>
  <c r="F69" i="70"/>
  <c r="F62" i="70"/>
  <c r="F61" i="70"/>
  <c r="F46" i="70"/>
  <c r="F45" i="70"/>
  <c r="F53" i="70"/>
  <c r="F52" i="70"/>
  <c r="F41" i="70"/>
  <c r="F37" i="70"/>
  <c r="F36" i="70"/>
  <c r="F64" i="70"/>
  <c r="F63" i="70"/>
  <c r="F35" i="70"/>
  <c r="F31" i="70"/>
  <c r="F77" i="70"/>
  <c r="F76" i="70"/>
  <c r="F65" i="70"/>
  <c r="F57" i="70"/>
  <c r="F56" i="70"/>
  <c r="L23" i="70"/>
  <c r="N23" i="70" s="1"/>
  <c r="X25" i="70"/>
  <c r="Z25" i="70" s="1"/>
  <c r="F47" i="70"/>
  <c r="X67" i="70"/>
  <c r="Z67" i="70" s="1"/>
  <c r="N76" i="70"/>
  <c r="L78" i="70"/>
  <c r="Z14" i="71"/>
  <c r="Z16" i="71"/>
  <c r="X18" i="71"/>
  <c r="Z18" i="71" s="1"/>
  <c r="Z20" i="71"/>
  <c r="Z22" i="71"/>
  <c r="N33" i="71"/>
  <c r="L37" i="71"/>
  <c r="J38" i="72"/>
  <c r="X14" i="73"/>
  <c r="V32" i="78"/>
  <c r="V24" i="78"/>
  <c r="V26" i="78"/>
  <c r="V15" i="78"/>
  <c r="V28" i="78"/>
  <c r="V21" i="78"/>
  <c r="V20" i="78"/>
  <c r="V16" i="78"/>
  <c r="T18" i="78"/>
  <c r="V23" i="78"/>
  <c r="V22" i="78"/>
  <c r="V25" i="78"/>
  <c r="X12" i="78"/>
  <c r="Z12" i="78" s="1"/>
  <c r="Z37" i="69"/>
  <c r="Z113" i="69"/>
  <c r="H12" i="70"/>
  <c r="N15" i="70"/>
  <c r="X21" i="70"/>
  <c r="N29" i="71"/>
  <c r="X35" i="71"/>
  <c r="Z35" i="71" s="1"/>
  <c r="Z76" i="71"/>
  <c r="Z80" i="71"/>
  <c r="J36" i="72"/>
  <c r="R66" i="73"/>
  <c r="R65" i="73"/>
  <c r="R54" i="73"/>
  <c r="R53" i="73"/>
  <c r="R46" i="73"/>
  <c r="R45" i="73"/>
  <c r="R17" i="73"/>
  <c r="R60" i="73"/>
  <c r="R36" i="73"/>
  <c r="R67" i="73"/>
  <c r="R55" i="73"/>
  <c r="R48" i="73"/>
  <c r="R47" i="73"/>
  <c r="R32" i="73"/>
  <c r="R31" i="73"/>
  <c r="R27" i="73"/>
  <c r="R69" i="73"/>
  <c r="R23" i="73"/>
  <c r="R61" i="73"/>
  <c r="R49" i="73"/>
  <c r="R38" i="73"/>
  <c r="R37" i="73"/>
  <c r="R33" i="73"/>
  <c r="R22" i="73"/>
  <c r="R56" i="73"/>
  <c r="R28" i="73"/>
  <c r="R24" i="73"/>
  <c r="P20" i="73"/>
  <c r="R73" i="73"/>
  <c r="R40" i="73"/>
  <c r="R39" i="73"/>
  <c r="R62" i="73"/>
  <c r="R50" i="73"/>
  <c r="R34" i="73"/>
  <c r="R64" i="73"/>
  <c r="R63" i="73"/>
  <c r="R59" i="73"/>
  <c r="R52" i="73"/>
  <c r="R51" i="73"/>
  <c r="R44" i="73"/>
  <c r="R43" i="73"/>
  <c r="R35" i="73"/>
  <c r="R16" i="73"/>
  <c r="R29" i="73"/>
  <c r="R25" i="73"/>
  <c r="R41" i="73"/>
  <c r="R57" i="73"/>
  <c r="R30" i="73"/>
  <c r="R18" i="73"/>
  <c r="R26" i="73"/>
  <c r="R42" i="73"/>
  <c r="Z14" i="73"/>
  <c r="F43" i="71"/>
  <c r="F47" i="71"/>
  <c r="F51" i="71"/>
  <c r="X80" i="71"/>
  <c r="L48" i="72"/>
  <c r="L22" i="73"/>
  <c r="N22" i="73" s="1"/>
  <c r="N44" i="73"/>
  <c r="Z52" i="73"/>
  <c r="P133" i="69"/>
  <c r="X133" i="69" s="1"/>
  <c r="Z133" i="69" s="1"/>
  <c r="F108" i="71"/>
  <c r="F91" i="71"/>
  <c r="F83" i="71"/>
  <c r="F82" i="71"/>
  <c r="F107" i="71"/>
  <c r="F98" i="71"/>
  <c r="F74" i="71"/>
  <c r="F93" i="71"/>
  <c r="F92" i="71"/>
  <c r="F69" i="71"/>
  <c r="F99" i="71"/>
  <c r="F95" i="71"/>
  <c r="F94" i="71"/>
  <c r="F75" i="71"/>
  <c r="F71" i="71"/>
  <c r="F70" i="71"/>
  <c r="F101" i="71"/>
  <c r="F100" i="71"/>
  <c r="F77" i="71"/>
  <c r="F76" i="71"/>
  <c r="F115" i="71"/>
  <c r="F110" i="71"/>
  <c r="F105" i="71"/>
  <c r="F104" i="71"/>
  <c r="F97" i="71"/>
  <c r="F81" i="71"/>
  <c r="F80" i="71"/>
  <c r="F73" i="71"/>
  <c r="F42" i="71"/>
  <c r="F46" i="71"/>
  <c r="F50" i="71"/>
  <c r="F54" i="71"/>
  <c r="N70" i="71"/>
  <c r="F72" i="71"/>
  <c r="Z82" i="71"/>
  <c r="F96" i="71"/>
  <c r="Z104" i="71"/>
  <c r="R68" i="74"/>
  <c r="R72" i="74"/>
  <c r="R70" i="74"/>
  <c r="R51" i="74"/>
  <c r="R74" i="74"/>
  <c r="R79" i="74"/>
  <c r="R76" i="74"/>
  <c r="R34" i="74"/>
  <c r="R63" i="74"/>
  <c r="R42" i="74"/>
  <c r="R41" i="74"/>
  <c r="R29" i="74"/>
  <c r="R25" i="74"/>
  <c r="R67" i="74"/>
  <c r="R60" i="74"/>
  <c r="R52" i="74"/>
  <c r="R44" i="74"/>
  <c r="R43" i="74"/>
  <c r="R35" i="74"/>
  <c r="R16" i="74"/>
  <c r="R56" i="74"/>
  <c r="R53" i="74"/>
  <c r="R30" i="74"/>
  <c r="R26" i="74"/>
  <c r="R57" i="74"/>
  <c r="R46" i="74"/>
  <c r="R45" i="74"/>
  <c r="R17" i="74"/>
  <c r="R64" i="74"/>
  <c r="R61" i="74"/>
  <c r="R36" i="74"/>
  <c r="X12" i="74"/>
  <c r="Z12" i="74" s="1"/>
  <c r="R65" i="74"/>
  <c r="R58" i="74"/>
  <c r="R54" i="74"/>
  <c r="R48" i="74"/>
  <c r="R47" i="74"/>
  <c r="R32" i="74"/>
  <c r="R31" i="74"/>
  <c r="R27" i="74"/>
  <c r="R28" i="74"/>
  <c r="R24" i="74"/>
  <c r="P20" i="74"/>
  <c r="Z23" i="74"/>
  <c r="V29" i="75"/>
  <c r="V18" i="75"/>
  <c r="V25" i="75"/>
  <c r="V23" i="75"/>
  <c r="V19" i="75"/>
  <c r="T21" i="75"/>
  <c r="Z15" i="75"/>
  <c r="R53" i="76"/>
  <c r="D83" i="70"/>
  <c r="F61" i="71"/>
  <c r="N76" i="71"/>
  <c r="F87" i="71"/>
  <c r="Z92" i="71"/>
  <c r="Z94" i="71"/>
  <c r="X110" i="71"/>
  <c r="N14" i="72"/>
  <c r="L17" i="72"/>
  <c r="N17" i="72" s="1"/>
  <c r="H12" i="73"/>
  <c r="N13" i="73"/>
  <c r="N16" i="73"/>
  <c r="Z22" i="73"/>
  <c r="N32" i="73"/>
  <c r="Z42" i="73"/>
  <c r="R33" i="74"/>
  <c r="Z13" i="75"/>
  <c r="R30" i="76"/>
  <c r="R51" i="76"/>
  <c r="R60" i="76"/>
  <c r="Z25" i="77"/>
  <c r="X37" i="77"/>
  <c r="Z37" i="77" s="1"/>
  <c r="F63" i="71"/>
  <c r="Z70" i="71"/>
  <c r="F103" i="71"/>
  <c r="Z110" i="71"/>
  <c r="L44" i="74"/>
  <c r="N44" i="74" s="1"/>
  <c r="F19" i="75"/>
  <c r="F25" i="75"/>
  <c r="F23" i="75"/>
  <c r="F29" i="75"/>
  <c r="D21" i="75"/>
  <c r="F21" i="75" s="1"/>
  <c r="F17" i="75"/>
  <c r="Z21" i="77"/>
  <c r="X33" i="77"/>
  <c r="Z33" i="77" s="1"/>
  <c r="H83" i="70"/>
  <c r="F41" i="71"/>
  <c r="F45" i="71"/>
  <c r="F49" i="71"/>
  <c r="F53" i="71"/>
  <c r="L59" i="71"/>
  <c r="N59" i="71" s="1"/>
  <c r="F60" i="71"/>
  <c r="F78" i="71"/>
  <c r="F90" i="71"/>
  <c r="H107" i="71"/>
  <c r="N35" i="72"/>
  <c r="L59" i="72"/>
  <c r="D58" i="72"/>
  <c r="L58" i="72" s="1"/>
  <c r="N58" i="72" s="1"/>
  <c r="Z63" i="72"/>
  <c r="Z16" i="73"/>
  <c r="L23" i="73"/>
  <c r="Z32" i="73"/>
  <c r="N64" i="73"/>
  <c r="F64" i="74"/>
  <c r="F55" i="74"/>
  <c r="F68" i="74"/>
  <c r="F67" i="74"/>
  <c r="F56" i="74"/>
  <c r="F65" i="74"/>
  <c r="F18" i="74"/>
  <c r="F62" i="74"/>
  <c r="F49" i="74"/>
  <c r="F48" i="74"/>
  <c r="F37" i="74"/>
  <c r="F33" i="74"/>
  <c r="F32" i="74"/>
  <c r="F70" i="74"/>
  <c r="F66" i="74"/>
  <c r="F28" i="74"/>
  <c r="F24" i="74"/>
  <c r="F23" i="74"/>
  <c r="F59" i="74"/>
  <c r="F51" i="74"/>
  <c r="F50" i="74"/>
  <c r="F39" i="74"/>
  <c r="F38" i="74"/>
  <c r="F22" i="74"/>
  <c r="F20" i="74"/>
  <c r="F34" i="74"/>
  <c r="D20" i="74"/>
  <c r="F76" i="74"/>
  <c r="F72" i="74"/>
  <c r="F63" i="74"/>
  <c r="F41" i="74"/>
  <c r="F40" i="74"/>
  <c r="F29" i="74"/>
  <c r="F25" i="74"/>
  <c r="F60" i="74"/>
  <c r="F52" i="74"/>
  <c r="F43" i="74"/>
  <c r="F42" i="74"/>
  <c r="F35" i="74"/>
  <c r="F74" i="74"/>
  <c r="F61" i="74"/>
  <c r="F57" i="74"/>
  <c r="F53" i="74"/>
  <c r="F36" i="74"/>
  <c r="L12" i="74"/>
  <c r="N12" i="74" s="1"/>
  <c r="L16" i="74"/>
  <c r="X22" i="74"/>
  <c r="Z22" i="74" s="1"/>
  <c r="N40" i="74"/>
  <c r="Z67" i="74"/>
  <c r="X44" i="76"/>
  <c r="Z44" i="76" s="1"/>
  <c r="Z13" i="71"/>
  <c r="F59" i="71"/>
  <c r="F65" i="71"/>
  <c r="F67" i="71"/>
  <c r="N78" i="71"/>
  <c r="D12" i="72"/>
  <c r="L13" i="72"/>
  <c r="N13" i="72" s="1"/>
  <c r="T12" i="73"/>
  <c r="N13" i="74"/>
  <c r="R22" i="74"/>
  <c r="R69" i="76"/>
  <c r="R45" i="76"/>
  <c r="R17" i="76"/>
  <c r="R77" i="76"/>
  <c r="R76" i="76"/>
  <c r="R57" i="76"/>
  <c r="R56" i="76"/>
  <c r="R36" i="76"/>
  <c r="X12" i="76"/>
  <c r="R63" i="76"/>
  <c r="R32" i="76"/>
  <c r="R31" i="76"/>
  <c r="R27" i="76"/>
  <c r="R78" i="76"/>
  <c r="R70" i="76"/>
  <c r="R58" i="76"/>
  <c r="R47" i="76"/>
  <c r="R46" i="76"/>
  <c r="R82" i="76"/>
  <c r="R80" i="76"/>
  <c r="R38" i="76"/>
  <c r="R37" i="76"/>
  <c r="R33" i="76"/>
  <c r="R22" i="76"/>
  <c r="R20" i="76"/>
  <c r="R65" i="76"/>
  <c r="R64" i="76"/>
  <c r="R49" i="76"/>
  <c r="R48" i="76"/>
  <c r="R28" i="76"/>
  <c r="R24" i="76"/>
  <c r="P20" i="76"/>
  <c r="R71" i="76"/>
  <c r="R59" i="76"/>
  <c r="R84" i="76"/>
  <c r="R67" i="76"/>
  <c r="R89" i="76"/>
  <c r="R86" i="76"/>
  <c r="R42" i="76"/>
  <c r="R41" i="76"/>
  <c r="R29" i="76"/>
  <c r="R25" i="76"/>
  <c r="R75" i="76"/>
  <c r="R73" i="76"/>
  <c r="R40" i="76"/>
  <c r="R18" i="76"/>
  <c r="R23" i="76"/>
  <c r="R54" i="76"/>
  <c r="R16" i="76"/>
  <c r="R61" i="76"/>
  <c r="R52" i="76"/>
  <c r="R43" i="76"/>
  <c r="R34" i="76"/>
  <c r="R68" i="76"/>
  <c r="R74" i="76"/>
  <c r="R72" i="76"/>
  <c r="R50" i="76"/>
  <c r="R62" i="76"/>
  <c r="R35" i="76"/>
  <c r="Z75" i="76"/>
  <c r="X75" i="76"/>
  <c r="T12" i="77"/>
  <c r="X13" i="77"/>
  <c r="L17" i="70"/>
  <c r="L21" i="70"/>
  <c r="L25" i="70"/>
  <c r="L29" i="70"/>
  <c r="N29" i="70" s="1"/>
  <c r="L19" i="71"/>
  <c r="N19" i="71" s="1"/>
  <c r="L23" i="71"/>
  <c r="N23" i="71" s="1"/>
  <c r="L27" i="71"/>
  <c r="L31" i="71"/>
  <c r="L35" i="71"/>
  <c r="D57" i="71"/>
  <c r="X76" i="71"/>
  <c r="N100" i="71"/>
  <c r="F111" i="71"/>
  <c r="X17" i="72"/>
  <c r="Z17" i="72" s="1"/>
  <c r="Z41" i="72"/>
  <c r="N45" i="72"/>
  <c r="N59" i="72"/>
  <c r="D71" i="73"/>
  <c r="N23" i="73"/>
  <c r="Z64" i="73"/>
  <c r="N16" i="74"/>
  <c r="F30" i="74"/>
  <c r="R38" i="74"/>
  <c r="R40" i="74"/>
  <c r="N57" i="74"/>
  <c r="V76" i="76"/>
  <c r="V56" i="76"/>
  <c r="V36" i="76"/>
  <c r="V32" i="76"/>
  <c r="Z12" i="76"/>
  <c r="V63" i="76"/>
  <c r="V47" i="76"/>
  <c r="V31" i="76"/>
  <c r="V27" i="76"/>
  <c r="V23" i="76"/>
  <c r="V80" i="76"/>
  <c r="V78" i="76"/>
  <c r="V70" i="76"/>
  <c r="V58" i="76"/>
  <c r="V46" i="76"/>
  <c r="V38" i="76"/>
  <c r="V22" i="76"/>
  <c r="V18" i="76"/>
  <c r="V65" i="76"/>
  <c r="V49" i="76"/>
  <c r="V37" i="76"/>
  <c r="V64" i="76"/>
  <c r="V48" i="76"/>
  <c r="V40" i="76"/>
  <c r="V28" i="76"/>
  <c r="V24" i="76"/>
  <c r="V71" i="76"/>
  <c r="V67" i="76"/>
  <c r="V59" i="76"/>
  <c r="V51" i="76"/>
  <c r="V39" i="76"/>
  <c r="V84" i="76"/>
  <c r="V66" i="76"/>
  <c r="V50" i="76"/>
  <c r="V73" i="76"/>
  <c r="V72" i="76"/>
  <c r="V68" i="76"/>
  <c r="V60" i="76"/>
  <c r="V52" i="76"/>
  <c r="V44" i="76"/>
  <c r="V16" i="76"/>
  <c r="V33" i="76"/>
  <c r="V69" i="76"/>
  <c r="V61" i="76"/>
  <c r="V54" i="76"/>
  <c r="V29" i="76"/>
  <c r="V25" i="76"/>
  <c r="V45" i="76"/>
  <c r="V43" i="76"/>
  <c r="V34" i="76"/>
  <c r="T20" i="76"/>
  <c r="V74" i="76"/>
  <c r="V57" i="76"/>
  <c r="V55" i="76"/>
  <c r="V41" i="76"/>
  <c r="V53" i="76"/>
  <c r="V30" i="76"/>
  <c r="V26" i="76"/>
  <c r="V75" i="76"/>
  <c r="Z13" i="77"/>
  <c r="Z78" i="77"/>
  <c r="N13" i="70"/>
  <c r="F39" i="71"/>
  <c r="F40" i="71"/>
  <c r="F44" i="71"/>
  <c r="F48" i="71"/>
  <c r="F52" i="71"/>
  <c r="F57" i="71"/>
  <c r="N80" i="71"/>
  <c r="F86" i="71"/>
  <c r="F89" i="71"/>
  <c r="T24" i="72"/>
  <c r="N27" i="72"/>
  <c r="Z35" i="72"/>
  <c r="P58" i="72"/>
  <c r="X58" i="72" s="1"/>
  <c r="R18" i="74"/>
  <c r="X38" i="74"/>
  <c r="Z38" i="74" s="1"/>
  <c r="R59" i="74"/>
  <c r="V17" i="75"/>
  <c r="H27" i="75"/>
  <c r="L13" i="76"/>
  <c r="N13" i="76" s="1"/>
  <c r="D12" i="76"/>
  <c r="R26" i="76"/>
  <c r="H12" i="79"/>
  <c r="F85" i="71"/>
  <c r="F102" i="71"/>
  <c r="Z108" i="71"/>
  <c r="T107" i="71"/>
  <c r="N15" i="72"/>
  <c r="Z45" i="72"/>
  <c r="N38" i="73"/>
  <c r="N52" i="73"/>
  <c r="F45" i="74"/>
  <c r="Z46" i="74"/>
  <c r="R50" i="74"/>
  <c r="L53" i="74"/>
  <c r="H12" i="76"/>
  <c r="N57" i="76"/>
  <c r="R66" i="76"/>
  <c r="V19" i="72"/>
  <c r="V55" i="72"/>
  <c r="V61" i="72"/>
  <c r="F20" i="73"/>
  <c r="F22" i="73"/>
  <c r="F38" i="73"/>
  <c r="F39" i="73"/>
  <c r="F73" i="73"/>
  <c r="V39" i="74"/>
  <c r="V55" i="74"/>
  <c r="J19" i="75"/>
  <c r="J27" i="75"/>
  <c r="J25" i="75"/>
  <c r="J23" i="75"/>
  <c r="J21" i="75"/>
  <c r="J29" i="75"/>
  <c r="N15" i="75"/>
  <c r="Z22" i="76"/>
  <c r="L32" i="76"/>
  <c r="N32" i="76" s="1"/>
  <c r="Z42" i="76"/>
  <c r="N55" i="76"/>
  <c r="Z67" i="76"/>
  <c r="Z61" i="77"/>
  <c r="Z99" i="77"/>
  <c r="Z103" i="77"/>
  <c r="Z123" i="77"/>
  <c r="L15" i="78"/>
  <c r="V18" i="72"/>
  <c r="V22" i="72"/>
  <c r="V26" i="72"/>
  <c r="V42" i="72"/>
  <c r="F18" i="73"/>
  <c r="V62" i="74"/>
  <c r="V58" i="74"/>
  <c r="V63" i="74"/>
  <c r="V59" i="74"/>
  <c r="V18" i="74"/>
  <c r="V20" i="74"/>
  <c r="V22" i="74"/>
  <c r="V38" i="74"/>
  <c r="V50" i="74"/>
  <c r="V74" i="74"/>
  <c r="X18" i="78"/>
  <c r="P97" i="81"/>
  <c r="V27" i="72"/>
  <c r="V31" i="72"/>
  <c r="V43" i="72"/>
  <c r="V51" i="72"/>
  <c r="F27" i="73"/>
  <c r="F31" i="73"/>
  <c r="F46" i="73"/>
  <c r="F47" i="73"/>
  <c r="F54" i="73"/>
  <c r="F55" i="73"/>
  <c r="F66" i="73"/>
  <c r="F67" i="73"/>
  <c r="V23" i="74"/>
  <c r="V27" i="74"/>
  <c r="V31" i="74"/>
  <c r="V47" i="74"/>
  <c r="V54" i="74"/>
  <c r="Z65" i="74"/>
  <c r="L67" i="74"/>
  <c r="V68" i="74"/>
  <c r="N14" i="75"/>
  <c r="L16" i="76"/>
  <c r="N23" i="76"/>
  <c r="N18" i="77"/>
  <c r="N22" i="77"/>
  <c r="N71" i="77"/>
  <c r="J28" i="78"/>
  <c r="F60" i="73"/>
  <c r="V36" i="74"/>
  <c r="V48" i="74"/>
  <c r="X53" i="74"/>
  <c r="Z53" i="74" s="1"/>
  <c r="V61" i="74"/>
  <c r="V64" i="74"/>
  <c r="V65" i="74"/>
  <c r="N67" i="74"/>
  <c r="N16" i="76"/>
  <c r="L62" i="77"/>
  <c r="N62" i="77" s="1"/>
  <c r="N93" i="77"/>
  <c r="Z15" i="78"/>
  <c r="R23" i="78"/>
  <c r="L28" i="78"/>
  <c r="V17" i="72"/>
  <c r="V21" i="72"/>
  <c r="V41" i="72"/>
  <c r="V49" i="72"/>
  <c r="X13" i="73"/>
  <c r="Z13" i="73" s="1"/>
  <c r="F16" i="73"/>
  <c r="F17" i="73"/>
  <c r="F44" i="73"/>
  <c r="F45" i="73"/>
  <c r="F52" i="73"/>
  <c r="F53" i="73"/>
  <c r="F64" i="73"/>
  <c r="F65" i="73"/>
  <c r="V17" i="74"/>
  <c r="V45" i="74"/>
  <c r="J17" i="75"/>
  <c r="N40" i="76"/>
  <c r="N47" i="76"/>
  <c r="N65" i="76"/>
  <c r="P12" i="77"/>
  <c r="Z14" i="77"/>
  <c r="Z18" i="77"/>
  <c r="Z22" i="77"/>
  <c r="N34" i="77"/>
  <c r="Z87" i="77"/>
  <c r="Z89" i="77"/>
  <c r="Z23" i="78"/>
  <c r="X23" i="78"/>
  <c r="V56" i="74"/>
  <c r="V57" i="74"/>
  <c r="L110" i="77"/>
  <c r="N110" i="77" s="1"/>
  <c r="N119" i="77"/>
  <c r="L123" i="77"/>
  <c r="Z39" i="79"/>
  <c r="V35" i="72"/>
  <c r="V39" i="72"/>
  <c r="V47" i="72"/>
  <c r="F35" i="73"/>
  <c r="F42" i="73"/>
  <c r="F43" i="73"/>
  <c r="F51" i="73"/>
  <c r="F58" i="73"/>
  <c r="F59" i="73"/>
  <c r="F63" i="73"/>
  <c r="V35" i="74"/>
  <c r="V43" i="74"/>
  <c r="V52" i="74"/>
  <c r="V53" i="74"/>
  <c r="X57" i="74"/>
  <c r="Z57" i="74" s="1"/>
  <c r="V60" i="74"/>
  <c r="X14" i="75"/>
  <c r="Z14" i="75" s="1"/>
  <c r="L23" i="75"/>
  <c r="L40" i="76"/>
  <c r="N49" i="76"/>
  <c r="Z65" i="76"/>
  <c r="N77" i="76"/>
  <c r="D12" i="77"/>
  <c r="L15" i="77"/>
  <c r="L19" i="77"/>
  <c r="L23" i="77"/>
  <c r="L27" i="77"/>
  <c r="N27" i="77" s="1"/>
  <c r="N82" i="77"/>
  <c r="Z95" i="77"/>
  <c r="N117" i="77"/>
  <c r="F28" i="78"/>
  <c r="F22" i="78"/>
  <c r="F21" i="78"/>
  <c r="F20" i="78"/>
  <c r="D18" i="78"/>
  <c r="L12" i="78"/>
  <c r="F24" i="78"/>
  <c r="F23" i="78"/>
  <c r="F32" i="78"/>
  <c r="F26" i="78"/>
  <c r="F25" i="78"/>
  <c r="P30" i="78"/>
  <c r="P12" i="79"/>
  <c r="X14" i="79"/>
  <c r="V20" i="72"/>
  <c r="V48" i="72"/>
  <c r="V56" i="72"/>
  <c r="V58" i="72"/>
  <c r="F75" i="73"/>
  <c r="F78" i="73"/>
  <c r="L13" i="74"/>
  <c r="V16" i="74"/>
  <c r="V44" i="74"/>
  <c r="H12" i="77"/>
  <c r="N15" i="77"/>
  <c r="N19" i="77"/>
  <c r="L40" i="77"/>
  <c r="N40" i="77" s="1"/>
  <c r="X78" i="77"/>
  <c r="N103" i="77"/>
  <c r="N107" i="77"/>
  <c r="X117" i="77"/>
  <c r="Z117" i="77" s="1"/>
  <c r="N121" i="77"/>
  <c r="N123" i="77"/>
  <c r="J26" i="78"/>
  <c r="J30" i="78"/>
  <c r="J37" i="78"/>
  <c r="J34" i="78"/>
  <c r="J22" i="78"/>
  <c r="J20" i="78"/>
  <c r="J18" i="78"/>
  <c r="H18" i="78"/>
  <c r="J23" i="78"/>
  <c r="N12" i="78"/>
  <c r="J24" i="78"/>
  <c r="J32" i="78"/>
  <c r="J25" i="78"/>
  <c r="V29" i="72"/>
  <c r="V33" i="72"/>
  <c r="V59" i="72"/>
  <c r="V67" i="72"/>
  <c r="F25" i="73"/>
  <c r="F29" i="73"/>
  <c r="F40" i="73"/>
  <c r="F41" i="73"/>
  <c r="V25" i="74"/>
  <c r="V29" i="74"/>
  <c r="V41" i="74"/>
  <c r="V67" i="74"/>
  <c r="Z17" i="75"/>
  <c r="Z49" i="76"/>
  <c r="L35" i="77"/>
  <c r="Z80" i="77"/>
  <c r="R24" i="78"/>
  <c r="R25" i="78"/>
  <c r="R32" i="78"/>
  <c r="R26" i="78"/>
  <c r="R15" i="78"/>
  <c r="R28" i="78"/>
  <c r="R21" i="78"/>
  <c r="R16" i="78"/>
  <c r="R20" i="78"/>
  <c r="R18" i="78"/>
  <c r="D12" i="79"/>
  <c r="L13" i="79"/>
  <c r="N13" i="79" s="1"/>
  <c r="Z14" i="79"/>
  <c r="D12" i="80"/>
  <c r="L13" i="80"/>
  <c r="N13" i="80" s="1"/>
  <c r="X69" i="80"/>
  <c r="Z69" i="80" s="1"/>
  <c r="V94" i="85"/>
  <c r="V80" i="85"/>
  <c r="V76" i="85"/>
  <c r="V72" i="85"/>
  <c r="V60" i="85"/>
  <c r="V52" i="85"/>
  <c r="V40" i="85"/>
  <c r="V16" i="85"/>
  <c r="V71" i="85"/>
  <c r="V51" i="85"/>
  <c r="V43" i="85"/>
  <c r="V35" i="85"/>
  <c r="V82" i="85"/>
  <c r="V66" i="85"/>
  <c r="V54" i="85"/>
  <c r="V42" i="85"/>
  <c r="V30" i="85"/>
  <c r="V26" i="85"/>
  <c r="V81" i="85"/>
  <c r="V77" i="85"/>
  <c r="V73" i="85"/>
  <c r="V61" i="85"/>
  <c r="V53" i="85"/>
  <c r="V45" i="85"/>
  <c r="V84" i="85"/>
  <c r="V56" i="85"/>
  <c r="V44" i="85"/>
  <c r="V36" i="85"/>
  <c r="V32" i="85"/>
  <c r="V83" i="85"/>
  <c r="V67" i="85"/>
  <c r="V63" i="85"/>
  <c r="V55" i="85"/>
  <c r="V31" i="85"/>
  <c r="V27" i="85"/>
  <c r="V23" i="85"/>
  <c r="V86" i="85"/>
  <c r="V78" i="85"/>
  <c r="V74" i="85"/>
  <c r="V62" i="85"/>
  <c r="V58" i="85"/>
  <c r="V46" i="85"/>
  <c r="V85" i="85"/>
  <c r="V69" i="85"/>
  <c r="V57" i="85"/>
  <c r="V90" i="85"/>
  <c r="V68" i="85"/>
  <c r="V64" i="85"/>
  <c r="V48" i="85"/>
  <c r="V28" i="85"/>
  <c r="V24" i="85"/>
  <c r="V70" i="85"/>
  <c r="V50" i="85"/>
  <c r="V38" i="85"/>
  <c r="V34" i="85"/>
  <c r="V75" i="85"/>
  <c r="V29" i="85"/>
  <c r="V87" i="85"/>
  <c r="V59" i="85"/>
  <c r="V39" i="85"/>
  <c r="V37" i="85"/>
  <c r="V25" i="85"/>
  <c r="V20" i="85"/>
  <c r="V41" i="85"/>
  <c r="T20" i="85"/>
  <c r="V17" i="85"/>
  <c r="V79" i="85"/>
  <c r="V65" i="85"/>
  <c r="V47" i="85"/>
  <c r="V49" i="85"/>
  <c r="V33" i="85"/>
  <c r="V18" i="85"/>
  <c r="V22" i="85"/>
  <c r="L13" i="78"/>
  <c r="X41" i="79"/>
  <c r="Z41" i="79" s="1"/>
  <c r="Z52" i="79"/>
  <c r="N53" i="80"/>
  <c r="N13" i="78"/>
  <c r="T12" i="79"/>
  <c r="Z22" i="79"/>
  <c r="Z43" i="79"/>
  <c r="V78" i="80"/>
  <c r="V44" i="80"/>
  <c r="V36" i="80"/>
  <c r="V69" i="80"/>
  <c r="V57" i="80"/>
  <c r="V49" i="80"/>
  <c r="V37" i="80"/>
  <c r="V33" i="80"/>
  <c r="V70" i="80"/>
  <c r="V58" i="80"/>
  <c r="V50" i="80"/>
  <c r="V38" i="80"/>
  <c r="V34" i="80"/>
  <c r="V74" i="80"/>
  <c r="V72" i="80"/>
  <c r="V54" i="80"/>
  <c r="V42" i="80"/>
  <c r="V30" i="80"/>
  <c r="V40" i="80"/>
  <c r="V23" i="80"/>
  <c r="X12" i="80"/>
  <c r="Z12" i="80" s="1"/>
  <c r="V66" i="80"/>
  <c r="V52" i="80"/>
  <c r="V27" i="80"/>
  <c r="V22" i="80"/>
  <c r="V18" i="80"/>
  <c r="V71" i="80"/>
  <c r="V64" i="80"/>
  <c r="V62" i="80"/>
  <c r="V59" i="80"/>
  <c r="V55" i="80"/>
  <c r="V48" i="80"/>
  <c r="V45" i="80"/>
  <c r="V41" i="80"/>
  <c r="T20" i="80"/>
  <c r="V20" i="80" s="1"/>
  <c r="V67" i="80"/>
  <c r="V60" i="80"/>
  <c r="V53" i="80"/>
  <c r="V32" i="80"/>
  <c r="V24" i="80"/>
  <c r="V31" i="80"/>
  <c r="V28" i="80"/>
  <c r="V56" i="80"/>
  <c r="V35" i="80"/>
  <c r="V25" i="80"/>
  <c r="V51" i="80"/>
  <c r="V39" i="80"/>
  <c r="V29" i="80"/>
  <c r="V16" i="80"/>
  <c r="V65" i="80"/>
  <c r="V63" i="80"/>
  <c r="V46" i="80"/>
  <c r="L32" i="80"/>
  <c r="L14" i="81"/>
  <c r="L91" i="77"/>
  <c r="N91" i="77" s="1"/>
  <c r="X97" i="77"/>
  <c r="Z97" i="77" s="1"/>
  <c r="L107" i="77"/>
  <c r="L119" i="77"/>
  <c r="X21" i="78"/>
  <c r="Z21" i="78" s="1"/>
  <c r="X28" i="78"/>
  <c r="N16" i="79"/>
  <c r="N37" i="79"/>
  <c r="N32" i="80"/>
  <c r="N14" i="81"/>
  <c r="H16" i="81"/>
  <c r="J69" i="84"/>
  <c r="J65" i="84"/>
  <c r="J57" i="84"/>
  <c r="J47" i="84"/>
  <c r="J37" i="84"/>
  <c r="J33" i="84"/>
  <c r="J70" i="84"/>
  <c r="J58" i="84"/>
  <c r="J71" i="84"/>
  <c r="J59" i="84"/>
  <c r="J49" i="84"/>
  <c r="J73" i="84"/>
  <c r="J61" i="84"/>
  <c r="J51" i="84"/>
  <c r="J39" i="84"/>
  <c r="J29" i="84"/>
  <c r="J25" i="84"/>
  <c r="J62" i="84"/>
  <c r="J52" i="84"/>
  <c r="J40" i="84"/>
  <c r="J79" i="84"/>
  <c r="J43" i="84"/>
  <c r="J55" i="84"/>
  <c r="J63" i="84"/>
  <c r="J38" i="84"/>
  <c r="J18" i="84"/>
  <c r="J53" i="84"/>
  <c r="J44" i="84"/>
  <c r="J23" i="84"/>
  <c r="J50" i="84"/>
  <c r="J22" i="84"/>
  <c r="J68" i="84"/>
  <c r="J36" i="84"/>
  <c r="J27" i="84"/>
  <c r="J24" i="84"/>
  <c r="H20" i="84"/>
  <c r="J45" i="84"/>
  <c r="J66" i="84"/>
  <c r="J56" i="84"/>
  <c r="J42" i="84"/>
  <c r="J30" i="84"/>
  <c r="J64" i="84"/>
  <c r="J34" i="84"/>
  <c r="J48" i="84"/>
  <c r="J75" i="84"/>
  <c r="J54" i="84"/>
  <c r="J28" i="84"/>
  <c r="J16" i="84"/>
  <c r="J35" i="84"/>
  <c r="J67" i="84"/>
  <c r="J17" i="84"/>
  <c r="J60" i="84"/>
  <c r="J26" i="84"/>
  <c r="J31" i="84"/>
  <c r="J32" i="84"/>
  <c r="J46" i="84"/>
  <c r="J41" i="84"/>
  <c r="L12" i="84"/>
  <c r="N12" i="84" s="1"/>
  <c r="J32" i="80"/>
  <c r="L13" i="77"/>
  <c r="L17" i="77"/>
  <c r="L21" i="77"/>
  <c r="N21" i="77" s="1"/>
  <c r="L25" i="77"/>
  <c r="L29" i="77"/>
  <c r="N29" i="77" s="1"/>
  <c r="L33" i="77"/>
  <c r="N33" i="77" s="1"/>
  <c r="L37" i="77"/>
  <c r="X13" i="78"/>
  <c r="Z13" i="78" s="1"/>
  <c r="N57" i="79"/>
  <c r="N59" i="79"/>
  <c r="Z16" i="80"/>
  <c r="N23" i="80"/>
  <c r="N13" i="77"/>
  <c r="N76" i="79"/>
  <c r="L76" i="79"/>
  <c r="V43" i="80"/>
  <c r="Z16" i="79"/>
  <c r="L72" i="81"/>
  <c r="N72" i="81" s="1"/>
  <c r="H20" i="80"/>
  <c r="J28" i="80"/>
  <c r="R29" i="80"/>
  <c r="R33" i="80"/>
  <c r="J35" i="80"/>
  <c r="Z39" i="80"/>
  <c r="N45" i="80"/>
  <c r="Z51" i="80"/>
  <c r="J53" i="80"/>
  <c r="V16" i="81"/>
  <c r="Z44" i="81"/>
  <c r="N48" i="81"/>
  <c r="V57" i="81"/>
  <c r="J70" i="82"/>
  <c r="J64" i="82"/>
  <c r="J52" i="82"/>
  <c r="J40" i="82"/>
  <c r="J71" i="82"/>
  <c r="J59" i="82"/>
  <c r="J53" i="82"/>
  <c r="J54" i="82"/>
  <c r="J42" i="82"/>
  <c r="J30" i="82"/>
  <c r="J26" i="82"/>
  <c r="J16" i="82"/>
  <c r="J73" i="82"/>
  <c r="J65" i="82"/>
  <c r="J43" i="82"/>
  <c r="J60" i="82"/>
  <c r="J44" i="82"/>
  <c r="J36" i="82"/>
  <c r="J77" i="82"/>
  <c r="J61" i="82"/>
  <c r="J55" i="82"/>
  <c r="J45" i="82"/>
  <c r="J31" i="82"/>
  <c r="J27" i="82"/>
  <c r="J66" i="82"/>
  <c r="J62" i="82"/>
  <c r="J46" i="82"/>
  <c r="J32" i="82"/>
  <c r="J47" i="82"/>
  <c r="J56" i="82"/>
  <c r="J48" i="82"/>
  <c r="J28" i="82"/>
  <c r="J24" i="82"/>
  <c r="J22" i="82"/>
  <c r="J68" i="82"/>
  <c r="J58" i="82"/>
  <c r="J50" i="82"/>
  <c r="J38" i="82"/>
  <c r="J34" i="82"/>
  <c r="J49" i="82"/>
  <c r="H20" i="82"/>
  <c r="J20" i="82" s="1"/>
  <c r="J69" i="82"/>
  <c r="J67" i="82"/>
  <c r="J57" i="82"/>
  <c r="J51" i="82"/>
  <c r="J25" i="82"/>
  <c r="J17" i="82"/>
  <c r="J23" i="82"/>
  <c r="J29" i="82"/>
  <c r="J41" i="82"/>
  <c r="J18" i="82"/>
  <c r="J39" i="82"/>
  <c r="J33" i="82"/>
  <c r="J37" i="82"/>
  <c r="J35" i="82"/>
  <c r="H31" i="96"/>
  <c r="N32" i="96"/>
  <c r="L32" i="96"/>
  <c r="R50" i="80"/>
  <c r="N63" i="81"/>
  <c r="R65" i="82"/>
  <c r="R61" i="82"/>
  <c r="R60" i="82"/>
  <c r="R77" i="82"/>
  <c r="R55" i="82"/>
  <c r="R32" i="82"/>
  <c r="R31" i="82"/>
  <c r="R27" i="82"/>
  <c r="R82" i="82"/>
  <c r="R79" i="82"/>
  <c r="R66" i="82"/>
  <c r="R62" i="82"/>
  <c r="R47" i="82"/>
  <c r="R46" i="82"/>
  <c r="R23" i="82"/>
  <c r="R37" i="82"/>
  <c r="R33" i="82"/>
  <c r="R22" i="82"/>
  <c r="R20" i="82"/>
  <c r="R57" i="82"/>
  <c r="R56" i="82"/>
  <c r="R49" i="82"/>
  <c r="R48" i="82"/>
  <c r="R28" i="82"/>
  <c r="R24" i="82"/>
  <c r="P20" i="82"/>
  <c r="R68" i="82"/>
  <c r="R67" i="82"/>
  <c r="R63" i="82"/>
  <c r="R58" i="82"/>
  <c r="R51" i="82"/>
  <c r="R50" i="82"/>
  <c r="R70" i="82"/>
  <c r="R69" i="82"/>
  <c r="R29" i="82"/>
  <c r="R25" i="82"/>
  <c r="R71" i="82"/>
  <c r="R59" i="82"/>
  <c r="R35" i="82"/>
  <c r="R75" i="82"/>
  <c r="R40" i="82"/>
  <c r="R36" i="82"/>
  <c r="R34" i="82"/>
  <c r="R17" i="82"/>
  <c r="R64" i="82"/>
  <c r="R43" i="82"/>
  <c r="R38" i="82"/>
  <c r="R45" i="82"/>
  <c r="R41" i="82"/>
  <c r="R73" i="82"/>
  <c r="R54" i="82"/>
  <c r="R39" i="82"/>
  <c r="R18" i="82"/>
  <c r="R52" i="82"/>
  <c r="R26" i="82"/>
  <c r="X12" i="82"/>
  <c r="Z12" i="82" s="1"/>
  <c r="N18" i="81"/>
  <c r="V24" i="81"/>
  <c r="V43" i="81"/>
  <c r="Z46" i="81"/>
  <c r="R42" i="82"/>
  <c r="J72" i="80"/>
  <c r="J64" i="80"/>
  <c r="J52" i="80"/>
  <c r="J40" i="80"/>
  <c r="J65" i="80"/>
  <c r="J61" i="80"/>
  <c r="J43" i="80"/>
  <c r="J66" i="80"/>
  <c r="J62" i="80"/>
  <c r="J46" i="80"/>
  <c r="J68" i="80"/>
  <c r="J70" i="80"/>
  <c r="J58" i="80"/>
  <c r="J50" i="80"/>
  <c r="J38" i="80"/>
  <c r="J34" i="80"/>
  <c r="J18" i="80"/>
  <c r="R28" i="80"/>
  <c r="R31" i="80"/>
  <c r="R32" i="80"/>
  <c r="J37" i="80"/>
  <c r="R53" i="80"/>
  <c r="J55" i="80"/>
  <c r="J59" i="80"/>
  <c r="R80" i="80"/>
  <c r="F97" i="81"/>
  <c r="F95" i="81"/>
  <c r="F104" i="81"/>
  <c r="F101" i="81"/>
  <c r="F91" i="81"/>
  <c r="F90" i="81"/>
  <c r="F77" i="81"/>
  <c r="F73" i="81"/>
  <c r="F72" i="81"/>
  <c r="F61" i="81"/>
  <c r="F53" i="81"/>
  <c r="F52" i="81"/>
  <c r="F25" i="81"/>
  <c r="F21" i="81"/>
  <c r="F86" i="81"/>
  <c r="F81" i="81"/>
  <c r="F87" i="81"/>
  <c r="F67" i="81"/>
  <c r="F55" i="81"/>
  <c r="F54" i="81"/>
  <c r="F43" i="81"/>
  <c r="F35" i="81"/>
  <c r="F31" i="81"/>
  <c r="F99" i="81"/>
  <c r="F78" i="81"/>
  <c r="F74" i="81"/>
  <c r="F62" i="81"/>
  <c r="F26" i="81"/>
  <c r="F22" i="81"/>
  <c r="F83" i="81"/>
  <c r="F82" i="81"/>
  <c r="F57" i="81"/>
  <c r="F56" i="81"/>
  <c r="F93" i="81"/>
  <c r="F68" i="81"/>
  <c r="F64" i="81"/>
  <c r="F63" i="81"/>
  <c r="F32" i="81"/>
  <c r="F88" i="81"/>
  <c r="F79" i="81"/>
  <c r="F75" i="81"/>
  <c r="F59" i="81"/>
  <c r="F58" i="81"/>
  <c r="F47" i="81"/>
  <c r="F46" i="81"/>
  <c r="F39" i="81"/>
  <c r="F38" i="81"/>
  <c r="F27" i="81"/>
  <c r="F23" i="81"/>
  <c r="F94" i="81"/>
  <c r="F70" i="81"/>
  <c r="F69" i="81"/>
  <c r="F84" i="81"/>
  <c r="F65" i="81"/>
  <c r="F49" i="81"/>
  <c r="F48" i="81"/>
  <c r="F41" i="81"/>
  <c r="F40" i="81"/>
  <c r="F33" i="81"/>
  <c r="F85" i="81"/>
  <c r="F80" i="81"/>
  <c r="F71" i="81"/>
  <c r="F51" i="81"/>
  <c r="F50" i="81"/>
  <c r="F18" i="81"/>
  <c r="F16" i="81"/>
  <c r="F14" i="81"/>
  <c r="Z36" i="81"/>
  <c r="F45" i="81"/>
  <c r="X46" i="81"/>
  <c r="P20" i="80"/>
  <c r="R24" i="80"/>
  <c r="J27" i="80"/>
  <c r="Z32" i="80"/>
  <c r="R41" i="80"/>
  <c r="J44" i="80"/>
  <c r="R45" i="80"/>
  <c r="Z60" i="80"/>
  <c r="R71" i="80"/>
  <c r="J74" i="80"/>
  <c r="V14" i="81"/>
  <c r="V31" i="81"/>
  <c r="L52" i="81"/>
  <c r="N54" i="81"/>
  <c r="T75" i="82"/>
  <c r="R48" i="80"/>
  <c r="R49" i="80"/>
  <c r="R55" i="80"/>
  <c r="V28" i="81"/>
  <c r="X29" i="81"/>
  <c r="Z29" i="81" s="1"/>
  <c r="V63" i="81"/>
  <c r="V67" i="81"/>
  <c r="Z93" i="81"/>
  <c r="V99" i="81"/>
  <c r="Z23" i="83"/>
  <c r="R65" i="80"/>
  <c r="R61" i="80"/>
  <c r="R67" i="80"/>
  <c r="R66" i="80"/>
  <c r="R62" i="80"/>
  <c r="R47" i="80"/>
  <c r="R46" i="80"/>
  <c r="R63" i="80"/>
  <c r="R76" i="80"/>
  <c r="R74" i="80"/>
  <c r="R60" i="80"/>
  <c r="R59" i="80"/>
  <c r="R35" i="80"/>
  <c r="R18" i="80"/>
  <c r="R23" i="80"/>
  <c r="R27" i="80"/>
  <c r="R37" i="80"/>
  <c r="L43" i="80"/>
  <c r="N43" i="80" s="1"/>
  <c r="J47" i="80"/>
  <c r="R52" i="80"/>
  <c r="J69" i="80"/>
  <c r="R70" i="80"/>
  <c r="J78" i="80"/>
  <c r="D16" i="81"/>
  <c r="V35" i="81"/>
  <c r="F37" i="81"/>
  <c r="X38" i="81"/>
  <c r="V45" i="81"/>
  <c r="F60" i="81"/>
  <c r="N22" i="82"/>
  <c r="J63" i="82"/>
  <c r="X48" i="79"/>
  <c r="Z48" i="79" s="1"/>
  <c r="J16" i="80"/>
  <c r="J26" i="80"/>
  <c r="R34" i="80"/>
  <c r="R40" i="80"/>
  <c r="Z41" i="80"/>
  <c r="R44" i="80"/>
  <c r="N47" i="80"/>
  <c r="F20" i="81"/>
  <c r="F30" i="81"/>
  <c r="F44" i="81"/>
  <c r="Z54" i="81"/>
  <c r="X56" i="81"/>
  <c r="Z56" i="81" s="1"/>
  <c r="Z32" i="82"/>
  <c r="X32" i="82"/>
  <c r="V87" i="81"/>
  <c r="V79" i="81"/>
  <c r="V97" i="81"/>
  <c r="V95" i="81"/>
  <c r="V89" i="81"/>
  <c r="V81" i="81"/>
  <c r="V94" i="81"/>
  <c r="V83" i="81"/>
  <c r="V68" i="81"/>
  <c r="V64" i="81"/>
  <c r="V48" i="81"/>
  <c r="V40" i="81"/>
  <c r="V32" i="81"/>
  <c r="Z12" i="81"/>
  <c r="V88" i="81"/>
  <c r="V84" i="81"/>
  <c r="V75" i="81"/>
  <c r="V59" i="81"/>
  <c r="V47" i="81"/>
  <c r="V39" i="81"/>
  <c r="V27" i="81"/>
  <c r="V23" i="81"/>
  <c r="V19" i="81"/>
  <c r="X12" i="81"/>
  <c r="V101" i="81"/>
  <c r="V70" i="81"/>
  <c r="V50" i="81"/>
  <c r="V65" i="81"/>
  <c r="V49" i="81"/>
  <c r="V41" i="81"/>
  <c r="V33" i="81"/>
  <c r="V29" i="81"/>
  <c r="T16" i="81"/>
  <c r="X16" i="81" s="1"/>
  <c r="V90" i="81"/>
  <c r="V76" i="81"/>
  <c r="V72" i="81"/>
  <c r="V60" i="81"/>
  <c r="V52" i="81"/>
  <c r="V104" i="81"/>
  <c r="V80" i="81"/>
  <c r="V71" i="81"/>
  <c r="V51" i="81"/>
  <c r="V86" i="81"/>
  <c r="V85" i="81"/>
  <c r="V66" i="81"/>
  <c r="V54" i="81"/>
  <c r="V42" i="81"/>
  <c r="V34" i="81"/>
  <c r="V30" i="81"/>
  <c r="V77" i="81"/>
  <c r="V73" i="81"/>
  <c r="V61" i="81"/>
  <c r="V91" i="81"/>
  <c r="V82" i="81"/>
  <c r="V56" i="81"/>
  <c r="V44" i="81"/>
  <c r="V36" i="81"/>
  <c r="V78" i="81"/>
  <c r="V74" i="81"/>
  <c r="V62" i="81"/>
  <c r="V58" i="81"/>
  <c r="V46" i="81"/>
  <c r="V38" i="81"/>
  <c r="V26" i="81"/>
  <c r="V22" i="81"/>
  <c r="V18" i="81"/>
  <c r="V37" i="81"/>
  <c r="R17" i="80"/>
  <c r="J29" i="80"/>
  <c r="J33" i="80"/>
  <c r="J42" i="80"/>
  <c r="R43" i="80"/>
  <c r="J63" i="80"/>
  <c r="X74" i="80"/>
  <c r="R78" i="80"/>
  <c r="X58" i="81"/>
  <c r="Z58" i="81" s="1"/>
  <c r="F66" i="81"/>
  <c r="V69" i="81"/>
  <c r="F76" i="81"/>
  <c r="N14" i="82"/>
  <c r="L14" i="82"/>
  <c r="J30" i="81"/>
  <c r="R31" i="81"/>
  <c r="J34" i="81"/>
  <c r="R35" i="81"/>
  <c r="R36" i="81"/>
  <c r="J42" i="81"/>
  <c r="R43" i="81"/>
  <c r="R44" i="81"/>
  <c r="J52" i="81"/>
  <c r="R55" i="81"/>
  <c r="R56" i="81"/>
  <c r="J66" i="81"/>
  <c r="R67" i="81"/>
  <c r="J72" i="81"/>
  <c r="R82" i="81"/>
  <c r="R87" i="81"/>
  <c r="J90" i="81"/>
  <c r="F50" i="83"/>
  <c r="F34" i="83"/>
  <c r="D20" i="83"/>
  <c r="F61" i="83"/>
  <c r="F57" i="83"/>
  <c r="F56" i="83"/>
  <c r="F41" i="83"/>
  <c r="F40" i="83"/>
  <c r="F29" i="83"/>
  <c r="F25" i="83"/>
  <c r="F78" i="83"/>
  <c r="F75" i="83"/>
  <c r="F51" i="83"/>
  <c r="F43" i="83"/>
  <c r="F42" i="83"/>
  <c r="F35" i="83"/>
  <c r="F62" i="83"/>
  <c r="F58" i="83"/>
  <c r="F30" i="83"/>
  <c r="F26" i="83"/>
  <c r="F53" i="83"/>
  <c r="F52" i="83"/>
  <c r="F45" i="83"/>
  <c r="F44" i="83"/>
  <c r="F17" i="83"/>
  <c r="F16" i="83"/>
  <c r="F64" i="83"/>
  <c r="F63" i="83"/>
  <c r="F36" i="83"/>
  <c r="L12" i="83"/>
  <c r="F59" i="83"/>
  <c r="F47" i="83"/>
  <c r="F46" i="83"/>
  <c r="F31" i="83"/>
  <c r="F27" i="83"/>
  <c r="F66" i="83"/>
  <c r="F65" i="83"/>
  <c r="F54" i="83"/>
  <c r="F18" i="83"/>
  <c r="F71" i="83"/>
  <c r="F69" i="83"/>
  <c r="F60" i="83"/>
  <c r="F28" i="83"/>
  <c r="F24" i="83"/>
  <c r="F23" i="83"/>
  <c r="R35" i="83"/>
  <c r="R52" i="83"/>
  <c r="Z22" i="84"/>
  <c r="J50" i="81"/>
  <c r="R53" i="81"/>
  <c r="R54" i="81"/>
  <c r="J60" i="81"/>
  <c r="R61" i="81"/>
  <c r="R73" i="81"/>
  <c r="J76" i="81"/>
  <c r="R77" i="81"/>
  <c r="R86" i="81"/>
  <c r="R66" i="84"/>
  <c r="R51" i="84"/>
  <c r="R50" i="84"/>
  <c r="R39" i="84"/>
  <c r="R38" i="84"/>
  <c r="R34" i="84"/>
  <c r="R73" i="84"/>
  <c r="R62" i="84"/>
  <c r="R61" i="84"/>
  <c r="R75" i="84"/>
  <c r="R53" i="84"/>
  <c r="R52" i="84"/>
  <c r="R41" i="84"/>
  <c r="R40" i="84"/>
  <c r="R54" i="84"/>
  <c r="R43" i="84"/>
  <c r="R42" i="84"/>
  <c r="R30" i="84"/>
  <c r="R26" i="84"/>
  <c r="R79" i="84"/>
  <c r="R47" i="84"/>
  <c r="R46" i="84"/>
  <c r="R68" i="84"/>
  <c r="R55" i="84"/>
  <c r="R36" i="84"/>
  <c r="R27" i="84"/>
  <c r="R24" i="84"/>
  <c r="R56" i="84"/>
  <c r="R45" i="84"/>
  <c r="R71" i="84"/>
  <c r="R64" i="84"/>
  <c r="R59" i="84"/>
  <c r="R48" i="84"/>
  <c r="R25" i="84"/>
  <c r="R16" i="84"/>
  <c r="R37" i="84"/>
  <c r="R28" i="84"/>
  <c r="R72" i="84"/>
  <c r="R67" i="84"/>
  <c r="R31" i="84"/>
  <c r="R17" i="84"/>
  <c r="R69" i="84"/>
  <c r="R49" i="84"/>
  <c r="R35" i="84"/>
  <c r="R32" i="84"/>
  <c r="X12" i="84"/>
  <c r="R60" i="84"/>
  <c r="R57" i="84"/>
  <c r="R70" i="84"/>
  <c r="R44" i="84"/>
  <c r="R29" i="84"/>
  <c r="R22" i="84"/>
  <c r="R20" i="84"/>
  <c r="X41" i="84"/>
  <c r="R63" i="84"/>
  <c r="Z16" i="85"/>
  <c r="R97" i="81"/>
  <c r="V35" i="82"/>
  <c r="R63" i="83"/>
  <c r="R62" i="83"/>
  <c r="R58" i="83"/>
  <c r="R30" i="83"/>
  <c r="R26" i="83"/>
  <c r="R53" i="83"/>
  <c r="R46" i="83"/>
  <c r="R45" i="83"/>
  <c r="R17" i="83"/>
  <c r="R65" i="83"/>
  <c r="R64" i="83"/>
  <c r="R36" i="83"/>
  <c r="X12" i="83"/>
  <c r="R59" i="83"/>
  <c r="R48" i="83"/>
  <c r="R47" i="83"/>
  <c r="R32" i="83"/>
  <c r="R31" i="83"/>
  <c r="R27" i="83"/>
  <c r="R71" i="83"/>
  <c r="R69" i="83"/>
  <c r="R66" i="83"/>
  <c r="R54" i="83"/>
  <c r="R23" i="83"/>
  <c r="R18" i="83"/>
  <c r="R68" i="83"/>
  <c r="R49" i="83"/>
  <c r="R38" i="83"/>
  <c r="R37" i="83"/>
  <c r="R33" i="83"/>
  <c r="R22" i="83"/>
  <c r="R20" i="83"/>
  <c r="R60" i="83"/>
  <c r="R28" i="83"/>
  <c r="R24" i="83"/>
  <c r="P20" i="83"/>
  <c r="R73" i="83"/>
  <c r="R56" i="83"/>
  <c r="R55" i="83"/>
  <c r="R40" i="83"/>
  <c r="R39" i="83"/>
  <c r="R78" i="83"/>
  <c r="R75" i="83"/>
  <c r="R50" i="83"/>
  <c r="R34" i="83"/>
  <c r="R16" i="83"/>
  <c r="Z41" i="84"/>
  <c r="J97" i="81"/>
  <c r="J95" i="81"/>
  <c r="J91" i="81"/>
  <c r="J83" i="81"/>
  <c r="J99" i="81"/>
  <c r="J93" i="81"/>
  <c r="J85" i="81"/>
  <c r="J40" i="81"/>
  <c r="J48" i="81"/>
  <c r="R51" i="81"/>
  <c r="R52" i="81"/>
  <c r="J70" i="81"/>
  <c r="R71" i="81"/>
  <c r="R72" i="81"/>
  <c r="R80" i="81"/>
  <c r="J84" i="81"/>
  <c r="R90" i="81"/>
  <c r="D93" i="81"/>
  <c r="L93" i="81" s="1"/>
  <c r="J101" i="81"/>
  <c r="V31" i="82"/>
  <c r="N68" i="82"/>
  <c r="T12" i="83"/>
  <c r="R44" i="83"/>
  <c r="F68" i="83"/>
  <c r="N16" i="84"/>
  <c r="R18" i="84"/>
  <c r="J69" i="81"/>
  <c r="J75" i="81"/>
  <c r="J79" i="81"/>
  <c r="X86" i="81"/>
  <c r="Z86" i="81" s="1"/>
  <c r="J88" i="81"/>
  <c r="J94" i="81"/>
  <c r="L13" i="82"/>
  <c r="N13" i="82" s="1"/>
  <c r="R42" i="83"/>
  <c r="N93" i="81"/>
  <c r="Z39" i="82"/>
  <c r="V61" i="82"/>
  <c r="R51" i="83"/>
  <c r="P77" i="84"/>
  <c r="R77" i="84" s="1"/>
  <c r="N62" i="84"/>
  <c r="Z52" i="86"/>
  <c r="R104" i="81"/>
  <c r="R101" i="81"/>
  <c r="R19" i="81"/>
  <c r="J37" i="81"/>
  <c r="J45" i="81"/>
  <c r="J57" i="81"/>
  <c r="J63" i="81"/>
  <c r="R70" i="81"/>
  <c r="R84" i="81"/>
  <c r="X94" i="81"/>
  <c r="Z94" i="81" s="1"/>
  <c r="V29" i="82"/>
  <c r="V59" i="82"/>
  <c r="Z68" i="82"/>
  <c r="Z70" i="82"/>
  <c r="V75" i="84"/>
  <c r="V73" i="84"/>
  <c r="V61" i="84"/>
  <c r="V53" i="84"/>
  <c r="V41" i="84"/>
  <c r="V29" i="84"/>
  <c r="V25" i="84"/>
  <c r="V67" i="84"/>
  <c r="V63" i="84"/>
  <c r="V43" i="84"/>
  <c r="V35" i="84"/>
  <c r="V79" i="84"/>
  <c r="V45" i="84"/>
  <c r="V68" i="84"/>
  <c r="V64" i="84"/>
  <c r="V56" i="84"/>
  <c r="V44" i="84"/>
  <c r="V36" i="84"/>
  <c r="V69" i="84"/>
  <c r="V65" i="84"/>
  <c r="V57" i="84"/>
  <c r="V49" i="84"/>
  <c r="V71" i="84"/>
  <c r="V59" i="84"/>
  <c r="V51" i="84"/>
  <c r="V66" i="84"/>
  <c r="V30" i="84"/>
  <c r="V16" i="84"/>
  <c r="V48" i="84"/>
  <c r="V42" i="84"/>
  <c r="V34" i="84"/>
  <c r="V72" i="84"/>
  <c r="V37" i="84"/>
  <c r="V28" i="84"/>
  <c r="V62" i="84"/>
  <c r="V40" i="84"/>
  <c r="V32" i="84"/>
  <c r="V31" i="84"/>
  <c r="V17" i="84"/>
  <c r="V60" i="84"/>
  <c r="V54" i="84"/>
  <c r="V46" i="84"/>
  <c r="Z12" i="84"/>
  <c r="V52" i="84"/>
  <c r="V23" i="84"/>
  <c r="V70" i="84"/>
  <c r="V26" i="84"/>
  <c r="V22" i="84"/>
  <c r="V18" i="84"/>
  <c r="V33" i="84"/>
  <c r="T20" i="84"/>
  <c r="R23" i="84"/>
  <c r="N48" i="86"/>
  <c r="L48" i="86"/>
  <c r="L63" i="81"/>
  <c r="J74" i="81"/>
  <c r="J78" i="81"/>
  <c r="J82" i="81"/>
  <c r="R94" i="81"/>
  <c r="V27" i="82"/>
  <c r="D68" i="83"/>
  <c r="L69" i="83"/>
  <c r="J55" i="81"/>
  <c r="J67" i="81"/>
  <c r="R83" i="81"/>
  <c r="J87" i="81"/>
  <c r="R93" i="81"/>
  <c r="V60" i="82"/>
  <c r="V44" i="82"/>
  <c r="V36" i="82"/>
  <c r="V32" i="82"/>
  <c r="V77" i="82"/>
  <c r="V55" i="82"/>
  <c r="V66" i="82"/>
  <c r="V62" i="82"/>
  <c r="V46" i="82"/>
  <c r="V22" i="82"/>
  <c r="V20" i="82"/>
  <c r="V18" i="82"/>
  <c r="V57" i="82"/>
  <c r="V49" i="82"/>
  <c r="V37" i="82"/>
  <c r="V33" i="82"/>
  <c r="V68" i="82"/>
  <c r="V56" i="82"/>
  <c r="V48" i="82"/>
  <c r="V28" i="82"/>
  <c r="V24" i="82"/>
  <c r="V67" i="82"/>
  <c r="V63" i="82"/>
  <c r="V51" i="82"/>
  <c r="V39" i="82"/>
  <c r="V70" i="82"/>
  <c r="V58" i="82"/>
  <c r="V50" i="82"/>
  <c r="V38" i="82"/>
  <c r="V34" i="82"/>
  <c r="V69" i="82"/>
  <c r="V53" i="82"/>
  <c r="V64" i="82"/>
  <c r="V52" i="82"/>
  <c r="V40" i="82"/>
  <c r="V16" i="82"/>
  <c r="V54" i="82"/>
  <c r="V42" i="82"/>
  <c r="V30" i="82"/>
  <c r="V26" i="82"/>
  <c r="V23" i="82"/>
  <c r="N32" i="82"/>
  <c r="V41" i="82"/>
  <c r="V45" i="82"/>
  <c r="R41" i="83"/>
  <c r="N69" i="83"/>
  <c r="H68" i="83"/>
  <c r="Z53" i="84"/>
  <c r="V66" i="86"/>
  <c r="V68" i="86"/>
  <c r="V78" i="86"/>
  <c r="V74" i="86"/>
  <c r="V70" i="86"/>
  <c r="V62" i="86"/>
  <c r="V81" i="86"/>
  <c r="V69" i="86"/>
  <c r="V76" i="86"/>
  <c r="V72" i="86"/>
  <c r="V82" i="86"/>
  <c r="V79" i="86"/>
  <c r="V56" i="86"/>
  <c r="V44" i="86"/>
  <c r="V36" i="86"/>
  <c r="V32" i="86"/>
  <c r="V64" i="86"/>
  <c r="V55" i="86"/>
  <c r="V31" i="86"/>
  <c r="V27" i="86"/>
  <c r="V23" i="86"/>
  <c r="V61" i="86"/>
  <c r="V46" i="86"/>
  <c r="V22" i="86"/>
  <c r="V18" i="86"/>
  <c r="V89" i="86"/>
  <c r="V85" i="86"/>
  <c r="V57" i="86"/>
  <c r="V37" i="86"/>
  <c r="V33" i="86"/>
  <c r="T20" i="86"/>
  <c r="V84" i="86"/>
  <c r="V67" i="86"/>
  <c r="V48" i="86"/>
  <c r="V28" i="86"/>
  <c r="V24" i="86"/>
  <c r="V80" i="86"/>
  <c r="V59" i="86"/>
  <c r="V47" i="86"/>
  <c r="V39" i="86"/>
  <c r="V77" i="86"/>
  <c r="V58" i="86"/>
  <c r="V50" i="86"/>
  <c r="V38" i="86"/>
  <c r="V34" i="86"/>
  <c r="V75" i="86"/>
  <c r="V65" i="86"/>
  <c r="V49" i="86"/>
  <c r="V41" i="86"/>
  <c r="V29" i="86"/>
  <c r="V25" i="86"/>
  <c r="V63" i="86"/>
  <c r="V52" i="86"/>
  <c r="V40" i="86"/>
  <c r="V16" i="86"/>
  <c r="V71" i="86"/>
  <c r="V54" i="86"/>
  <c r="V42" i="86"/>
  <c r="V30" i="86"/>
  <c r="V26" i="86"/>
  <c r="V60" i="86"/>
  <c r="V45" i="86"/>
  <c r="V51" i="86"/>
  <c r="V53" i="86"/>
  <c r="V35" i="86"/>
  <c r="V43" i="86"/>
  <c r="R37" i="81"/>
  <c r="R38" i="81"/>
  <c r="R45" i="81"/>
  <c r="R46" i="81"/>
  <c r="J54" i="81"/>
  <c r="R57" i="81"/>
  <c r="R58" i="81"/>
  <c r="J81" i="81"/>
  <c r="R99" i="81"/>
  <c r="D12" i="82"/>
  <c r="Z13" i="82"/>
  <c r="V17" i="82"/>
  <c r="V25" i="82"/>
  <c r="V43" i="82"/>
  <c r="V47" i="82"/>
  <c r="X14" i="83"/>
  <c r="Z14" i="83" s="1"/>
  <c r="L23" i="83"/>
  <c r="N23" i="83" s="1"/>
  <c r="R25" i="83"/>
  <c r="R43" i="83"/>
  <c r="R61" i="83"/>
  <c r="Z63" i="83"/>
  <c r="N43" i="84"/>
  <c r="R58" i="84"/>
  <c r="H20" i="83"/>
  <c r="J39" i="83"/>
  <c r="J55" i="83"/>
  <c r="J73" i="83"/>
  <c r="F16" i="84"/>
  <c r="F17" i="84"/>
  <c r="F31" i="84"/>
  <c r="F43" i="84"/>
  <c r="Z47" i="84"/>
  <c r="F52" i="84"/>
  <c r="F62" i="84"/>
  <c r="F67" i="84"/>
  <c r="L75" i="84"/>
  <c r="Z22" i="85"/>
  <c r="X52" i="86"/>
  <c r="Z54" i="86"/>
  <c r="J23" i="83"/>
  <c r="J33" i="83"/>
  <c r="J37" i="83"/>
  <c r="J49" i="83"/>
  <c r="J69" i="83"/>
  <c r="Z23" i="84"/>
  <c r="X32" i="84"/>
  <c r="Z32" i="84" s="1"/>
  <c r="F37" i="84"/>
  <c r="F40" i="84"/>
  <c r="R24" i="85"/>
  <c r="F30" i="85"/>
  <c r="F43" i="85"/>
  <c r="Z48" i="86"/>
  <c r="Z50" i="86"/>
  <c r="J18" i="83"/>
  <c r="J32" i="83"/>
  <c r="J48" i="83"/>
  <c r="J54" i="83"/>
  <c r="J66" i="83"/>
  <c r="F25" i="84"/>
  <c r="F56" i="84"/>
  <c r="F85" i="85"/>
  <c r="F84" i="85"/>
  <c r="F57" i="85"/>
  <c r="F56" i="85"/>
  <c r="F37" i="85"/>
  <c r="F33" i="85"/>
  <c r="F32" i="85"/>
  <c r="F68" i="85"/>
  <c r="F64" i="85"/>
  <c r="F63" i="85"/>
  <c r="F28" i="85"/>
  <c r="F24" i="85"/>
  <c r="F23" i="85"/>
  <c r="F87" i="85"/>
  <c r="F86" i="85"/>
  <c r="F79" i="85"/>
  <c r="F75" i="85"/>
  <c r="F59" i="85"/>
  <c r="F58" i="85"/>
  <c r="F47" i="85"/>
  <c r="F22" i="85"/>
  <c r="F20" i="85"/>
  <c r="F70" i="85"/>
  <c r="F69" i="85"/>
  <c r="F38" i="85"/>
  <c r="F34" i="85"/>
  <c r="F90" i="85"/>
  <c r="F65" i="85"/>
  <c r="F49" i="85"/>
  <c r="F48" i="85"/>
  <c r="F29" i="85"/>
  <c r="F25" i="85"/>
  <c r="F94" i="85"/>
  <c r="F89" i="85"/>
  <c r="F80" i="85"/>
  <c r="F76" i="85"/>
  <c r="F60" i="85"/>
  <c r="F40" i="85"/>
  <c r="F39" i="85"/>
  <c r="F71" i="85"/>
  <c r="F51" i="85"/>
  <c r="F50" i="85"/>
  <c r="F66" i="85"/>
  <c r="F42" i="85"/>
  <c r="F41" i="85"/>
  <c r="F81" i="85"/>
  <c r="F77" i="85"/>
  <c r="F73" i="85"/>
  <c r="F72" i="85"/>
  <c r="F61" i="85"/>
  <c r="F53" i="85"/>
  <c r="F52" i="85"/>
  <c r="F17" i="85"/>
  <c r="F16" i="85"/>
  <c r="F83" i="85"/>
  <c r="F82" i="85"/>
  <c r="F67" i="85"/>
  <c r="F55" i="85"/>
  <c r="F54" i="85"/>
  <c r="F31" i="85"/>
  <c r="F27" i="85"/>
  <c r="D20" i="85"/>
  <c r="N32" i="85"/>
  <c r="F45" i="85"/>
  <c r="L54" i="85"/>
  <c r="N54" i="85" s="1"/>
  <c r="N56" i="85"/>
  <c r="L82" i="85"/>
  <c r="N82" i="85" s="1"/>
  <c r="V47" i="87"/>
  <c r="V39" i="87"/>
  <c r="V31" i="87"/>
  <c r="V27" i="87"/>
  <c r="V23" i="87"/>
  <c r="V38" i="87"/>
  <c r="V51" i="87"/>
  <c r="V49" i="87"/>
  <c r="V41" i="87"/>
  <c r="V33" i="87"/>
  <c r="T20" i="87"/>
  <c r="V40" i="87"/>
  <c r="V43" i="87"/>
  <c r="V42" i="87"/>
  <c r="V34" i="87"/>
  <c r="V55" i="87"/>
  <c r="V45" i="87"/>
  <c r="V29" i="87"/>
  <c r="V35" i="87"/>
  <c r="V37" i="87"/>
  <c r="V17" i="87"/>
  <c r="V32" i="87"/>
  <c r="V28" i="87"/>
  <c r="V22" i="87"/>
  <c r="V30" i="87"/>
  <c r="V48" i="87"/>
  <c r="V44" i="87"/>
  <c r="V36" i="87"/>
  <c r="V46" i="87"/>
  <c r="V25" i="87"/>
  <c r="V16" i="87"/>
  <c r="V18" i="87"/>
  <c r="Z12" i="87"/>
  <c r="V26" i="87"/>
  <c r="J27" i="83"/>
  <c r="J31" i="83"/>
  <c r="J47" i="83"/>
  <c r="J59" i="83"/>
  <c r="J65" i="83"/>
  <c r="F30" i="84"/>
  <c r="F51" i="84"/>
  <c r="F59" i="84"/>
  <c r="L12" i="85"/>
  <c r="P12" i="86"/>
  <c r="X14" i="86"/>
  <c r="Z14" i="86" s="1"/>
  <c r="N43" i="87"/>
  <c r="L43" i="87"/>
  <c r="N12" i="83"/>
  <c r="X13" i="83"/>
  <c r="J36" i="83"/>
  <c r="J46" i="83"/>
  <c r="J64" i="83"/>
  <c r="D20" i="84"/>
  <c r="Z43" i="84"/>
  <c r="N45" i="84"/>
  <c r="X49" i="84"/>
  <c r="Z49" i="84" s="1"/>
  <c r="N51" i="84"/>
  <c r="F71" i="84"/>
  <c r="R65" i="85"/>
  <c r="R50" i="85"/>
  <c r="R49" i="85"/>
  <c r="R29" i="85"/>
  <c r="R25" i="85"/>
  <c r="R94" i="85"/>
  <c r="R80" i="85"/>
  <c r="R76" i="85"/>
  <c r="R60" i="85"/>
  <c r="R41" i="85"/>
  <c r="R40" i="85"/>
  <c r="R72" i="85"/>
  <c r="R71" i="85"/>
  <c r="R52" i="85"/>
  <c r="R51" i="85"/>
  <c r="R35" i="85"/>
  <c r="R16" i="85"/>
  <c r="R66" i="85"/>
  <c r="R43" i="85"/>
  <c r="R42" i="85"/>
  <c r="R30" i="85"/>
  <c r="R82" i="85"/>
  <c r="R81" i="85"/>
  <c r="R77" i="85"/>
  <c r="R73" i="85"/>
  <c r="R61" i="85"/>
  <c r="R54" i="85"/>
  <c r="R53" i="85"/>
  <c r="R17" i="85"/>
  <c r="R45" i="85"/>
  <c r="R44" i="85"/>
  <c r="R36" i="85"/>
  <c r="X12" i="85"/>
  <c r="Z12" i="85" s="1"/>
  <c r="R84" i="85"/>
  <c r="R83" i="85"/>
  <c r="R67" i="85"/>
  <c r="R56" i="85"/>
  <c r="R55" i="85"/>
  <c r="R78" i="85"/>
  <c r="R74" i="85"/>
  <c r="R63" i="85"/>
  <c r="R62" i="85"/>
  <c r="R46" i="85"/>
  <c r="R86" i="85"/>
  <c r="R85" i="85"/>
  <c r="R58" i="85"/>
  <c r="R57" i="85"/>
  <c r="R37" i="85"/>
  <c r="R33" i="85"/>
  <c r="R22" i="85"/>
  <c r="R90" i="85"/>
  <c r="R87" i="85"/>
  <c r="R79" i="85"/>
  <c r="R75" i="85"/>
  <c r="R59" i="85"/>
  <c r="R48" i="85"/>
  <c r="R47" i="85"/>
  <c r="P20" i="85"/>
  <c r="R20" i="85" s="1"/>
  <c r="Z58" i="85"/>
  <c r="N72" i="85"/>
  <c r="Z86" i="85"/>
  <c r="Z59" i="86"/>
  <c r="X39" i="82"/>
  <c r="L45" i="82"/>
  <c r="N45" i="82" s="1"/>
  <c r="X51" i="82"/>
  <c r="Z51" i="82" s="1"/>
  <c r="L61" i="82"/>
  <c r="N61" i="82" s="1"/>
  <c r="Z13" i="83"/>
  <c r="J17" i="83"/>
  <c r="J45" i="83"/>
  <c r="J53" i="83"/>
  <c r="J63" i="83"/>
  <c r="T68" i="83"/>
  <c r="N14" i="84"/>
  <c r="F20" i="84"/>
  <c r="F22" i="84"/>
  <c r="F24" i="84"/>
  <c r="F27" i="84"/>
  <c r="F36" i="84"/>
  <c r="F39" i="84"/>
  <c r="X43" i="84"/>
  <c r="R32" i="85"/>
  <c r="N52" i="85"/>
  <c r="Z56" i="85"/>
  <c r="R68" i="85"/>
  <c r="Z84" i="85"/>
  <c r="P89" i="85"/>
  <c r="X90" i="85"/>
  <c r="N67" i="86"/>
  <c r="L41" i="87"/>
  <c r="N41" i="87" s="1"/>
  <c r="J16" i="83"/>
  <c r="J26" i="83"/>
  <c r="J30" i="83"/>
  <c r="J44" i="83"/>
  <c r="J52" i="83"/>
  <c r="J58" i="83"/>
  <c r="J62" i="83"/>
  <c r="F23" i="84"/>
  <c r="N39" i="84"/>
  <c r="F58" i="84"/>
  <c r="F35" i="85"/>
  <c r="R39" i="85"/>
  <c r="Z90" i="85"/>
  <c r="T89" i="85"/>
  <c r="D87" i="86"/>
  <c r="V62" i="90"/>
  <c r="V54" i="90"/>
  <c r="V42" i="90"/>
  <c r="V38" i="90"/>
  <c r="V73" i="90"/>
  <c r="V69" i="90"/>
  <c r="V57" i="90"/>
  <c r="V45" i="90"/>
  <c r="V33" i="90"/>
  <c r="V29" i="90"/>
  <c r="V64" i="90"/>
  <c r="V56" i="90"/>
  <c r="V44" i="90"/>
  <c r="V20" i="90"/>
  <c r="V75" i="90"/>
  <c r="V47" i="90"/>
  <c r="V39" i="90"/>
  <c r="V74" i="90"/>
  <c r="V70" i="90"/>
  <c r="V58" i="90"/>
  <c r="V46" i="90"/>
  <c r="V34" i="90"/>
  <c r="V30" i="90"/>
  <c r="V26" i="90"/>
  <c r="V77" i="90"/>
  <c r="V65" i="90"/>
  <c r="V49" i="90"/>
  <c r="V25" i="90"/>
  <c r="V21" i="90"/>
  <c r="V76" i="90"/>
  <c r="V81" i="90"/>
  <c r="V71" i="90"/>
  <c r="V67" i="90"/>
  <c r="V59" i="90"/>
  <c r="V51" i="90"/>
  <c r="V35" i="90"/>
  <c r="V31" i="90"/>
  <c r="V27" i="90"/>
  <c r="V80" i="90"/>
  <c r="V78" i="90"/>
  <c r="V66" i="90"/>
  <c r="V50" i="90"/>
  <c r="V72" i="90"/>
  <c r="V68" i="90"/>
  <c r="V60" i="90"/>
  <c r="V52" i="90"/>
  <c r="V32" i="90"/>
  <c r="V28" i="90"/>
  <c r="V36" i="90"/>
  <c r="V41" i="90"/>
  <c r="V85" i="90"/>
  <c r="V43" i="90"/>
  <c r="V48" i="90"/>
  <c r="V55" i="90"/>
  <c r="V53" i="90"/>
  <c r="T23" i="90"/>
  <c r="V61" i="90"/>
  <c r="V40" i="90"/>
  <c r="V63" i="90"/>
  <c r="V19" i="90"/>
  <c r="V37" i="90"/>
  <c r="J35" i="83"/>
  <c r="J43" i="83"/>
  <c r="J51" i="83"/>
  <c r="F33" i="84"/>
  <c r="F44" i="84"/>
  <c r="Z51" i="84"/>
  <c r="N53" i="84"/>
  <c r="F55" i="84"/>
  <c r="X56" i="84"/>
  <c r="Z56" i="84" s="1"/>
  <c r="X23" i="85"/>
  <c r="Z23" i="85" s="1"/>
  <c r="N48" i="85"/>
  <c r="R70" i="85"/>
  <c r="L13" i="86"/>
  <c r="X16" i="86"/>
  <c r="Z16" i="86" s="1"/>
  <c r="R37" i="87"/>
  <c r="R36" i="87"/>
  <c r="X12" i="87"/>
  <c r="R48" i="87"/>
  <c r="R47" i="87"/>
  <c r="R32" i="87"/>
  <c r="R31" i="87"/>
  <c r="R39" i="87"/>
  <c r="R38" i="87"/>
  <c r="R23" i="87"/>
  <c r="R18" i="87"/>
  <c r="R49" i="87"/>
  <c r="R51" i="87"/>
  <c r="R41" i="87"/>
  <c r="R40" i="87"/>
  <c r="R28" i="87"/>
  <c r="R24" i="87"/>
  <c r="P20" i="87"/>
  <c r="R43" i="87"/>
  <c r="R42" i="87"/>
  <c r="R34" i="87"/>
  <c r="R45" i="87"/>
  <c r="R44" i="87"/>
  <c r="R46" i="87"/>
  <c r="R30" i="87"/>
  <c r="R26" i="87"/>
  <c r="R22" i="87"/>
  <c r="R27" i="87"/>
  <c r="R25" i="87"/>
  <c r="R29" i="87"/>
  <c r="R16" i="87"/>
  <c r="R33" i="87"/>
  <c r="X23" i="83"/>
  <c r="J42" i="83"/>
  <c r="F84" i="84"/>
  <c r="F81" i="84"/>
  <c r="F46" i="84"/>
  <c r="F45" i="84"/>
  <c r="F69" i="84"/>
  <c r="F65" i="84"/>
  <c r="F57" i="84"/>
  <c r="F48" i="84"/>
  <c r="F47" i="84"/>
  <c r="F28" i="84"/>
  <c r="F66" i="84"/>
  <c r="F50" i="84"/>
  <c r="F49" i="84"/>
  <c r="F38" i="84"/>
  <c r="F34" i="84"/>
  <c r="F73" i="84"/>
  <c r="F72" i="84"/>
  <c r="F61" i="84"/>
  <c r="F60" i="84"/>
  <c r="F77" i="84"/>
  <c r="F75" i="84"/>
  <c r="F54" i="84"/>
  <c r="F53" i="84"/>
  <c r="F42" i="84"/>
  <c r="F41" i="84"/>
  <c r="F68" i="84"/>
  <c r="F64" i="84"/>
  <c r="F18" i="84"/>
  <c r="F32" i="84"/>
  <c r="F63" i="84"/>
  <c r="F46" i="85"/>
  <c r="F62" i="85"/>
  <c r="F78" i="85"/>
  <c r="H12" i="86"/>
  <c r="N13" i="86"/>
  <c r="J25" i="83"/>
  <c r="J29" i="83"/>
  <c r="J41" i="83"/>
  <c r="J57" i="83"/>
  <c r="J61" i="83"/>
  <c r="F26" i="84"/>
  <c r="F29" i="84"/>
  <c r="Z39" i="84"/>
  <c r="N41" i="84"/>
  <c r="Z45" i="84"/>
  <c r="N16" i="85"/>
  <c r="F18" i="85"/>
  <c r="F44" i="85"/>
  <c r="Z48" i="85"/>
  <c r="X50" i="85"/>
  <c r="Z50" i="85" s="1"/>
  <c r="R64" i="85"/>
  <c r="N22" i="86"/>
  <c r="N54" i="86"/>
  <c r="Z81" i="86"/>
  <c r="X40" i="88"/>
  <c r="Z40" i="88" s="1"/>
  <c r="H12" i="85"/>
  <c r="F20" i="86"/>
  <c r="F22" i="86"/>
  <c r="F47" i="86"/>
  <c r="F62" i="86"/>
  <c r="F67" i="86"/>
  <c r="N39" i="87"/>
  <c r="Z34" i="88"/>
  <c r="X38" i="88"/>
  <c r="Z38" i="88" s="1"/>
  <c r="Z40" i="89"/>
  <c r="L26" i="90"/>
  <c r="N26" i="90" s="1"/>
  <c r="F32" i="86"/>
  <c r="F33" i="86"/>
  <c r="F37" i="86"/>
  <c r="F56" i="86"/>
  <c r="D12" i="87"/>
  <c r="L23" i="87"/>
  <c r="N23" i="87" s="1"/>
  <c r="Z39" i="87"/>
  <c r="Z43" i="87"/>
  <c r="Z45" i="87"/>
  <c r="R40" i="88"/>
  <c r="R39" i="88"/>
  <c r="R20" i="88"/>
  <c r="R15" i="88"/>
  <c r="R30" i="88"/>
  <c r="R19" i="88"/>
  <c r="R17" i="88"/>
  <c r="R46" i="88"/>
  <c r="R44" i="88"/>
  <c r="R41" i="88"/>
  <c r="R25" i="88"/>
  <c r="R21" i="88"/>
  <c r="P17" i="88"/>
  <c r="R43" i="88"/>
  <c r="R32" i="88"/>
  <c r="R31" i="88"/>
  <c r="R48" i="88"/>
  <c r="R26" i="88"/>
  <c r="R22" i="88"/>
  <c r="R53" i="88"/>
  <c r="R50" i="88"/>
  <c r="R34" i="88"/>
  <c r="R33" i="88"/>
  <c r="R36" i="88"/>
  <c r="R35" i="88"/>
  <c r="R27" i="88"/>
  <c r="R23" i="88"/>
  <c r="R38" i="88"/>
  <c r="R37" i="88"/>
  <c r="R14" i="88"/>
  <c r="L44" i="88"/>
  <c r="D43" i="88"/>
  <c r="L43" i="88" s="1"/>
  <c r="F75" i="86"/>
  <c r="F71" i="86"/>
  <c r="F70" i="86"/>
  <c r="F65" i="86"/>
  <c r="F89" i="86"/>
  <c r="F84" i="86"/>
  <c r="F66" i="86"/>
  <c r="F69" i="86"/>
  <c r="F18" i="86"/>
  <c r="F45" i="86"/>
  <c r="F46" i="86"/>
  <c r="F72" i="86"/>
  <c r="F79" i="86"/>
  <c r="Z37" i="87"/>
  <c r="N44" i="88"/>
  <c r="P63" i="89"/>
  <c r="F27" i="86"/>
  <c r="F31" i="86"/>
  <c r="F54" i="86"/>
  <c r="F55" i="86"/>
  <c r="X37" i="87"/>
  <c r="T12" i="89"/>
  <c r="Z13" i="89"/>
  <c r="X13" i="89"/>
  <c r="X60" i="89"/>
  <c r="P12" i="94"/>
  <c r="X13" i="94"/>
  <c r="Z13" i="94" s="1"/>
  <c r="L12" i="86"/>
  <c r="F36" i="86"/>
  <c r="F43" i="86"/>
  <c r="F44" i="86"/>
  <c r="F61" i="86"/>
  <c r="F64" i="86"/>
  <c r="Z70" i="86"/>
  <c r="F74" i="86"/>
  <c r="Z16" i="87"/>
  <c r="Z49" i="89"/>
  <c r="H89" i="85"/>
  <c r="N89" i="85" s="1"/>
  <c r="F16" i="86"/>
  <c r="F17" i="86"/>
  <c r="F52" i="86"/>
  <c r="F53" i="86"/>
  <c r="F76" i="86"/>
  <c r="F82" i="86"/>
  <c r="F94" i="86"/>
  <c r="Z23" i="87"/>
  <c r="N20" i="88"/>
  <c r="F26" i="86"/>
  <c r="F30" i="86"/>
  <c r="F41" i="86"/>
  <c r="F42" i="86"/>
  <c r="F63" i="86"/>
  <c r="Z14" i="87"/>
  <c r="F35" i="86"/>
  <c r="F50" i="86"/>
  <c r="F51" i="86"/>
  <c r="F78" i="86"/>
  <c r="X85" i="86"/>
  <c r="H12" i="87"/>
  <c r="X14" i="87"/>
  <c r="Z20" i="88"/>
  <c r="F50" i="89"/>
  <c r="F49" i="89"/>
  <c r="F63" i="89"/>
  <c r="F61" i="89"/>
  <c r="F70" i="89"/>
  <c r="F56" i="89"/>
  <c r="F37" i="89"/>
  <c r="F36" i="89"/>
  <c r="F29" i="89"/>
  <c r="F60" i="89"/>
  <c r="F24" i="89"/>
  <c r="F23" i="89"/>
  <c r="F65" i="89"/>
  <c r="F39" i="89"/>
  <c r="F38" i="89"/>
  <c r="F22" i="89"/>
  <c r="F20" i="89"/>
  <c r="F46" i="89"/>
  <c r="F30" i="89"/>
  <c r="D20" i="89"/>
  <c r="F57" i="89"/>
  <c r="F54" i="89"/>
  <c r="F41" i="89"/>
  <c r="F40" i="89"/>
  <c r="F25" i="89"/>
  <c r="F51" i="89"/>
  <c r="F47" i="89"/>
  <c r="F42" i="89"/>
  <c r="F31" i="89"/>
  <c r="F27" i="89"/>
  <c r="F26" i="89"/>
  <c r="F67" i="89"/>
  <c r="F58" i="89"/>
  <c r="F52" i="89"/>
  <c r="F43" i="89"/>
  <c r="F55" i="89"/>
  <c r="F33" i="89"/>
  <c r="F32" i="89"/>
  <c r="F17" i="89"/>
  <c r="F16" i="89"/>
  <c r="F45" i="89"/>
  <c r="F44" i="89"/>
  <c r="F35" i="89"/>
  <c r="F34" i="89"/>
  <c r="Z22" i="89"/>
  <c r="X26" i="89"/>
  <c r="Z26" i="89" s="1"/>
  <c r="L44" i="89"/>
  <c r="N44" i="89" s="1"/>
  <c r="X54" i="85"/>
  <c r="Z54" i="85" s="1"/>
  <c r="X82" i="85"/>
  <c r="Z82" i="85" s="1"/>
  <c r="L90" i="85"/>
  <c r="L16" i="86"/>
  <c r="N16" i="86" s="1"/>
  <c r="X22" i="86"/>
  <c r="Z22" i="86" s="1"/>
  <c r="F39" i="86"/>
  <c r="F40" i="86"/>
  <c r="L52" i="86"/>
  <c r="F59" i="86"/>
  <c r="F60" i="86"/>
  <c r="F68" i="86"/>
  <c r="F81" i="86"/>
  <c r="F87" i="86"/>
  <c r="N36" i="89"/>
  <c r="Z61" i="89"/>
  <c r="X61" i="89"/>
  <c r="T60" i="89"/>
  <c r="F25" i="86"/>
  <c r="F29" i="86"/>
  <c r="F48" i="86"/>
  <c r="F49" i="86"/>
  <c r="F73" i="86"/>
  <c r="Z14" i="88"/>
  <c r="L34" i="88"/>
  <c r="N36" i="88"/>
  <c r="Z14" i="89"/>
  <c r="N34" i="89"/>
  <c r="L36" i="89"/>
  <c r="N38" i="89"/>
  <c r="Z57" i="89"/>
  <c r="J78" i="90"/>
  <c r="J66" i="90"/>
  <c r="J50" i="90"/>
  <c r="J36" i="90"/>
  <c r="H23" i="90"/>
  <c r="J81" i="90"/>
  <c r="J67" i="90"/>
  <c r="J51" i="90"/>
  <c r="J41" i="90"/>
  <c r="J37" i="90"/>
  <c r="J80" i="90"/>
  <c r="J72" i="90"/>
  <c r="J68" i="90"/>
  <c r="J60" i="90"/>
  <c r="J52" i="90"/>
  <c r="J32" i="90"/>
  <c r="J28" i="90"/>
  <c r="J85" i="90"/>
  <c r="J61" i="90"/>
  <c r="J53" i="90"/>
  <c r="J62" i="90"/>
  <c r="J54" i="90"/>
  <c r="J42" i="90"/>
  <c r="J38" i="90"/>
  <c r="J73" i="90"/>
  <c r="J69" i="90"/>
  <c r="J63" i="90"/>
  <c r="J55" i="90"/>
  <c r="J43" i="90"/>
  <c r="J33" i="90"/>
  <c r="J29" i="90"/>
  <c r="J19" i="90"/>
  <c r="J64" i="90"/>
  <c r="J56" i="90"/>
  <c r="J57" i="90"/>
  <c r="J45" i="90"/>
  <c r="J39" i="90"/>
  <c r="J74" i="90"/>
  <c r="J70" i="90"/>
  <c r="J58" i="90"/>
  <c r="J46" i="90"/>
  <c r="J34" i="90"/>
  <c r="J30" i="90"/>
  <c r="J76" i="90"/>
  <c r="J48" i="90"/>
  <c r="J40" i="90"/>
  <c r="J26" i="90"/>
  <c r="J49" i="90"/>
  <c r="J65" i="90"/>
  <c r="J47" i="90"/>
  <c r="J21" i="90"/>
  <c r="J71" i="90"/>
  <c r="J27" i="90"/>
  <c r="J25" i="90"/>
  <c r="J77" i="90"/>
  <c r="J75" i="90"/>
  <c r="J31" i="90"/>
  <c r="J20" i="90"/>
  <c r="J59" i="90"/>
  <c r="L15" i="90"/>
  <c r="N15" i="90" s="1"/>
  <c r="N37" i="91"/>
  <c r="N12" i="88"/>
  <c r="V20" i="88"/>
  <c r="V24" i="88"/>
  <c r="V28" i="88"/>
  <c r="F32" i="88"/>
  <c r="F33" i="88"/>
  <c r="J34" i="88"/>
  <c r="V40" i="88"/>
  <c r="Z44" i="88"/>
  <c r="J50" i="88"/>
  <c r="J53" i="88"/>
  <c r="H12" i="89"/>
  <c r="R39" i="89"/>
  <c r="R40" i="89"/>
  <c r="R67" i="90"/>
  <c r="R78" i="90"/>
  <c r="R81" i="90"/>
  <c r="V14" i="88"/>
  <c r="D17" i="88"/>
  <c r="J22" i="88"/>
  <c r="J26" i="88"/>
  <c r="F31" i="88"/>
  <c r="J32" i="88"/>
  <c r="V38" i="88"/>
  <c r="H43" i="88"/>
  <c r="F44" i="88"/>
  <c r="F46" i="88"/>
  <c r="J48" i="88"/>
  <c r="R20" i="89"/>
  <c r="R22" i="89"/>
  <c r="R29" i="89"/>
  <c r="R37" i="89"/>
  <c r="Z49" i="90"/>
  <c r="Z51" i="90"/>
  <c r="R53" i="90"/>
  <c r="Z30" i="91"/>
  <c r="X30" i="91"/>
  <c r="Z17" i="92"/>
  <c r="R63" i="89"/>
  <c r="R61" i="89"/>
  <c r="R58" i="89"/>
  <c r="R60" i="89"/>
  <c r="R53" i="89"/>
  <c r="R45" i="89"/>
  <c r="R49" i="89"/>
  <c r="R48" i="89"/>
  <c r="R18" i="89"/>
  <c r="R23" i="89"/>
  <c r="N45" i="92"/>
  <c r="Z49" i="92"/>
  <c r="H17" i="88"/>
  <c r="F20" i="88"/>
  <c r="F21" i="88"/>
  <c r="F25" i="88"/>
  <c r="V36" i="88"/>
  <c r="F40" i="88"/>
  <c r="F41" i="88"/>
  <c r="J44" i="88"/>
  <c r="J46" i="88"/>
  <c r="R35" i="89"/>
  <c r="R36" i="89"/>
  <c r="R26" i="90"/>
  <c r="R66" i="90"/>
  <c r="R83" i="90"/>
  <c r="J17" i="88"/>
  <c r="J19" i="88"/>
  <c r="J21" i="88"/>
  <c r="J25" i="88"/>
  <c r="F29" i="88"/>
  <c r="F30" i="88"/>
  <c r="V33" i="88"/>
  <c r="J41" i="88"/>
  <c r="X12" i="89"/>
  <c r="R28" i="89"/>
  <c r="N47" i="89"/>
  <c r="X49" i="89"/>
  <c r="L57" i="89"/>
  <c r="Z26" i="90"/>
  <c r="R50" i="90"/>
  <c r="F14" i="88"/>
  <c r="F15" i="88"/>
  <c r="J20" i="88"/>
  <c r="V22" i="88"/>
  <c r="V26" i="88"/>
  <c r="J30" i="88"/>
  <c r="V34" i="88"/>
  <c r="F38" i="88"/>
  <c r="F39" i="88"/>
  <c r="J40" i="88"/>
  <c r="V48" i="88"/>
  <c r="V50" i="88"/>
  <c r="V53" i="88"/>
  <c r="R17" i="89"/>
  <c r="R33" i="89"/>
  <c r="R34" i="89"/>
  <c r="R43" i="89"/>
  <c r="R44" i="89"/>
  <c r="R52" i="89"/>
  <c r="R55" i="89"/>
  <c r="R67" i="89"/>
  <c r="N45" i="90"/>
  <c r="Z80" i="90"/>
  <c r="Z43" i="92"/>
  <c r="F24" i="88"/>
  <c r="F28" i="88"/>
  <c r="N57" i="89"/>
  <c r="R85" i="90"/>
  <c r="R90" i="90"/>
  <c r="R87" i="90"/>
  <c r="R63" i="90"/>
  <c r="R62" i="90"/>
  <c r="R55" i="90"/>
  <c r="R54" i="90"/>
  <c r="R43" i="90"/>
  <c r="R42" i="90"/>
  <c r="R38" i="90"/>
  <c r="R19" i="90"/>
  <c r="R73" i="90"/>
  <c r="R69" i="90"/>
  <c r="R33" i="90"/>
  <c r="R29" i="90"/>
  <c r="R64" i="90"/>
  <c r="R57" i="90"/>
  <c r="R56" i="90"/>
  <c r="R45" i="90"/>
  <c r="R44" i="90"/>
  <c r="R20" i="90"/>
  <c r="R39" i="90"/>
  <c r="R75" i="90"/>
  <c r="R74" i="90"/>
  <c r="R70" i="90"/>
  <c r="R58" i="90"/>
  <c r="R47" i="90"/>
  <c r="R46" i="90"/>
  <c r="R34" i="90"/>
  <c r="R30" i="90"/>
  <c r="R65" i="90"/>
  <c r="R77" i="90"/>
  <c r="R76" i="90"/>
  <c r="R49" i="90"/>
  <c r="R48" i="90"/>
  <c r="R40" i="90"/>
  <c r="R25" i="90"/>
  <c r="R23" i="90"/>
  <c r="R71" i="90"/>
  <c r="R59" i="90"/>
  <c r="R36" i="90"/>
  <c r="R35" i="90"/>
  <c r="R31" i="90"/>
  <c r="R27" i="90"/>
  <c r="P23" i="90"/>
  <c r="R80" i="90"/>
  <c r="R41" i="90"/>
  <c r="R37" i="90"/>
  <c r="D12" i="90"/>
  <c r="L14" i="90"/>
  <c r="N14" i="90" s="1"/>
  <c r="R52" i="90"/>
  <c r="R60" i="90"/>
  <c r="F87" i="92"/>
  <c r="F77" i="92"/>
  <c r="F76" i="92"/>
  <c r="F68" i="92"/>
  <c r="F67" i="92"/>
  <c r="F52" i="92"/>
  <c r="F51" i="92"/>
  <c r="F40" i="92"/>
  <c r="F36" i="92"/>
  <c r="L12" i="92"/>
  <c r="F83" i="92"/>
  <c r="F78" i="92"/>
  <c r="F74" i="92"/>
  <c r="F71" i="92"/>
  <c r="F31" i="92"/>
  <c r="F27" i="92"/>
  <c r="F62" i="92"/>
  <c r="F54" i="92"/>
  <c r="F53" i="92"/>
  <c r="F42" i="92"/>
  <c r="F41" i="92"/>
  <c r="F18" i="92"/>
  <c r="F17" i="92"/>
  <c r="F79" i="92"/>
  <c r="F89" i="92"/>
  <c r="F85" i="92"/>
  <c r="F72" i="92"/>
  <c r="F64" i="92"/>
  <c r="F63" i="92"/>
  <c r="F56" i="92"/>
  <c r="F55" i="92"/>
  <c r="F44" i="92"/>
  <c r="F43" i="92"/>
  <c r="F32" i="92"/>
  <c r="F28" i="92"/>
  <c r="F80" i="92"/>
  <c r="F75" i="92"/>
  <c r="F69" i="92"/>
  <c r="F19" i="92"/>
  <c r="F58" i="92"/>
  <c r="F57" i="92"/>
  <c r="F81" i="92"/>
  <c r="F65" i="92"/>
  <c r="F66" i="92"/>
  <c r="F50" i="92"/>
  <c r="F49" i="92"/>
  <c r="F30" i="92"/>
  <c r="F26" i="92"/>
  <c r="F73" i="92"/>
  <c r="F60" i="92"/>
  <c r="F45" i="92"/>
  <c r="D21" i="92"/>
  <c r="F48" i="92"/>
  <c r="F25" i="92"/>
  <c r="F38" i="92"/>
  <c r="F70" i="92"/>
  <c r="F46" i="92"/>
  <c r="F33" i="92"/>
  <c r="F23" i="92"/>
  <c r="F61" i="92"/>
  <c r="F59" i="92"/>
  <c r="F92" i="92"/>
  <c r="F39" i="92"/>
  <c r="F34" i="92"/>
  <c r="F47" i="92"/>
  <c r="F37" i="92"/>
  <c r="F29" i="92"/>
  <c r="F24" i="92"/>
  <c r="F35" i="92"/>
  <c r="N24" i="92"/>
  <c r="J14" i="88"/>
  <c r="J24" i="88"/>
  <c r="J28" i="88"/>
  <c r="V32" i="88"/>
  <c r="F36" i="88"/>
  <c r="F37" i="88"/>
  <c r="J38" i="88"/>
  <c r="R16" i="89"/>
  <c r="R27" i="89"/>
  <c r="R31" i="89"/>
  <c r="R32" i="89"/>
  <c r="X47" i="89"/>
  <c r="Z47" i="89" s="1"/>
  <c r="D60" i="89"/>
  <c r="L60" i="89" s="1"/>
  <c r="N60" i="89" s="1"/>
  <c r="L19" i="90"/>
  <c r="Z36" i="90"/>
  <c r="L34" i="91"/>
  <c r="N34" i="91" s="1"/>
  <c r="X41" i="87"/>
  <c r="Z41" i="87" s="1"/>
  <c r="X51" i="87"/>
  <c r="X32" i="88"/>
  <c r="Z32" i="88" s="1"/>
  <c r="L38" i="88"/>
  <c r="N38" i="88" s="1"/>
  <c r="X34" i="89"/>
  <c r="Z34" i="89" s="1"/>
  <c r="L40" i="89"/>
  <c r="R42" i="89"/>
  <c r="X44" i="89"/>
  <c r="Z44" i="89" s="1"/>
  <c r="R47" i="89"/>
  <c r="X12" i="90"/>
  <c r="Z12" i="90" s="1"/>
  <c r="N19" i="90"/>
  <c r="X25" i="90"/>
  <c r="Z25" i="90" s="1"/>
  <c r="R32" i="90"/>
  <c r="T17" i="88"/>
  <c r="F23" i="88"/>
  <c r="F27" i="88"/>
  <c r="V30" i="88"/>
  <c r="F34" i="88"/>
  <c r="F35" i="88"/>
  <c r="V44" i="88"/>
  <c r="F50" i="88"/>
  <c r="R25" i="89"/>
  <c r="R26" i="89"/>
  <c r="R41" i="89"/>
  <c r="R51" i="89"/>
  <c r="R54" i="89"/>
  <c r="R57" i="89"/>
  <c r="N19" i="91"/>
  <c r="Z34" i="91"/>
  <c r="D16" i="91"/>
  <c r="J21" i="91"/>
  <c r="V22" i="91"/>
  <c r="F24" i="91"/>
  <c r="R25" i="91"/>
  <c r="J28" i="91"/>
  <c r="R29" i="91"/>
  <c r="R30" i="91"/>
  <c r="J34" i="91"/>
  <c r="V35" i="91"/>
  <c r="F37" i="91"/>
  <c r="R48" i="91"/>
  <c r="R53" i="91"/>
  <c r="N13" i="92"/>
  <c r="V17" i="92"/>
  <c r="L24" i="92"/>
  <c r="V40" i="92"/>
  <c r="L47" i="92"/>
  <c r="V62" i="92"/>
  <c r="L53" i="94"/>
  <c r="N53" i="94" s="1"/>
  <c r="H16" i="91"/>
  <c r="F19" i="91"/>
  <c r="F20" i="91"/>
  <c r="V30" i="91"/>
  <c r="F33" i="91"/>
  <c r="L37" i="91"/>
  <c r="R38" i="91"/>
  <c r="F41" i="91"/>
  <c r="V42" i="91"/>
  <c r="V53" i="91"/>
  <c r="P12" i="92"/>
  <c r="V27" i="92"/>
  <c r="V42" i="92"/>
  <c r="Z51" i="92"/>
  <c r="R28" i="91"/>
  <c r="F32" i="91"/>
  <c r="X34" i="91"/>
  <c r="V38" i="91"/>
  <c r="Z13" i="92"/>
  <c r="N34" i="92"/>
  <c r="X55" i="92"/>
  <c r="Z55" i="92" s="1"/>
  <c r="V71" i="92"/>
  <c r="F48" i="91"/>
  <c r="F36" i="91"/>
  <c r="F23" i="91"/>
  <c r="F26" i="91"/>
  <c r="F50" i="91"/>
  <c r="J53" i="91"/>
  <c r="J50" i="91"/>
  <c r="J37" i="91"/>
  <c r="J27" i="91"/>
  <c r="J23" i="91"/>
  <c r="J40" i="91"/>
  <c r="J35" i="91"/>
  <c r="J26" i="91"/>
  <c r="V27" i="91"/>
  <c r="V28" i="91"/>
  <c r="J32" i="91"/>
  <c r="V34" i="91"/>
  <c r="Z15" i="92"/>
  <c r="V44" i="92"/>
  <c r="Z53" i="92"/>
  <c r="V55" i="92"/>
  <c r="F42" i="93"/>
  <c r="Z24" i="94"/>
  <c r="L12" i="91"/>
  <c r="P16" i="91"/>
  <c r="R20" i="91"/>
  <c r="F30" i="91"/>
  <c r="F31" i="91"/>
  <c r="V33" i="91"/>
  <c r="V37" i="91"/>
  <c r="F40" i="91"/>
  <c r="F44" i="91"/>
  <c r="N23" i="92"/>
  <c r="V24" i="92"/>
  <c r="V31" i="92"/>
  <c r="L43" i="92"/>
  <c r="Z63" i="92"/>
  <c r="X78" i="92"/>
  <c r="F22" i="91"/>
  <c r="V36" i="91"/>
  <c r="Z41" i="91"/>
  <c r="V80" i="92"/>
  <c r="V72" i="92"/>
  <c r="V68" i="92"/>
  <c r="V87" i="92"/>
  <c r="V75" i="92"/>
  <c r="V59" i="92"/>
  <c r="V47" i="92"/>
  <c r="V23" i="92"/>
  <c r="V19" i="92"/>
  <c r="V76" i="92"/>
  <c r="V69" i="92"/>
  <c r="V58" i="92"/>
  <c r="V46" i="92"/>
  <c r="V38" i="92"/>
  <c r="V34" i="92"/>
  <c r="T21" i="92"/>
  <c r="V65" i="92"/>
  <c r="V49" i="92"/>
  <c r="V33" i="92"/>
  <c r="V29" i="92"/>
  <c r="V25" i="92"/>
  <c r="V60" i="92"/>
  <c r="V81" i="92"/>
  <c r="V70" i="92"/>
  <c r="V67" i="92"/>
  <c r="V51" i="92"/>
  <c r="V39" i="92"/>
  <c r="V35" i="92"/>
  <c r="V73" i="92"/>
  <c r="V66" i="92"/>
  <c r="V50" i="92"/>
  <c r="V30" i="92"/>
  <c r="V26" i="92"/>
  <c r="V77" i="92"/>
  <c r="V61" i="92"/>
  <c r="V83" i="92"/>
  <c r="V78" i="92"/>
  <c r="V79" i="92"/>
  <c r="V57" i="92"/>
  <c r="V45" i="92"/>
  <c r="V37" i="92"/>
  <c r="H12" i="92"/>
  <c r="N14" i="92"/>
  <c r="N17" i="92"/>
  <c r="X41" i="92"/>
  <c r="N43" i="92"/>
  <c r="V63" i="92"/>
  <c r="Z78" i="92"/>
  <c r="Z47" i="94"/>
  <c r="X47" i="94"/>
  <c r="L14" i="95"/>
  <c r="N14" i="95" s="1"/>
  <c r="D12" i="95"/>
  <c r="R41" i="91"/>
  <c r="R40" i="91"/>
  <c r="R24" i="91"/>
  <c r="R42" i="91"/>
  <c r="R46" i="91"/>
  <c r="R44" i="91"/>
  <c r="R34" i="91"/>
  <c r="R33" i="91"/>
  <c r="R37" i="91"/>
  <c r="R36" i="91"/>
  <c r="T16" i="91"/>
  <c r="R19" i="91"/>
  <c r="J22" i="91"/>
  <c r="V23" i="91"/>
  <c r="F25" i="91"/>
  <c r="R26" i="91"/>
  <c r="J30" i="91"/>
  <c r="R32" i="91"/>
  <c r="F35" i="91"/>
  <c r="F39" i="91"/>
  <c r="J44" i="91"/>
  <c r="V46" i="91"/>
  <c r="V74" i="92"/>
  <c r="V49" i="93"/>
  <c r="V47" i="93"/>
  <c r="V39" i="93"/>
  <c r="V23" i="93"/>
  <c r="V19" i="93"/>
  <c r="V42" i="93"/>
  <c r="V30" i="93"/>
  <c r="T21" i="93"/>
  <c r="V53" i="93"/>
  <c r="V43" i="93"/>
  <c r="V31" i="93"/>
  <c r="V44" i="93"/>
  <c r="V36" i="93"/>
  <c r="V28" i="93"/>
  <c r="V35" i="93"/>
  <c r="V27" i="93"/>
  <c r="V34" i="93"/>
  <c r="V41" i="93"/>
  <c r="V17" i="93"/>
  <c r="V46" i="93"/>
  <c r="V25" i="93"/>
  <c r="V37" i="93"/>
  <c r="V32" i="93"/>
  <c r="V38" i="93"/>
  <c r="V29" i="93"/>
  <c r="V18" i="93"/>
  <c r="V40" i="93"/>
  <c r="V26" i="93"/>
  <c r="V33" i="93"/>
  <c r="N13" i="90"/>
  <c r="L80" i="90"/>
  <c r="V41" i="91"/>
  <c r="V31" i="91"/>
  <c r="V39" i="91"/>
  <c r="V14" i="91"/>
  <c r="V16" i="91"/>
  <c r="V18" i="91"/>
  <c r="V26" i="91"/>
  <c r="L28" i="91"/>
  <c r="N28" i="91" s="1"/>
  <c r="F29" i="91"/>
  <c r="L30" i="91"/>
  <c r="V40" i="91"/>
  <c r="X17" i="92"/>
  <c r="Z23" i="92"/>
  <c r="V28" i="92"/>
  <c r="Z41" i="92"/>
  <c r="V52" i="92"/>
  <c r="X12" i="91"/>
  <c r="V19" i="91"/>
  <c r="F28" i="91"/>
  <c r="J29" i="91"/>
  <c r="R31" i="91"/>
  <c r="V32" i="91"/>
  <c r="F34" i="91"/>
  <c r="F38" i="91"/>
  <c r="J39" i="91"/>
  <c r="F42" i="91"/>
  <c r="F53" i="91"/>
  <c r="Z14" i="92"/>
  <c r="V36" i="92"/>
  <c r="V41" i="92"/>
  <c r="V43" i="92"/>
  <c r="X49" i="92"/>
  <c r="V54" i="92"/>
  <c r="V56" i="92"/>
  <c r="F58" i="93"/>
  <c r="F55" i="93"/>
  <c r="F44" i="93"/>
  <c r="L12" i="93"/>
  <c r="F35" i="93"/>
  <c r="F34" i="93"/>
  <c r="F27" i="93"/>
  <c r="F45" i="93"/>
  <c r="F37" i="93"/>
  <c r="F36" i="93"/>
  <c r="F47" i="93"/>
  <c r="F46" i="93"/>
  <c r="F39" i="93"/>
  <c r="F38" i="93"/>
  <c r="F41" i="93"/>
  <c r="F40" i="93"/>
  <c r="F25" i="93"/>
  <c r="F24" i="93"/>
  <c r="F51" i="93"/>
  <c r="F49" i="93"/>
  <c r="F23" i="93"/>
  <c r="F21" i="93"/>
  <c r="F26" i="93"/>
  <c r="F43" i="93"/>
  <c r="F33" i="93"/>
  <c r="F30" i="93"/>
  <c r="F19" i="93"/>
  <c r="F31" i="93"/>
  <c r="F17" i="93"/>
  <c r="D21" i="93"/>
  <c r="F18" i="93"/>
  <c r="R47" i="93"/>
  <c r="R40" i="93"/>
  <c r="R39" i="93"/>
  <c r="R24" i="93"/>
  <c r="R19" i="93"/>
  <c r="R42" i="93"/>
  <c r="R41" i="93"/>
  <c r="R53" i="93"/>
  <c r="R43" i="93"/>
  <c r="R58" i="93"/>
  <c r="R55" i="93"/>
  <c r="R34" i="93"/>
  <c r="R33" i="93"/>
  <c r="R44" i="93"/>
  <c r="R17" i="93"/>
  <c r="X12" i="93"/>
  <c r="Z12" i="93" s="1"/>
  <c r="Z15" i="93"/>
  <c r="R23" i="93"/>
  <c r="N32" i="93"/>
  <c r="L32" i="93"/>
  <c r="T12" i="94"/>
  <c r="X24" i="94"/>
  <c r="F27" i="94"/>
  <c r="F53" i="94"/>
  <c r="F67" i="94"/>
  <c r="Z70" i="94"/>
  <c r="V66" i="95"/>
  <c r="Z68" i="95"/>
  <c r="N76" i="92"/>
  <c r="P21" i="93"/>
  <c r="Z38" i="93"/>
  <c r="X38" i="93"/>
  <c r="N64" i="95"/>
  <c r="F76" i="94"/>
  <c r="F72" i="94"/>
  <c r="F83" i="94"/>
  <c r="F82" i="94"/>
  <c r="F87" i="94"/>
  <c r="F78" i="94"/>
  <c r="F74" i="94"/>
  <c r="F91" i="94"/>
  <c r="F69" i="94"/>
  <c r="F68" i="94"/>
  <c r="F37" i="94"/>
  <c r="F79" i="94"/>
  <c r="F64" i="94"/>
  <c r="F63" i="94"/>
  <c r="F56" i="94"/>
  <c r="F55" i="94"/>
  <c r="F44" i="94"/>
  <c r="F43" i="94"/>
  <c r="F32" i="94"/>
  <c r="F28" i="94"/>
  <c r="F70" i="94"/>
  <c r="F19" i="94"/>
  <c r="F80" i="94"/>
  <c r="F58" i="94"/>
  <c r="F57" i="94"/>
  <c r="F46" i="94"/>
  <c r="F45" i="94"/>
  <c r="F38" i="94"/>
  <c r="F84" i="94"/>
  <c r="F71" i="94"/>
  <c r="F65" i="94"/>
  <c r="F33" i="94"/>
  <c r="F29" i="94"/>
  <c r="F25" i="94"/>
  <c r="F24" i="94"/>
  <c r="F81" i="94"/>
  <c r="F77" i="94"/>
  <c r="F60" i="94"/>
  <c r="F59" i="94"/>
  <c r="F48" i="94"/>
  <c r="F47" i="94"/>
  <c r="F23" i="94"/>
  <c r="F21" i="94"/>
  <c r="F39" i="94"/>
  <c r="F35" i="94"/>
  <c r="F34" i="94"/>
  <c r="D21" i="94"/>
  <c r="F66" i="94"/>
  <c r="F50" i="94"/>
  <c r="F49" i="94"/>
  <c r="F30" i="94"/>
  <c r="F26" i="94"/>
  <c r="F75" i="94"/>
  <c r="F61" i="94"/>
  <c r="X80" i="94"/>
  <c r="Z80" i="94" s="1"/>
  <c r="H12" i="95"/>
  <c r="L53" i="95"/>
  <c r="L13" i="93"/>
  <c r="Z14" i="93"/>
  <c r="L24" i="93"/>
  <c r="R37" i="93"/>
  <c r="R49" i="93"/>
  <c r="J83" i="94"/>
  <c r="J84" i="94"/>
  <c r="J91" i="94"/>
  <c r="J79" i="94"/>
  <c r="J76" i="94"/>
  <c r="J70" i="94"/>
  <c r="J64" i="94"/>
  <c r="J56" i="94"/>
  <c r="J44" i="94"/>
  <c r="J32" i="94"/>
  <c r="J28" i="94"/>
  <c r="J80" i="94"/>
  <c r="J57" i="94"/>
  <c r="J45" i="94"/>
  <c r="J19" i="94"/>
  <c r="J58" i="94"/>
  <c r="J46" i="94"/>
  <c r="J38" i="94"/>
  <c r="J24" i="94"/>
  <c r="J74" i="94"/>
  <c r="J71" i="94"/>
  <c r="J65" i="94"/>
  <c r="J59" i="94"/>
  <c r="J47" i="94"/>
  <c r="J33" i="94"/>
  <c r="J29" i="94"/>
  <c r="J25" i="94"/>
  <c r="J23" i="94"/>
  <c r="J21" i="94"/>
  <c r="J81" i="94"/>
  <c r="J77" i="94"/>
  <c r="J60" i="94"/>
  <c r="J48" i="94"/>
  <c r="J34" i="94"/>
  <c r="H21" i="94"/>
  <c r="J49" i="94"/>
  <c r="J39" i="94"/>
  <c r="J35" i="94"/>
  <c r="J66" i="94"/>
  <c r="J50" i="94"/>
  <c r="J30" i="94"/>
  <c r="J26" i="94"/>
  <c r="J75" i="94"/>
  <c r="J72" i="94"/>
  <c r="J61" i="94"/>
  <c r="J51" i="94"/>
  <c r="J85" i="94"/>
  <c r="J82" i="94"/>
  <c r="J78" i="94"/>
  <c r="J52" i="94"/>
  <c r="J40" i="94"/>
  <c r="J36" i="94"/>
  <c r="F52" i="94"/>
  <c r="V62" i="95"/>
  <c r="V50" i="95"/>
  <c r="V30" i="95"/>
  <c r="V26" i="95"/>
  <c r="V73" i="95"/>
  <c r="V69" i="95"/>
  <c r="V53" i="95"/>
  <c r="V41" i="95"/>
  <c r="V17" i="95"/>
  <c r="V86" i="95"/>
  <c r="V64" i="95"/>
  <c r="V52" i="95"/>
  <c r="V40" i="95"/>
  <c r="V36" i="95"/>
  <c r="V75" i="95"/>
  <c r="V63" i="95"/>
  <c r="V55" i="95"/>
  <c r="V43" i="95"/>
  <c r="V31" i="95"/>
  <c r="V27" i="95"/>
  <c r="V74" i="95"/>
  <c r="V70" i="95"/>
  <c r="V77" i="95"/>
  <c r="V65" i="95"/>
  <c r="V57" i="95"/>
  <c r="V45" i="95"/>
  <c r="V37" i="95"/>
  <c r="V76" i="95"/>
  <c r="V56" i="95"/>
  <c r="V44" i="95"/>
  <c r="V32" i="95"/>
  <c r="V28" i="95"/>
  <c r="V24" i="95"/>
  <c r="V79" i="95"/>
  <c r="V71" i="95"/>
  <c r="V59" i="95"/>
  <c r="V47" i="95"/>
  <c r="V23" i="95"/>
  <c r="V21" i="95"/>
  <c r="V19" i="95"/>
  <c r="V82" i="95"/>
  <c r="V80" i="95"/>
  <c r="V72" i="95"/>
  <c r="V68" i="95"/>
  <c r="V60" i="95"/>
  <c r="V48" i="95"/>
  <c r="V54" i="95"/>
  <c r="V29" i="95"/>
  <c r="V35" i="95"/>
  <c r="V33" i="95"/>
  <c r="V39" i="95"/>
  <c r="V46" i="95"/>
  <c r="V67" i="95"/>
  <c r="T21" i="95"/>
  <c r="V51" i="95"/>
  <c r="V34" i="95"/>
  <c r="V78" i="95"/>
  <c r="V58" i="95"/>
  <c r="V49" i="95"/>
  <c r="V18" i="95"/>
  <c r="Z59" i="95"/>
  <c r="R25" i="93"/>
  <c r="R28" i="93"/>
  <c r="R31" i="93"/>
  <c r="L36" i="93"/>
  <c r="R46" i="93"/>
  <c r="L12" i="94"/>
  <c r="N12" i="94" s="1"/>
  <c r="F17" i="94"/>
  <c r="X34" i="94"/>
  <c r="Z34" i="94" s="1"/>
  <c r="F41" i="94"/>
  <c r="Z55" i="97"/>
  <c r="N63" i="97"/>
  <c r="X46" i="93"/>
  <c r="Z46" i="93" s="1"/>
  <c r="L17" i="94"/>
  <c r="N17" i="94" s="1"/>
  <c r="X23" i="94"/>
  <c r="Z23" i="94" s="1"/>
  <c r="J37" i="94"/>
  <c r="L41" i="94"/>
  <c r="N41" i="94" s="1"/>
  <c r="F54" i="94"/>
  <c r="Z59" i="94"/>
  <c r="X59" i="94"/>
  <c r="F62" i="94"/>
  <c r="V38" i="95"/>
  <c r="Z17" i="93"/>
  <c r="N23" i="93"/>
  <c r="X34" i="93"/>
  <c r="J17" i="94"/>
  <c r="F31" i="94"/>
  <c r="J41" i="94"/>
  <c r="J43" i="94"/>
  <c r="J54" i="94"/>
  <c r="J62" i="94"/>
  <c r="J68" i="94"/>
  <c r="V25" i="95"/>
  <c r="L63" i="92"/>
  <c r="N63" i="92" s="1"/>
  <c r="H12" i="93"/>
  <c r="N15" i="93"/>
  <c r="R27" i="93"/>
  <c r="Z34" i="93"/>
  <c r="N83" i="92"/>
  <c r="L83" i="92"/>
  <c r="R45" i="93"/>
  <c r="R51" i="93"/>
  <c r="F51" i="94"/>
  <c r="J87" i="94"/>
  <c r="Z34" i="95"/>
  <c r="Z47" i="95"/>
  <c r="Z64" i="95"/>
  <c r="F38" i="96"/>
  <c r="F32" i="96"/>
  <c r="F18" i="96"/>
  <c r="F16" i="96"/>
  <c r="F14" i="96"/>
  <c r="F31" i="96"/>
  <c r="D16" i="96"/>
  <c r="F25" i="96"/>
  <c r="F21" i="96"/>
  <c r="F40" i="96"/>
  <c r="F26" i="96"/>
  <c r="F22" i="96"/>
  <c r="F43" i="96"/>
  <c r="F28" i="96"/>
  <c r="F27" i="96"/>
  <c r="L12" i="96"/>
  <c r="F34" i="96"/>
  <c r="F29" i="96"/>
  <c r="H16" i="96"/>
  <c r="F23" i="96"/>
  <c r="N34" i="96"/>
  <c r="Z63" i="97"/>
  <c r="N17" i="95"/>
  <c r="J38" i="96"/>
  <c r="J25" i="96"/>
  <c r="J21" i="96"/>
  <c r="J40" i="96"/>
  <c r="J26" i="96"/>
  <c r="J22" i="96"/>
  <c r="J43" i="96"/>
  <c r="J27" i="96"/>
  <c r="J28" i="96"/>
  <c r="N12" i="96"/>
  <c r="J23" i="96"/>
  <c r="J32" i="96"/>
  <c r="J24" i="96"/>
  <c r="J20" i="96"/>
  <c r="J18" i="96"/>
  <c r="J16" i="96"/>
  <c r="J14" i="96"/>
  <c r="J34" i="96"/>
  <c r="N61" i="97"/>
  <c r="F19" i="96"/>
  <c r="Z42" i="97"/>
  <c r="X42" i="97"/>
  <c r="N43" i="95"/>
  <c r="X55" i="95"/>
  <c r="N19" i="96"/>
  <c r="P12" i="97"/>
  <c r="X13" i="97"/>
  <c r="Z13" i="97" s="1"/>
  <c r="J47" i="97"/>
  <c r="X68" i="94"/>
  <c r="Z55" i="95"/>
  <c r="J31" i="96"/>
  <c r="F33" i="96"/>
  <c r="Z34" i="96"/>
  <c r="F36" i="96"/>
  <c r="N57" i="97"/>
  <c r="X84" i="94"/>
  <c r="Z84" i="94" s="1"/>
  <c r="P12" i="95"/>
  <c r="X13" i="95"/>
  <c r="Z13" i="95" s="1"/>
  <c r="X23" i="95"/>
  <c r="Z23" i="95" s="1"/>
  <c r="X59" i="95"/>
  <c r="Z77" i="95"/>
  <c r="X79" i="95"/>
  <c r="Z79" i="95" s="1"/>
  <c r="L14" i="96"/>
  <c r="L18" i="96"/>
  <c r="N18" i="96" s="1"/>
  <c r="J33" i="96"/>
  <c r="J36" i="96"/>
  <c r="L80" i="94"/>
  <c r="N80" i="94" s="1"/>
  <c r="Z43" i="95"/>
  <c r="N49" i="95"/>
  <c r="Z61" i="95"/>
  <c r="Z19" i="96"/>
  <c r="F24" i="96"/>
  <c r="F67" i="97"/>
  <c r="F58" i="97"/>
  <c r="F57" i="97"/>
  <c r="F50" i="97"/>
  <c r="F49" i="97"/>
  <c r="F71" i="97"/>
  <c r="F66" i="97"/>
  <c r="F41" i="97"/>
  <c r="F40" i="97"/>
  <c r="F33" i="97"/>
  <c r="F52" i="97"/>
  <c r="F51" i="97"/>
  <c r="F28" i="97"/>
  <c r="F24" i="97"/>
  <c r="F59" i="97"/>
  <c r="F43" i="97"/>
  <c r="F42" i="97"/>
  <c r="F34" i="97"/>
  <c r="F53" i="97"/>
  <c r="F29" i="97"/>
  <c r="F25" i="97"/>
  <c r="F21" i="97"/>
  <c r="F20" i="97"/>
  <c r="F60" i="97"/>
  <c r="F44" i="97"/>
  <c r="F35" i="97"/>
  <c r="F31" i="97"/>
  <c r="F30" i="97"/>
  <c r="F64" i="97"/>
  <c r="F63" i="97"/>
  <c r="F56" i="97"/>
  <c r="F55" i="97"/>
  <c r="F48" i="97"/>
  <c r="F47" i="97"/>
  <c r="F32" i="97"/>
  <c r="L12" i="97"/>
  <c r="N12" i="97" s="1"/>
  <c r="F22" i="97"/>
  <c r="F37" i="97"/>
  <c r="F46" i="97"/>
  <c r="F15" i="97"/>
  <c r="F62" i="97"/>
  <c r="F54" i="97"/>
  <c r="F26" i="97"/>
  <c r="F38" i="97"/>
  <c r="F23" i="97"/>
  <c r="D17" i="97"/>
  <c r="F61" i="97"/>
  <c r="F39" i="97"/>
  <c r="F27" i="97"/>
  <c r="R38" i="96"/>
  <c r="V40" i="96"/>
  <c r="J20" i="97"/>
  <c r="V22" i="97"/>
  <c r="L47" i="97"/>
  <c r="N47" i="97" s="1"/>
  <c r="J55" i="97"/>
  <c r="P16" i="96"/>
  <c r="R20" i="96"/>
  <c r="R24" i="96"/>
  <c r="R31" i="96"/>
  <c r="J71" i="97"/>
  <c r="J51" i="97"/>
  <c r="J41" i="97"/>
  <c r="J33" i="97"/>
  <c r="J52" i="97"/>
  <c r="J42" i="97"/>
  <c r="J28" i="97"/>
  <c r="J24" i="97"/>
  <c r="J59" i="97"/>
  <c r="J43" i="97"/>
  <c r="J53" i="97"/>
  <c r="J29" i="97"/>
  <c r="J25" i="97"/>
  <c r="J21" i="97"/>
  <c r="J19" i="97"/>
  <c r="J17" i="97"/>
  <c r="J15" i="97"/>
  <c r="J60" i="97"/>
  <c r="J44" i="97"/>
  <c r="J30" i="97"/>
  <c r="J61" i="97"/>
  <c r="J45" i="97"/>
  <c r="J35" i="97"/>
  <c r="J31" i="97"/>
  <c r="J62" i="97"/>
  <c r="J54" i="97"/>
  <c r="J46" i="97"/>
  <c r="J36" i="97"/>
  <c r="J26" i="97"/>
  <c r="J22" i="97"/>
  <c r="J67" i="97"/>
  <c r="J57" i="97"/>
  <c r="J49" i="97"/>
  <c r="J39" i="97"/>
  <c r="J27" i="97"/>
  <c r="J23" i="97"/>
  <c r="Z20" i="97"/>
  <c r="J32" i="97"/>
  <c r="N36" i="97"/>
  <c r="L36" i="97"/>
  <c r="V41" i="97"/>
  <c r="V20" i="96"/>
  <c r="V24" i="96"/>
  <c r="R29" i="96"/>
  <c r="T31" i="96"/>
  <c r="R32" i="96"/>
  <c r="R36" i="96"/>
  <c r="V20" i="97"/>
  <c r="Z45" i="97"/>
  <c r="J56" i="97"/>
  <c r="J64" i="97"/>
  <c r="L67" i="97"/>
  <c r="N67" i="97" s="1"/>
  <c r="T16" i="96"/>
  <c r="R19" i="96"/>
  <c r="V29" i="96"/>
  <c r="V31" i="96"/>
  <c r="R33" i="96"/>
  <c r="H17" i="97"/>
  <c r="V14" i="96"/>
  <c r="V16" i="96"/>
  <c r="V18" i="96"/>
  <c r="V32" i="96"/>
  <c r="V36" i="96"/>
  <c r="V61" i="97"/>
  <c r="V53" i="97"/>
  <c r="V45" i="97"/>
  <c r="V29" i="97"/>
  <c r="V25" i="97"/>
  <c r="V21" i="97"/>
  <c r="V60" i="97"/>
  <c r="V44" i="97"/>
  <c r="V36" i="97"/>
  <c r="V63" i="97"/>
  <c r="V55" i="97"/>
  <c r="V47" i="97"/>
  <c r="V35" i="97"/>
  <c r="V31" i="97"/>
  <c r="V62" i="97"/>
  <c r="V54" i="97"/>
  <c r="V46" i="97"/>
  <c r="V67" i="97"/>
  <c r="V57" i="97"/>
  <c r="V49" i="97"/>
  <c r="V37" i="97"/>
  <c r="V66" i="97"/>
  <c r="V64" i="97"/>
  <c r="V56" i="97"/>
  <c r="V48" i="97"/>
  <c r="V40" i="97"/>
  <c r="V32" i="97"/>
  <c r="V51" i="97"/>
  <c r="V39" i="97"/>
  <c r="V27" i="97"/>
  <c r="V58" i="97"/>
  <c r="V50" i="97"/>
  <c r="V42" i="97"/>
  <c r="V59" i="97"/>
  <c r="V43" i="97"/>
  <c r="V19" i="97"/>
  <c r="V15" i="97"/>
  <c r="V23" i="97"/>
  <c r="V30" i="97"/>
  <c r="J38" i="97"/>
  <c r="J48" i="97"/>
  <c r="Z51" i="97"/>
  <c r="J58" i="97"/>
  <c r="X12" i="96"/>
  <c r="V19" i="96"/>
  <c r="V23" i="96"/>
  <c r="R28" i="96"/>
  <c r="V33" i="96"/>
  <c r="X19" i="97"/>
  <c r="Z19" i="97" s="1"/>
  <c r="V28" i="97"/>
  <c r="J40" i="97"/>
  <c r="J50" i="97"/>
  <c r="Z12" i="96"/>
  <c r="V28" i="96"/>
  <c r="V34" i="96"/>
  <c r="R43" i="96"/>
  <c r="V26" i="97"/>
  <c r="L66" i="97"/>
  <c r="N66" i="97" s="1"/>
  <c r="R22" i="96"/>
  <c r="R26" i="96"/>
  <c r="R27" i="96"/>
  <c r="T17" i="97"/>
  <c r="J66" i="97"/>
  <c r="V22" i="96"/>
  <c r="V26" i="96"/>
  <c r="V33" i="97"/>
  <c r="J37" i="97"/>
  <c r="V38" i="97"/>
  <c r="V52" i="97"/>
  <c r="L55" i="97"/>
  <c r="L63" i="97"/>
  <c r="X47" i="97"/>
  <c r="Z47" i="97" s="1"/>
  <c r="X55" i="97"/>
  <c r="D46" i="91" l="1"/>
  <c r="L16" i="91"/>
  <c r="X20" i="87"/>
  <c r="P53" i="87"/>
  <c r="T92" i="85"/>
  <c r="V102" i="71"/>
  <c r="V86" i="71"/>
  <c r="V78" i="71"/>
  <c r="V66" i="71"/>
  <c r="V62" i="71"/>
  <c r="V111" i="71"/>
  <c r="V101" i="71"/>
  <c r="V89" i="71"/>
  <c r="V77" i="71"/>
  <c r="V110" i="71"/>
  <c r="V104" i="71"/>
  <c r="V96" i="71"/>
  <c r="V88" i="71"/>
  <c r="V80" i="71"/>
  <c r="V72" i="71"/>
  <c r="V108" i="71"/>
  <c r="V90" i="71"/>
  <c r="V82" i="71"/>
  <c r="V92" i="71"/>
  <c r="V68" i="71"/>
  <c r="V64" i="71"/>
  <c r="V100" i="71"/>
  <c r="V84" i="71"/>
  <c r="V76" i="71"/>
  <c r="V115" i="71"/>
  <c r="V109" i="71"/>
  <c r="V87" i="71"/>
  <c r="V83" i="71"/>
  <c r="V69" i="71"/>
  <c r="V65" i="71"/>
  <c r="V63" i="71"/>
  <c r="V93" i="71"/>
  <c r="V105" i="71"/>
  <c r="V103" i="71"/>
  <c r="V98" i="71"/>
  <c r="V54" i="71"/>
  <c r="V50" i="71"/>
  <c r="V46" i="71"/>
  <c r="V42" i="71"/>
  <c r="V61" i="71"/>
  <c r="V91" i="71"/>
  <c r="V81" i="71"/>
  <c r="V74" i="71"/>
  <c r="V70" i="71"/>
  <c r="V94" i="71"/>
  <c r="V85" i="71"/>
  <c r="V79" i="71"/>
  <c r="V55" i="71"/>
  <c r="V51" i="71"/>
  <c r="V47" i="71"/>
  <c r="V43" i="71"/>
  <c r="V39" i="71"/>
  <c r="V99" i="71"/>
  <c r="V60" i="71"/>
  <c r="V97" i="71"/>
  <c r="V71" i="71"/>
  <c r="V40" i="71"/>
  <c r="T57" i="71"/>
  <c r="V107" i="71"/>
  <c r="V49" i="71"/>
  <c r="V44" i="71"/>
  <c r="V73" i="71"/>
  <c r="V53" i="71"/>
  <c r="V67" i="71"/>
  <c r="V48" i="71"/>
  <c r="V75" i="71"/>
  <c r="V59" i="71"/>
  <c r="V41" i="71"/>
  <c r="V52" i="71"/>
  <c r="V95" i="71"/>
  <c r="V45" i="71"/>
  <c r="P74" i="67"/>
  <c r="P107" i="62"/>
  <c r="R64" i="45"/>
  <c r="R63" i="45"/>
  <c r="R52" i="45"/>
  <c r="R51" i="45"/>
  <c r="R87" i="45"/>
  <c r="R86" i="45"/>
  <c r="R70" i="45"/>
  <c r="R42" i="45"/>
  <c r="R38" i="45"/>
  <c r="R19" i="45"/>
  <c r="R81" i="45"/>
  <c r="R77" i="45"/>
  <c r="R65" i="45"/>
  <c r="R54" i="45"/>
  <c r="R53" i="45"/>
  <c r="R33" i="45"/>
  <c r="R29" i="45"/>
  <c r="R89" i="45"/>
  <c r="R88" i="45"/>
  <c r="R20" i="45"/>
  <c r="R71" i="45"/>
  <c r="R56" i="45"/>
  <c r="R55" i="45"/>
  <c r="R44" i="45"/>
  <c r="R43" i="45"/>
  <c r="R39" i="45"/>
  <c r="R90" i="45"/>
  <c r="R82" i="45"/>
  <c r="R78" i="45"/>
  <c r="R66" i="45"/>
  <c r="R34" i="45"/>
  <c r="R30" i="45"/>
  <c r="R92" i="45"/>
  <c r="R58" i="45"/>
  <c r="R57" i="45"/>
  <c r="R46" i="45"/>
  <c r="R45" i="45"/>
  <c r="R73" i="45"/>
  <c r="R72" i="45"/>
  <c r="R40" i="45"/>
  <c r="R83" i="45"/>
  <c r="R79" i="45"/>
  <c r="R68" i="45"/>
  <c r="R67" i="45"/>
  <c r="R60" i="45"/>
  <c r="R59" i="45"/>
  <c r="R48" i="45"/>
  <c r="R47" i="45"/>
  <c r="R36" i="45"/>
  <c r="R35" i="45"/>
  <c r="R31" i="45"/>
  <c r="R27" i="45"/>
  <c r="P23" i="45"/>
  <c r="R23" i="45" s="1"/>
  <c r="R69" i="45"/>
  <c r="R62" i="45"/>
  <c r="R61" i="45"/>
  <c r="R50" i="45"/>
  <c r="R49" i="45"/>
  <c r="R41" i="45"/>
  <c r="R37" i="45"/>
  <c r="R26" i="45"/>
  <c r="X12" i="45"/>
  <c r="Z12" i="45" s="1"/>
  <c r="R76" i="45"/>
  <c r="R28" i="45"/>
  <c r="R85" i="45"/>
  <c r="R74" i="45"/>
  <c r="R80" i="45"/>
  <c r="R32" i="45"/>
  <c r="R96" i="45"/>
  <c r="R84" i="45"/>
  <c r="R25" i="45"/>
  <c r="R75" i="45"/>
  <c r="R21" i="45"/>
  <c r="F92" i="45"/>
  <c r="F83" i="45"/>
  <c r="F79" i="45"/>
  <c r="F67" i="45"/>
  <c r="F59" i="45"/>
  <c r="F58" i="45"/>
  <c r="F47" i="45"/>
  <c r="F46" i="45"/>
  <c r="F35" i="45"/>
  <c r="F31" i="45"/>
  <c r="F27" i="45"/>
  <c r="F26" i="45"/>
  <c r="F96" i="45"/>
  <c r="F74" i="45"/>
  <c r="F73" i="45"/>
  <c r="F25" i="45"/>
  <c r="F69" i="45"/>
  <c r="F68" i="45"/>
  <c r="F61" i="45"/>
  <c r="F60" i="45"/>
  <c r="F49" i="45"/>
  <c r="F48" i="45"/>
  <c r="F41" i="45"/>
  <c r="F37" i="45"/>
  <c r="F36" i="45"/>
  <c r="D23" i="45"/>
  <c r="F84" i="45"/>
  <c r="F80" i="45"/>
  <c r="F76" i="45"/>
  <c r="F75" i="45"/>
  <c r="F32" i="45"/>
  <c r="F28" i="45"/>
  <c r="F63" i="45"/>
  <c r="F62" i="45"/>
  <c r="F51" i="45"/>
  <c r="F50" i="45"/>
  <c r="F86" i="45"/>
  <c r="F85" i="45"/>
  <c r="F70" i="45"/>
  <c r="F42" i="45"/>
  <c r="F38" i="45"/>
  <c r="F81" i="45"/>
  <c r="F77" i="45"/>
  <c r="F65" i="45"/>
  <c r="F64" i="45"/>
  <c r="F53" i="45"/>
  <c r="F52" i="45"/>
  <c r="F33" i="45"/>
  <c r="F29" i="45"/>
  <c r="F88" i="45"/>
  <c r="F87" i="45"/>
  <c r="F71" i="45"/>
  <c r="F55" i="45"/>
  <c r="F54" i="45"/>
  <c r="F43" i="45"/>
  <c r="F39" i="45"/>
  <c r="F57" i="45"/>
  <c r="F56" i="45"/>
  <c r="F45" i="45"/>
  <c r="F44" i="45"/>
  <c r="F21" i="45"/>
  <c r="F82" i="45"/>
  <c r="F66" i="45"/>
  <c r="F19" i="45"/>
  <c r="L12" i="45"/>
  <c r="F40" i="45"/>
  <c r="F20" i="45"/>
  <c r="F78" i="45"/>
  <c r="F72" i="45"/>
  <c r="F30" i="45"/>
  <c r="F89" i="45"/>
  <c r="F90" i="45"/>
  <c r="F34" i="45"/>
  <c r="J126" i="24"/>
  <c r="J120" i="24"/>
  <c r="J112" i="24"/>
  <c r="J102" i="24"/>
  <c r="J96" i="24"/>
  <c r="J127" i="24"/>
  <c r="J121" i="24"/>
  <c r="J113" i="24"/>
  <c r="J103" i="24"/>
  <c r="J91" i="24"/>
  <c r="J87" i="24"/>
  <c r="J128" i="24"/>
  <c r="J122" i="24"/>
  <c r="J114" i="24"/>
  <c r="J104" i="24"/>
  <c r="J129" i="24"/>
  <c r="J105" i="24"/>
  <c r="J97" i="24"/>
  <c r="J130" i="24"/>
  <c r="J92" i="24"/>
  <c r="J88" i="24"/>
  <c r="J131" i="24"/>
  <c r="J123" i="24"/>
  <c r="J115" i="24"/>
  <c r="J138" i="24"/>
  <c r="J124" i="24"/>
  <c r="J118" i="24"/>
  <c r="J110" i="24"/>
  <c r="J100" i="24"/>
  <c r="J90" i="24"/>
  <c r="J86" i="24"/>
  <c r="J107" i="24"/>
  <c r="J85" i="24"/>
  <c r="J74" i="24"/>
  <c r="J77" i="24"/>
  <c r="J66" i="24"/>
  <c r="J55" i="24"/>
  <c r="J58" i="24"/>
  <c r="H81" i="24"/>
  <c r="J72" i="24"/>
  <c r="J69" i="24"/>
  <c r="J61" i="24"/>
  <c r="J116" i="24"/>
  <c r="J98" i="24"/>
  <c r="J75" i="24"/>
  <c r="J64" i="24"/>
  <c r="J125" i="24"/>
  <c r="J111" i="24"/>
  <c r="J108" i="24"/>
  <c r="J94" i="24"/>
  <c r="J78" i="24"/>
  <c r="J67" i="24"/>
  <c r="J59" i="24"/>
  <c r="J56" i="24"/>
  <c r="J133" i="24"/>
  <c r="J83" i="24"/>
  <c r="J70" i="24"/>
  <c r="J62" i="24"/>
  <c r="J119" i="24"/>
  <c r="J109" i="24"/>
  <c r="J101" i="24"/>
  <c r="J84" i="24"/>
  <c r="J76" i="24"/>
  <c r="J73" i="24"/>
  <c r="J106" i="24"/>
  <c r="J79" i="24"/>
  <c r="J65" i="24"/>
  <c r="J134" i="24"/>
  <c r="J95" i="24"/>
  <c r="J117" i="24"/>
  <c r="J60" i="24"/>
  <c r="J89" i="24"/>
  <c r="J71" i="24"/>
  <c r="J57" i="24"/>
  <c r="J99" i="24"/>
  <c r="J68" i="24"/>
  <c r="J93" i="24"/>
  <c r="J63" i="24"/>
  <c r="V134" i="24"/>
  <c r="V116" i="24"/>
  <c r="V92" i="24"/>
  <c r="V88" i="24"/>
  <c r="V84" i="24"/>
  <c r="V133" i="24"/>
  <c r="V131" i="24"/>
  <c r="V123" i="24"/>
  <c r="V115" i="24"/>
  <c r="V107" i="24"/>
  <c r="V83" i="24"/>
  <c r="V81" i="24"/>
  <c r="V79" i="24"/>
  <c r="V75" i="24"/>
  <c r="V71" i="24"/>
  <c r="V67" i="24"/>
  <c r="V63" i="24"/>
  <c r="V59" i="24"/>
  <c r="V55" i="24"/>
  <c r="V106" i="24"/>
  <c r="V98" i="24"/>
  <c r="V94" i="24"/>
  <c r="V117" i="24"/>
  <c r="V109" i="24"/>
  <c r="V93" i="24"/>
  <c r="V89" i="24"/>
  <c r="V85" i="24"/>
  <c r="V138" i="24"/>
  <c r="V124" i="24"/>
  <c r="V108" i="24"/>
  <c r="V100" i="24"/>
  <c r="V76" i="24"/>
  <c r="V72" i="24"/>
  <c r="V68" i="24"/>
  <c r="V64" i="24"/>
  <c r="V60" i="24"/>
  <c r="V56" i="24"/>
  <c r="V119" i="24"/>
  <c r="V111" i="24"/>
  <c r="V99" i="24"/>
  <c r="V95" i="24"/>
  <c r="V128" i="24"/>
  <c r="V120" i="24"/>
  <c r="V130" i="24"/>
  <c r="V122" i="24"/>
  <c r="V114" i="24"/>
  <c r="V78" i="24"/>
  <c r="V74" i="24"/>
  <c r="V70" i="24"/>
  <c r="V66" i="24"/>
  <c r="V62" i="24"/>
  <c r="V129" i="24"/>
  <c r="V118" i="24"/>
  <c r="V127" i="24"/>
  <c r="V125" i="24"/>
  <c r="V121" i="24"/>
  <c r="V105" i="24"/>
  <c r="V96" i="24"/>
  <c r="V90" i="24"/>
  <c r="V103" i="24"/>
  <c r="V86" i="24"/>
  <c r="V101" i="24"/>
  <c r="V73" i="24"/>
  <c r="V65" i="24"/>
  <c r="V126" i="24"/>
  <c r="V57" i="24"/>
  <c r="V104" i="24"/>
  <c r="V102" i="24"/>
  <c r="V112" i="24"/>
  <c r="V91" i="24"/>
  <c r="V97" i="24"/>
  <c r="V87" i="24"/>
  <c r="V77" i="24"/>
  <c r="V69" i="24"/>
  <c r="V110" i="24"/>
  <c r="V61" i="24"/>
  <c r="V113" i="24"/>
  <c r="T81" i="24"/>
  <c r="V58" i="24"/>
  <c r="V269" i="12"/>
  <c r="V263" i="12"/>
  <c r="V251" i="12"/>
  <c r="V247" i="12"/>
  <c r="V235" i="12"/>
  <c r="V223" i="12"/>
  <c r="V215" i="12"/>
  <c r="V203" i="12"/>
  <c r="V179" i="12"/>
  <c r="V268" i="12"/>
  <c r="V258" i="12"/>
  <c r="V242" i="12"/>
  <c r="V230" i="12"/>
  <c r="V222" i="12"/>
  <c r="V267" i="12"/>
  <c r="V265" i="12"/>
  <c r="V257" i="12"/>
  <c r="V241" i="12"/>
  <c r="V237" i="12"/>
  <c r="V225" i="12"/>
  <c r="V217" i="12"/>
  <c r="V205" i="12"/>
  <c r="V189" i="12"/>
  <c r="V185" i="12"/>
  <c r="T168" i="12"/>
  <c r="V260" i="12"/>
  <c r="V252" i="12"/>
  <c r="V248" i="12"/>
  <c r="V232" i="12"/>
  <c r="V224" i="12"/>
  <c r="V216" i="12"/>
  <c r="V208" i="12"/>
  <c r="V192" i="12"/>
  <c r="V180" i="12"/>
  <c r="V176" i="12"/>
  <c r="V172" i="12"/>
  <c r="V259" i="12"/>
  <c r="V243" i="12"/>
  <c r="V231" i="12"/>
  <c r="V227" i="12"/>
  <c r="V276" i="12"/>
  <c r="V238" i="12"/>
  <c r="V226" i="12"/>
  <c r="V218" i="12"/>
  <c r="V210" i="12"/>
  <c r="V275" i="12"/>
  <c r="V273" i="12"/>
  <c r="V255" i="12"/>
  <c r="V239" i="12"/>
  <c r="V271" i="12"/>
  <c r="V229" i="12"/>
  <c r="V221" i="12"/>
  <c r="V213" i="12"/>
  <c r="V197" i="12"/>
  <c r="V261" i="12"/>
  <c r="V211" i="12"/>
  <c r="V207" i="12"/>
  <c r="V204" i="12"/>
  <c r="V178" i="12"/>
  <c r="V151" i="12"/>
  <c r="V144" i="12"/>
  <c r="V137" i="12"/>
  <c r="V256" i="12"/>
  <c r="V250" i="12"/>
  <c r="V246" i="12"/>
  <c r="V244" i="12"/>
  <c r="V220" i="12"/>
  <c r="V198" i="12"/>
  <c r="V191" i="12"/>
  <c r="V175" i="12"/>
  <c r="V158" i="12"/>
  <c r="V130" i="12"/>
  <c r="V126" i="12"/>
  <c r="V122" i="12"/>
  <c r="V118" i="12"/>
  <c r="V114" i="12"/>
  <c r="V272" i="12"/>
  <c r="V214" i="12"/>
  <c r="V155" i="12"/>
  <c r="V148" i="12"/>
  <c r="V141" i="12"/>
  <c r="V134" i="12"/>
  <c r="V254" i="12"/>
  <c r="V188" i="12"/>
  <c r="V183" i="12"/>
  <c r="V165" i="12"/>
  <c r="V152" i="12"/>
  <c r="V236" i="12"/>
  <c r="V196" i="12"/>
  <c r="V162" i="12"/>
  <c r="V159" i="12"/>
  <c r="V145" i="12"/>
  <c r="V138" i="12"/>
  <c r="V131" i="12"/>
  <c r="V127" i="12"/>
  <c r="V123" i="12"/>
  <c r="V119" i="12"/>
  <c r="V115" i="12"/>
  <c r="V264" i="12"/>
  <c r="V245" i="12"/>
  <c r="V240" i="12"/>
  <c r="V234" i="12"/>
  <c r="V212" i="12"/>
  <c r="V202" i="12"/>
  <c r="V199" i="12"/>
  <c r="V193" i="12"/>
  <c r="V186" i="12"/>
  <c r="V156" i="12"/>
  <c r="V135" i="12"/>
  <c r="V270" i="12"/>
  <c r="V262" i="12"/>
  <c r="V228" i="12"/>
  <c r="V209" i="12"/>
  <c r="V173" i="12"/>
  <c r="V149" i="12"/>
  <c r="V142" i="12"/>
  <c r="V249" i="12"/>
  <c r="V219" i="12"/>
  <c r="V206" i="12"/>
  <c r="V163" i="12"/>
  <c r="V160" i="12"/>
  <c r="V153" i="12"/>
  <c r="V139" i="12"/>
  <c r="V132" i="12"/>
  <c r="V128" i="12"/>
  <c r="V124" i="12"/>
  <c r="V120" i="12"/>
  <c r="V116" i="12"/>
  <c r="V274" i="12"/>
  <c r="V184" i="12"/>
  <c r="V177" i="12"/>
  <c r="V166" i="12"/>
  <c r="V146" i="12"/>
  <c r="V136" i="12"/>
  <c r="V253" i="12"/>
  <c r="V200" i="12"/>
  <c r="V194" i="12"/>
  <c r="V190" i="12"/>
  <c r="V157" i="12"/>
  <c r="V150" i="12"/>
  <c r="V143" i="12"/>
  <c r="V280" i="12"/>
  <c r="V187" i="12"/>
  <c r="V182" i="12"/>
  <c r="V174" i="12"/>
  <c r="V168" i="12"/>
  <c r="V164" i="12"/>
  <c r="V140" i="12"/>
  <c r="V133" i="12"/>
  <c r="V129" i="12"/>
  <c r="V125" i="12"/>
  <c r="V121" i="12"/>
  <c r="V117" i="12"/>
  <c r="V113" i="12"/>
  <c r="V201" i="12"/>
  <c r="V170" i="12"/>
  <c r="V154" i="12"/>
  <c r="V171" i="12"/>
  <c r="V233" i="12"/>
  <c r="V181" i="12"/>
  <c r="V161" i="12"/>
  <c r="V147" i="12"/>
  <c r="V195" i="12"/>
  <c r="T27" i="100"/>
  <c r="Z18" i="100"/>
  <c r="X18" i="37"/>
  <c r="P27" i="37"/>
  <c r="L18" i="37"/>
  <c r="D27" i="37"/>
  <c r="H27" i="34"/>
  <c r="N18" i="34"/>
  <c r="H27" i="22"/>
  <c r="N18" i="22"/>
  <c r="X18" i="19"/>
  <c r="P27" i="19"/>
  <c r="X18" i="16"/>
  <c r="P27" i="16"/>
  <c r="T27" i="17"/>
  <c r="Z18" i="17"/>
  <c r="H27" i="5"/>
  <c r="N18" i="5"/>
  <c r="T27" i="8"/>
  <c r="Z18" i="8"/>
  <c r="L18" i="8"/>
  <c r="D27" i="8"/>
  <c r="X89" i="85"/>
  <c r="Z89" i="85" s="1"/>
  <c r="R89" i="85"/>
  <c r="T53" i="87"/>
  <c r="Z20" i="87"/>
  <c r="F54" i="80"/>
  <c r="F53" i="80"/>
  <c r="F42" i="80"/>
  <c r="F41" i="80"/>
  <c r="F30" i="80"/>
  <c r="F55" i="80"/>
  <c r="F83" i="80"/>
  <c r="F80" i="80"/>
  <c r="F63" i="80"/>
  <c r="F72" i="80"/>
  <c r="F65" i="80"/>
  <c r="F46" i="80"/>
  <c r="F32" i="80"/>
  <c r="F25" i="80"/>
  <c r="F68" i="80"/>
  <c r="F61" i="80"/>
  <c r="F57" i="80"/>
  <c r="F33" i="80"/>
  <c r="F29" i="80"/>
  <c r="F58" i="80"/>
  <c r="F36" i="80"/>
  <c r="F51" i="80"/>
  <c r="F39" i="80"/>
  <c r="F26" i="80"/>
  <c r="F78" i="80"/>
  <c r="F17" i="80"/>
  <c r="F16" i="80"/>
  <c r="F69" i="80"/>
  <c r="F66" i="80"/>
  <c r="F52" i="80"/>
  <c r="F47" i="80"/>
  <c r="F43" i="80"/>
  <c r="F40" i="80"/>
  <c r="F34" i="80"/>
  <c r="L12" i="80"/>
  <c r="N12" i="80" s="1"/>
  <c r="F70" i="80"/>
  <c r="F64" i="80"/>
  <c r="F62" i="80"/>
  <c r="F44" i="80"/>
  <c r="F27" i="80"/>
  <c r="F74" i="80"/>
  <c r="F59" i="80"/>
  <c r="F37" i="80"/>
  <c r="F18" i="80"/>
  <c r="F48" i="80"/>
  <c r="F31" i="80"/>
  <c r="F24" i="80"/>
  <c r="F23" i="80"/>
  <c r="F71" i="80"/>
  <c r="F60" i="80"/>
  <c r="F28" i="80"/>
  <c r="F56" i="80"/>
  <c r="F35" i="80"/>
  <c r="F20" i="80"/>
  <c r="F67" i="80"/>
  <c r="D20" i="80"/>
  <c r="F49" i="80"/>
  <c r="F45" i="80"/>
  <c r="F76" i="80"/>
  <c r="F50" i="80"/>
  <c r="F22" i="80"/>
  <c r="F38" i="80"/>
  <c r="R72" i="79"/>
  <c r="R68" i="79"/>
  <c r="R44" i="79"/>
  <c r="R85" i="79"/>
  <c r="R55" i="79"/>
  <c r="R90" i="79"/>
  <c r="R87" i="79"/>
  <c r="R63" i="79"/>
  <c r="R62" i="79"/>
  <c r="R30" i="79"/>
  <c r="R26" i="79"/>
  <c r="R74" i="79"/>
  <c r="R73" i="79"/>
  <c r="R69" i="79"/>
  <c r="R46" i="79"/>
  <c r="R45" i="79"/>
  <c r="R17" i="79"/>
  <c r="R64" i="79"/>
  <c r="R57" i="79"/>
  <c r="R56" i="79"/>
  <c r="R76" i="79"/>
  <c r="R75" i="79"/>
  <c r="R48" i="79"/>
  <c r="R47" i="79"/>
  <c r="R32" i="79"/>
  <c r="R31" i="79"/>
  <c r="R27" i="79"/>
  <c r="R70" i="79"/>
  <c r="R59" i="79"/>
  <c r="R58" i="79"/>
  <c r="R39" i="79"/>
  <c r="R38" i="79"/>
  <c r="R23" i="79"/>
  <c r="R78" i="79"/>
  <c r="R77" i="79"/>
  <c r="R60" i="79"/>
  <c r="R79" i="79"/>
  <c r="R71" i="79"/>
  <c r="R67" i="79"/>
  <c r="R52" i="79"/>
  <c r="R51" i="79"/>
  <c r="R81" i="79"/>
  <c r="R37" i="79"/>
  <c r="R34" i="79"/>
  <c r="X12" i="79"/>
  <c r="Z12" i="79" s="1"/>
  <c r="R66" i="79"/>
  <c r="R61" i="79"/>
  <c r="R16" i="79"/>
  <c r="R53" i="79"/>
  <c r="R42" i="79"/>
  <c r="R49" i="79"/>
  <c r="R20" i="79"/>
  <c r="R24" i="79"/>
  <c r="P20" i="79"/>
  <c r="R40" i="79"/>
  <c r="R28" i="79"/>
  <c r="R54" i="79"/>
  <c r="R50" i="79"/>
  <c r="R43" i="79"/>
  <c r="R35" i="79"/>
  <c r="R22" i="79"/>
  <c r="R41" i="79"/>
  <c r="R33" i="79"/>
  <c r="R65" i="79"/>
  <c r="R25" i="79"/>
  <c r="R18" i="79"/>
  <c r="R29" i="79"/>
  <c r="R36" i="79"/>
  <c r="R83" i="79"/>
  <c r="L20" i="74"/>
  <c r="D72" i="74"/>
  <c r="H58" i="63"/>
  <c r="N16" i="63"/>
  <c r="N16" i="57"/>
  <c r="H69" i="57"/>
  <c r="H73" i="58"/>
  <c r="N16" i="58"/>
  <c r="H89" i="94"/>
  <c r="P51" i="93"/>
  <c r="X21" i="93"/>
  <c r="J78" i="92"/>
  <c r="J72" i="92"/>
  <c r="J68" i="92"/>
  <c r="J81" i="92"/>
  <c r="J74" i="92"/>
  <c r="J71" i="92"/>
  <c r="J53" i="92"/>
  <c r="J41" i="92"/>
  <c r="J31" i="92"/>
  <c r="J27" i="92"/>
  <c r="J17" i="92"/>
  <c r="J62" i="92"/>
  <c r="J54" i="92"/>
  <c r="J42" i="92"/>
  <c r="J18" i="92"/>
  <c r="J79" i="92"/>
  <c r="J63" i="92"/>
  <c r="J55" i="92"/>
  <c r="J43" i="92"/>
  <c r="J37" i="92"/>
  <c r="J80" i="92"/>
  <c r="J64" i="92"/>
  <c r="J75" i="92"/>
  <c r="J69" i="92"/>
  <c r="J57" i="92"/>
  <c r="J45" i="92"/>
  <c r="J19" i="92"/>
  <c r="J58" i="92"/>
  <c r="J46" i="92"/>
  <c r="J38" i="92"/>
  <c r="J24" i="92"/>
  <c r="J76" i="92"/>
  <c r="J65" i="92"/>
  <c r="J59" i="92"/>
  <c r="J60" i="92"/>
  <c r="J67" i="92"/>
  <c r="J61" i="92"/>
  <c r="J51" i="92"/>
  <c r="J87" i="92"/>
  <c r="J77" i="92"/>
  <c r="J48" i="92"/>
  <c r="J32" i="92"/>
  <c r="J25" i="92"/>
  <c r="J30" i="92"/>
  <c r="J70" i="92"/>
  <c r="J66" i="92"/>
  <c r="J40" i="92"/>
  <c r="J56" i="92"/>
  <c r="J49" i="92"/>
  <c r="J23" i="92"/>
  <c r="J36" i="92"/>
  <c r="J33" i="92"/>
  <c r="J28" i="92"/>
  <c r="N12" i="92"/>
  <c r="J52" i="92"/>
  <c r="J26" i="92"/>
  <c r="J34" i="92"/>
  <c r="J83" i="92"/>
  <c r="J47" i="92"/>
  <c r="J39" i="92"/>
  <c r="J44" i="92"/>
  <c r="J29" i="92"/>
  <c r="J50" i="92"/>
  <c r="J35" i="92"/>
  <c r="H21" i="92"/>
  <c r="J21" i="92" s="1"/>
  <c r="J73" i="92"/>
  <c r="N43" i="88"/>
  <c r="L20" i="84"/>
  <c r="D77" i="84"/>
  <c r="H71" i="83"/>
  <c r="J20" i="83"/>
  <c r="P71" i="83"/>
  <c r="P34" i="78"/>
  <c r="R30" i="78"/>
  <c r="R80" i="77"/>
  <c r="R79" i="77"/>
  <c r="R55" i="77"/>
  <c r="R51" i="77"/>
  <c r="R47" i="77"/>
  <c r="R43" i="77"/>
  <c r="R119" i="77"/>
  <c r="R118" i="77"/>
  <c r="R107" i="77"/>
  <c r="R106" i="77"/>
  <c r="R91" i="77"/>
  <c r="R90" i="77"/>
  <c r="R74" i="77"/>
  <c r="R113" i="77"/>
  <c r="R101" i="77"/>
  <c r="R82" i="77"/>
  <c r="R81" i="77"/>
  <c r="R69" i="77"/>
  <c r="R65" i="77"/>
  <c r="R121" i="77"/>
  <c r="R120" i="77"/>
  <c r="R108" i="77"/>
  <c r="R93" i="77"/>
  <c r="R92" i="77"/>
  <c r="R56" i="77"/>
  <c r="R52" i="77"/>
  <c r="R48" i="77"/>
  <c r="R44" i="77"/>
  <c r="R84" i="77"/>
  <c r="R83" i="77"/>
  <c r="R75" i="77"/>
  <c r="R40" i="77"/>
  <c r="R123" i="77"/>
  <c r="R122" i="77"/>
  <c r="R114" i="77"/>
  <c r="R103" i="77"/>
  <c r="R102" i="77"/>
  <c r="R95" i="77"/>
  <c r="R94" i="77"/>
  <c r="R71" i="77"/>
  <c r="R70" i="77"/>
  <c r="R66" i="77"/>
  <c r="R110" i="77"/>
  <c r="R109" i="77"/>
  <c r="R85" i="77"/>
  <c r="R62" i="77"/>
  <c r="R57" i="77"/>
  <c r="R53" i="77"/>
  <c r="R49" i="77"/>
  <c r="R45" i="77"/>
  <c r="R41" i="77"/>
  <c r="R124" i="77"/>
  <c r="R104" i="77"/>
  <c r="R97" i="77"/>
  <c r="R96" i="77"/>
  <c r="R76" i="77"/>
  <c r="R72" i="77"/>
  <c r="R61" i="77"/>
  <c r="X12" i="77"/>
  <c r="Z12" i="77" s="1"/>
  <c r="R126" i="77"/>
  <c r="R115" i="77"/>
  <c r="R111" i="77"/>
  <c r="R67" i="77"/>
  <c r="R63" i="77"/>
  <c r="P59" i="77"/>
  <c r="R59" i="77" s="1"/>
  <c r="R117" i="77"/>
  <c r="R88" i="77"/>
  <c r="R78" i="77"/>
  <c r="R50" i="77"/>
  <c r="R86" i="77"/>
  <c r="R54" i="77"/>
  <c r="R130" i="77"/>
  <c r="R112" i="77"/>
  <c r="R89" i="77"/>
  <c r="R87" i="77"/>
  <c r="R73" i="77"/>
  <c r="R100" i="77"/>
  <c r="R64" i="77"/>
  <c r="R116" i="77"/>
  <c r="R98" i="77"/>
  <c r="R68" i="77"/>
  <c r="R42" i="77"/>
  <c r="R105" i="77"/>
  <c r="R46" i="77"/>
  <c r="R77" i="77"/>
  <c r="R99" i="77"/>
  <c r="F41" i="76"/>
  <c r="F40" i="76"/>
  <c r="F29" i="76"/>
  <c r="F25" i="76"/>
  <c r="F72" i="76"/>
  <c r="F68" i="76"/>
  <c r="F67" i="76"/>
  <c r="F60" i="76"/>
  <c r="F52" i="76"/>
  <c r="F51" i="76"/>
  <c r="F89" i="76"/>
  <c r="F86" i="76"/>
  <c r="F43" i="76"/>
  <c r="F42" i="76"/>
  <c r="F35" i="76"/>
  <c r="F74" i="76"/>
  <c r="F73" i="76"/>
  <c r="F62" i="76"/>
  <c r="F61" i="76"/>
  <c r="F54" i="76"/>
  <c r="F53" i="76"/>
  <c r="F69" i="76"/>
  <c r="F45" i="76"/>
  <c r="F44" i="76"/>
  <c r="F17" i="76"/>
  <c r="F16" i="76"/>
  <c r="F76" i="76"/>
  <c r="F75" i="76"/>
  <c r="F56" i="76"/>
  <c r="F55" i="76"/>
  <c r="F36" i="76"/>
  <c r="L12" i="76"/>
  <c r="N12" i="76" s="1"/>
  <c r="F63" i="76"/>
  <c r="F78" i="76"/>
  <c r="F77" i="76"/>
  <c r="F70" i="76"/>
  <c r="F37" i="76"/>
  <c r="F33" i="76"/>
  <c r="F32" i="76"/>
  <c r="F66" i="76"/>
  <c r="F46" i="76"/>
  <c r="F64" i="76"/>
  <c r="F39" i="76"/>
  <c r="F80" i="76"/>
  <c r="F58" i="76"/>
  <c r="F22" i="76"/>
  <c r="F71" i="76"/>
  <c r="F31" i="76"/>
  <c r="F27" i="76"/>
  <c r="F18" i="76"/>
  <c r="F49" i="76"/>
  <c r="F47" i="76"/>
  <c r="F84" i="76"/>
  <c r="F65" i="76"/>
  <c r="F23" i="76"/>
  <c r="F57" i="76"/>
  <c r="F50" i="76"/>
  <c r="F48" i="76"/>
  <c r="F28" i="76"/>
  <c r="F24" i="76"/>
  <c r="D20" i="76"/>
  <c r="F20" i="76"/>
  <c r="F34" i="76"/>
  <c r="F59" i="76"/>
  <c r="F82" i="76"/>
  <c r="F38" i="76"/>
  <c r="F26" i="76"/>
  <c r="F30" i="76"/>
  <c r="T65" i="72"/>
  <c r="D75" i="73"/>
  <c r="V62" i="65"/>
  <c r="V50" i="65"/>
  <c r="V38" i="65"/>
  <c r="V22" i="65"/>
  <c r="V20" i="65"/>
  <c r="V18" i="65"/>
  <c r="V57" i="65"/>
  <c r="V49" i="65"/>
  <c r="V37" i="65"/>
  <c r="V33" i="65"/>
  <c r="T20" i="65"/>
  <c r="V66" i="65"/>
  <c r="V64" i="65"/>
  <c r="V52" i="65"/>
  <c r="V40" i="65"/>
  <c r="V28" i="65"/>
  <c r="V24" i="65"/>
  <c r="V59" i="65"/>
  <c r="V51" i="65"/>
  <c r="V39" i="65"/>
  <c r="V58" i="65"/>
  <c r="V42" i="65"/>
  <c r="V34" i="65"/>
  <c r="V53" i="65"/>
  <c r="V41" i="65"/>
  <c r="V29" i="65"/>
  <c r="V25" i="65"/>
  <c r="V54" i="65"/>
  <c r="V46" i="65"/>
  <c r="V56" i="65"/>
  <c r="V48" i="65"/>
  <c r="V36" i="65"/>
  <c r="V32" i="65"/>
  <c r="V60" i="65"/>
  <c r="V47" i="65"/>
  <c r="V35" i="65"/>
  <c r="V45" i="65"/>
  <c r="V43" i="65"/>
  <c r="V31" i="65"/>
  <c r="V23" i="65"/>
  <c r="V27" i="65"/>
  <c r="V17" i="65"/>
  <c r="V63" i="65"/>
  <c r="V44" i="65"/>
  <c r="V61" i="65"/>
  <c r="V70" i="65"/>
  <c r="V30" i="65"/>
  <c r="V26" i="65"/>
  <c r="V16" i="65"/>
  <c r="V55" i="65"/>
  <c r="R74" i="68"/>
  <c r="R73" i="68"/>
  <c r="R61" i="68"/>
  <c r="R57" i="68"/>
  <c r="R48" i="68"/>
  <c r="R44" i="68"/>
  <c r="R40" i="68"/>
  <c r="R36" i="68"/>
  <c r="R89" i="68"/>
  <c r="R76" i="68"/>
  <c r="R75" i="68"/>
  <c r="R67" i="68"/>
  <c r="R62" i="68"/>
  <c r="R58" i="68"/>
  <c r="R91" i="68"/>
  <c r="R78" i="68"/>
  <c r="R77" i="68"/>
  <c r="R49" i="68"/>
  <c r="R45" i="68"/>
  <c r="R41" i="68"/>
  <c r="R37" i="68"/>
  <c r="R94" i="68"/>
  <c r="R69" i="68"/>
  <c r="R68" i="68"/>
  <c r="X12" i="68"/>
  <c r="R80" i="68"/>
  <c r="R79" i="68"/>
  <c r="R63" i="68"/>
  <c r="R59" i="68"/>
  <c r="R71" i="68"/>
  <c r="R70" i="68"/>
  <c r="R55" i="68"/>
  <c r="R50" i="68"/>
  <c r="R46" i="68"/>
  <c r="R42" i="68"/>
  <c r="R38" i="68"/>
  <c r="R82" i="68"/>
  <c r="R81" i="68"/>
  <c r="R54" i="68"/>
  <c r="R52" i="68"/>
  <c r="R85" i="68"/>
  <c r="R43" i="68"/>
  <c r="R56" i="68"/>
  <c r="R72" i="68"/>
  <c r="R66" i="68"/>
  <c r="R60" i="68"/>
  <c r="R47" i="68"/>
  <c r="R64" i="68"/>
  <c r="R83" i="68"/>
  <c r="R35" i="68"/>
  <c r="R65" i="68"/>
  <c r="R87" i="68"/>
  <c r="P52" i="68"/>
  <c r="R39" i="68"/>
  <c r="L16" i="58"/>
  <c r="D73" i="58"/>
  <c r="P65" i="59"/>
  <c r="P70" i="56"/>
  <c r="X16" i="56"/>
  <c r="H74" i="56"/>
  <c r="L16" i="56"/>
  <c r="D70" i="56"/>
  <c r="R102" i="51"/>
  <c r="R101" i="51"/>
  <c r="R78" i="51"/>
  <c r="R77" i="51"/>
  <c r="R53" i="51"/>
  <c r="R49" i="51"/>
  <c r="R45" i="51"/>
  <c r="R41" i="51"/>
  <c r="R111" i="51"/>
  <c r="R96" i="51"/>
  <c r="R89" i="51"/>
  <c r="R88" i="51"/>
  <c r="R72" i="51"/>
  <c r="X12" i="51"/>
  <c r="Z12" i="51" s="1"/>
  <c r="R110" i="51"/>
  <c r="R104" i="51"/>
  <c r="R103" i="51"/>
  <c r="R80" i="51"/>
  <c r="R79" i="51"/>
  <c r="R67" i="51"/>
  <c r="R63" i="51"/>
  <c r="R109" i="51"/>
  <c r="R90" i="51"/>
  <c r="R54" i="51"/>
  <c r="R50" i="51"/>
  <c r="R46" i="51"/>
  <c r="R42" i="51"/>
  <c r="R115" i="51"/>
  <c r="R108" i="51"/>
  <c r="R105" i="51"/>
  <c r="R97" i="51"/>
  <c r="R82" i="51"/>
  <c r="R81" i="51"/>
  <c r="R73" i="51"/>
  <c r="R107" i="51"/>
  <c r="R68" i="51"/>
  <c r="R64" i="51"/>
  <c r="R92" i="51"/>
  <c r="R91" i="51"/>
  <c r="R83" i="51"/>
  <c r="R60" i="51"/>
  <c r="R98" i="51"/>
  <c r="R94" i="51"/>
  <c r="R93" i="51"/>
  <c r="R70" i="51"/>
  <c r="R69" i="51"/>
  <c r="R65" i="51"/>
  <c r="R61" i="51"/>
  <c r="P57" i="51"/>
  <c r="R85" i="51"/>
  <c r="R84" i="51"/>
  <c r="R52" i="51"/>
  <c r="R48" i="51"/>
  <c r="R44" i="51"/>
  <c r="R40" i="51"/>
  <c r="R100" i="51"/>
  <c r="R76" i="51"/>
  <c r="R74" i="51"/>
  <c r="R57" i="51"/>
  <c r="R39" i="51"/>
  <c r="R62" i="51"/>
  <c r="R86" i="51"/>
  <c r="R43" i="51"/>
  <c r="R95" i="51"/>
  <c r="R71" i="51"/>
  <c r="R47" i="51"/>
  <c r="R87" i="51"/>
  <c r="R59" i="51"/>
  <c r="R55" i="51"/>
  <c r="R51" i="51"/>
  <c r="R66" i="51"/>
  <c r="R99" i="51"/>
  <c r="R75" i="51"/>
  <c r="T103" i="62"/>
  <c r="Z16" i="62"/>
  <c r="P69" i="48"/>
  <c r="X17" i="48"/>
  <c r="Z17" i="48" s="1"/>
  <c r="H113" i="51"/>
  <c r="R119" i="27"/>
  <c r="R116" i="27"/>
  <c r="R108" i="27"/>
  <c r="R85" i="27"/>
  <c r="R84" i="27"/>
  <c r="R65" i="27"/>
  <c r="R60" i="27"/>
  <c r="R56" i="27"/>
  <c r="R52" i="27"/>
  <c r="R48" i="27"/>
  <c r="R44" i="27"/>
  <c r="R125" i="27"/>
  <c r="R118" i="27"/>
  <c r="R79" i="27"/>
  <c r="R64" i="27"/>
  <c r="R103" i="27"/>
  <c r="R102" i="27"/>
  <c r="R95" i="27"/>
  <c r="R94" i="27"/>
  <c r="R86" i="27"/>
  <c r="R75" i="27"/>
  <c r="R74" i="27"/>
  <c r="R70" i="27"/>
  <c r="R66" i="27"/>
  <c r="P62" i="27"/>
  <c r="R110" i="27"/>
  <c r="R109" i="27"/>
  <c r="R57" i="27"/>
  <c r="R53" i="27"/>
  <c r="R49" i="27"/>
  <c r="R45" i="27"/>
  <c r="R104" i="27"/>
  <c r="R97" i="27"/>
  <c r="R96" i="27"/>
  <c r="R80" i="27"/>
  <c r="R76" i="27"/>
  <c r="X12" i="27"/>
  <c r="Z12" i="27" s="1"/>
  <c r="R111" i="27"/>
  <c r="R88" i="27"/>
  <c r="R87" i="27"/>
  <c r="R71" i="27"/>
  <c r="R67" i="27"/>
  <c r="R98" i="27"/>
  <c r="R58" i="27"/>
  <c r="R54" i="27"/>
  <c r="R50" i="27"/>
  <c r="R46" i="27"/>
  <c r="R106" i="27"/>
  <c r="R105" i="27"/>
  <c r="R90" i="27"/>
  <c r="R89" i="27"/>
  <c r="R81" i="27"/>
  <c r="R77" i="27"/>
  <c r="R113" i="27"/>
  <c r="R112" i="27"/>
  <c r="R72" i="27"/>
  <c r="R68" i="27"/>
  <c r="R121" i="27"/>
  <c r="R115" i="27"/>
  <c r="R114" i="27"/>
  <c r="R83" i="27"/>
  <c r="R82" i="27"/>
  <c r="R78" i="27"/>
  <c r="R43" i="27"/>
  <c r="R93" i="27"/>
  <c r="R47" i="27"/>
  <c r="R73" i="27"/>
  <c r="R59" i="27"/>
  <c r="R91" i="27"/>
  <c r="R101" i="27"/>
  <c r="R51" i="27"/>
  <c r="R92" i="27"/>
  <c r="R99" i="27"/>
  <c r="R120" i="27"/>
  <c r="R100" i="27"/>
  <c r="R107" i="27"/>
  <c r="R69" i="27"/>
  <c r="R55" i="27"/>
  <c r="J113" i="27"/>
  <c r="J107" i="27"/>
  <c r="J99" i="27"/>
  <c r="J91" i="27"/>
  <c r="J59" i="27"/>
  <c r="J55" i="27"/>
  <c r="J51" i="27"/>
  <c r="J47" i="27"/>
  <c r="J114" i="27"/>
  <c r="J100" i="27"/>
  <c r="J92" i="27"/>
  <c r="J82" i="27"/>
  <c r="J78" i="27"/>
  <c r="J121" i="27"/>
  <c r="J115" i="27"/>
  <c r="J101" i="27"/>
  <c r="J93" i="27"/>
  <c r="J83" i="27"/>
  <c r="J73" i="27"/>
  <c r="J69" i="27"/>
  <c r="J43" i="27"/>
  <c r="J120" i="27"/>
  <c r="J116" i="27"/>
  <c r="J108" i="27"/>
  <c r="J84" i="27"/>
  <c r="J60" i="27"/>
  <c r="J56" i="27"/>
  <c r="J52" i="27"/>
  <c r="J48" i="27"/>
  <c r="J44" i="27"/>
  <c r="J125" i="27"/>
  <c r="J119" i="27"/>
  <c r="J85" i="27"/>
  <c r="J79" i="27"/>
  <c r="J65" i="27"/>
  <c r="J118" i="27"/>
  <c r="J102" i="27"/>
  <c r="J94" i="27"/>
  <c r="J86" i="27"/>
  <c r="J74" i="27"/>
  <c r="J70" i="27"/>
  <c r="J66" i="27"/>
  <c r="J64" i="27"/>
  <c r="J109" i="27"/>
  <c r="J103" i="27"/>
  <c r="J95" i="27"/>
  <c r="J75" i="27"/>
  <c r="H62" i="27"/>
  <c r="J62" i="27" s="1"/>
  <c r="J57" i="27"/>
  <c r="J53" i="27"/>
  <c r="J49" i="27"/>
  <c r="J45" i="27"/>
  <c r="J110" i="27"/>
  <c r="J104" i="27"/>
  <c r="J96" i="27"/>
  <c r="J80" i="27"/>
  <c r="J76" i="27"/>
  <c r="N12" i="27"/>
  <c r="J111" i="27"/>
  <c r="J97" i="27"/>
  <c r="J87" i="27"/>
  <c r="J71" i="27"/>
  <c r="J67" i="27"/>
  <c r="J105" i="27"/>
  <c r="J89" i="27"/>
  <c r="J81" i="27"/>
  <c r="J77" i="27"/>
  <c r="J50" i="27"/>
  <c r="J98" i="27"/>
  <c r="J112" i="27"/>
  <c r="J106" i="27"/>
  <c r="J68" i="27"/>
  <c r="J54" i="27"/>
  <c r="J46" i="27"/>
  <c r="J72" i="27"/>
  <c r="J58" i="27"/>
  <c r="J88" i="27"/>
  <c r="J90" i="27"/>
  <c r="P103" i="21"/>
  <c r="F291" i="18"/>
  <c r="F278" i="18"/>
  <c r="F270" i="18"/>
  <c r="F266" i="18"/>
  <c r="F254" i="18"/>
  <c r="F186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290" i="18"/>
  <c r="F261" i="18"/>
  <c r="F260" i="18"/>
  <c r="F249" i="18"/>
  <c r="F241" i="18"/>
  <c r="F233" i="18"/>
  <c r="F217" i="18"/>
  <c r="F216" i="18"/>
  <c r="F209" i="18"/>
  <c r="F205" i="18"/>
  <c r="F289" i="18"/>
  <c r="F272" i="18"/>
  <c r="F271" i="18"/>
  <c r="F256" i="18"/>
  <c r="F255" i="18"/>
  <c r="F224" i="18"/>
  <c r="F200" i="18"/>
  <c r="F196" i="18"/>
  <c r="F288" i="18"/>
  <c r="F279" i="18"/>
  <c r="F267" i="18"/>
  <c r="F243" i="18"/>
  <c r="F242" i="18"/>
  <c r="F235" i="18"/>
  <c r="F234" i="18"/>
  <c r="F219" i="18"/>
  <c r="F218" i="18"/>
  <c r="F187" i="18"/>
  <c r="F183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287" i="18"/>
  <c r="F262" i="18"/>
  <c r="F250" i="18"/>
  <c r="F226" i="18"/>
  <c r="F225" i="18"/>
  <c r="F210" i="18"/>
  <c r="F206" i="18"/>
  <c r="F286" i="18"/>
  <c r="F281" i="18"/>
  <c r="F280" i="18"/>
  <c r="F273" i="18"/>
  <c r="F257" i="18"/>
  <c r="F245" i="18"/>
  <c r="F244" i="18"/>
  <c r="F237" i="18"/>
  <c r="F236" i="18"/>
  <c r="F201" i="18"/>
  <c r="F197" i="18"/>
  <c r="F193" i="18"/>
  <c r="F192" i="18"/>
  <c r="F285" i="18"/>
  <c r="F268" i="18"/>
  <c r="F264" i="18"/>
  <c r="F263" i="18"/>
  <c r="F252" i="18"/>
  <c r="F251" i="18"/>
  <c r="F284" i="18"/>
  <c r="F295" i="18"/>
  <c r="F283" i="18"/>
  <c r="F258" i="18"/>
  <c r="F230" i="18"/>
  <c r="F229" i="18"/>
  <c r="F214" i="18"/>
  <c r="F213" i="18"/>
  <c r="F202" i="18"/>
  <c r="F198" i="18"/>
  <c r="F194" i="18"/>
  <c r="F299" i="18"/>
  <c r="F294" i="18"/>
  <c r="F277" i="18"/>
  <c r="F276" i="18"/>
  <c r="F269" i="18"/>
  <c r="F265" i="18"/>
  <c r="F253" i="18"/>
  <c r="F221" i="18"/>
  <c r="F185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128" i="18"/>
  <c r="F184" i="18"/>
  <c r="F152" i="18"/>
  <c r="F259" i="18"/>
  <c r="F212" i="18"/>
  <c r="F199" i="18"/>
  <c r="F195" i="18"/>
  <c r="F203" i="18"/>
  <c r="F172" i="18"/>
  <c r="F292" i="18"/>
  <c r="F231" i="18"/>
  <c r="F227" i="18"/>
  <c r="F136" i="18"/>
  <c r="F132" i="18"/>
  <c r="L12" i="18"/>
  <c r="F207" i="18"/>
  <c r="D189" i="18"/>
  <c r="F156" i="18"/>
  <c r="F140" i="18"/>
  <c r="F274" i="18"/>
  <c r="F223" i="18"/>
  <c r="F144" i="18"/>
  <c r="F246" i="18"/>
  <c r="F238" i="18"/>
  <c r="F176" i="18"/>
  <c r="F160" i="18"/>
  <c r="F248" i="18"/>
  <c r="F240" i="18"/>
  <c r="F211" i="18"/>
  <c r="F204" i="18"/>
  <c r="F232" i="18"/>
  <c r="F215" i="18"/>
  <c r="F164" i="18"/>
  <c r="F148" i="18"/>
  <c r="F275" i="18"/>
  <c r="F220" i="18"/>
  <c r="F180" i="18"/>
  <c r="F239" i="18"/>
  <c r="F222" i="18"/>
  <c r="F293" i="18"/>
  <c r="F247" i="18"/>
  <c r="F208" i="18"/>
  <c r="F168" i="18"/>
  <c r="F228" i="18"/>
  <c r="F191" i="18"/>
  <c r="X16" i="9"/>
  <c r="P91" i="9"/>
  <c r="V95" i="21"/>
  <c r="V79" i="21"/>
  <c r="V63" i="21"/>
  <c r="V51" i="21"/>
  <c r="V43" i="21"/>
  <c r="V39" i="21"/>
  <c r="V98" i="21"/>
  <c r="V90" i="21"/>
  <c r="V86" i="21"/>
  <c r="V62" i="21"/>
  <c r="V38" i="21"/>
  <c r="V34" i="21"/>
  <c r="V30" i="21"/>
  <c r="V97" i="21"/>
  <c r="V73" i="21"/>
  <c r="V65" i="21"/>
  <c r="V53" i="21"/>
  <c r="V29" i="21"/>
  <c r="V27" i="21"/>
  <c r="V25" i="21"/>
  <c r="V80" i="21"/>
  <c r="V64" i="21"/>
  <c r="V44" i="21"/>
  <c r="V40" i="21"/>
  <c r="T27" i="21"/>
  <c r="X27" i="21" s="1"/>
  <c r="Z12" i="21"/>
  <c r="V101" i="21"/>
  <c r="V99" i="21"/>
  <c r="V91" i="21"/>
  <c r="V87" i="21"/>
  <c r="V75" i="21"/>
  <c r="V67" i="21"/>
  <c r="V55" i="21"/>
  <c r="V35" i="21"/>
  <c r="V31" i="21"/>
  <c r="V82" i="21"/>
  <c r="V74" i="21"/>
  <c r="V66" i="21"/>
  <c r="V54" i="21"/>
  <c r="V46" i="21"/>
  <c r="V81" i="21"/>
  <c r="V77" i="21"/>
  <c r="V69" i="21"/>
  <c r="V57" i="21"/>
  <c r="V45" i="21"/>
  <c r="V41" i="21"/>
  <c r="V92" i="21"/>
  <c r="V88" i="21"/>
  <c r="V84" i="21"/>
  <c r="V76" i="21"/>
  <c r="V68" i="21"/>
  <c r="V56" i="21"/>
  <c r="V48" i="21"/>
  <c r="V36" i="21"/>
  <c r="V32" i="21"/>
  <c r="V105" i="21"/>
  <c r="V83" i="21"/>
  <c r="V71" i="21"/>
  <c r="V59" i="21"/>
  <c r="V47" i="21"/>
  <c r="V23" i="21"/>
  <c r="V94" i="21"/>
  <c r="V78" i="21"/>
  <c r="V70" i="21"/>
  <c r="V58" i="21"/>
  <c r="V50" i="21"/>
  <c r="V42" i="21"/>
  <c r="V33" i="21"/>
  <c r="V85" i="21"/>
  <c r="V49" i="21"/>
  <c r="V96" i="21"/>
  <c r="V60" i="21"/>
  <c r="V24" i="21"/>
  <c r="V89" i="21"/>
  <c r="V37" i="21"/>
  <c r="V93" i="21"/>
  <c r="V72" i="21"/>
  <c r="V52" i="21"/>
  <c r="V61" i="21"/>
  <c r="R163" i="30"/>
  <c r="P320" i="3"/>
  <c r="X201" i="3"/>
  <c r="J305" i="3"/>
  <c r="L18" i="50"/>
  <c r="D27" i="50"/>
  <c r="L18" i="43"/>
  <c r="D27" i="43"/>
  <c r="H27" i="32"/>
  <c r="N18" i="32"/>
  <c r="N18" i="29"/>
  <c r="H27" i="29"/>
  <c r="T27" i="10"/>
  <c r="Z18" i="10"/>
  <c r="X18" i="7"/>
  <c r="P27" i="7"/>
  <c r="T27" i="5"/>
  <c r="Z18" i="5"/>
  <c r="X16" i="91"/>
  <c r="P46" i="91"/>
  <c r="V60" i="73"/>
  <c r="V48" i="73"/>
  <c r="V36" i="73"/>
  <c r="V32" i="73"/>
  <c r="V69" i="73"/>
  <c r="V67" i="73"/>
  <c r="V55" i="73"/>
  <c r="V47" i="73"/>
  <c r="V31" i="73"/>
  <c r="V27" i="73"/>
  <c r="V23" i="73"/>
  <c r="V38" i="73"/>
  <c r="V22" i="73"/>
  <c r="V20" i="73"/>
  <c r="V18" i="73"/>
  <c r="V61" i="73"/>
  <c r="V49" i="73"/>
  <c r="V37" i="73"/>
  <c r="V33" i="73"/>
  <c r="V56" i="73"/>
  <c r="V40" i="73"/>
  <c r="V28" i="73"/>
  <c r="V24" i="73"/>
  <c r="V73" i="73"/>
  <c r="V39" i="73"/>
  <c r="V62" i="73"/>
  <c r="V58" i="73"/>
  <c r="V50" i="73"/>
  <c r="V42" i="73"/>
  <c r="V34" i="73"/>
  <c r="V57" i="73"/>
  <c r="V41" i="73"/>
  <c r="V29" i="73"/>
  <c r="V25" i="73"/>
  <c r="V66" i="73"/>
  <c r="V54" i="73"/>
  <c r="V46" i="73"/>
  <c r="V30" i="73"/>
  <c r="V26" i="73"/>
  <c r="V64" i="73"/>
  <c r="V35" i="73"/>
  <c r="V43" i="73"/>
  <c r="V16" i="73"/>
  <c r="V59" i="73"/>
  <c r="V51" i="73"/>
  <c r="V45" i="73"/>
  <c r="V53" i="73"/>
  <c r="V44" i="73"/>
  <c r="V65" i="73"/>
  <c r="V17" i="73"/>
  <c r="V52" i="73"/>
  <c r="V63" i="73"/>
  <c r="T20" i="73"/>
  <c r="X18" i="40"/>
  <c r="P27" i="40"/>
  <c r="P27" i="46"/>
  <c r="X18" i="46"/>
  <c r="X18" i="34"/>
  <c r="P27" i="34"/>
  <c r="P27" i="41"/>
  <c r="X18" i="41"/>
  <c r="H27" i="31"/>
  <c r="N18" i="31"/>
  <c r="L18" i="34"/>
  <c r="D27" i="34"/>
  <c r="P27" i="26"/>
  <c r="X18" i="26"/>
  <c r="X18" i="17"/>
  <c r="P27" i="17"/>
  <c r="T27" i="22"/>
  <c r="Z18" i="22"/>
  <c r="Z18" i="13"/>
  <c r="T27" i="13"/>
  <c r="T27" i="11"/>
  <c r="Z18" i="11"/>
  <c r="L18" i="11"/>
  <c r="D27" i="11"/>
  <c r="F71" i="95"/>
  <c r="F19" i="95"/>
  <c r="F78" i="95"/>
  <c r="F77" i="95"/>
  <c r="F66" i="95"/>
  <c r="F58" i="95"/>
  <c r="F57" i="95"/>
  <c r="F46" i="95"/>
  <c r="F45" i="95"/>
  <c r="F38" i="95"/>
  <c r="F33" i="95"/>
  <c r="F29" i="95"/>
  <c r="F25" i="95"/>
  <c r="F24" i="95"/>
  <c r="F80" i="95"/>
  <c r="F79" i="95"/>
  <c r="F72" i="95"/>
  <c r="F60" i="95"/>
  <c r="F59" i="95"/>
  <c r="F48" i="95"/>
  <c r="F47" i="95"/>
  <c r="F67" i="95"/>
  <c r="F62" i="95"/>
  <c r="F61" i="95"/>
  <c r="F50" i="95"/>
  <c r="F49" i="95"/>
  <c r="F30" i="95"/>
  <c r="F26" i="95"/>
  <c r="F84" i="95"/>
  <c r="F82" i="95"/>
  <c r="F73" i="95"/>
  <c r="F69" i="95"/>
  <c r="F68" i="95"/>
  <c r="F86" i="95"/>
  <c r="F52" i="95"/>
  <c r="F51" i="95"/>
  <c r="F40" i="95"/>
  <c r="F36" i="95"/>
  <c r="L12" i="95"/>
  <c r="F91" i="95"/>
  <c r="F88" i="95"/>
  <c r="F65" i="95"/>
  <c r="F64" i="95"/>
  <c r="F37" i="95"/>
  <c r="F18" i="95"/>
  <c r="F76" i="95"/>
  <c r="F56" i="95"/>
  <c r="F42" i="95"/>
  <c r="F70" i="95"/>
  <c r="F74" i="95"/>
  <c r="F54" i="95"/>
  <c r="F27" i="95"/>
  <c r="F23" i="95"/>
  <c r="F63" i="95"/>
  <c r="F43" i="95"/>
  <c r="F35" i="95"/>
  <c r="F31" i="95"/>
  <c r="F41" i="95"/>
  <c r="F39" i="95"/>
  <c r="F17" i="95"/>
  <c r="F75" i="95"/>
  <c r="F55" i="95"/>
  <c r="F28" i="95"/>
  <c r="F53" i="95"/>
  <c r="F21" i="95"/>
  <c r="D21" i="95"/>
  <c r="F34" i="95"/>
  <c r="F32" i="95"/>
  <c r="F44" i="95"/>
  <c r="T85" i="92"/>
  <c r="H46" i="91"/>
  <c r="N16" i="91"/>
  <c r="F71" i="90"/>
  <c r="F59" i="90"/>
  <c r="F35" i="90"/>
  <c r="F31" i="90"/>
  <c r="F27" i="90"/>
  <c r="F26" i="90"/>
  <c r="F78" i="90"/>
  <c r="F77" i="90"/>
  <c r="F66" i="90"/>
  <c r="F50" i="90"/>
  <c r="F49" i="90"/>
  <c r="F25" i="90"/>
  <c r="F23" i="90"/>
  <c r="F41" i="90"/>
  <c r="F37" i="90"/>
  <c r="F36" i="90"/>
  <c r="D23" i="90"/>
  <c r="F83" i="90"/>
  <c r="F81" i="90"/>
  <c r="F72" i="90"/>
  <c r="F68" i="90"/>
  <c r="F67" i="90"/>
  <c r="F60" i="90"/>
  <c r="F52" i="90"/>
  <c r="F51" i="90"/>
  <c r="F32" i="90"/>
  <c r="F28" i="90"/>
  <c r="F85" i="90"/>
  <c r="F80" i="90"/>
  <c r="F62" i="90"/>
  <c r="F61" i="90"/>
  <c r="F54" i="90"/>
  <c r="F53" i="90"/>
  <c r="F42" i="90"/>
  <c r="F38" i="90"/>
  <c r="F73" i="90"/>
  <c r="F69" i="90"/>
  <c r="F90" i="90"/>
  <c r="F87" i="90"/>
  <c r="F64" i="90"/>
  <c r="F63" i="90"/>
  <c r="F56" i="90"/>
  <c r="F55" i="90"/>
  <c r="F44" i="90"/>
  <c r="F43" i="90"/>
  <c r="F20" i="90"/>
  <c r="F19" i="90"/>
  <c r="F39" i="90"/>
  <c r="F65" i="90"/>
  <c r="F21" i="90"/>
  <c r="F30" i="90"/>
  <c r="F74" i="90"/>
  <c r="F58" i="90"/>
  <c r="F47" i="90"/>
  <c r="F34" i="90"/>
  <c r="L12" i="90"/>
  <c r="N12" i="90" s="1"/>
  <c r="F45" i="90"/>
  <c r="F29" i="90"/>
  <c r="F75" i="90"/>
  <c r="F48" i="90"/>
  <c r="F70" i="90"/>
  <c r="F57" i="90"/>
  <c r="F40" i="90"/>
  <c r="F33" i="90"/>
  <c r="F46" i="90"/>
  <c r="F76" i="90"/>
  <c r="R87" i="94"/>
  <c r="R82" i="94"/>
  <c r="R81" i="94"/>
  <c r="R84" i="94"/>
  <c r="R74" i="94"/>
  <c r="R71" i="94"/>
  <c r="R65" i="94"/>
  <c r="R34" i="94"/>
  <c r="R33" i="94"/>
  <c r="R29" i="94"/>
  <c r="R25" i="94"/>
  <c r="P21" i="94"/>
  <c r="R77" i="94"/>
  <c r="R60" i="94"/>
  <c r="R49" i="94"/>
  <c r="R48" i="94"/>
  <c r="R39" i="94"/>
  <c r="R35" i="94"/>
  <c r="R66" i="94"/>
  <c r="R51" i="94"/>
  <c r="R50" i="94"/>
  <c r="R30" i="94"/>
  <c r="R26" i="94"/>
  <c r="R72" i="94"/>
  <c r="R61" i="94"/>
  <c r="R85" i="94"/>
  <c r="R78" i="94"/>
  <c r="R75" i="94"/>
  <c r="R53" i="94"/>
  <c r="R52" i="94"/>
  <c r="R41" i="94"/>
  <c r="R40" i="94"/>
  <c r="R36" i="94"/>
  <c r="R17" i="94"/>
  <c r="X12" i="94"/>
  <c r="R91" i="94"/>
  <c r="R68" i="94"/>
  <c r="R67" i="94"/>
  <c r="R31" i="94"/>
  <c r="R27" i="94"/>
  <c r="R63" i="94"/>
  <c r="R62" i="94"/>
  <c r="R55" i="94"/>
  <c r="R54" i="94"/>
  <c r="R43" i="94"/>
  <c r="R42" i="94"/>
  <c r="R18" i="94"/>
  <c r="R73" i="94"/>
  <c r="R69" i="94"/>
  <c r="R37" i="94"/>
  <c r="R58" i="94"/>
  <c r="R56" i="94"/>
  <c r="R79" i="94"/>
  <c r="R28" i="94"/>
  <c r="R19" i="94"/>
  <c r="R83" i="94"/>
  <c r="R59" i="94"/>
  <c r="R57" i="94"/>
  <c r="R23" i="94"/>
  <c r="R76" i="94"/>
  <c r="R46" i="94"/>
  <c r="R44" i="94"/>
  <c r="R32" i="94"/>
  <c r="R80" i="94"/>
  <c r="R45" i="94"/>
  <c r="R70" i="94"/>
  <c r="R47" i="94"/>
  <c r="R21" i="94"/>
  <c r="R38" i="94"/>
  <c r="R24" i="94"/>
  <c r="R64" i="94"/>
  <c r="J86" i="85"/>
  <c r="J68" i="85"/>
  <c r="J64" i="85"/>
  <c r="J58" i="85"/>
  <c r="J28" i="85"/>
  <c r="J24" i="85"/>
  <c r="J22" i="85"/>
  <c r="J87" i="85"/>
  <c r="J79" i="85"/>
  <c r="J75" i="85"/>
  <c r="J69" i="85"/>
  <c r="J59" i="85"/>
  <c r="J47" i="85"/>
  <c r="H20" i="85"/>
  <c r="J20" i="85" s="1"/>
  <c r="J90" i="85"/>
  <c r="J70" i="85"/>
  <c r="J48" i="85"/>
  <c r="J38" i="85"/>
  <c r="J34" i="85"/>
  <c r="J89" i="85"/>
  <c r="J65" i="85"/>
  <c r="J49" i="85"/>
  <c r="J39" i="85"/>
  <c r="J94" i="85"/>
  <c r="J80" i="85"/>
  <c r="J76" i="85"/>
  <c r="J60" i="85"/>
  <c r="J50" i="85"/>
  <c r="J40" i="85"/>
  <c r="J71" i="85"/>
  <c r="J51" i="85"/>
  <c r="J41" i="85"/>
  <c r="J35" i="85"/>
  <c r="J72" i="85"/>
  <c r="J66" i="85"/>
  <c r="J52" i="85"/>
  <c r="J42" i="85"/>
  <c r="J81" i="85"/>
  <c r="J77" i="85"/>
  <c r="J73" i="85"/>
  <c r="J61" i="85"/>
  <c r="J53" i="85"/>
  <c r="J43" i="85"/>
  <c r="J82" i="85"/>
  <c r="J54" i="85"/>
  <c r="J44" i="85"/>
  <c r="J36" i="85"/>
  <c r="N12" i="85"/>
  <c r="J84" i="85"/>
  <c r="J78" i="85"/>
  <c r="J74" i="85"/>
  <c r="J62" i="85"/>
  <c r="J56" i="85"/>
  <c r="J46" i="85"/>
  <c r="J32" i="85"/>
  <c r="J18" i="85"/>
  <c r="J67" i="85"/>
  <c r="J33" i="85"/>
  <c r="J85" i="85"/>
  <c r="J83" i="85"/>
  <c r="J57" i="85"/>
  <c r="J55" i="85"/>
  <c r="J31" i="85"/>
  <c r="J29" i="85"/>
  <c r="J27" i="85"/>
  <c r="J37" i="85"/>
  <c r="J25" i="85"/>
  <c r="J45" i="85"/>
  <c r="J23" i="85"/>
  <c r="J17" i="85"/>
  <c r="J63" i="85"/>
  <c r="J30" i="85"/>
  <c r="J26" i="85"/>
  <c r="J16" i="85"/>
  <c r="Z23" i="90"/>
  <c r="T83" i="90"/>
  <c r="T87" i="86"/>
  <c r="N20" i="84"/>
  <c r="H77" i="84"/>
  <c r="F60" i="79"/>
  <c r="F59" i="79"/>
  <c r="F40" i="79"/>
  <c r="F39" i="79"/>
  <c r="F28" i="79"/>
  <c r="F24" i="79"/>
  <c r="F23" i="79"/>
  <c r="F79" i="79"/>
  <c r="F78" i="79"/>
  <c r="F71" i="79"/>
  <c r="F67" i="79"/>
  <c r="F66" i="79"/>
  <c r="F51" i="79"/>
  <c r="F50" i="79"/>
  <c r="F42" i="79"/>
  <c r="F41" i="79"/>
  <c r="F34" i="79"/>
  <c r="D20" i="79"/>
  <c r="F61" i="79"/>
  <c r="F53" i="79"/>
  <c r="F52" i="79"/>
  <c r="F29" i="79"/>
  <c r="F25" i="79"/>
  <c r="F83" i="79"/>
  <c r="F81" i="79"/>
  <c r="F72" i="79"/>
  <c r="F68" i="79"/>
  <c r="F44" i="79"/>
  <c r="F43" i="79"/>
  <c r="F85" i="79"/>
  <c r="F55" i="79"/>
  <c r="F54" i="79"/>
  <c r="F35" i="79"/>
  <c r="F62" i="79"/>
  <c r="F30" i="79"/>
  <c r="F26" i="79"/>
  <c r="F90" i="79"/>
  <c r="F87" i="79"/>
  <c r="F64" i="79"/>
  <c r="F63" i="79"/>
  <c r="F56" i="79"/>
  <c r="F75" i="79"/>
  <c r="F74" i="79"/>
  <c r="F47" i="79"/>
  <c r="F46" i="79"/>
  <c r="F31" i="79"/>
  <c r="F27" i="79"/>
  <c r="F69" i="79"/>
  <c r="F18" i="79"/>
  <c r="F76" i="79"/>
  <c r="F65" i="79"/>
  <c r="F48" i="79"/>
  <c r="F36" i="79"/>
  <c r="F57" i="79"/>
  <c r="L12" i="79"/>
  <c r="N12" i="79" s="1"/>
  <c r="F37" i="79"/>
  <c r="F16" i="79"/>
  <c r="F73" i="79"/>
  <c r="F49" i="79"/>
  <c r="F32" i="79"/>
  <c r="F70" i="79"/>
  <c r="F58" i="79"/>
  <c r="F45" i="79"/>
  <c r="F38" i="79"/>
  <c r="F20" i="79"/>
  <c r="F17" i="79"/>
  <c r="F33" i="79"/>
  <c r="F77" i="79"/>
  <c r="F22" i="79"/>
  <c r="H30" i="78"/>
  <c r="N18" i="78"/>
  <c r="H31" i="75"/>
  <c r="L83" i="70"/>
  <c r="H72" i="74"/>
  <c r="N20" i="74"/>
  <c r="T70" i="56"/>
  <c r="Z16" i="56"/>
  <c r="F74" i="33"/>
  <c r="F73" i="33"/>
  <c r="F50" i="33"/>
  <c r="F46" i="33"/>
  <c r="F85" i="33"/>
  <c r="F81" i="33"/>
  <c r="F65" i="33"/>
  <c r="F64" i="33"/>
  <c r="F37" i="33"/>
  <c r="F56" i="33"/>
  <c r="L12" i="33"/>
  <c r="F87" i="33"/>
  <c r="F86" i="33"/>
  <c r="F75" i="33"/>
  <c r="F67" i="33"/>
  <c r="F66" i="33"/>
  <c r="F51" i="33"/>
  <c r="F47" i="33"/>
  <c r="F99" i="33"/>
  <c r="F82" i="33"/>
  <c r="F38" i="33"/>
  <c r="F34" i="33"/>
  <c r="F33" i="33"/>
  <c r="F103" i="33"/>
  <c r="F98" i="33"/>
  <c r="F89" i="33"/>
  <c r="F88" i="33"/>
  <c r="F57" i="33"/>
  <c r="F53" i="33"/>
  <c r="F52" i="33"/>
  <c r="F97" i="33"/>
  <c r="F76" i="33"/>
  <c r="F68" i="33"/>
  <c r="F48" i="33"/>
  <c r="F44" i="33"/>
  <c r="F43" i="33"/>
  <c r="F96" i="33"/>
  <c r="F91" i="33"/>
  <c r="F90" i="33"/>
  <c r="F83" i="33"/>
  <c r="F59" i="33"/>
  <c r="F58" i="33"/>
  <c r="F95" i="33"/>
  <c r="F78" i="33"/>
  <c r="F77" i="33"/>
  <c r="F70" i="33"/>
  <c r="F69" i="33"/>
  <c r="F54" i="33"/>
  <c r="D40" i="33"/>
  <c r="F94" i="33"/>
  <c r="F61" i="33"/>
  <c r="F60" i="33"/>
  <c r="F49" i="33"/>
  <c r="F45" i="33"/>
  <c r="F93" i="33"/>
  <c r="F71" i="33"/>
  <c r="F62" i="33"/>
  <c r="F35" i="33"/>
  <c r="F80" i="33"/>
  <c r="F55" i="33"/>
  <c r="F42" i="33"/>
  <c r="F79" i="33"/>
  <c r="F40" i="33"/>
  <c r="F36" i="33"/>
  <c r="F84" i="33"/>
  <c r="F72" i="33"/>
  <c r="F63" i="33"/>
  <c r="T123" i="27"/>
  <c r="R130" i="24"/>
  <c r="R129" i="24"/>
  <c r="R105" i="24"/>
  <c r="R97" i="24"/>
  <c r="R92" i="24"/>
  <c r="R88" i="24"/>
  <c r="R134" i="24"/>
  <c r="R131" i="24"/>
  <c r="R123" i="24"/>
  <c r="R116" i="24"/>
  <c r="R115" i="24"/>
  <c r="R133" i="24"/>
  <c r="R107" i="24"/>
  <c r="R106" i="24"/>
  <c r="R98" i="24"/>
  <c r="R83" i="24"/>
  <c r="R55" i="24"/>
  <c r="R117" i="24"/>
  <c r="R94" i="24"/>
  <c r="R93" i="24"/>
  <c r="R89" i="24"/>
  <c r="R85" i="24"/>
  <c r="P81" i="24"/>
  <c r="R138" i="24"/>
  <c r="R124" i="24"/>
  <c r="R109" i="24"/>
  <c r="R108" i="24"/>
  <c r="R126" i="24"/>
  <c r="R125" i="24"/>
  <c r="R128" i="24"/>
  <c r="R127" i="24"/>
  <c r="R104" i="24"/>
  <c r="R103" i="24"/>
  <c r="R91" i="24"/>
  <c r="R87" i="24"/>
  <c r="R120" i="24"/>
  <c r="R113" i="24"/>
  <c r="R72" i="24"/>
  <c r="R69" i="24"/>
  <c r="R61" i="24"/>
  <c r="R75" i="24"/>
  <c r="R64" i="24"/>
  <c r="R118" i="24"/>
  <c r="R111" i="24"/>
  <c r="R78" i="24"/>
  <c r="R56" i="24"/>
  <c r="R96" i="24"/>
  <c r="R90" i="24"/>
  <c r="R67" i="24"/>
  <c r="R59" i="24"/>
  <c r="R121" i="24"/>
  <c r="R86" i="24"/>
  <c r="R70" i="24"/>
  <c r="R62" i="24"/>
  <c r="R119" i="24"/>
  <c r="R114" i="24"/>
  <c r="R101" i="24"/>
  <c r="R84" i="24"/>
  <c r="R76" i="24"/>
  <c r="R73" i="24"/>
  <c r="R65" i="24"/>
  <c r="R99" i="24"/>
  <c r="R79" i="24"/>
  <c r="R68" i="24"/>
  <c r="R60" i="24"/>
  <c r="R57" i="24"/>
  <c r="R95" i="24"/>
  <c r="R71" i="24"/>
  <c r="X12" i="24"/>
  <c r="Z12" i="24" s="1"/>
  <c r="R122" i="24"/>
  <c r="R112" i="24"/>
  <c r="R102" i="24"/>
  <c r="R74" i="24"/>
  <c r="R63" i="24"/>
  <c r="R110" i="24"/>
  <c r="R66" i="24"/>
  <c r="R77" i="24"/>
  <c r="R100" i="24"/>
  <c r="R58" i="24"/>
  <c r="T91" i="9"/>
  <c r="Z16" i="9"/>
  <c r="J260" i="15"/>
  <c r="J254" i="15"/>
  <c r="J236" i="15"/>
  <c r="J224" i="15"/>
  <c r="J218" i="15"/>
  <c r="J210" i="15"/>
  <c r="J200" i="15"/>
  <c r="J184" i="15"/>
  <c r="J180" i="15"/>
  <c r="J166" i="15"/>
  <c r="J259" i="15"/>
  <c r="J255" i="15"/>
  <c r="J247" i="15"/>
  <c r="J237" i="15"/>
  <c r="J231" i="15"/>
  <c r="J225" i="15"/>
  <c r="J219" i="15"/>
  <c r="J211" i="15"/>
  <c r="J201" i="15"/>
  <c r="J185" i="15"/>
  <c r="J175" i="15"/>
  <c r="J171" i="15"/>
  <c r="J167" i="15"/>
  <c r="J165" i="15"/>
  <c r="J163" i="15"/>
  <c r="J258" i="15"/>
  <c r="J248" i="15"/>
  <c r="J242" i="15"/>
  <c r="J238" i="15"/>
  <c r="J226" i="15"/>
  <c r="J220" i="15"/>
  <c r="J212" i="15"/>
  <c r="J202" i="15"/>
  <c r="J194" i="15"/>
  <c r="J186" i="15"/>
  <c r="H163" i="15"/>
  <c r="J158" i="15"/>
  <c r="J154" i="15"/>
  <c r="J150" i="15"/>
  <c r="J146" i="15"/>
  <c r="J142" i="15"/>
  <c r="J138" i="15"/>
  <c r="J134" i="15"/>
  <c r="J130" i="15"/>
  <c r="J126" i="15"/>
  <c r="J122" i="15"/>
  <c r="J118" i="15"/>
  <c r="J114" i="15"/>
  <c r="J257" i="15"/>
  <c r="J249" i="15"/>
  <c r="J221" i="15"/>
  <c r="J213" i="15"/>
  <c r="J203" i="15"/>
  <c r="J187" i="15"/>
  <c r="J181" i="15"/>
  <c r="J250" i="15"/>
  <c r="J232" i="15"/>
  <c r="J204" i="15"/>
  <c r="J188" i="15"/>
  <c r="J176" i="15"/>
  <c r="J172" i="15"/>
  <c r="J168" i="15"/>
  <c r="J110" i="15"/>
  <c r="J251" i="15"/>
  <c r="J243" i="15"/>
  <c r="J239" i="15"/>
  <c r="J227" i="15"/>
  <c r="J205" i="15"/>
  <c r="J195" i="15"/>
  <c r="J177" i="15"/>
  <c r="J159" i="15"/>
  <c r="J155" i="15"/>
  <c r="J151" i="15"/>
  <c r="J147" i="15"/>
  <c r="J143" i="15"/>
  <c r="J139" i="15"/>
  <c r="J135" i="15"/>
  <c r="J131" i="15"/>
  <c r="J127" i="15"/>
  <c r="J123" i="15"/>
  <c r="J119" i="15"/>
  <c r="J115" i="15"/>
  <c r="J111" i="15"/>
  <c r="J266" i="15"/>
  <c r="J222" i="15"/>
  <c r="J214" i="15"/>
  <c r="J206" i="15"/>
  <c r="J196" i="15"/>
  <c r="J182" i="15"/>
  <c r="J178" i="15"/>
  <c r="J265" i="15"/>
  <c r="J233" i="15"/>
  <c r="J197" i="15"/>
  <c r="J189" i="15"/>
  <c r="J173" i="15"/>
  <c r="J169" i="15"/>
  <c r="J270" i="15"/>
  <c r="J264" i="15"/>
  <c r="J252" i="15"/>
  <c r="J244" i="15"/>
  <c r="J240" i="15"/>
  <c r="J234" i="15"/>
  <c r="J228" i="15"/>
  <c r="J190" i="15"/>
  <c r="J160" i="15"/>
  <c r="J156" i="15"/>
  <c r="J152" i="15"/>
  <c r="J148" i="15"/>
  <c r="J144" i="15"/>
  <c r="J140" i="15"/>
  <c r="J136" i="15"/>
  <c r="J132" i="15"/>
  <c r="J128" i="15"/>
  <c r="J124" i="15"/>
  <c r="J120" i="15"/>
  <c r="J116" i="15"/>
  <c r="J112" i="15"/>
  <c r="J262" i="15"/>
  <c r="J246" i="15"/>
  <c r="J230" i="15"/>
  <c r="J216" i="15"/>
  <c r="J208" i="15"/>
  <c r="J198" i="15"/>
  <c r="J192" i="15"/>
  <c r="J174" i="15"/>
  <c r="J170" i="15"/>
  <c r="J149" i="15"/>
  <c r="J137" i="15"/>
  <c r="J261" i="15"/>
  <c r="J245" i="15"/>
  <c r="J161" i="15"/>
  <c r="J183" i="15"/>
  <c r="J129" i="15"/>
  <c r="J207" i="15"/>
  <c r="J141" i="15"/>
  <c r="J209" i="15"/>
  <c r="J153" i="15"/>
  <c r="J121" i="15"/>
  <c r="J191" i="15"/>
  <c r="J113" i="15"/>
  <c r="J253" i="15"/>
  <c r="J235" i="15"/>
  <c r="J193" i="15"/>
  <c r="J217" i="15"/>
  <c r="J215" i="15"/>
  <c r="J145" i="15"/>
  <c r="J133" i="15"/>
  <c r="J179" i="15"/>
  <c r="J157" i="15"/>
  <c r="J125" i="15"/>
  <c r="J241" i="15"/>
  <c r="J223" i="15"/>
  <c r="J117" i="15"/>
  <c r="J199" i="15"/>
  <c r="J263" i="15"/>
  <c r="J229" i="15"/>
  <c r="R271" i="12"/>
  <c r="R256" i="12"/>
  <c r="R240" i="12"/>
  <c r="R213" i="12"/>
  <c r="R212" i="12"/>
  <c r="R197" i="12"/>
  <c r="R196" i="12"/>
  <c r="R188" i="12"/>
  <c r="R184" i="12"/>
  <c r="R270" i="12"/>
  <c r="R264" i="12"/>
  <c r="R263" i="12"/>
  <c r="R251" i="12"/>
  <c r="R247" i="12"/>
  <c r="R236" i="12"/>
  <c r="R235" i="12"/>
  <c r="R269" i="12"/>
  <c r="R230" i="12"/>
  <c r="R223" i="12"/>
  <c r="R222" i="12"/>
  <c r="R215" i="12"/>
  <c r="R214" i="12"/>
  <c r="R198" i="12"/>
  <c r="R171" i="12"/>
  <c r="R166" i="12"/>
  <c r="R162" i="12"/>
  <c r="R268" i="12"/>
  <c r="R265" i="12"/>
  <c r="R258" i="12"/>
  <c r="R257" i="12"/>
  <c r="R242" i="12"/>
  <c r="R241" i="12"/>
  <c r="R237" i="12"/>
  <c r="R206" i="12"/>
  <c r="R205" i="12"/>
  <c r="R190" i="12"/>
  <c r="R189" i="12"/>
  <c r="R185" i="12"/>
  <c r="R170" i="12"/>
  <c r="R267" i="12"/>
  <c r="R252" i="12"/>
  <c r="R248" i="12"/>
  <c r="R225" i="12"/>
  <c r="R224" i="12"/>
  <c r="R260" i="12"/>
  <c r="R259" i="12"/>
  <c r="R243" i="12"/>
  <c r="R232" i="12"/>
  <c r="R231" i="12"/>
  <c r="R208" i="12"/>
  <c r="R207" i="12"/>
  <c r="R199" i="12"/>
  <c r="R275" i="12"/>
  <c r="R245" i="12"/>
  <c r="R244" i="12"/>
  <c r="R228" i="12"/>
  <c r="R280" i="12"/>
  <c r="R273" i="12"/>
  <c r="R262" i="12"/>
  <c r="R255" i="12"/>
  <c r="R254" i="12"/>
  <c r="R250" i="12"/>
  <c r="R246" i="12"/>
  <c r="R234" i="12"/>
  <c r="R202" i="12"/>
  <c r="R195" i="12"/>
  <c r="R233" i="12"/>
  <c r="R227" i="12"/>
  <c r="R217" i="12"/>
  <c r="R182" i="12"/>
  <c r="R181" i="12"/>
  <c r="R161" i="12"/>
  <c r="R154" i="12"/>
  <c r="R147" i="12"/>
  <c r="R113" i="12"/>
  <c r="X12" i="12"/>
  <c r="Z12" i="12" s="1"/>
  <c r="R261" i="12"/>
  <c r="R229" i="12"/>
  <c r="R211" i="12"/>
  <c r="R201" i="12"/>
  <c r="R178" i="12"/>
  <c r="R151" i="12"/>
  <c r="R144" i="12"/>
  <c r="R137" i="12"/>
  <c r="R220" i="12"/>
  <c r="R204" i="12"/>
  <c r="R192" i="12"/>
  <c r="R191" i="12"/>
  <c r="R175" i="12"/>
  <c r="R158" i="12"/>
  <c r="R130" i="12"/>
  <c r="R126" i="12"/>
  <c r="R122" i="12"/>
  <c r="R118" i="12"/>
  <c r="R114" i="12"/>
  <c r="R238" i="12"/>
  <c r="R172" i="12"/>
  <c r="R155" i="12"/>
  <c r="R148" i="12"/>
  <c r="R141" i="12"/>
  <c r="R134" i="12"/>
  <c r="R272" i="12"/>
  <c r="R183" i="12"/>
  <c r="R179" i="12"/>
  <c r="R165" i="12"/>
  <c r="R152" i="12"/>
  <c r="R276" i="12"/>
  <c r="R218" i="12"/>
  <c r="R176" i="12"/>
  <c r="R159" i="12"/>
  <c r="R145" i="12"/>
  <c r="R138" i="12"/>
  <c r="R131" i="12"/>
  <c r="R127" i="12"/>
  <c r="R123" i="12"/>
  <c r="R119" i="12"/>
  <c r="R115" i="12"/>
  <c r="R193" i="12"/>
  <c r="R186" i="12"/>
  <c r="R156" i="12"/>
  <c r="R135" i="12"/>
  <c r="R226" i="12"/>
  <c r="R210" i="12"/>
  <c r="R209" i="12"/>
  <c r="R173" i="12"/>
  <c r="R149" i="12"/>
  <c r="R142" i="12"/>
  <c r="R249" i="12"/>
  <c r="R221" i="12"/>
  <c r="R180" i="12"/>
  <c r="R163" i="12"/>
  <c r="R160" i="12"/>
  <c r="R153" i="12"/>
  <c r="R139" i="12"/>
  <c r="R132" i="12"/>
  <c r="R128" i="12"/>
  <c r="R124" i="12"/>
  <c r="R120" i="12"/>
  <c r="R116" i="12"/>
  <c r="R219" i="12"/>
  <c r="R177" i="12"/>
  <c r="R146" i="12"/>
  <c r="R136" i="12"/>
  <c r="R274" i="12"/>
  <c r="R253" i="12"/>
  <c r="R216" i="12"/>
  <c r="R203" i="12"/>
  <c r="R200" i="12"/>
  <c r="R194" i="12"/>
  <c r="R157" i="12"/>
  <c r="R150" i="12"/>
  <c r="R143" i="12"/>
  <c r="R239" i="12"/>
  <c r="R140" i="12"/>
  <c r="R129" i="12"/>
  <c r="R121" i="12"/>
  <c r="R187" i="12"/>
  <c r="R174" i="12"/>
  <c r="R164" i="12"/>
  <c r="P168" i="12"/>
  <c r="R117" i="12"/>
  <c r="R125" i="12"/>
  <c r="R133" i="12"/>
  <c r="D95" i="9"/>
  <c r="T27" i="99"/>
  <c r="Z18" i="99"/>
  <c r="T27" i="49"/>
  <c r="Z18" i="49"/>
  <c r="X18" i="49"/>
  <c r="P27" i="49"/>
  <c r="H27" i="53"/>
  <c r="N18" i="53"/>
  <c r="H27" i="44"/>
  <c r="N18" i="44"/>
  <c r="H27" i="43"/>
  <c r="N18" i="43"/>
  <c r="L18" i="47"/>
  <c r="D27" i="47"/>
  <c r="H27" i="40"/>
  <c r="N18" i="40"/>
  <c r="T27" i="41"/>
  <c r="Z18" i="41"/>
  <c r="T27" i="35"/>
  <c r="Z18" i="35"/>
  <c r="T27" i="28"/>
  <c r="Z18" i="28"/>
  <c r="L18" i="22"/>
  <c r="D27" i="22"/>
  <c r="N18" i="8"/>
  <c r="H27" i="8"/>
  <c r="V72" i="67"/>
  <c r="V70" i="67"/>
  <c r="V58" i="67"/>
  <c r="V50" i="67"/>
  <c r="V34" i="67"/>
  <c r="V30" i="67"/>
  <c r="V57" i="67"/>
  <c r="V49" i="67"/>
  <c r="V21" i="67"/>
  <c r="V64" i="67"/>
  <c r="V60" i="67"/>
  <c r="V52" i="67"/>
  <c r="V40" i="67"/>
  <c r="V36" i="67"/>
  <c r="V76" i="67"/>
  <c r="V54" i="67"/>
  <c r="V42" i="67"/>
  <c r="V26" i="67"/>
  <c r="V24" i="67"/>
  <c r="V22" i="67"/>
  <c r="V65" i="67"/>
  <c r="V61" i="67"/>
  <c r="V53" i="67"/>
  <c r="V41" i="67"/>
  <c r="V37" i="67"/>
  <c r="T24" i="67"/>
  <c r="V66" i="67"/>
  <c r="V62" i="67"/>
  <c r="V46" i="67"/>
  <c r="V38" i="67"/>
  <c r="V69" i="67"/>
  <c r="V43" i="67"/>
  <c r="V56" i="67"/>
  <c r="V63" i="67"/>
  <c r="V51" i="67"/>
  <c r="V44" i="67"/>
  <c r="V67" i="67"/>
  <c r="V32" i="67"/>
  <c r="V28" i="67"/>
  <c r="V59" i="67"/>
  <c r="V55" i="67"/>
  <c r="V47" i="67"/>
  <c r="V39" i="67"/>
  <c r="V48" i="67"/>
  <c r="V45" i="67"/>
  <c r="V27" i="67"/>
  <c r="V33" i="67"/>
  <c r="V20" i="67"/>
  <c r="V35" i="67"/>
  <c r="V68" i="67"/>
  <c r="V29" i="67"/>
  <c r="X12" i="67"/>
  <c r="Z12" i="67" s="1"/>
  <c r="V31" i="67"/>
  <c r="P65" i="63"/>
  <c r="R97" i="33"/>
  <c r="R82" i="33"/>
  <c r="R43" i="33"/>
  <c r="R38" i="33"/>
  <c r="R34" i="33"/>
  <c r="R103" i="33"/>
  <c r="R96" i="33"/>
  <c r="R90" i="33"/>
  <c r="R89" i="33"/>
  <c r="R58" i="33"/>
  <c r="R57" i="33"/>
  <c r="R53" i="33"/>
  <c r="R42" i="33"/>
  <c r="R95" i="33"/>
  <c r="R77" i="33"/>
  <c r="R76" i="33"/>
  <c r="R69" i="33"/>
  <c r="R68" i="33"/>
  <c r="R48" i="33"/>
  <c r="R44" i="33"/>
  <c r="P40" i="33"/>
  <c r="R40" i="33" s="1"/>
  <c r="R94" i="33"/>
  <c r="R91" i="33"/>
  <c r="R83" i="33"/>
  <c r="R60" i="33"/>
  <c r="R59" i="33"/>
  <c r="R35" i="33"/>
  <c r="R93" i="33"/>
  <c r="R79" i="33"/>
  <c r="R78" i="33"/>
  <c r="R71" i="33"/>
  <c r="R70" i="33"/>
  <c r="R54" i="33"/>
  <c r="R62" i="33"/>
  <c r="R61" i="33"/>
  <c r="R49" i="33"/>
  <c r="R45" i="33"/>
  <c r="R84" i="33"/>
  <c r="R80" i="33"/>
  <c r="R73" i="33"/>
  <c r="R72" i="33"/>
  <c r="R36" i="33"/>
  <c r="R64" i="33"/>
  <c r="R63" i="33"/>
  <c r="R55" i="33"/>
  <c r="R74" i="33"/>
  <c r="R50" i="33"/>
  <c r="R46" i="33"/>
  <c r="R86" i="33"/>
  <c r="R85" i="33"/>
  <c r="R81" i="33"/>
  <c r="R66" i="33"/>
  <c r="R65" i="33"/>
  <c r="R37" i="33"/>
  <c r="R99" i="33"/>
  <c r="R52" i="33"/>
  <c r="R47" i="33"/>
  <c r="R75" i="33"/>
  <c r="X12" i="33"/>
  <c r="Z12" i="33" s="1"/>
  <c r="R87" i="33"/>
  <c r="R98" i="33"/>
  <c r="R56" i="33"/>
  <c r="R67" i="33"/>
  <c r="R33" i="33"/>
  <c r="R51" i="33"/>
  <c r="R88" i="33"/>
  <c r="R84" i="95"/>
  <c r="R82" i="95"/>
  <c r="R68" i="95"/>
  <c r="R67" i="95"/>
  <c r="R39" i="95"/>
  <c r="R35" i="95"/>
  <c r="R62" i="95"/>
  <c r="R51" i="95"/>
  <c r="R50" i="95"/>
  <c r="R30" i="95"/>
  <c r="R26" i="95"/>
  <c r="R73" i="95"/>
  <c r="R69" i="95"/>
  <c r="R86" i="95"/>
  <c r="R53" i="95"/>
  <c r="R52" i="95"/>
  <c r="R41" i="95"/>
  <c r="R40" i="95"/>
  <c r="R36" i="95"/>
  <c r="R91" i="95"/>
  <c r="R88" i="95"/>
  <c r="R64" i="95"/>
  <c r="R63" i="95"/>
  <c r="R75" i="95"/>
  <c r="R74" i="95"/>
  <c r="R70" i="95"/>
  <c r="R55" i="95"/>
  <c r="R54" i="95"/>
  <c r="R43" i="95"/>
  <c r="R42" i="95"/>
  <c r="R18" i="95"/>
  <c r="R65" i="95"/>
  <c r="R37" i="95"/>
  <c r="R77" i="95"/>
  <c r="R76" i="95"/>
  <c r="R57" i="95"/>
  <c r="R56" i="95"/>
  <c r="R45" i="95"/>
  <c r="R44" i="95"/>
  <c r="R32" i="95"/>
  <c r="R28" i="95"/>
  <c r="R34" i="95"/>
  <c r="R33" i="95"/>
  <c r="R29" i="95"/>
  <c r="R25" i="95"/>
  <c r="R79" i="95"/>
  <c r="R72" i="95"/>
  <c r="R66" i="95"/>
  <c r="R59" i="95"/>
  <c r="R38" i="95"/>
  <c r="R23" i="95"/>
  <c r="R61" i="95"/>
  <c r="R27" i="95"/>
  <c r="R19" i="95"/>
  <c r="R31" i="95"/>
  <c r="R17" i="95"/>
  <c r="R71" i="95"/>
  <c r="R48" i="95"/>
  <c r="R24" i="95"/>
  <c r="R46" i="95"/>
  <c r="R80" i="95"/>
  <c r="R21" i="95"/>
  <c r="R60" i="95"/>
  <c r="P21" i="95"/>
  <c r="X12" i="95"/>
  <c r="Z12" i="95" s="1"/>
  <c r="R47" i="95"/>
  <c r="R58" i="95"/>
  <c r="R49" i="95"/>
  <c r="R78" i="95"/>
  <c r="R34" i="97"/>
  <c r="R53" i="97"/>
  <c r="R30" i="97"/>
  <c r="R29" i="97"/>
  <c r="R25" i="97"/>
  <c r="R21" i="97"/>
  <c r="R61" i="97"/>
  <c r="R60" i="97"/>
  <c r="R45" i="97"/>
  <c r="R44" i="97"/>
  <c r="R63" i="97"/>
  <c r="R62" i="97"/>
  <c r="R55" i="97"/>
  <c r="R54" i="97"/>
  <c r="R47" i="97"/>
  <c r="R46" i="97"/>
  <c r="R26" i="97"/>
  <c r="R22" i="97"/>
  <c r="R38" i="97"/>
  <c r="R37" i="97"/>
  <c r="R67" i="97"/>
  <c r="R64" i="97"/>
  <c r="R57" i="97"/>
  <c r="R56" i="97"/>
  <c r="R49" i="97"/>
  <c r="R48" i="97"/>
  <c r="R32" i="97"/>
  <c r="R66" i="97"/>
  <c r="R40" i="97"/>
  <c r="R39" i="97"/>
  <c r="R27" i="97"/>
  <c r="R23" i="97"/>
  <c r="R52" i="97"/>
  <c r="R28" i="97"/>
  <c r="R24" i="97"/>
  <c r="R50" i="97"/>
  <c r="R42" i="97"/>
  <c r="R58" i="97"/>
  <c r="R35" i="97"/>
  <c r="R33" i="97"/>
  <c r="R17" i="97"/>
  <c r="P17" i="97"/>
  <c r="X12" i="97"/>
  <c r="Z12" i="97" s="1"/>
  <c r="R51" i="97"/>
  <c r="R36" i="97"/>
  <c r="R19" i="97"/>
  <c r="R43" i="97"/>
  <c r="R41" i="97"/>
  <c r="R31" i="97"/>
  <c r="R71" i="97"/>
  <c r="R59" i="97"/>
  <c r="R20" i="97"/>
  <c r="R15" i="97"/>
  <c r="T46" i="91"/>
  <c r="Z16" i="91"/>
  <c r="H83" i="90"/>
  <c r="D91" i="86"/>
  <c r="F69" i="82"/>
  <c r="F68" i="82"/>
  <c r="F29" i="82"/>
  <c r="F64" i="82"/>
  <c r="F52" i="82"/>
  <c r="F51" i="82"/>
  <c r="F71" i="82"/>
  <c r="F70" i="82"/>
  <c r="F59" i="82"/>
  <c r="F35" i="82"/>
  <c r="F54" i="82"/>
  <c r="F53" i="82"/>
  <c r="F42" i="82"/>
  <c r="F41" i="82"/>
  <c r="F30" i="82"/>
  <c r="F26" i="82"/>
  <c r="F65" i="82"/>
  <c r="F17" i="82"/>
  <c r="F16" i="82"/>
  <c r="F75" i="82"/>
  <c r="F73" i="82"/>
  <c r="F60" i="82"/>
  <c r="F44" i="82"/>
  <c r="F43" i="82"/>
  <c r="F36" i="82"/>
  <c r="F77" i="82"/>
  <c r="F55" i="82"/>
  <c r="F31" i="82"/>
  <c r="F27" i="82"/>
  <c r="F66" i="82"/>
  <c r="F62" i="82"/>
  <c r="F61" i="82"/>
  <c r="F46" i="82"/>
  <c r="F45" i="82"/>
  <c r="F37" i="82"/>
  <c r="F33" i="82"/>
  <c r="F32" i="82"/>
  <c r="F67" i="82"/>
  <c r="F63" i="82"/>
  <c r="F20" i="82"/>
  <c r="F49" i="82"/>
  <c r="F40" i="82"/>
  <c r="D20" i="82"/>
  <c r="F57" i="82"/>
  <c r="F34" i="82"/>
  <c r="F82" i="82"/>
  <c r="F25" i="82"/>
  <c r="F38" i="82"/>
  <c r="F22" i="82"/>
  <c r="F79" i="82"/>
  <c r="F47" i="82"/>
  <c r="F23" i="82"/>
  <c r="F56" i="82"/>
  <c r="F50" i="82"/>
  <c r="F48" i="82"/>
  <c r="F18" i="82"/>
  <c r="F39" i="82"/>
  <c r="F28" i="82"/>
  <c r="L12" i="82"/>
  <c r="N12" i="82" s="1"/>
  <c r="F58" i="82"/>
  <c r="F24" i="82"/>
  <c r="V65" i="83"/>
  <c r="V53" i="83"/>
  <c r="V45" i="83"/>
  <c r="V17" i="83"/>
  <c r="V64" i="83"/>
  <c r="V48" i="83"/>
  <c r="V36" i="83"/>
  <c r="V32" i="83"/>
  <c r="Z12" i="83"/>
  <c r="V69" i="83"/>
  <c r="V59" i="83"/>
  <c r="V47" i="83"/>
  <c r="V31" i="83"/>
  <c r="V27" i="83"/>
  <c r="V23" i="83"/>
  <c r="V68" i="83"/>
  <c r="V66" i="83"/>
  <c r="V54" i="83"/>
  <c r="V38" i="83"/>
  <c r="V22" i="83"/>
  <c r="V20" i="83"/>
  <c r="V18" i="83"/>
  <c r="V49" i="83"/>
  <c r="V37" i="83"/>
  <c r="V33" i="83"/>
  <c r="T20" i="83"/>
  <c r="V60" i="83"/>
  <c r="V56" i="83"/>
  <c r="V40" i="83"/>
  <c r="V28" i="83"/>
  <c r="V24" i="83"/>
  <c r="V73" i="83"/>
  <c r="V55" i="83"/>
  <c r="V39" i="83"/>
  <c r="V50" i="83"/>
  <c r="V42" i="83"/>
  <c r="V34" i="83"/>
  <c r="V61" i="83"/>
  <c r="V57" i="83"/>
  <c r="V41" i="83"/>
  <c r="V29" i="83"/>
  <c r="V25" i="83"/>
  <c r="V63" i="83"/>
  <c r="V51" i="83"/>
  <c r="V43" i="83"/>
  <c r="V35" i="83"/>
  <c r="V30" i="83"/>
  <c r="V58" i="83"/>
  <c r="V44" i="83"/>
  <c r="V16" i="83"/>
  <c r="V62" i="83"/>
  <c r="V46" i="83"/>
  <c r="V26" i="83"/>
  <c r="V52" i="83"/>
  <c r="D97" i="81"/>
  <c r="L16" i="81"/>
  <c r="X20" i="76"/>
  <c r="P82" i="76"/>
  <c r="R100" i="71"/>
  <c r="R99" i="71"/>
  <c r="R95" i="71"/>
  <c r="R76" i="71"/>
  <c r="R75" i="71"/>
  <c r="R71" i="71"/>
  <c r="R87" i="71"/>
  <c r="R86" i="71"/>
  <c r="R66" i="71"/>
  <c r="R62" i="71"/>
  <c r="R102" i="71"/>
  <c r="R101" i="71"/>
  <c r="R78" i="71"/>
  <c r="R77" i="71"/>
  <c r="R110" i="71"/>
  <c r="R104" i="71"/>
  <c r="R103" i="71"/>
  <c r="R80" i="71"/>
  <c r="R79" i="71"/>
  <c r="R67" i="71"/>
  <c r="R115" i="71"/>
  <c r="R108" i="71"/>
  <c r="R105" i="71"/>
  <c r="R97" i="71"/>
  <c r="R82" i="71"/>
  <c r="R81" i="71"/>
  <c r="R73" i="71"/>
  <c r="R107" i="71"/>
  <c r="R94" i="71"/>
  <c r="R93" i="71"/>
  <c r="R70" i="71"/>
  <c r="R69" i="71"/>
  <c r="R65" i="71"/>
  <c r="R61" i="71"/>
  <c r="R90" i="71"/>
  <c r="R60" i="71"/>
  <c r="R53" i="71"/>
  <c r="R49" i="71"/>
  <c r="R45" i="71"/>
  <c r="R41" i="71"/>
  <c r="R83" i="71"/>
  <c r="R63" i="71"/>
  <c r="X12" i="71"/>
  <c r="Z12" i="71" s="1"/>
  <c r="R109" i="71"/>
  <c r="R98" i="71"/>
  <c r="R54" i="71"/>
  <c r="R50" i="71"/>
  <c r="R46" i="71"/>
  <c r="R42" i="71"/>
  <c r="R96" i="71"/>
  <c r="R91" i="71"/>
  <c r="R84" i="71"/>
  <c r="R74" i="71"/>
  <c r="R72" i="71"/>
  <c r="R68" i="71"/>
  <c r="R88" i="71"/>
  <c r="R64" i="71"/>
  <c r="R55" i="71"/>
  <c r="R51" i="71"/>
  <c r="R47" i="71"/>
  <c r="R43" i="71"/>
  <c r="R92" i="71"/>
  <c r="R85" i="71"/>
  <c r="R39" i="71"/>
  <c r="R111" i="71"/>
  <c r="P57" i="71"/>
  <c r="R40" i="71"/>
  <c r="R57" i="71"/>
  <c r="R44" i="71"/>
  <c r="R89" i="71"/>
  <c r="R48" i="71"/>
  <c r="R52" i="71"/>
  <c r="R59" i="71"/>
  <c r="D86" i="70"/>
  <c r="R61" i="72"/>
  <c r="R55" i="72"/>
  <c r="R54" i="72"/>
  <c r="R46" i="72"/>
  <c r="R38" i="72"/>
  <c r="R67" i="72"/>
  <c r="R60" i="72"/>
  <c r="R33" i="72"/>
  <c r="R29" i="72"/>
  <c r="R72" i="72"/>
  <c r="R69" i="72"/>
  <c r="R59" i="72"/>
  <c r="R56" i="72"/>
  <c r="R20" i="72"/>
  <c r="R35" i="72"/>
  <c r="R34" i="72"/>
  <c r="R30" i="72"/>
  <c r="R50" i="72"/>
  <c r="R49" i="72"/>
  <c r="R41" i="72"/>
  <c r="R40" i="72"/>
  <c r="R36" i="72"/>
  <c r="R17" i="72"/>
  <c r="X12" i="72"/>
  <c r="Z12" i="72" s="1"/>
  <c r="R52" i="72"/>
  <c r="R51" i="72"/>
  <c r="R31" i="72"/>
  <c r="R65" i="72"/>
  <c r="R63" i="72"/>
  <c r="R45" i="72"/>
  <c r="R44" i="72"/>
  <c r="R32" i="72"/>
  <c r="R28" i="72"/>
  <c r="P24" i="72"/>
  <c r="R62" i="72"/>
  <c r="R43" i="72"/>
  <c r="R21" i="72"/>
  <c r="R47" i="72"/>
  <c r="R24" i="72"/>
  <c r="R19" i="72"/>
  <c r="R37" i="72"/>
  <c r="R39" i="72"/>
  <c r="R48" i="72"/>
  <c r="R26" i="72"/>
  <c r="R58" i="72"/>
  <c r="R53" i="72"/>
  <c r="R22" i="72"/>
  <c r="R27" i="72"/>
  <c r="R42" i="72"/>
  <c r="R18" i="72"/>
  <c r="J98" i="71"/>
  <c r="J92" i="71"/>
  <c r="J74" i="71"/>
  <c r="J60" i="71"/>
  <c r="J93" i="71"/>
  <c r="J69" i="71"/>
  <c r="J65" i="71"/>
  <c r="J61" i="71"/>
  <c r="J59" i="71"/>
  <c r="J94" i="71"/>
  <c r="J84" i="71"/>
  <c r="J70" i="71"/>
  <c r="J100" i="71"/>
  <c r="J86" i="71"/>
  <c r="J76" i="71"/>
  <c r="J66" i="71"/>
  <c r="J102" i="71"/>
  <c r="J96" i="71"/>
  <c r="J88" i="71"/>
  <c r="J78" i="71"/>
  <c r="J72" i="71"/>
  <c r="J111" i="71"/>
  <c r="J103" i="71"/>
  <c r="J108" i="71"/>
  <c r="J82" i="71"/>
  <c r="J68" i="71"/>
  <c r="J64" i="71"/>
  <c r="J97" i="71"/>
  <c r="J80" i="71"/>
  <c r="H57" i="71"/>
  <c r="J57" i="71" s="1"/>
  <c r="J52" i="71"/>
  <c r="J48" i="71"/>
  <c r="J44" i="71"/>
  <c r="J40" i="71"/>
  <c r="J75" i="71"/>
  <c r="J71" i="71"/>
  <c r="J115" i="71"/>
  <c r="J95" i="71"/>
  <c r="J73" i="71"/>
  <c r="J67" i="71"/>
  <c r="J90" i="71"/>
  <c r="J53" i="71"/>
  <c r="J49" i="71"/>
  <c r="J45" i="71"/>
  <c r="J41" i="71"/>
  <c r="J87" i="71"/>
  <c r="J83" i="71"/>
  <c r="J63" i="71"/>
  <c r="N12" i="71"/>
  <c r="J105" i="71"/>
  <c r="J109" i="71"/>
  <c r="J54" i="71"/>
  <c r="J50" i="71"/>
  <c r="J46" i="71"/>
  <c r="J42" i="71"/>
  <c r="J110" i="71"/>
  <c r="J101" i="71"/>
  <c r="J81" i="71"/>
  <c r="J99" i="71"/>
  <c r="J85" i="71"/>
  <c r="J62" i="71"/>
  <c r="J104" i="71"/>
  <c r="J47" i="71"/>
  <c r="J107" i="71"/>
  <c r="J51" i="71"/>
  <c r="J55" i="71"/>
  <c r="J89" i="71"/>
  <c r="J39" i="71"/>
  <c r="J91" i="71"/>
  <c r="J43" i="71"/>
  <c r="J79" i="71"/>
  <c r="J77" i="71"/>
  <c r="T73" i="58"/>
  <c r="Z16" i="58"/>
  <c r="V111" i="64"/>
  <c r="V83" i="64"/>
  <c r="V79" i="64"/>
  <c r="V113" i="64"/>
  <c r="V112" i="64"/>
  <c r="V108" i="64"/>
  <c r="V100" i="64"/>
  <c r="V115" i="64"/>
  <c r="V107" i="64"/>
  <c r="V99" i="64"/>
  <c r="V91" i="64"/>
  <c r="V114" i="64"/>
  <c r="V102" i="64"/>
  <c r="V90" i="64"/>
  <c r="V86" i="64"/>
  <c r="V123" i="64"/>
  <c r="V105" i="64"/>
  <c r="V116" i="64"/>
  <c r="V77" i="64"/>
  <c r="V59" i="64"/>
  <c r="V103" i="64"/>
  <c r="V96" i="64"/>
  <c r="V87" i="64"/>
  <c r="V68" i="64"/>
  <c r="V65" i="64"/>
  <c r="V62" i="64"/>
  <c r="V109" i="64"/>
  <c r="V84" i="64"/>
  <c r="V82" i="64"/>
  <c r="V71" i="64"/>
  <c r="V106" i="64"/>
  <c r="V54" i="64"/>
  <c r="V60" i="64"/>
  <c r="V57" i="64"/>
  <c r="V51" i="64"/>
  <c r="V101" i="64"/>
  <c r="V97" i="64"/>
  <c r="V94" i="64"/>
  <c r="V66" i="64"/>
  <c r="V63" i="64"/>
  <c r="V118" i="64"/>
  <c r="V98" i="64"/>
  <c r="V88" i="64"/>
  <c r="V85" i="64"/>
  <c r="V80" i="64"/>
  <c r="V78" i="64"/>
  <c r="V72" i="64"/>
  <c r="V69" i="64"/>
  <c r="V110" i="64"/>
  <c r="V104" i="64"/>
  <c r="V95" i="64"/>
  <c r="V55" i="64"/>
  <c r="V58" i="64"/>
  <c r="V52" i="64"/>
  <c r="V81" i="64"/>
  <c r="V76" i="64"/>
  <c r="V70" i="64"/>
  <c r="T74" i="64"/>
  <c r="V119" i="64"/>
  <c r="V67" i="64"/>
  <c r="V92" i="64"/>
  <c r="V56" i="64"/>
  <c r="V64" i="64"/>
  <c r="V93" i="64"/>
  <c r="V89" i="64"/>
  <c r="V53" i="64"/>
  <c r="V61" i="64"/>
  <c r="L16" i="54"/>
  <c r="D22" i="54"/>
  <c r="R105" i="64"/>
  <c r="R104" i="64"/>
  <c r="R96" i="64"/>
  <c r="R88" i="64"/>
  <c r="X12" i="64"/>
  <c r="Z12" i="64" s="1"/>
  <c r="R106" i="64"/>
  <c r="R98" i="64"/>
  <c r="R97" i="64"/>
  <c r="R113" i="64"/>
  <c r="R112" i="64"/>
  <c r="R84" i="64"/>
  <c r="R80" i="64"/>
  <c r="R108" i="64"/>
  <c r="R107" i="64"/>
  <c r="R100" i="64"/>
  <c r="R99" i="64"/>
  <c r="R71" i="64"/>
  <c r="R67" i="64"/>
  <c r="R63" i="64"/>
  <c r="R59" i="64"/>
  <c r="R55" i="64"/>
  <c r="R110" i="64"/>
  <c r="R95" i="64"/>
  <c r="R94" i="64"/>
  <c r="R82" i="64"/>
  <c r="R78" i="64"/>
  <c r="R79" i="64"/>
  <c r="R76" i="64"/>
  <c r="R56" i="64"/>
  <c r="R53" i="64"/>
  <c r="R123" i="64"/>
  <c r="R116" i="64"/>
  <c r="R111" i="64"/>
  <c r="R93" i="64"/>
  <c r="R103" i="64"/>
  <c r="R87" i="64"/>
  <c r="R77" i="64"/>
  <c r="R68" i="64"/>
  <c r="R65" i="64"/>
  <c r="R62" i="64"/>
  <c r="R109" i="64"/>
  <c r="R90" i="64"/>
  <c r="R114" i="64"/>
  <c r="R54" i="64"/>
  <c r="R60" i="64"/>
  <c r="R57" i="64"/>
  <c r="R101" i="64"/>
  <c r="R91" i="64"/>
  <c r="R66" i="64"/>
  <c r="R51" i="64"/>
  <c r="R115" i="64"/>
  <c r="R102" i="64"/>
  <c r="R85" i="64"/>
  <c r="R72" i="64"/>
  <c r="R69" i="64"/>
  <c r="R118" i="64"/>
  <c r="R86" i="64"/>
  <c r="R83" i="64"/>
  <c r="R92" i="64"/>
  <c r="R89" i="64"/>
  <c r="R74" i="64"/>
  <c r="R64" i="64"/>
  <c r="R61" i="64"/>
  <c r="R70" i="64"/>
  <c r="R52" i="64"/>
  <c r="P74" i="64"/>
  <c r="R119" i="64"/>
  <c r="R58" i="64"/>
  <c r="R81" i="64"/>
  <c r="L33" i="55"/>
  <c r="D37" i="55"/>
  <c r="X16" i="54"/>
  <c r="P22" i="54"/>
  <c r="P124" i="42"/>
  <c r="D130" i="36"/>
  <c r="J116" i="36"/>
  <c r="J108" i="36"/>
  <c r="J104" i="36"/>
  <c r="J100" i="36"/>
  <c r="J88" i="36"/>
  <c r="J82" i="36"/>
  <c r="J121" i="36"/>
  <c r="J113" i="36"/>
  <c r="J97" i="36"/>
  <c r="J85" i="36"/>
  <c r="J117" i="36"/>
  <c r="J105" i="36"/>
  <c r="J102" i="36"/>
  <c r="J94" i="36"/>
  <c r="J75" i="36"/>
  <c r="J65" i="36"/>
  <c r="J47" i="36"/>
  <c r="J43" i="36"/>
  <c r="J114" i="36"/>
  <c r="J99" i="36"/>
  <c r="J91" i="36"/>
  <c r="J86" i="36"/>
  <c r="J83" i="36"/>
  <c r="J76" i="36"/>
  <c r="J66" i="36"/>
  <c r="J38" i="36"/>
  <c r="J34" i="36"/>
  <c r="J24" i="36"/>
  <c r="J118" i="36"/>
  <c r="J77" i="36"/>
  <c r="J67" i="36"/>
  <c r="J57" i="36"/>
  <c r="J25" i="36"/>
  <c r="J87" i="36"/>
  <c r="J78" i="36"/>
  <c r="J68" i="36"/>
  <c r="J48" i="36"/>
  <c r="J44" i="36"/>
  <c r="N12" i="36"/>
  <c r="J119" i="36"/>
  <c r="J115" i="36"/>
  <c r="J109" i="36"/>
  <c r="J103" i="36"/>
  <c r="J95" i="36"/>
  <c r="J92" i="36"/>
  <c r="J69" i="36"/>
  <c r="J49" i="36"/>
  <c r="J39" i="36"/>
  <c r="J35" i="36"/>
  <c r="J128" i="36"/>
  <c r="J106" i="36"/>
  <c r="J96" i="36"/>
  <c r="J84" i="36"/>
  <c r="J79" i="36"/>
  <c r="J70" i="36"/>
  <c r="J58" i="36"/>
  <c r="J50" i="36"/>
  <c r="J26" i="36"/>
  <c r="J110" i="36"/>
  <c r="J59" i="36"/>
  <c r="J51" i="36"/>
  <c r="J45" i="36"/>
  <c r="J31" i="36"/>
  <c r="J101" i="36"/>
  <c r="J80" i="36"/>
  <c r="J60" i="36"/>
  <c r="J52" i="36"/>
  <c r="J40" i="36"/>
  <c r="J36" i="36"/>
  <c r="J32" i="36"/>
  <c r="J30" i="36"/>
  <c r="J122" i="36"/>
  <c r="J111" i="36"/>
  <c r="J93" i="36"/>
  <c r="J71" i="36"/>
  <c r="J61" i="36"/>
  <c r="J53" i="36"/>
  <c r="J41" i="36"/>
  <c r="H28" i="36"/>
  <c r="J28" i="36" s="1"/>
  <c r="J112" i="36"/>
  <c r="J107" i="36"/>
  <c r="J89" i="36"/>
  <c r="J81" i="36"/>
  <c r="J72" i="36"/>
  <c r="J62" i="36"/>
  <c r="J54" i="36"/>
  <c r="J46" i="36"/>
  <c r="J42" i="36"/>
  <c r="J123" i="36"/>
  <c r="J90" i="36"/>
  <c r="J55" i="36"/>
  <c r="J64" i="36"/>
  <c r="J98" i="36"/>
  <c r="J74" i="36"/>
  <c r="J33" i="36"/>
  <c r="J124" i="36"/>
  <c r="J63" i="36"/>
  <c r="J73" i="36"/>
  <c r="J56" i="36"/>
  <c r="J37" i="36"/>
  <c r="H103" i="21"/>
  <c r="V295" i="18"/>
  <c r="V283" i="18"/>
  <c r="V281" i="18"/>
  <c r="V273" i="18"/>
  <c r="V257" i="18"/>
  <c r="V245" i="18"/>
  <c r="V237" i="18"/>
  <c r="V229" i="18"/>
  <c r="V213" i="18"/>
  <c r="V201" i="18"/>
  <c r="V197" i="18"/>
  <c r="V193" i="18"/>
  <c r="V294" i="18"/>
  <c r="V276" i="18"/>
  <c r="V268" i="18"/>
  <c r="V264" i="18"/>
  <c r="V252" i="18"/>
  <c r="V228" i="18"/>
  <c r="V220" i="18"/>
  <c r="V212" i="18"/>
  <c r="V184" i="18"/>
  <c r="V180" i="18"/>
  <c r="V176" i="18"/>
  <c r="V172" i="18"/>
  <c r="V168" i="18"/>
  <c r="V164" i="18"/>
  <c r="V160" i="18"/>
  <c r="V156" i="18"/>
  <c r="V152" i="18"/>
  <c r="V148" i="18"/>
  <c r="V144" i="18"/>
  <c r="V140" i="18"/>
  <c r="V136" i="18"/>
  <c r="V132" i="18"/>
  <c r="V128" i="18"/>
  <c r="V293" i="18"/>
  <c r="V275" i="18"/>
  <c r="V247" i="18"/>
  <c r="V239" i="18"/>
  <c r="V231" i="18"/>
  <c r="V207" i="18"/>
  <c r="V203" i="18"/>
  <c r="V292" i="18"/>
  <c r="V258" i="18"/>
  <c r="V230" i="18"/>
  <c r="V222" i="18"/>
  <c r="V214" i="18"/>
  <c r="V202" i="18"/>
  <c r="V198" i="18"/>
  <c r="V194" i="18"/>
  <c r="V299" i="18"/>
  <c r="V291" i="18"/>
  <c r="V277" i="18"/>
  <c r="V269" i="18"/>
  <c r="V265" i="18"/>
  <c r="V253" i="18"/>
  <c r="V221" i="18"/>
  <c r="V185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290" i="18"/>
  <c r="V260" i="18"/>
  <c r="V248" i="18"/>
  <c r="V240" i="18"/>
  <c r="V232" i="18"/>
  <c r="V216" i="18"/>
  <c r="V208" i="18"/>
  <c r="V204" i="18"/>
  <c r="V289" i="18"/>
  <c r="V271" i="18"/>
  <c r="V259" i="18"/>
  <c r="V255" i="18"/>
  <c r="V288" i="18"/>
  <c r="V287" i="18"/>
  <c r="V261" i="18"/>
  <c r="V249" i="18"/>
  <c r="V241" i="18"/>
  <c r="V233" i="18"/>
  <c r="V225" i="18"/>
  <c r="V217" i="18"/>
  <c r="V209" i="18"/>
  <c r="V205" i="18"/>
  <c r="V286" i="18"/>
  <c r="V280" i="18"/>
  <c r="V272" i="18"/>
  <c r="V256" i="18"/>
  <c r="V244" i="18"/>
  <c r="V236" i="18"/>
  <c r="V224" i="18"/>
  <c r="V200" i="18"/>
  <c r="V196" i="18"/>
  <c r="V192" i="18"/>
  <c r="V279" i="18"/>
  <c r="V163" i="18"/>
  <c r="V154" i="18"/>
  <c r="V134" i="18"/>
  <c r="V130" i="18"/>
  <c r="V274" i="18"/>
  <c r="V223" i="18"/>
  <c r="V219" i="18"/>
  <c r="V189" i="18"/>
  <c r="V179" i="18"/>
  <c r="V138" i="18"/>
  <c r="V254" i="18"/>
  <c r="V251" i="18"/>
  <c r="V246" i="18"/>
  <c r="V238" i="18"/>
  <c r="T189" i="18"/>
  <c r="V174" i="18"/>
  <c r="V167" i="18"/>
  <c r="V142" i="18"/>
  <c r="V270" i="18"/>
  <c r="V242" i="18"/>
  <c r="V215" i="18"/>
  <c r="V211" i="18"/>
  <c r="V183" i="18"/>
  <c r="V158" i="18"/>
  <c r="V151" i="18"/>
  <c r="V284" i="18"/>
  <c r="V267" i="18"/>
  <c r="V234" i="18"/>
  <c r="V146" i="18"/>
  <c r="V278" i="18"/>
  <c r="V262" i="18"/>
  <c r="V171" i="18"/>
  <c r="V218" i="18"/>
  <c r="V187" i="18"/>
  <c r="V178" i="18"/>
  <c r="V162" i="18"/>
  <c r="V135" i="18"/>
  <c r="V131" i="18"/>
  <c r="V226" i="18"/>
  <c r="V206" i="18"/>
  <c r="V191" i="18"/>
  <c r="V166" i="18"/>
  <c r="V155" i="18"/>
  <c r="V139" i="18"/>
  <c r="V182" i="18"/>
  <c r="V150" i="18"/>
  <c r="V143" i="18"/>
  <c r="V263" i="18"/>
  <c r="V243" i="18"/>
  <c r="V235" i="18"/>
  <c r="V285" i="18"/>
  <c r="V175" i="18"/>
  <c r="V195" i="18"/>
  <c r="V186" i="18"/>
  <c r="V250" i="18"/>
  <c r="V147" i="18"/>
  <c r="V266" i="18"/>
  <c r="V199" i="18"/>
  <c r="V159" i="18"/>
  <c r="V210" i="18"/>
  <c r="V170" i="18"/>
  <c r="V227" i="18"/>
  <c r="D278" i="12"/>
  <c r="P22" i="6"/>
  <c r="X16" i="6"/>
  <c r="N305" i="3"/>
  <c r="X18" i="98"/>
  <c r="P27" i="98"/>
  <c r="T27" i="43"/>
  <c r="Z18" i="43"/>
  <c r="X18" i="31"/>
  <c r="P27" i="31"/>
  <c r="T27" i="34"/>
  <c r="Z18" i="34"/>
  <c r="L18" i="32"/>
  <c r="D27" i="32"/>
  <c r="X18" i="28"/>
  <c r="P27" i="28"/>
  <c r="H27" i="28"/>
  <c r="N18" i="28"/>
  <c r="H27" i="23"/>
  <c r="N18" i="23"/>
  <c r="X18" i="11"/>
  <c r="P27" i="11"/>
  <c r="P46" i="88"/>
  <c r="X17" i="88"/>
  <c r="N68" i="83"/>
  <c r="J68" i="83"/>
  <c r="L21" i="75"/>
  <c r="N21" i="75" s="1"/>
  <c r="D27" i="75"/>
  <c r="N98" i="62"/>
  <c r="P69" i="57"/>
  <c r="X16" i="57"/>
  <c r="R78" i="92"/>
  <c r="R77" i="92"/>
  <c r="R81" i="92"/>
  <c r="R73" i="92"/>
  <c r="R69" i="92"/>
  <c r="R87" i="92"/>
  <c r="R80" i="92"/>
  <c r="R64" i="92"/>
  <c r="R57" i="92"/>
  <c r="R56" i="92"/>
  <c r="R45" i="92"/>
  <c r="R44" i="92"/>
  <c r="R32" i="92"/>
  <c r="R28" i="92"/>
  <c r="R75" i="92"/>
  <c r="R72" i="92"/>
  <c r="R24" i="92"/>
  <c r="R19" i="92"/>
  <c r="R59" i="92"/>
  <c r="R58" i="92"/>
  <c r="R47" i="92"/>
  <c r="R46" i="92"/>
  <c r="R38" i="92"/>
  <c r="R23" i="92"/>
  <c r="R76" i="92"/>
  <c r="R65" i="92"/>
  <c r="R60" i="92"/>
  <c r="R49" i="92"/>
  <c r="R48" i="92"/>
  <c r="R70" i="92"/>
  <c r="R39" i="92"/>
  <c r="R35" i="92"/>
  <c r="R67" i="92"/>
  <c r="R66" i="92"/>
  <c r="R61" i="92"/>
  <c r="R63" i="92"/>
  <c r="R62" i="92"/>
  <c r="R55" i="92"/>
  <c r="R54" i="92"/>
  <c r="R43" i="92"/>
  <c r="R42" i="92"/>
  <c r="R18" i="92"/>
  <c r="R17" i="92"/>
  <c r="R36" i="92"/>
  <c r="R33" i="92"/>
  <c r="R52" i="92"/>
  <c r="R41" i="92"/>
  <c r="R26" i="92"/>
  <c r="X12" i="92"/>
  <c r="Z12" i="92" s="1"/>
  <c r="R74" i="92"/>
  <c r="R34" i="92"/>
  <c r="R83" i="92"/>
  <c r="R31" i="92"/>
  <c r="R29" i="92"/>
  <c r="R53" i="92"/>
  <c r="R50" i="92"/>
  <c r="R37" i="92"/>
  <c r="R71" i="92"/>
  <c r="P21" i="92"/>
  <c r="R51" i="92"/>
  <c r="R27" i="92"/>
  <c r="R25" i="92"/>
  <c r="R30" i="92"/>
  <c r="R79" i="92"/>
  <c r="R68" i="92"/>
  <c r="R40" i="92"/>
  <c r="J45" i="87"/>
  <c r="J35" i="87"/>
  <c r="J46" i="87"/>
  <c r="J30" i="87"/>
  <c r="J17" i="87"/>
  <c r="J47" i="87"/>
  <c r="J37" i="87"/>
  <c r="J31" i="87"/>
  <c r="J27" i="87"/>
  <c r="J48" i="87"/>
  <c r="J38" i="87"/>
  <c r="J32" i="87"/>
  <c r="J18" i="87"/>
  <c r="J49" i="87"/>
  <c r="J39" i="87"/>
  <c r="J33" i="87"/>
  <c r="J51" i="87"/>
  <c r="J41" i="87"/>
  <c r="H20" i="87"/>
  <c r="J55" i="87"/>
  <c r="J43" i="87"/>
  <c r="J29" i="87"/>
  <c r="J25" i="87"/>
  <c r="J26" i="87"/>
  <c r="J24" i="87"/>
  <c r="J20" i="87"/>
  <c r="J28" i="87"/>
  <c r="J34" i="87"/>
  <c r="J40" i="87"/>
  <c r="J22" i="87"/>
  <c r="J44" i="87"/>
  <c r="J42" i="87"/>
  <c r="J36" i="87"/>
  <c r="J23" i="87"/>
  <c r="J16" i="87"/>
  <c r="J82" i="86"/>
  <c r="J84" i="86"/>
  <c r="J76" i="86"/>
  <c r="J72" i="86"/>
  <c r="J60" i="86"/>
  <c r="J66" i="86"/>
  <c r="J77" i="86"/>
  <c r="J73" i="86"/>
  <c r="J67" i="86"/>
  <c r="J61" i="86"/>
  <c r="J80" i="86"/>
  <c r="J70" i="86"/>
  <c r="J64" i="86"/>
  <c r="J68" i="86"/>
  <c r="J50" i="86"/>
  <c r="J40" i="86"/>
  <c r="J78" i="86"/>
  <c r="J63" i="86"/>
  <c r="J51" i="86"/>
  <c r="J41" i="86"/>
  <c r="J35" i="86"/>
  <c r="J71" i="86"/>
  <c r="J52" i="86"/>
  <c r="J42" i="86"/>
  <c r="J30" i="86"/>
  <c r="J26" i="86"/>
  <c r="J16" i="86"/>
  <c r="J53" i="86"/>
  <c r="J43" i="86"/>
  <c r="J17" i="86"/>
  <c r="J74" i="86"/>
  <c r="J54" i="86"/>
  <c r="J44" i="86"/>
  <c r="J36" i="86"/>
  <c r="N12" i="86"/>
  <c r="J79" i="86"/>
  <c r="J55" i="86"/>
  <c r="J45" i="86"/>
  <c r="J31" i="86"/>
  <c r="J27" i="86"/>
  <c r="J89" i="86"/>
  <c r="J69" i="86"/>
  <c r="J56" i="86"/>
  <c r="J46" i="86"/>
  <c r="J32" i="86"/>
  <c r="J18" i="86"/>
  <c r="J57" i="86"/>
  <c r="J37" i="86"/>
  <c r="J33" i="86"/>
  <c r="J23" i="86"/>
  <c r="J28" i="86"/>
  <c r="J24" i="86"/>
  <c r="J22" i="86"/>
  <c r="J65" i="86"/>
  <c r="J58" i="86"/>
  <c r="J48" i="86"/>
  <c r="J38" i="86"/>
  <c r="J34" i="86"/>
  <c r="J39" i="86"/>
  <c r="J75" i="86"/>
  <c r="J29" i="86"/>
  <c r="H20" i="86"/>
  <c r="J81" i="86"/>
  <c r="J62" i="86"/>
  <c r="J49" i="86"/>
  <c r="J47" i="86"/>
  <c r="J25" i="86"/>
  <c r="J59" i="86"/>
  <c r="J85" i="86"/>
  <c r="D92" i="85"/>
  <c r="L20" i="85"/>
  <c r="T79" i="82"/>
  <c r="V75" i="82"/>
  <c r="P101" i="81"/>
  <c r="X97" i="81"/>
  <c r="F42" i="72"/>
  <c r="F41" i="72"/>
  <c r="F22" i="72"/>
  <c r="F18" i="72"/>
  <c r="F17" i="72"/>
  <c r="F53" i="72"/>
  <c r="F52" i="72"/>
  <c r="F37" i="72"/>
  <c r="F44" i="72"/>
  <c r="F43" i="72"/>
  <c r="F32" i="72"/>
  <c r="F28" i="72"/>
  <c r="F27" i="72"/>
  <c r="F65" i="72"/>
  <c r="F63" i="72"/>
  <c r="F54" i="72"/>
  <c r="F46" i="72"/>
  <c r="F45" i="72"/>
  <c r="F38" i="72"/>
  <c r="D24" i="72"/>
  <c r="F67" i="72"/>
  <c r="F62" i="72"/>
  <c r="F61" i="72"/>
  <c r="F56" i="72"/>
  <c r="F55" i="72"/>
  <c r="F20" i="72"/>
  <c r="F60" i="72"/>
  <c r="F47" i="72"/>
  <c r="F39" i="72"/>
  <c r="F40" i="72"/>
  <c r="F36" i="72"/>
  <c r="F35" i="72"/>
  <c r="L12" i="72"/>
  <c r="N12" i="72" s="1"/>
  <c r="F29" i="72"/>
  <c r="F49" i="72"/>
  <c r="F31" i="72"/>
  <c r="F72" i="72"/>
  <c r="F59" i="72"/>
  <c r="F33" i="72"/>
  <c r="F24" i="72"/>
  <c r="F21" i="72"/>
  <c r="F19" i="72"/>
  <c r="F69" i="72"/>
  <c r="F50" i="72"/>
  <c r="F51" i="72"/>
  <c r="F26" i="72"/>
  <c r="F48" i="72"/>
  <c r="F30" i="72"/>
  <c r="F58" i="72"/>
  <c r="F34" i="72"/>
  <c r="J58" i="73"/>
  <c r="J42" i="73"/>
  <c r="J63" i="73"/>
  <c r="J59" i="73"/>
  <c r="J51" i="73"/>
  <c r="J43" i="73"/>
  <c r="J35" i="73"/>
  <c r="J64" i="73"/>
  <c r="J52" i="73"/>
  <c r="J44" i="73"/>
  <c r="J30" i="73"/>
  <c r="J26" i="73"/>
  <c r="J16" i="73"/>
  <c r="J65" i="73"/>
  <c r="J53" i="73"/>
  <c r="J45" i="73"/>
  <c r="J66" i="73"/>
  <c r="J60" i="73"/>
  <c r="J54" i="73"/>
  <c r="J46" i="73"/>
  <c r="J36" i="73"/>
  <c r="N12" i="73"/>
  <c r="J67" i="73"/>
  <c r="J55" i="73"/>
  <c r="J47" i="73"/>
  <c r="J31" i="73"/>
  <c r="J27" i="73"/>
  <c r="L12" i="73"/>
  <c r="J48" i="73"/>
  <c r="J32" i="73"/>
  <c r="J18" i="73"/>
  <c r="J69" i="73"/>
  <c r="J61" i="73"/>
  <c r="J49" i="73"/>
  <c r="J37" i="73"/>
  <c r="J33" i="73"/>
  <c r="J23" i="73"/>
  <c r="J62" i="73"/>
  <c r="J50" i="73"/>
  <c r="J40" i="73"/>
  <c r="J34" i="73"/>
  <c r="J56" i="73"/>
  <c r="J20" i="73"/>
  <c r="H20" i="73"/>
  <c r="J17" i="73"/>
  <c r="J29" i="73"/>
  <c r="J25" i="73"/>
  <c r="J41" i="73"/>
  <c r="J39" i="73"/>
  <c r="J57" i="73"/>
  <c r="J38" i="73"/>
  <c r="J24" i="73"/>
  <c r="J22" i="73"/>
  <c r="J28" i="73"/>
  <c r="J73" i="73"/>
  <c r="X20" i="73"/>
  <c r="P71" i="73"/>
  <c r="F81" i="67"/>
  <c r="F78" i="67"/>
  <c r="F55" i="67"/>
  <c r="F54" i="67"/>
  <c r="F43" i="67"/>
  <c r="F42" i="67"/>
  <c r="F26" i="67"/>
  <c r="F24" i="67"/>
  <c r="F66" i="67"/>
  <c r="F62" i="67"/>
  <c r="F38" i="67"/>
  <c r="D24" i="67"/>
  <c r="F45" i="67"/>
  <c r="F44" i="67"/>
  <c r="F33" i="67"/>
  <c r="F29" i="67"/>
  <c r="F63" i="67"/>
  <c r="F47" i="67"/>
  <c r="F46" i="67"/>
  <c r="F39" i="67"/>
  <c r="F70" i="67"/>
  <c r="F69" i="67"/>
  <c r="F34" i="67"/>
  <c r="F30" i="67"/>
  <c r="F74" i="67"/>
  <c r="F72" i="67"/>
  <c r="F59" i="67"/>
  <c r="F58" i="67"/>
  <c r="F51" i="67"/>
  <c r="F50" i="67"/>
  <c r="F35" i="67"/>
  <c r="F31" i="67"/>
  <c r="F37" i="67"/>
  <c r="F22" i="67"/>
  <c r="F68" i="67"/>
  <c r="L12" i="67"/>
  <c r="N12" i="67" s="1"/>
  <c r="F65" i="67"/>
  <c r="F60" i="67"/>
  <c r="F20" i="67"/>
  <c r="F48" i="67"/>
  <c r="F76" i="67"/>
  <c r="F53" i="67"/>
  <c r="F40" i="67"/>
  <c r="F27" i="67"/>
  <c r="F56" i="67"/>
  <c r="F21" i="67"/>
  <c r="F61" i="67"/>
  <c r="F49" i="67"/>
  <c r="F36" i="67"/>
  <c r="F41" i="67"/>
  <c r="F32" i="67"/>
  <c r="F28" i="67"/>
  <c r="F64" i="67"/>
  <c r="F57" i="67"/>
  <c r="F67" i="67"/>
  <c r="F52" i="67"/>
  <c r="Z58" i="72"/>
  <c r="Z16" i="63"/>
  <c r="T58" i="63"/>
  <c r="X16" i="63"/>
  <c r="H50" i="60"/>
  <c r="N16" i="60"/>
  <c r="Z16" i="54"/>
  <c r="T22" i="54"/>
  <c r="N16" i="55"/>
  <c r="H33" i="55"/>
  <c r="L16" i="55"/>
  <c r="F126" i="42"/>
  <c r="F121" i="42"/>
  <c r="F104" i="42"/>
  <c r="F100" i="42"/>
  <c r="F120" i="42"/>
  <c r="F111" i="42"/>
  <c r="F110" i="42"/>
  <c r="F95" i="42"/>
  <c r="F94" i="42"/>
  <c r="F83" i="42"/>
  <c r="F75" i="42"/>
  <c r="F74" i="42"/>
  <c r="F119" i="42"/>
  <c r="F90" i="42"/>
  <c r="F113" i="42"/>
  <c r="F112" i="42"/>
  <c r="F105" i="42"/>
  <c r="F101" i="42"/>
  <c r="F77" i="42"/>
  <c r="F76" i="42"/>
  <c r="F96" i="42"/>
  <c r="F84" i="42"/>
  <c r="F68" i="42"/>
  <c r="F67" i="42"/>
  <c r="F91" i="42"/>
  <c r="F92" i="42"/>
  <c r="F82" i="42"/>
  <c r="F114" i="42"/>
  <c r="F103" i="42"/>
  <c r="F62" i="42"/>
  <c r="F57" i="42"/>
  <c r="F25" i="42"/>
  <c r="F24" i="42"/>
  <c r="F122" i="42"/>
  <c r="F107" i="42"/>
  <c r="F48" i="42"/>
  <c r="F44" i="42"/>
  <c r="L12" i="42"/>
  <c r="F81" i="42"/>
  <c r="F78" i="42"/>
  <c r="F71" i="42"/>
  <c r="F63" i="42"/>
  <c r="F39" i="42"/>
  <c r="F35" i="42"/>
  <c r="F117" i="42"/>
  <c r="F98" i="42"/>
  <c r="F88" i="42"/>
  <c r="F58" i="42"/>
  <c r="F50" i="42"/>
  <c r="F49" i="42"/>
  <c r="F26" i="42"/>
  <c r="F86" i="42"/>
  <c r="F64" i="42"/>
  <c r="F45" i="42"/>
  <c r="F102" i="42"/>
  <c r="F79" i="42"/>
  <c r="F72" i="42"/>
  <c r="F59" i="42"/>
  <c r="F52" i="42"/>
  <c r="F51" i="42"/>
  <c r="F40" i="42"/>
  <c r="F36" i="42"/>
  <c r="F32" i="42"/>
  <c r="F31" i="42"/>
  <c r="F115" i="42"/>
  <c r="F108" i="42"/>
  <c r="F65" i="42"/>
  <c r="F60" i="42"/>
  <c r="F30" i="42"/>
  <c r="F28" i="42"/>
  <c r="F106" i="42"/>
  <c r="F89" i="42"/>
  <c r="F73" i="42"/>
  <c r="F69" i="42"/>
  <c r="F54" i="42"/>
  <c r="F53" i="42"/>
  <c r="F46" i="42"/>
  <c r="F42" i="42"/>
  <c r="F41" i="42"/>
  <c r="D28" i="42"/>
  <c r="F66" i="42"/>
  <c r="F37" i="42"/>
  <c r="F33" i="42"/>
  <c r="F109" i="42"/>
  <c r="F99" i="42"/>
  <c r="F87" i="42"/>
  <c r="F80" i="42"/>
  <c r="F70" i="42"/>
  <c r="F61" i="42"/>
  <c r="F47" i="42"/>
  <c r="F43" i="42"/>
  <c r="F55" i="42"/>
  <c r="F116" i="42"/>
  <c r="F93" i="42"/>
  <c r="F34" i="42"/>
  <c r="F85" i="42"/>
  <c r="F56" i="42"/>
  <c r="F97" i="42"/>
  <c r="F38" i="42"/>
  <c r="Z257" i="15"/>
  <c r="X257" i="15"/>
  <c r="T22" i="6"/>
  <c r="Z16" i="6"/>
  <c r="X18" i="50"/>
  <c r="P27" i="50"/>
  <c r="D27" i="53"/>
  <c r="L18" i="53"/>
  <c r="H27" i="52"/>
  <c r="N18" i="52"/>
  <c r="L18" i="49"/>
  <c r="D27" i="49"/>
  <c r="X18" i="43"/>
  <c r="P27" i="43"/>
  <c r="L18" i="23"/>
  <c r="D27" i="23"/>
  <c r="L18" i="25"/>
  <c r="D27" i="25"/>
  <c r="T27" i="19"/>
  <c r="Z18" i="19"/>
  <c r="T27" i="23"/>
  <c r="Z18" i="23"/>
  <c r="T27" i="7"/>
  <c r="Z18" i="7"/>
  <c r="L18" i="7"/>
  <c r="D27" i="7"/>
  <c r="P27" i="4"/>
  <c r="X18" i="4"/>
  <c r="R48" i="65"/>
  <c r="R47" i="65"/>
  <c r="R32" i="65"/>
  <c r="R31" i="65"/>
  <c r="R27" i="65"/>
  <c r="R63" i="65"/>
  <c r="R62" i="65"/>
  <c r="R23" i="65"/>
  <c r="R18" i="65"/>
  <c r="R57" i="65"/>
  <c r="R50" i="65"/>
  <c r="R49" i="65"/>
  <c r="R38" i="65"/>
  <c r="R37" i="65"/>
  <c r="R33" i="65"/>
  <c r="R22" i="65"/>
  <c r="R20" i="65"/>
  <c r="R64" i="65"/>
  <c r="R28" i="65"/>
  <c r="R24" i="65"/>
  <c r="P20" i="65"/>
  <c r="R68" i="65"/>
  <c r="R66" i="65"/>
  <c r="R52" i="65"/>
  <c r="R51" i="65"/>
  <c r="R40" i="65"/>
  <c r="R39" i="65"/>
  <c r="R59" i="65"/>
  <c r="R58" i="65"/>
  <c r="R34" i="65"/>
  <c r="R75" i="65"/>
  <c r="R72" i="65"/>
  <c r="R44" i="65"/>
  <c r="R43" i="65"/>
  <c r="R35" i="65"/>
  <c r="R61" i="65"/>
  <c r="R46" i="65"/>
  <c r="R45" i="65"/>
  <c r="R17" i="65"/>
  <c r="R60" i="65"/>
  <c r="R41" i="65"/>
  <c r="R29" i="65"/>
  <c r="R25" i="65"/>
  <c r="R56" i="65"/>
  <c r="R54" i="65"/>
  <c r="X12" i="65"/>
  <c r="Z12" i="65" s="1"/>
  <c r="R36" i="65"/>
  <c r="R30" i="65"/>
  <c r="R53" i="65"/>
  <c r="R16" i="65"/>
  <c r="R55" i="65"/>
  <c r="R26" i="65"/>
  <c r="R42" i="65"/>
  <c r="R70" i="65"/>
  <c r="J119" i="42"/>
  <c r="J111" i="42"/>
  <c r="J95" i="42"/>
  <c r="J83" i="42"/>
  <c r="J112" i="42"/>
  <c r="J90" i="42"/>
  <c r="J76" i="42"/>
  <c r="J66" i="42"/>
  <c r="J113" i="42"/>
  <c r="J105" i="42"/>
  <c r="J101" i="42"/>
  <c r="J77" i="42"/>
  <c r="J96" i="42"/>
  <c r="J84" i="42"/>
  <c r="J78" i="42"/>
  <c r="J68" i="42"/>
  <c r="J97" i="42"/>
  <c r="J91" i="42"/>
  <c r="J85" i="42"/>
  <c r="J79" i="42"/>
  <c r="J69" i="42"/>
  <c r="J114" i="42"/>
  <c r="J106" i="42"/>
  <c r="J102" i="42"/>
  <c r="J98" i="42"/>
  <c r="J86" i="42"/>
  <c r="J115" i="42"/>
  <c r="J107" i="42"/>
  <c r="J103" i="42"/>
  <c r="J99" i="42"/>
  <c r="J87" i="42"/>
  <c r="J121" i="42"/>
  <c r="J117" i="42"/>
  <c r="J109" i="42"/>
  <c r="J93" i="42"/>
  <c r="J89" i="42"/>
  <c r="J73" i="42"/>
  <c r="J63" i="42"/>
  <c r="J48" i="42"/>
  <c r="J44" i="42"/>
  <c r="N12" i="42"/>
  <c r="J88" i="42"/>
  <c r="J81" i="42"/>
  <c r="J71" i="42"/>
  <c r="J49" i="42"/>
  <c r="J39" i="42"/>
  <c r="J35" i="42"/>
  <c r="J126" i="42"/>
  <c r="J110" i="42"/>
  <c r="J58" i="42"/>
  <c r="J50" i="42"/>
  <c r="J26" i="42"/>
  <c r="J120" i="42"/>
  <c r="J94" i="42"/>
  <c r="J92" i="42"/>
  <c r="J75" i="42"/>
  <c r="J72" i="42"/>
  <c r="J64" i="42"/>
  <c r="J59" i="42"/>
  <c r="J51" i="42"/>
  <c r="J45" i="42"/>
  <c r="J31" i="42"/>
  <c r="J108" i="42"/>
  <c r="J100" i="42"/>
  <c r="J65" i="42"/>
  <c r="J52" i="42"/>
  <c r="J40" i="42"/>
  <c r="J36" i="42"/>
  <c r="J32" i="42"/>
  <c r="J30" i="42"/>
  <c r="J60" i="42"/>
  <c r="J53" i="42"/>
  <c r="J41" i="42"/>
  <c r="H28" i="42"/>
  <c r="J104" i="42"/>
  <c r="J54" i="42"/>
  <c r="J46" i="42"/>
  <c r="J42" i="42"/>
  <c r="J82" i="42"/>
  <c r="J55" i="42"/>
  <c r="J37" i="42"/>
  <c r="J33" i="42"/>
  <c r="J80" i="42"/>
  <c r="J61" i="42"/>
  <c r="J56" i="42"/>
  <c r="J74" i="42"/>
  <c r="J38" i="42"/>
  <c r="J34" i="42"/>
  <c r="J24" i="42"/>
  <c r="J122" i="42"/>
  <c r="J57" i="42"/>
  <c r="J25" i="42"/>
  <c r="J70" i="42"/>
  <c r="J67" i="42"/>
  <c r="J43" i="42"/>
  <c r="J47" i="42"/>
  <c r="J116" i="42"/>
  <c r="J62" i="42"/>
  <c r="T69" i="97"/>
  <c r="N17" i="97"/>
  <c r="H69" i="97"/>
  <c r="T51" i="93"/>
  <c r="Z21" i="93"/>
  <c r="T46" i="88"/>
  <c r="Z17" i="88"/>
  <c r="J23" i="90"/>
  <c r="X20" i="85"/>
  <c r="Z20" i="85" s="1"/>
  <c r="P92" i="85"/>
  <c r="H76" i="80"/>
  <c r="J20" i="80"/>
  <c r="Z18" i="78"/>
  <c r="T30" i="78"/>
  <c r="X30" i="78" s="1"/>
  <c r="Z83" i="70"/>
  <c r="V118" i="66"/>
  <c r="V100" i="66"/>
  <c r="V92" i="66"/>
  <c r="V84" i="66"/>
  <c r="V72" i="66"/>
  <c r="V68" i="66"/>
  <c r="V117" i="66"/>
  <c r="V115" i="66"/>
  <c r="V107" i="66"/>
  <c r="V83" i="66"/>
  <c r="V63" i="66"/>
  <c r="V59" i="66"/>
  <c r="V55" i="66"/>
  <c r="V51" i="66"/>
  <c r="V124" i="66"/>
  <c r="V102" i="66"/>
  <c r="V94" i="66"/>
  <c r="V108" i="66"/>
  <c r="V96" i="66"/>
  <c r="V103" i="66"/>
  <c r="V95" i="66"/>
  <c r="V87" i="66"/>
  <c r="V79" i="66"/>
  <c r="V75" i="66"/>
  <c r="V112" i="66"/>
  <c r="V104" i="66"/>
  <c r="V88" i="66"/>
  <c r="V80" i="66"/>
  <c r="V76" i="66"/>
  <c r="V111" i="66"/>
  <c r="V81" i="66"/>
  <c r="V74" i="66"/>
  <c r="V69" i="66"/>
  <c r="V99" i="66"/>
  <c r="V93" i="66"/>
  <c r="V82" i="66"/>
  <c r="V53" i="66"/>
  <c r="V50" i="66"/>
  <c r="V109" i="66"/>
  <c r="V65" i="66"/>
  <c r="V56" i="66"/>
  <c r="V47" i="66"/>
  <c r="V101" i="66"/>
  <c r="V44" i="66"/>
  <c r="V85" i="66"/>
  <c r="T61" i="66"/>
  <c r="V89" i="66"/>
  <c r="V70" i="66"/>
  <c r="V57" i="66"/>
  <c r="V54" i="66"/>
  <c r="V119" i="66"/>
  <c r="V105" i="66"/>
  <c r="V97" i="66"/>
  <c r="V77" i="66"/>
  <c r="V48" i="66"/>
  <c r="V45" i="66"/>
  <c r="V120" i="66"/>
  <c r="V110" i="66"/>
  <c r="V66" i="66"/>
  <c r="V86" i="66"/>
  <c r="V64" i="66"/>
  <c r="V42" i="66"/>
  <c r="V113" i="66"/>
  <c r="V73" i="66"/>
  <c r="V52" i="66"/>
  <c r="V46" i="66"/>
  <c r="V43" i="66"/>
  <c r="V58" i="66"/>
  <c r="V71" i="66"/>
  <c r="V90" i="66"/>
  <c r="V106" i="66"/>
  <c r="V49" i="66"/>
  <c r="V78" i="66"/>
  <c r="V98" i="66"/>
  <c r="V91" i="66"/>
  <c r="V67" i="66"/>
  <c r="V114" i="66"/>
  <c r="X16" i="61"/>
  <c r="P51" i="61"/>
  <c r="R120" i="66"/>
  <c r="R114" i="66"/>
  <c r="R113" i="66"/>
  <c r="R82" i="66"/>
  <c r="R81" i="66"/>
  <c r="R77" i="66"/>
  <c r="R119" i="66"/>
  <c r="R100" i="66"/>
  <c r="R92" i="66"/>
  <c r="R72" i="66"/>
  <c r="R68" i="66"/>
  <c r="R118" i="66"/>
  <c r="R115" i="66"/>
  <c r="R107" i="66"/>
  <c r="R102" i="66"/>
  <c r="R101" i="66"/>
  <c r="R94" i="66"/>
  <c r="R93" i="66"/>
  <c r="R85" i="66"/>
  <c r="R74" i="66"/>
  <c r="R73" i="66"/>
  <c r="R69" i="66"/>
  <c r="R65" i="66"/>
  <c r="R109" i="66"/>
  <c r="R108" i="66"/>
  <c r="R56" i="66"/>
  <c r="R52" i="66"/>
  <c r="R48" i="66"/>
  <c r="R44" i="66"/>
  <c r="R97" i="66"/>
  <c r="R106" i="66"/>
  <c r="R98" i="66"/>
  <c r="R76" i="66"/>
  <c r="R67" i="66"/>
  <c r="R43" i="66"/>
  <c r="R111" i="66"/>
  <c r="R96" i="66"/>
  <c r="R91" i="66"/>
  <c r="R79" i="66"/>
  <c r="R59" i="66"/>
  <c r="R53" i="66"/>
  <c r="R50" i="66"/>
  <c r="R99" i="66"/>
  <c r="R47" i="66"/>
  <c r="R88" i="66"/>
  <c r="R112" i="66"/>
  <c r="R104" i="66"/>
  <c r="R61" i="66"/>
  <c r="R75" i="66"/>
  <c r="R70" i="66"/>
  <c r="P61" i="66"/>
  <c r="R57" i="66"/>
  <c r="R54" i="66"/>
  <c r="R51" i="66"/>
  <c r="R124" i="66"/>
  <c r="R89" i="66"/>
  <c r="R83" i="66"/>
  <c r="R80" i="66"/>
  <c r="R63" i="66"/>
  <c r="R110" i="66"/>
  <c r="R105" i="66"/>
  <c r="R66" i="66"/>
  <c r="R95" i="66"/>
  <c r="R90" i="66"/>
  <c r="R87" i="66"/>
  <c r="R78" i="66"/>
  <c r="R71" i="66"/>
  <c r="R64" i="66"/>
  <c r="R58" i="66"/>
  <c r="R55" i="66"/>
  <c r="R49" i="66"/>
  <c r="R42" i="66"/>
  <c r="R45" i="66"/>
  <c r="R86" i="66"/>
  <c r="R117" i="66"/>
  <c r="R103" i="66"/>
  <c r="R46" i="66"/>
  <c r="R84" i="66"/>
  <c r="X12" i="66"/>
  <c r="Z12" i="66" s="1"/>
  <c r="L16" i="57"/>
  <c r="D69" i="57"/>
  <c r="X16" i="60"/>
  <c r="P50" i="60"/>
  <c r="L12" i="36"/>
  <c r="D73" i="48"/>
  <c r="V157" i="30"/>
  <c r="V149" i="30"/>
  <c r="V137" i="30"/>
  <c r="V129" i="30"/>
  <c r="V121" i="30"/>
  <c r="V113" i="30"/>
  <c r="V85" i="30"/>
  <c r="V81" i="30"/>
  <c r="V77" i="30"/>
  <c r="V73" i="30"/>
  <c r="V69" i="30"/>
  <c r="V156" i="30"/>
  <c r="V144" i="30"/>
  <c r="V132" i="30"/>
  <c r="V120" i="30"/>
  <c r="V112" i="30"/>
  <c r="V104" i="30"/>
  <c r="V100" i="30"/>
  <c r="Z12" i="30"/>
  <c r="V139" i="30"/>
  <c r="V131" i="30"/>
  <c r="V123" i="30"/>
  <c r="V158" i="30"/>
  <c r="V150" i="30"/>
  <c r="V146" i="30"/>
  <c r="V138" i="30"/>
  <c r="V122" i="30"/>
  <c r="V114" i="30"/>
  <c r="V90" i="30"/>
  <c r="V86" i="30"/>
  <c r="V82" i="30"/>
  <c r="V78" i="30"/>
  <c r="V74" i="30"/>
  <c r="V70" i="30"/>
  <c r="V66" i="30"/>
  <c r="V62" i="30"/>
  <c r="V58" i="30"/>
  <c r="V145" i="30"/>
  <c r="V133" i="30"/>
  <c r="V125" i="30"/>
  <c r="V105" i="30"/>
  <c r="V101" i="30"/>
  <c r="T88" i="30"/>
  <c r="V160" i="30"/>
  <c r="V140" i="30"/>
  <c r="V163" i="30"/>
  <c r="V161" i="30"/>
  <c r="V153" i="30"/>
  <c r="V141" i="30"/>
  <c r="V117" i="30"/>
  <c r="V109" i="30"/>
  <c r="V97" i="30"/>
  <c r="V93" i="30"/>
  <c r="V152" i="30"/>
  <c r="V148" i="30"/>
  <c r="V136" i="30"/>
  <c r="V128" i="30"/>
  <c r="V108" i="30"/>
  <c r="V84" i="30"/>
  <c r="V80" i="30"/>
  <c r="V76" i="30"/>
  <c r="V72" i="30"/>
  <c r="V68" i="30"/>
  <c r="V64" i="30"/>
  <c r="V60" i="30"/>
  <c r="V56" i="30"/>
  <c r="V165" i="30"/>
  <c r="V118" i="30"/>
  <c r="V116" i="30"/>
  <c r="V155" i="30"/>
  <c r="V110" i="30"/>
  <c r="V102" i="30"/>
  <c r="V67" i="30"/>
  <c r="V147" i="30"/>
  <c r="V96" i="30"/>
  <c r="V92" i="30"/>
  <c r="V83" i="30"/>
  <c r="V151" i="30"/>
  <c r="V143" i="30"/>
  <c r="V126" i="30"/>
  <c r="V65" i="30"/>
  <c r="V169" i="30"/>
  <c r="V135" i="30"/>
  <c r="V124" i="30"/>
  <c r="V111" i="30"/>
  <c r="V98" i="30"/>
  <c r="V94" i="30"/>
  <c r="V63" i="30"/>
  <c r="V119" i="30"/>
  <c r="V103" i="30"/>
  <c r="V79" i="30"/>
  <c r="V61" i="30"/>
  <c r="V127" i="30"/>
  <c r="V106" i="30"/>
  <c r="V91" i="30"/>
  <c r="V75" i="30"/>
  <c r="V59" i="30"/>
  <c r="V134" i="30"/>
  <c r="V130" i="30"/>
  <c r="V115" i="30"/>
  <c r="V99" i="30"/>
  <c r="V95" i="30"/>
  <c r="V57" i="30"/>
  <c r="V159" i="30"/>
  <c r="V142" i="30"/>
  <c r="V107" i="30"/>
  <c r="V164" i="30"/>
  <c r="V154" i="30"/>
  <c r="V71" i="30"/>
  <c r="N283" i="18"/>
  <c r="J289" i="18"/>
  <c r="J271" i="18"/>
  <c r="J261" i="18"/>
  <c r="J255" i="18"/>
  <c r="J249" i="18"/>
  <c r="J241" i="18"/>
  <c r="J233" i="18"/>
  <c r="J217" i="18"/>
  <c r="J209" i="18"/>
  <c r="J205" i="18"/>
  <c r="J288" i="18"/>
  <c r="J272" i="18"/>
  <c r="J256" i="18"/>
  <c r="J242" i="18"/>
  <c r="J234" i="18"/>
  <c r="J224" i="18"/>
  <c r="J218" i="18"/>
  <c r="J200" i="18"/>
  <c r="J196" i="18"/>
  <c r="J287" i="18"/>
  <c r="J279" i="18"/>
  <c r="J267" i="18"/>
  <c r="J243" i="18"/>
  <c r="J235" i="18"/>
  <c r="J225" i="18"/>
  <c r="J219" i="18"/>
  <c r="J187" i="18"/>
  <c r="J183" i="18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286" i="18"/>
  <c r="J280" i="18"/>
  <c r="J262" i="18"/>
  <c r="J250" i="18"/>
  <c r="J244" i="18"/>
  <c r="J236" i="18"/>
  <c r="J226" i="18"/>
  <c r="J210" i="18"/>
  <c r="J206" i="18"/>
  <c r="J192" i="18"/>
  <c r="J285" i="18"/>
  <c r="J281" i="18"/>
  <c r="J273" i="18"/>
  <c r="J263" i="18"/>
  <c r="J257" i="18"/>
  <c r="J251" i="18"/>
  <c r="J245" i="18"/>
  <c r="J237" i="18"/>
  <c r="J227" i="18"/>
  <c r="J211" i="18"/>
  <c r="J201" i="18"/>
  <c r="J197" i="18"/>
  <c r="J193" i="18"/>
  <c r="J191" i="18"/>
  <c r="J189" i="18"/>
  <c r="J284" i="18"/>
  <c r="J274" i="18"/>
  <c r="J268" i="18"/>
  <c r="J264" i="18"/>
  <c r="J252" i="18"/>
  <c r="J246" i="18"/>
  <c r="J238" i="18"/>
  <c r="J228" i="18"/>
  <c r="J220" i="18"/>
  <c r="J212" i="18"/>
  <c r="H189" i="18"/>
  <c r="J184" i="18"/>
  <c r="J180" i="18"/>
  <c r="J176" i="18"/>
  <c r="J172" i="18"/>
  <c r="J168" i="18"/>
  <c r="J164" i="18"/>
  <c r="J160" i="18"/>
  <c r="J156" i="18"/>
  <c r="J152" i="18"/>
  <c r="J148" i="18"/>
  <c r="J295" i="18"/>
  <c r="J283" i="18"/>
  <c r="J275" i="18"/>
  <c r="J247" i="18"/>
  <c r="J239" i="18"/>
  <c r="J294" i="18"/>
  <c r="J299" i="18"/>
  <c r="J293" i="18"/>
  <c r="J277" i="18"/>
  <c r="J269" i="18"/>
  <c r="J265" i="18"/>
  <c r="J253" i="18"/>
  <c r="J231" i="18"/>
  <c r="J221" i="18"/>
  <c r="J203" i="18"/>
  <c r="J185" i="18"/>
  <c r="J181" i="18"/>
  <c r="J177" i="18"/>
  <c r="J173" i="18"/>
  <c r="J169" i="18"/>
  <c r="J165" i="18"/>
  <c r="J161" i="18"/>
  <c r="J157" i="18"/>
  <c r="J153" i="18"/>
  <c r="J149" i="18"/>
  <c r="J145" i="18"/>
  <c r="J141" i="18"/>
  <c r="J137" i="18"/>
  <c r="J133" i="18"/>
  <c r="J129" i="18"/>
  <c r="J292" i="18"/>
  <c r="J248" i="18"/>
  <c r="J240" i="18"/>
  <c r="J232" i="18"/>
  <c r="J222" i="18"/>
  <c r="J208" i="18"/>
  <c r="J204" i="18"/>
  <c r="N12" i="18"/>
  <c r="J259" i="18"/>
  <c r="J214" i="18"/>
  <c r="J199" i="18"/>
  <c r="J195" i="18"/>
  <c r="J186" i="18"/>
  <c r="J170" i="18"/>
  <c r="J229" i="18"/>
  <c r="J154" i="18"/>
  <c r="J136" i="18"/>
  <c r="J134" i="18"/>
  <c r="J132" i="18"/>
  <c r="J130" i="18"/>
  <c r="J290" i="18"/>
  <c r="J207" i="18"/>
  <c r="J140" i="18"/>
  <c r="J138" i="18"/>
  <c r="J128" i="18"/>
  <c r="J276" i="18"/>
  <c r="J254" i="18"/>
  <c r="J223" i="18"/>
  <c r="J174" i="18"/>
  <c r="J144" i="18"/>
  <c r="J142" i="18"/>
  <c r="J270" i="18"/>
  <c r="J260" i="18"/>
  <c r="J258" i="18"/>
  <c r="J194" i="18"/>
  <c r="J213" i="18"/>
  <c r="J158" i="18"/>
  <c r="J146" i="18"/>
  <c r="J278" i="18"/>
  <c r="J215" i="18"/>
  <c r="J202" i="18"/>
  <c r="J198" i="18"/>
  <c r="J291" i="18"/>
  <c r="J230" i="18"/>
  <c r="J178" i="18"/>
  <c r="J162" i="18"/>
  <c r="J216" i="18"/>
  <c r="J166" i="18"/>
  <c r="J150" i="18"/>
  <c r="J266" i="18"/>
  <c r="J182" i="18"/>
  <c r="Z267" i="12"/>
  <c r="T320" i="3"/>
  <c r="Z201" i="3"/>
  <c r="D320" i="3"/>
  <c r="L201" i="3"/>
  <c r="H27" i="98"/>
  <c r="N18" i="98"/>
  <c r="L18" i="98"/>
  <c r="D27" i="98"/>
  <c r="T27" i="50"/>
  <c r="Z18" i="50"/>
  <c r="X18" i="53"/>
  <c r="P27" i="53"/>
  <c r="Z18" i="47"/>
  <c r="T27" i="47"/>
  <c r="D27" i="38"/>
  <c r="L18" i="38"/>
  <c r="N18" i="37"/>
  <c r="H27" i="37"/>
  <c r="L18" i="35"/>
  <c r="D27" i="35"/>
  <c r="T27" i="32"/>
  <c r="Z18" i="32"/>
  <c r="H27" i="13"/>
  <c r="N18" i="13"/>
  <c r="H27" i="19"/>
  <c r="N18" i="19"/>
  <c r="L18" i="20"/>
  <c r="D27" i="20"/>
  <c r="P27" i="22"/>
  <c r="X18" i="22"/>
  <c r="H27" i="4"/>
  <c r="N18" i="4"/>
  <c r="X23" i="90"/>
  <c r="P83" i="90"/>
  <c r="L17" i="88"/>
  <c r="D46" i="88"/>
  <c r="D63" i="89"/>
  <c r="V56" i="89"/>
  <c r="V53" i="89"/>
  <c r="V45" i="89"/>
  <c r="V55" i="89"/>
  <c r="V51" i="89"/>
  <c r="V32" i="89"/>
  <c r="V16" i="89"/>
  <c r="V31" i="89"/>
  <c r="V27" i="89"/>
  <c r="V44" i="89"/>
  <c r="V34" i="89"/>
  <c r="V52" i="89"/>
  <c r="V43" i="89"/>
  <c r="V33" i="89"/>
  <c r="V17" i="89"/>
  <c r="V58" i="89"/>
  <c r="V36" i="89"/>
  <c r="V28" i="89"/>
  <c r="Z12" i="89"/>
  <c r="V48" i="89"/>
  <c r="V35" i="89"/>
  <c r="V23" i="89"/>
  <c r="V49" i="89"/>
  <c r="V38" i="89"/>
  <c r="V22" i="89"/>
  <c r="V18" i="89"/>
  <c r="V37" i="89"/>
  <c r="V29" i="89"/>
  <c r="T20" i="89"/>
  <c r="V20" i="89" s="1"/>
  <c r="V60" i="89"/>
  <c r="V40" i="89"/>
  <c r="V24" i="89"/>
  <c r="V65" i="89"/>
  <c r="V61" i="89"/>
  <c r="V57" i="89"/>
  <c r="V50" i="89"/>
  <c r="V46" i="89"/>
  <c r="V30" i="89"/>
  <c r="V26" i="89"/>
  <c r="V54" i="89"/>
  <c r="V47" i="89"/>
  <c r="V39" i="89"/>
  <c r="V41" i="89"/>
  <c r="V25" i="89"/>
  <c r="V42" i="89"/>
  <c r="R20" i="87"/>
  <c r="T77" i="84"/>
  <c r="X20" i="84"/>
  <c r="Z20" i="84" s="1"/>
  <c r="N16" i="81"/>
  <c r="H97" i="81"/>
  <c r="V89" i="85"/>
  <c r="P72" i="74"/>
  <c r="X20" i="74"/>
  <c r="Z20" i="74" s="1"/>
  <c r="V115" i="69"/>
  <c r="V107" i="69"/>
  <c r="V99" i="69"/>
  <c r="V75" i="69"/>
  <c r="V71" i="69"/>
  <c r="V67" i="69"/>
  <c r="V63" i="69"/>
  <c r="V59" i="69"/>
  <c r="V55" i="69"/>
  <c r="V130" i="69"/>
  <c r="V122" i="69"/>
  <c r="V94" i="69"/>
  <c r="V135" i="69"/>
  <c r="V117" i="69"/>
  <c r="V109" i="69"/>
  <c r="V101" i="69"/>
  <c r="V134" i="69"/>
  <c r="V133" i="69"/>
  <c r="V131" i="69"/>
  <c r="V123" i="69"/>
  <c r="V119" i="69"/>
  <c r="V111" i="69"/>
  <c r="V103" i="69"/>
  <c r="V95" i="69"/>
  <c r="V91" i="69"/>
  <c r="V139" i="69"/>
  <c r="V125" i="69"/>
  <c r="V113" i="69"/>
  <c r="V105" i="69"/>
  <c r="V81" i="69"/>
  <c r="V77" i="69"/>
  <c r="V73" i="69"/>
  <c r="V69" i="69"/>
  <c r="V65" i="69"/>
  <c r="V61" i="69"/>
  <c r="V57" i="69"/>
  <c r="V53" i="69"/>
  <c r="V124" i="69"/>
  <c r="V129" i="69"/>
  <c r="V121" i="69"/>
  <c r="V97" i="69"/>
  <c r="V93" i="69"/>
  <c r="V128" i="69"/>
  <c r="V108" i="69"/>
  <c r="V98" i="69"/>
  <c r="V82" i="69"/>
  <c r="V68" i="69"/>
  <c r="V110" i="69"/>
  <c r="V90" i="69"/>
  <c r="V86" i="69"/>
  <c r="V66" i="69"/>
  <c r="V64" i="69"/>
  <c r="V120" i="69"/>
  <c r="V88" i="69"/>
  <c r="V84" i="69"/>
  <c r="V62" i="69"/>
  <c r="V60" i="69"/>
  <c r="V127" i="69"/>
  <c r="V58" i="69"/>
  <c r="V116" i="69"/>
  <c r="V106" i="69"/>
  <c r="V118" i="69"/>
  <c r="V56" i="69"/>
  <c r="V104" i="69"/>
  <c r="T79" i="69"/>
  <c r="V114" i="69"/>
  <c r="V96" i="69"/>
  <c r="V89" i="69"/>
  <c r="V87" i="69"/>
  <c r="V85" i="69"/>
  <c r="V83" i="69"/>
  <c r="V76" i="69"/>
  <c r="V54" i="69"/>
  <c r="V74" i="69"/>
  <c r="V72" i="69"/>
  <c r="V52" i="69"/>
  <c r="V100" i="69"/>
  <c r="V70" i="69"/>
  <c r="V126" i="69"/>
  <c r="V102" i="69"/>
  <c r="V112" i="69"/>
  <c r="V92" i="69"/>
  <c r="H87" i="68"/>
  <c r="Z16" i="60"/>
  <c r="T50" i="60"/>
  <c r="X98" i="62"/>
  <c r="Z98" i="62" s="1"/>
  <c r="V123" i="36"/>
  <c r="V122" i="36"/>
  <c r="V112" i="36"/>
  <c r="V96" i="36"/>
  <c r="V84" i="36"/>
  <c r="V93" i="36"/>
  <c r="V81" i="36"/>
  <c r="V119" i="36"/>
  <c r="V100" i="36"/>
  <c r="V95" i="36"/>
  <c r="V92" i="36"/>
  <c r="V59" i="36"/>
  <c r="V51" i="36"/>
  <c r="V39" i="36"/>
  <c r="V35" i="36"/>
  <c r="V31" i="36"/>
  <c r="V128" i="36"/>
  <c r="V121" i="36"/>
  <c r="V115" i="36"/>
  <c r="V110" i="36"/>
  <c r="V109" i="36"/>
  <c r="V106" i="36"/>
  <c r="V103" i="36"/>
  <c r="V80" i="36"/>
  <c r="V79" i="36"/>
  <c r="V70" i="36"/>
  <c r="V58" i="36"/>
  <c r="V50" i="36"/>
  <c r="V30" i="36"/>
  <c r="V26" i="36"/>
  <c r="V88" i="36"/>
  <c r="V61" i="36"/>
  <c r="V53" i="36"/>
  <c r="V45" i="36"/>
  <c r="V41" i="36"/>
  <c r="T28" i="36"/>
  <c r="V28" i="36" s="1"/>
  <c r="V72" i="36"/>
  <c r="V60" i="36"/>
  <c r="V52" i="36"/>
  <c r="V40" i="36"/>
  <c r="V36" i="36"/>
  <c r="V32" i="36"/>
  <c r="V111" i="36"/>
  <c r="V101" i="36"/>
  <c r="V97" i="36"/>
  <c r="V71" i="36"/>
  <c r="V63" i="36"/>
  <c r="V55" i="36"/>
  <c r="V124" i="36"/>
  <c r="V116" i="36"/>
  <c r="V107" i="36"/>
  <c r="V104" i="36"/>
  <c r="V74" i="36"/>
  <c r="V62" i="36"/>
  <c r="V54" i="36"/>
  <c r="V46" i="36"/>
  <c r="V42" i="36"/>
  <c r="V90" i="36"/>
  <c r="V89" i="36"/>
  <c r="V85" i="36"/>
  <c r="V82" i="36"/>
  <c r="V73" i="36"/>
  <c r="V65" i="36"/>
  <c r="V37" i="36"/>
  <c r="V33" i="36"/>
  <c r="V76" i="36"/>
  <c r="V64" i="36"/>
  <c r="V56" i="36"/>
  <c r="V24" i="36"/>
  <c r="V114" i="36"/>
  <c r="V113" i="36"/>
  <c r="V102" i="36"/>
  <c r="V99" i="36"/>
  <c r="V98" i="36"/>
  <c r="V75" i="36"/>
  <c r="V67" i="36"/>
  <c r="V47" i="36"/>
  <c r="V43" i="36"/>
  <c r="V118" i="36"/>
  <c r="V117" i="36"/>
  <c r="V108" i="36"/>
  <c r="V105" i="36"/>
  <c r="V94" i="36"/>
  <c r="V91" i="36"/>
  <c r="V83" i="36"/>
  <c r="V78" i="36"/>
  <c r="V66" i="36"/>
  <c r="V38" i="36"/>
  <c r="V34" i="36"/>
  <c r="V68" i="36"/>
  <c r="V87" i="36"/>
  <c r="V57" i="36"/>
  <c r="V48" i="36"/>
  <c r="V69" i="36"/>
  <c r="V25" i="36"/>
  <c r="V44" i="36"/>
  <c r="V77" i="36"/>
  <c r="V86" i="36"/>
  <c r="V49" i="36"/>
  <c r="F168" i="12"/>
  <c r="N267" i="12"/>
  <c r="L18" i="99"/>
  <c r="D27" i="99"/>
  <c r="X18" i="100"/>
  <c r="P27" i="100"/>
  <c r="T27" i="98"/>
  <c r="Z18" i="98"/>
  <c r="P27" i="99"/>
  <c r="X18" i="99"/>
  <c r="H27" i="50"/>
  <c r="N18" i="50"/>
  <c r="H27" i="49"/>
  <c r="N18" i="49"/>
  <c r="T27" i="46"/>
  <c r="Z18" i="46"/>
  <c r="L18" i="41"/>
  <c r="D27" i="41"/>
  <c r="P27" i="44"/>
  <c r="X18" i="44"/>
  <c r="X18" i="32"/>
  <c r="P27" i="32"/>
  <c r="X18" i="35"/>
  <c r="P27" i="35"/>
  <c r="L18" i="13"/>
  <c r="D27" i="13"/>
  <c r="H27" i="16"/>
  <c r="N18" i="16"/>
  <c r="X18" i="8"/>
  <c r="P27" i="8"/>
  <c r="L18" i="10"/>
  <c r="D27" i="10"/>
  <c r="T27" i="4"/>
  <c r="Z18" i="4"/>
  <c r="Z16" i="59"/>
  <c r="T61" i="59"/>
  <c r="N119" i="42"/>
  <c r="H167" i="30"/>
  <c r="R250" i="15"/>
  <c r="R249" i="15"/>
  <c r="R221" i="15"/>
  <c r="R213" i="15"/>
  <c r="R181" i="15"/>
  <c r="R110" i="15"/>
  <c r="R232" i="15"/>
  <c r="R205" i="15"/>
  <c r="R204" i="15"/>
  <c r="R188" i="15"/>
  <c r="R177" i="15"/>
  <c r="R176" i="15"/>
  <c r="R172" i="15"/>
  <c r="R168" i="15"/>
  <c r="R266" i="15"/>
  <c r="R251" i="15"/>
  <c r="R243" i="15"/>
  <c r="R239" i="15"/>
  <c r="R227" i="15"/>
  <c r="R196" i="15"/>
  <c r="R195" i="15"/>
  <c r="R159" i="15"/>
  <c r="R155" i="15"/>
  <c r="R151" i="15"/>
  <c r="R147" i="15"/>
  <c r="R143" i="15"/>
  <c r="R139" i="15"/>
  <c r="R135" i="15"/>
  <c r="R131" i="15"/>
  <c r="R127" i="15"/>
  <c r="R123" i="15"/>
  <c r="R119" i="15"/>
  <c r="R115" i="15"/>
  <c r="R111" i="15"/>
  <c r="R265" i="15"/>
  <c r="R222" i="15"/>
  <c r="R214" i="15"/>
  <c r="R206" i="15"/>
  <c r="R182" i="15"/>
  <c r="R178" i="15"/>
  <c r="R264" i="15"/>
  <c r="R234" i="15"/>
  <c r="R233" i="15"/>
  <c r="R197" i="15"/>
  <c r="R190" i="15"/>
  <c r="R189" i="15"/>
  <c r="R173" i="15"/>
  <c r="R169" i="15"/>
  <c r="R270" i="15"/>
  <c r="R263" i="15"/>
  <c r="R252" i="15"/>
  <c r="R245" i="15"/>
  <c r="R244" i="15"/>
  <c r="R240" i="15"/>
  <c r="R229" i="15"/>
  <c r="R228" i="15"/>
  <c r="R160" i="15"/>
  <c r="R156" i="15"/>
  <c r="R152" i="15"/>
  <c r="R148" i="15"/>
  <c r="R144" i="15"/>
  <c r="R140" i="15"/>
  <c r="R136" i="15"/>
  <c r="R132" i="15"/>
  <c r="R128" i="15"/>
  <c r="R124" i="15"/>
  <c r="R120" i="15"/>
  <c r="R116" i="15"/>
  <c r="R112" i="15"/>
  <c r="R262" i="15"/>
  <c r="R235" i="15"/>
  <c r="R223" i="15"/>
  <c r="R216" i="15"/>
  <c r="R215" i="15"/>
  <c r="R208" i="15"/>
  <c r="R207" i="15"/>
  <c r="R192" i="15"/>
  <c r="R191" i="15"/>
  <c r="R183" i="15"/>
  <c r="R179" i="15"/>
  <c r="R261" i="15"/>
  <c r="R246" i="15"/>
  <c r="R230" i="15"/>
  <c r="R199" i="15"/>
  <c r="R198" i="15"/>
  <c r="R174" i="15"/>
  <c r="R170" i="15"/>
  <c r="R260" i="15"/>
  <c r="R254" i="15"/>
  <c r="R253" i="15"/>
  <c r="R241" i="15"/>
  <c r="R218" i="15"/>
  <c r="R217" i="15"/>
  <c r="R210" i="15"/>
  <c r="R209" i="15"/>
  <c r="R193" i="15"/>
  <c r="R166" i="15"/>
  <c r="R161" i="15"/>
  <c r="R157" i="15"/>
  <c r="R153" i="15"/>
  <c r="R149" i="15"/>
  <c r="R145" i="15"/>
  <c r="R141" i="15"/>
  <c r="R137" i="15"/>
  <c r="R133" i="15"/>
  <c r="R129" i="15"/>
  <c r="R125" i="15"/>
  <c r="R121" i="15"/>
  <c r="R117" i="15"/>
  <c r="R113" i="15"/>
  <c r="R258" i="15"/>
  <c r="R255" i="15"/>
  <c r="R248" i="15"/>
  <c r="R247" i="15"/>
  <c r="R231" i="15"/>
  <c r="R220" i="15"/>
  <c r="R219" i="15"/>
  <c r="R212" i="15"/>
  <c r="R211" i="15"/>
  <c r="R175" i="15"/>
  <c r="R171" i="15"/>
  <c r="R167" i="15"/>
  <c r="P163" i="15"/>
  <c r="R185" i="15"/>
  <c r="R146" i="15"/>
  <c r="R134" i="15"/>
  <c r="R259" i="15"/>
  <c r="R187" i="15"/>
  <c r="R257" i="15"/>
  <c r="R226" i="15"/>
  <c r="R180" i="15"/>
  <c r="R158" i="15"/>
  <c r="R126" i="15"/>
  <c r="R165" i="15"/>
  <c r="R242" i="15"/>
  <c r="R237" i="15"/>
  <c r="R224" i="15"/>
  <c r="R118" i="15"/>
  <c r="R202" i="15"/>
  <c r="R200" i="15"/>
  <c r="R150" i="15"/>
  <c r="R138" i="15"/>
  <c r="R186" i="15"/>
  <c r="R130" i="15"/>
  <c r="R225" i="15"/>
  <c r="R184" i="15"/>
  <c r="R163" i="15"/>
  <c r="R142" i="15"/>
  <c r="R154" i="15"/>
  <c r="R122" i="15"/>
  <c r="R201" i="15"/>
  <c r="R114" i="15"/>
  <c r="R238" i="15"/>
  <c r="X12" i="15"/>
  <c r="R203" i="15"/>
  <c r="R236" i="15"/>
  <c r="R194" i="15"/>
  <c r="Z31" i="96"/>
  <c r="X31" i="96"/>
  <c r="J35" i="93"/>
  <c r="J27" i="93"/>
  <c r="J17" i="93"/>
  <c r="J36" i="93"/>
  <c r="J28" i="93"/>
  <c r="J18" i="93"/>
  <c r="J46" i="93"/>
  <c r="J38" i="93"/>
  <c r="J47" i="93"/>
  <c r="J39" i="93"/>
  <c r="J19" i="93"/>
  <c r="J40" i="93"/>
  <c r="J51" i="93"/>
  <c r="J49" i="93"/>
  <c r="J41" i="93"/>
  <c r="J42" i="93"/>
  <c r="H21" i="93"/>
  <c r="J53" i="93"/>
  <c r="J43" i="93"/>
  <c r="J31" i="93"/>
  <c r="J33" i="93"/>
  <c r="J23" i="93"/>
  <c r="J30" i="93"/>
  <c r="J55" i="93"/>
  <c r="J45" i="93"/>
  <c r="J24" i="93"/>
  <c r="J34" i="93"/>
  <c r="J25" i="93"/>
  <c r="J29" i="93"/>
  <c r="J32" i="93"/>
  <c r="J26" i="93"/>
  <c r="N12" i="93"/>
  <c r="J44" i="93"/>
  <c r="J58" i="93"/>
  <c r="J37" i="93"/>
  <c r="J21" i="93"/>
  <c r="T84" i="95"/>
  <c r="J78" i="95"/>
  <c r="J66" i="95"/>
  <c r="J58" i="95"/>
  <c r="J46" i="95"/>
  <c r="J38" i="95"/>
  <c r="J24" i="95"/>
  <c r="J79" i="95"/>
  <c r="J59" i="95"/>
  <c r="J47" i="95"/>
  <c r="J33" i="95"/>
  <c r="J29" i="95"/>
  <c r="J25" i="95"/>
  <c r="J23" i="95"/>
  <c r="J80" i="95"/>
  <c r="J72" i="95"/>
  <c r="J60" i="95"/>
  <c r="J48" i="95"/>
  <c r="J34" i="95"/>
  <c r="H21" i="95"/>
  <c r="J21" i="95" s="1"/>
  <c r="J67" i="95"/>
  <c r="J61" i="95"/>
  <c r="J49" i="95"/>
  <c r="J39" i="95"/>
  <c r="J35" i="95"/>
  <c r="J82" i="95"/>
  <c r="J68" i="95"/>
  <c r="J62" i="95"/>
  <c r="J73" i="95"/>
  <c r="J69" i="95"/>
  <c r="J51" i="95"/>
  <c r="J86" i="95"/>
  <c r="J52" i="95"/>
  <c r="J40" i="95"/>
  <c r="J36" i="95"/>
  <c r="N12" i="95"/>
  <c r="J63" i="95"/>
  <c r="J53" i="95"/>
  <c r="J41" i="95"/>
  <c r="J31" i="95"/>
  <c r="J27" i="95"/>
  <c r="J17" i="95"/>
  <c r="J76" i="95"/>
  <c r="J56" i="95"/>
  <c r="J44" i="95"/>
  <c r="J32" i="95"/>
  <c r="J28" i="95"/>
  <c r="J42" i="95"/>
  <c r="J70" i="95"/>
  <c r="J74" i="95"/>
  <c r="J45" i="95"/>
  <c r="J54" i="95"/>
  <c r="J43" i="95"/>
  <c r="J77" i="95"/>
  <c r="J65" i="95"/>
  <c r="J57" i="95"/>
  <c r="J50" i="95"/>
  <c r="J19" i="95"/>
  <c r="J75" i="95"/>
  <c r="J55" i="95"/>
  <c r="J37" i="95"/>
  <c r="J71" i="95"/>
  <c r="J26" i="95"/>
  <c r="J18" i="95"/>
  <c r="J64" i="95"/>
  <c r="J30" i="95"/>
  <c r="D89" i="94"/>
  <c r="L21" i="94"/>
  <c r="N21" i="94" s="1"/>
  <c r="L31" i="96"/>
  <c r="N31" i="96" s="1"/>
  <c r="D85" i="92"/>
  <c r="F44" i="87"/>
  <c r="F43" i="87"/>
  <c r="F35" i="87"/>
  <c r="F46" i="87"/>
  <c r="F45" i="87"/>
  <c r="F30" i="87"/>
  <c r="F26" i="87"/>
  <c r="F36" i="87"/>
  <c r="L12" i="87"/>
  <c r="N12" i="87" s="1"/>
  <c r="F47" i="87"/>
  <c r="F31" i="87"/>
  <c r="F27" i="87"/>
  <c r="F38" i="87"/>
  <c r="F37" i="87"/>
  <c r="F40" i="87"/>
  <c r="F39" i="87"/>
  <c r="F28" i="87"/>
  <c r="F24" i="87"/>
  <c r="F23" i="87"/>
  <c r="F51" i="87"/>
  <c r="F42" i="87"/>
  <c r="F41" i="87"/>
  <c r="F34" i="87"/>
  <c r="D20" i="87"/>
  <c r="F20" i="87" s="1"/>
  <c r="F16" i="87"/>
  <c r="F17" i="87"/>
  <c r="F32" i="87"/>
  <c r="F48" i="87"/>
  <c r="F25" i="87"/>
  <c r="F22" i="87"/>
  <c r="F29" i="87"/>
  <c r="F18" i="87"/>
  <c r="F49" i="87"/>
  <c r="F55" i="87"/>
  <c r="F33" i="87"/>
  <c r="P81" i="84"/>
  <c r="Z16" i="81"/>
  <c r="T97" i="81"/>
  <c r="X20" i="80"/>
  <c r="P76" i="80"/>
  <c r="H75" i="82"/>
  <c r="J20" i="84"/>
  <c r="V85" i="79"/>
  <c r="V63" i="79"/>
  <c r="V55" i="79"/>
  <c r="V35" i="79"/>
  <c r="V74" i="79"/>
  <c r="V62" i="79"/>
  <c r="V46" i="79"/>
  <c r="V73" i="79"/>
  <c r="V69" i="79"/>
  <c r="V57" i="79"/>
  <c r="V45" i="79"/>
  <c r="V37" i="79"/>
  <c r="V17" i="79"/>
  <c r="V76" i="79"/>
  <c r="V64" i="79"/>
  <c r="V56" i="79"/>
  <c r="V48" i="79"/>
  <c r="V36" i="79"/>
  <c r="V32" i="79"/>
  <c r="V75" i="79"/>
  <c r="V59" i="79"/>
  <c r="V47" i="79"/>
  <c r="V78" i="79"/>
  <c r="V70" i="79"/>
  <c r="V66" i="79"/>
  <c r="V58" i="79"/>
  <c r="V50" i="79"/>
  <c r="V38" i="79"/>
  <c r="V22" i="79"/>
  <c r="V18" i="79"/>
  <c r="V77" i="79"/>
  <c r="V65" i="79"/>
  <c r="V49" i="79"/>
  <c r="V41" i="79"/>
  <c r="V33" i="79"/>
  <c r="V81" i="79"/>
  <c r="V79" i="79"/>
  <c r="V71" i="79"/>
  <c r="V67" i="79"/>
  <c r="V54" i="79"/>
  <c r="V42" i="79"/>
  <c r="V34" i="79"/>
  <c r="V61" i="79"/>
  <c r="V53" i="79"/>
  <c r="V51" i="79"/>
  <c r="T20" i="79"/>
  <c r="V20" i="79" s="1"/>
  <c r="V24" i="79"/>
  <c r="V68" i="79"/>
  <c r="V43" i="79"/>
  <c r="V40" i="79"/>
  <c r="V28" i="79"/>
  <c r="V26" i="79"/>
  <c r="V52" i="79"/>
  <c r="V30" i="79"/>
  <c r="V60" i="79"/>
  <c r="V23" i="79"/>
  <c r="V44" i="79"/>
  <c r="V25" i="79"/>
  <c r="V39" i="79"/>
  <c r="V72" i="79"/>
  <c r="V27" i="79"/>
  <c r="V29" i="79"/>
  <c r="V31" i="79"/>
  <c r="V16" i="79"/>
  <c r="D30" i="78"/>
  <c r="L18" i="78"/>
  <c r="J72" i="76"/>
  <c r="J68" i="76"/>
  <c r="J60" i="76"/>
  <c r="J52" i="76"/>
  <c r="J42" i="76"/>
  <c r="J73" i="76"/>
  <c r="J61" i="76"/>
  <c r="J53" i="76"/>
  <c r="J43" i="76"/>
  <c r="J35" i="76"/>
  <c r="J74" i="76"/>
  <c r="J62" i="76"/>
  <c r="J54" i="76"/>
  <c r="J44" i="76"/>
  <c r="J30" i="76"/>
  <c r="J26" i="76"/>
  <c r="J16" i="76"/>
  <c r="J75" i="76"/>
  <c r="J69" i="76"/>
  <c r="J55" i="76"/>
  <c r="J45" i="76"/>
  <c r="J76" i="76"/>
  <c r="J56" i="76"/>
  <c r="J36" i="76"/>
  <c r="J77" i="76"/>
  <c r="J63" i="76"/>
  <c r="J57" i="76"/>
  <c r="J31" i="76"/>
  <c r="J27" i="76"/>
  <c r="J78" i="76"/>
  <c r="J70" i="76"/>
  <c r="J58" i="76"/>
  <c r="J46" i="76"/>
  <c r="J80" i="76"/>
  <c r="J64" i="76"/>
  <c r="J48" i="76"/>
  <c r="J38" i="76"/>
  <c r="J28" i="76"/>
  <c r="J24" i="76"/>
  <c r="J22" i="76"/>
  <c r="J39" i="76"/>
  <c r="J51" i="76"/>
  <c r="J37" i="76"/>
  <c r="J67" i="76"/>
  <c r="J33" i="76"/>
  <c r="J71" i="76"/>
  <c r="J49" i="76"/>
  <c r="J47" i="76"/>
  <c r="J40" i="76"/>
  <c r="J18" i="76"/>
  <c r="J65" i="76"/>
  <c r="J29" i="76"/>
  <c r="J25" i="76"/>
  <c r="J23" i="76"/>
  <c r="J84" i="76"/>
  <c r="J59" i="76"/>
  <c r="J17" i="76"/>
  <c r="J41" i="76"/>
  <c r="J34" i="76"/>
  <c r="J66" i="76"/>
  <c r="J50" i="76"/>
  <c r="H20" i="76"/>
  <c r="J20" i="76" s="1"/>
  <c r="J32" i="76"/>
  <c r="N83" i="70"/>
  <c r="T27" i="75"/>
  <c r="J80" i="70"/>
  <c r="J66" i="70"/>
  <c r="J81" i="70"/>
  <c r="J73" i="70"/>
  <c r="J67" i="70"/>
  <c r="J49" i="70"/>
  <c r="J84" i="70"/>
  <c r="J68" i="70"/>
  <c r="J60" i="70"/>
  <c r="J50" i="70"/>
  <c r="J44" i="70"/>
  <c r="J40" i="70"/>
  <c r="J83" i="70"/>
  <c r="J69" i="70"/>
  <c r="J61" i="70"/>
  <c r="J51" i="70"/>
  <c r="J45" i="70"/>
  <c r="J88" i="70"/>
  <c r="J74" i="70"/>
  <c r="J70" i="70"/>
  <c r="J62" i="70"/>
  <c r="J52" i="70"/>
  <c r="J46" i="70"/>
  <c r="J36" i="70"/>
  <c r="J63" i="70"/>
  <c r="J53" i="70"/>
  <c r="J41" i="70"/>
  <c r="J37" i="70"/>
  <c r="J35" i="70"/>
  <c r="J31" i="70"/>
  <c r="J64" i="70"/>
  <c r="J54" i="70"/>
  <c r="H33" i="70"/>
  <c r="J33" i="70" s="1"/>
  <c r="J75" i="70"/>
  <c r="J71" i="70"/>
  <c r="J55" i="70"/>
  <c r="J47" i="70"/>
  <c r="J78" i="70"/>
  <c r="J72" i="70"/>
  <c r="J58" i="70"/>
  <c r="J48" i="70"/>
  <c r="N12" i="70"/>
  <c r="J76" i="70"/>
  <c r="J39" i="70"/>
  <c r="J65" i="70"/>
  <c r="J43" i="70"/>
  <c r="J59" i="70"/>
  <c r="J57" i="70"/>
  <c r="J38" i="70"/>
  <c r="J42" i="70"/>
  <c r="J79" i="70"/>
  <c r="J77" i="70"/>
  <c r="J56" i="70"/>
  <c r="V18" i="78"/>
  <c r="J20" i="74"/>
  <c r="R29" i="75"/>
  <c r="R17" i="75"/>
  <c r="X12" i="75"/>
  <c r="Z12" i="75" s="1"/>
  <c r="R25" i="75"/>
  <c r="R18" i="75"/>
  <c r="R21" i="75"/>
  <c r="P21" i="75"/>
  <c r="R19" i="75"/>
  <c r="R23" i="75"/>
  <c r="L107" i="71"/>
  <c r="F81" i="68"/>
  <c r="F80" i="68"/>
  <c r="F72" i="68"/>
  <c r="F71" i="68"/>
  <c r="F64" i="68"/>
  <c r="F60" i="68"/>
  <c r="F56" i="68"/>
  <c r="F55" i="68"/>
  <c r="F83" i="68"/>
  <c r="F82" i="68"/>
  <c r="F54" i="68"/>
  <c r="F52" i="68"/>
  <c r="F47" i="68"/>
  <c r="F43" i="68"/>
  <c r="F39" i="68"/>
  <c r="F66" i="68"/>
  <c r="F65" i="68"/>
  <c r="D52" i="68"/>
  <c r="F73" i="68"/>
  <c r="F61" i="68"/>
  <c r="F57" i="68"/>
  <c r="F87" i="68"/>
  <c r="F85" i="68"/>
  <c r="F48" i="68"/>
  <c r="F44" i="68"/>
  <c r="F40" i="68"/>
  <c r="F36" i="68"/>
  <c r="F35" i="68"/>
  <c r="F89" i="68"/>
  <c r="F75" i="68"/>
  <c r="F74" i="68"/>
  <c r="F67" i="68"/>
  <c r="F62" i="68"/>
  <c r="F58" i="68"/>
  <c r="F77" i="68"/>
  <c r="F76" i="68"/>
  <c r="F49" i="68"/>
  <c r="F45" i="68"/>
  <c r="F41" i="68"/>
  <c r="F37" i="68"/>
  <c r="F79" i="68"/>
  <c r="F91" i="68"/>
  <c r="F59" i="68"/>
  <c r="F46" i="68"/>
  <c r="F69" i="68"/>
  <c r="F63" i="68"/>
  <c r="F50" i="68"/>
  <c r="F78" i="68"/>
  <c r="F38" i="68"/>
  <c r="F68" i="68"/>
  <c r="L12" i="68"/>
  <c r="N12" i="68" s="1"/>
  <c r="F42" i="68"/>
  <c r="F70" i="68"/>
  <c r="F94" i="68"/>
  <c r="J54" i="65"/>
  <c r="J44" i="65"/>
  <c r="J30" i="65"/>
  <c r="J26" i="65"/>
  <c r="J16" i="65"/>
  <c r="J61" i="65"/>
  <c r="J55" i="65"/>
  <c r="J45" i="65"/>
  <c r="J17" i="65"/>
  <c r="J56" i="65"/>
  <c r="J46" i="65"/>
  <c r="J36" i="65"/>
  <c r="J47" i="65"/>
  <c r="J31" i="65"/>
  <c r="J27" i="65"/>
  <c r="J62" i="65"/>
  <c r="J48" i="65"/>
  <c r="J32" i="65"/>
  <c r="J18" i="65"/>
  <c r="J63" i="65"/>
  <c r="J57" i="65"/>
  <c r="J49" i="65"/>
  <c r="J37" i="65"/>
  <c r="J33" i="65"/>
  <c r="J23" i="65"/>
  <c r="J66" i="65"/>
  <c r="J58" i="65"/>
  <c r="J52" i="65"/>
  <c r="J40" i="65"/>
  <c r="J34" i="65"/>
  <c r="J70" i="65"/>
  <c r="J60" i="65"/>
  <c r="J42" i="65"/>
  <c r="J59" i="65"/>
  <c r="J28" i="65"/>
  <c r="J24" i="65"/>
  <c r="J51" i="65"/>
  <c r="J53" i="65"/>
  <c r="J22" i="65"/>
  <c r="J64" i="65"/>
  <c r="J35" i="65"/>
  <c r="J50" i="65"/>
  <c r="J43" i="65"/>
  <c r="J39" i="65"/>
  <c r="J41" i="65"/>
  <c r="J29" i="65"/>
  <c r="J25" i="65"/>
  <c r="H20" i="65"/>
  <c r="J38" i="65"/>
  <c r="H137" i="69"/>
  <c r="F97" i="66"/>
  <c r="F96" i="66"/>
  <c r="F104" i="66"/>
  <c r="F88" i="66"/>
  <c r="F87" i="66"/>
  <c r="F80" i="66"/>
  <c r="F76" i="66"/>
  <c r="F111" i="66"/>
  <c r="F113" i="66"/>
  <c r="F112" i="66"/>
  <c r="F81" i="66"/>
  <c r="F77" i="66"/>
  <c r="F100" i="66"/>
  <c r="F99" i="66"/>
  <c r="F92" i="66"/>
  <c r="F91" i="66"/>
  <c r="F72" i="66"/>
  <c r="F68" i="66"/>
  <c r="F118" i="66"/>
  <c r="F101" i="66"/>
  <c r="F93" i="66"/>
  <c r="F85" i="66"/>
  <c r="F84" i="66"/>
  <c r="F73" i="66"/>
  <c r="F69" i="66"/>
  <c r="F65" i="66"/>
  <c r="F64" i="66"/>
  <c r="F110" i="66"/>
  <c r="F105" i="66"/>
  <c r="F63" i="66"/>
  <c r="F120" i="66"/>
  <c r="F86" i="66"/>
  <c r="F71" i="66"/>
  <c r="F55" i="66"/>
  <c r="F117" i="66"/>
  <c r="F108" i="66"/>
  <c r="F95" i="66"/>
  <c r="F90" i="66"/>
  <c r="F78" i="66"/>
  <c r="F58" i="66"/>
  <c r="F52" i="66"/>
  <c r="F49" i="66"/>
  <c r="F106" i="66"/>
  <c r="F103" i="66"/>
  <c r="F98" i="66"/>
  <c r="F67" i="66"/>
  <c r="F46" i="66"/>
  <c r="F43" i="66"/>
  <c r="F42" i="66"/>
  <c r="F114" i="66"/>
  <c r="F79" i="66"/>
  <c r="F59" i="66"/>
  <c r="F74" i="66"/>
  <c r="F56" i="66"/>
  <c r="F53" i="66"/>
  <c r="F50" i="66"/>
  <c r="F47" i="66"/>
  <c r="F82" i="66"/>
  <c r="F115" i="66"/>
  <c r="F109" i="66"/>
  <c r="F107" i="66"/>
  <c r="F102" i="66"/>
  <c r="F83" i="66"/>
  <c r="F75" i="66"/>
  <c r="F57" i="66"/>
  <c r="F54" i="66"/>
  <c r="F48" i="66"/>
  <c r="F89" i="66"/>
  <c r="F66" i="66"/>
  <c r="F124" i="66"/>
  <c r="F45" i="66"/>
  <c r="F119" i="66"/>
  <c r="D61" i="66"/>
  <c r="F61" i="66" s="1"/>
  <c r="F44" i="66"/>
  <c r="F94" i="66"/>
  <c r="F51" i="66"/>
  <c r="L12" i="66"/>
  <c r="F70" i="66"/>
  <c r="F133" i="69"/>
  <c r="F124" i="69"/>
  <c r="F120" i="69"/>
  <c r="F119" i="69"/>
  <c r="F112" i="69"/>
  <c r="F111" i="69"/>
  <c r="F104" i="69"/>
  <c r="F103" i="69"/>
  <c r="F96" i="69"/>
  <c r="F92" i="69"/>
  <c r="F91" i="69"/>
  <c r="F87" i="69"/>
  <c r="F83" i="69"/>
  <c r="F82" i="69"/>
  <c r="F126" i="69"/>
  <c r="F125" i="69"/>
  <c r="F114" i="69"/>
  <c r="F113" i="69"/>
  <c r="F106" i="69"/>
  <c r="F105" i="69"/>
  <c r="F121" i="69"/>
  <c r="F128" i="69"/>
  <c r="F127" i="69"/>
  <c r="F88" i="69"/>
  <c r="F84" i="69"/>
  <c r="F130" i="69"/>
  <c r="F129" i="69"/>
  <c r="F122" i="69"/>
  <c r="F94" i="69"/>
  <c r="F135" i="69"/>
  <c r="F118" i="69"/>
  <c r="F110" i="69"/>
  <c r="F102" i="69"/>
  <c r="F90" i="69"/>
  <c r="F86" i="69"/>
  <c r="F107" i="69"/>
  <c r="F72" i="69"/>
  <c r="F117" i="69"/>
  <c r="F70" i="69"/>
  <c r="F57" i="69"/>
  <c r="F115" i="69"/>
  <c r="F100" i="69"/>
  <c r="F97" i="69"/>
  <c r="F81" i="69"/>
  <c r="F55" i="69"/>
  <c r="F77" i="69"/>
  <c r="F75" i="69"/>
  <c r="F68" i="69"/>
  <c r="F66" i="69"/>
  <c r="F52" i="69"/>
  <c r="F139" i="69"/>
  <c r="F95" i="69"/>
  <c r="F93" i="69"/>
  <c r="F73" i="69"/>
  <c r="F64" i="69"/>
  <c r="F62" i="69"/>
  <c r="F53" i="69"/>
  <c r="F108" i="69"/>
  <c r="F101" i="69"/>
  <c r="F71" i="69"/>
  <c r="F60" i="69"/>
  <c r="F58" i="69"/>
  <c r="F98" i="69"/>
  <c r="F131" i="69"/>
  <c r="F99" i="69"/>
  <c r="F69" i="69"/>
  <c r="L12" i="69"/>
  <c r="N12" i="69" s="1"/>
  <c r="F134" i="69"/>
  <c r="F54" i="69"/>
  <c r="F76" i="69"/>
  <c r="F63" i="69"/>
  <c r="F56" i="69"/>
  <c r="F123" i="69"/>
  <c r="F89" i="69"/>
  <c r="F116" i="69"/>
  <c r="F79" i="69"/>
  <c r="D79" i="69"/>
  <c r="F65" i="69"/>
  <c r="F109" i="69"/>
  <c r="F85" i="69"/>
  <c r="F67" i="69"/>
  <c r="F59" i="69"/>
  <c r="F61" i="69"/>
  <c r="F74" i="69"/>
  <c r="P33" i="55"/>
  <c r="X16" i="55"/>
  <c r="H22" i="54"/>
  <c r="N16" i="54"/>
  <c r="H65" i="59"/>
  <c r="D55" i="61"/>
  <c r="Z163" i="30"/>
  <c r="L133" i="24"/>
  <c r="V118" i="27"/>
  <c r="Z118" i="27"/>
  <c r="J27" i="21"/>
  <c r="L12" i="27"/>
  <c r="D22" i="6"/>
  <c r="L16" i="6"/>
  <c r="H320" i="3"/>
  <c r="N201" i="3"/>
  <c r="L18" i="100"/>
  <c r="D27" i="100"/>
  <c r="T27" i="40"/>
  <c r="Z18" i="40"/>
  <c r="X18" i="29"/>
  <c r="P27" i="29"/>
  <c r="D27" i="17"/>
  <c r="L18" i="17"/>
  <c r="N18" i="26"/>
  <c r="H27" i="26"/>
  <c r="X18" i="20"/>
  <c r="P27" i="20"/>
  <c r="H27" i="17"/>
  <c r="N18" i="17"/>
  <c r="T27" i="14"/>
  <c r="Z18" i="14"/>
  <c r="P27" i="14"/>
  <c r="X18" i="14"/>
  <c r="X18" i="10"/>
  <c r="P27" i="10"/>
  <c r="H27" i="11"/>
  <c r="N18" i="11"/>
  <c r="H27" i="10"/>
  <c r="N18" i="10"/>
  <c r="D69" i="97"/>
  <c r="L17" i="97"/>
  <c r="L68" i="83"/>
  <c r="X68" i="83"/>
  <c r="Z68" i="83" s="1"/>
  <c r="L20" i="83"/>
  <c r="N20" i="83" s="1"/>
  <c r="D71" i="83"/>
  <c r="F18" i="78"/>
  <c r="R20" i="73"/>
  <c r="J24" i="67"/>
  <c r="H74" i="67"/>
  <c r="D103" i="62"/>
  <c r="L16" i="62"/>
  <c r="D121" i="64"/>
  <c r="T113" i="51"/>
  <c r="T94" i="45"/>
  <c r="R17" i="48"/>
  <c r="F69" i="48"/>
  <c r="V91" i="42"/>
  <c r="V114" i="42"/>
  <c r="V106" i="42"/>
  <c r="V102" i="42"/>
  <c r="V98" i="42"/>
  <c r="V86" i="42"/>
  <c r="V70" i="42"/>
  <c r="V81" i="42"/>
  <c r="V122" i="42"/>
  <c r="V116" i="42"/>
  <c r="V108" i="42"/>
  <c r="V92" i="42"/>
  <c r="V88" i="42"/>
  <c r="V72" i="42"/>
  <c r="V121" i="42"/>
  <c r="V115" i="42"/>
  <c r="V107" i="42"/>
  <c r="V103" i="42"/>
  <c r="V99" i="42"/>
  <c r="V87" i="42"/>
  <c r="V71" i="42"/>
  <c r="V63" i="42"/>
  <c r="V120" i="42"/>
  <c r="V110" i="42"/>
  <c r="V94" i="42"/>
  <c r="V111" i="42"/>
  <c r="V95" i="42"/>
  <c r="V113" i="42"/>
  <c r="V105" i="42"/>
  <c r="V101" i="42"/>
  <c r="V97" i="42"/>
  <c r="V85" i="42"/>
  <c r="V77" i="42"/>
  <c r="V69" i="42"/>
  <c r="V117" i="42"/>
  <c r="V75" i="42"/>
  <c r="V68" i="42"/>
  <c r="V52" i="42"/>
  <c r="V40" i="42"/>
  <c r="V36" i="42"/>
  <c r="V32" i="42"/>
  <c r="V100" i="42"/>
  <c r="V76" i="42"/>
  <c r="V55" i="42"/>
  <c r="V96" i="42"/>
  <c r="V79" i="42"/>
  <c r="V60" i="42"/>
  <c r="V54" i="42"/>
  <c r="V46" i="42"/>
  <c r="V42" i="42"/>
  <c r="V104" i="42"/>
  <c r="V82" i="42"/>
  <c r="V73" i="42"/>
  <c r="V61" i="42"/>
  <c r="V37" i="42"/>
  <c r="V33" i="42"/>
  <c r="V89" i="42"/>
  <c r="V84" i="42"/>
  <c r="V56" i="42"/>
  <c r="V24" i="42"/>
  <c r="V80" i="42"/>
  <c r="V74" i="42"/>
  <c r="V66" i="42"/>
  <c r="V47" i="42"/>
  <c r="V43" i="42"/>
  <c r="V38" i="42"/>
  <c r="V34" i="42"/>
  <c r="V119" i="42"/>
  <c r="V109" i="42"/>
  <c r="V67" i="42"/>
  <c r="V62" i="42"/>
  <c r="V57" i="42"/>
  <c r="V49" i="42"/>
  <c r="V25" i="42"/>
  <c r="V112" i="42"/>
  <c r="V93" i="42"/>
  <c r="V48" i="42"/>
  <c r="V44" i="42"/>
  <c r="V59" i="42"/>
  <c r="V58" i="42"/>
  <c r="V50" i="42"/>
  <c r="V30" i="42"/>
  <c r="V28" i="42"/>
  <c r="V26" i="42"/>
  <c r="V65" i="42"/>
  <c r="V41" i="42"/>
  <c r="V39" i="42"/>
  <c r="V90" i="42"/>
  <c r="V83" i="42"/>
  <c r="V78" i="42"/>
  <c r="V31" i="42"/>
  <c r="T28" i="42"/>
  <c r="V126" i="42"/>
  <c r="X12" i="42"/>
  <c r="Z12" i="42" s="1"/>
  <c r="V45" i="42"/>
  <c r="V53" i="42"/>
  <c r="V35" i="42"/>
  <c r="V64" i="42"/>
  <c r="V51" i="42"/>
  <c r="R97" i="39"/>
  <c r="R45" i="39"/>
  <c r="R41" i="39"/>
  <c r="R120" i="39"/>
  <c r="R112" i="39"/>
  <c r="R108" i="39"/>
  <c r="R85" i="39"/>
  <c r="R84" i="39"/>
  <c r="R65" i="39"/>
  <c r="R64" i="39"/>
  <c r="R57" i="39"/>
  <c r="R56" i="39"/>
  <c r="R37" i="39"/>
  <c r="R32" i="39"/>
  <c r="R104" i="39"/>
  <c r="R103" i="39"/>
  <c r="R92" i="39"/>
  <c r="R91" i="39"/>
  <c r="R76" i="39"/>
  <c r="R75" i="39"/>
  <c r="R51" i="39"/>
  <c r="R36" i="39"/>
  <c r="R98" i="39"/>
  <c r="R87" i="39"/>
  <c r="R86" i="39"/>
  <c r="R67" i="39"/>
  <c r="R66" i="39"/>
  <c r="R59" i="39"/>
  <c r="R58" i="39"/>
  <c r="R47" i="39"/>
  <c r="R46" i="39"/>
  <c r="R42" i="39"/>
  <c r="R38" i="39"/>
  <c r="P34" i="39"/>
  <c r="R121" i="39"/>
  <c r="R113" i="39"/>
  <c r="R109" i="39"/>
  <c r="R105" i="39"/>
  <c r="R93" i="39"/>
  <c r="R77" i="39"/>
  <c r="R88" i="39"/>
  <c r="R69" i="39"/>
  <c r="R68" i="39"/>
  <c r="R61" i="39"/>
  <c r="R60" i="39"/>
  <c r="R52" i="39"/>
  <c r="R48" i="39"/>
  <c r="R99" i="39"/>
  <c r="R128" i="39"/>
  <c r="R89" i="39"/>
  <c r="R53" i="39"/>
  <c r="R49" i="39"/>
  <c r="R133" i="39"/>
  <c r="R126" i="39"/>
  <c r="R111" i="39"/>
  <c r="R107" i="39"/>
  <c r="R63" i="39"/>
  <c r="R31" i="39"/>
  <c r="R95" i="39"/>
  <c r="R83" i="39"/>
  <c r="R81" i="39"/>
  <c r="R55" i="39"/>
  <c r="R123" i="39"/>
  <c r="R115" i="39"/>
  <c r="R100" i="39"/>
  <c r="R119" i="39"/>
  <c r="R117" i="39"/>
  <c r="R106" i="39"/>
  <c r="R30" i="39"/>
  <c r="R40" i="39"/>
  <c r="X12" i="39"/>
  <c r="R90" i="39"/>
  <c r="R50" i="39"/>
  <c r="R110" i="39"/>
  <c r="R74" i="39"/>
  <c r="R44" i="39"/>
  <c r="R129" i="39"/>
  <c r="R101" i="39"/>
  <c r="R82" i="39"/>
  <c r="R72" i="39"/>
  <c r="R70" i="39"/>
  <c r="R54" i="39"/>
  <c r="R80" i="39"/>
  <c r="R78" i="39"/>
  <c r="R39" i="39"/>
  <c r="R118" i="39"/>
  <c r="R96" i="39"/>
  <c r="R94" i="39"/>
  <c r="R124" i="39"/>
  <c r="R122" i="39"/>
  <c r="R116" i="39"/>
  <c r="R114" i="39"/>
  <c r="R43" i="39"/>
  <c r="R102" i="39"/>
  <c r="R79" i="39"/>
  <c r="R127" i="39"/>
  <c r="R71" i="39"/>
  <c r="R62" i="39"/>
  <c r="R73" i="39"/>
  <c r="L93" i="33"/>
  <c r="N93" i="33" s="1"/>
  <c r="T101" i="33"/>
  <c r="V120" i="39"/>
  <c r="V112" i="39"/>
  <c r="V108" i="39"/>
  <c r="V104" i="39"/>
  <c r="V92" i="39"/>
  <c r="V84" i="39"/>
  <c r="V76" i="39"/>
  <c r="V64" i="39"/>
  <c r="V56" i="39"/>
  <c r="V36" i="39"/>
  <c r="V32" i="39"/>
  <c r="V103" i="39"/>
  <c r="V91" i="39"/>
  <c r="V87" i="39"/>
  <c r="V75" i="39"/>
  <c r="V67" i="39"/>
  <c r="V59" i="39"/>
  <c r="V51" i="39"/>
  <c r="V47" i="39"/>
  <c r="T34" i="39"/>
  <c r="V34" i="39" s="1"/>
  <c r="V98" i="39"/>
  <c r="V86" i="39"/>
  <c r="V66" i="39"/>
  <c r="V58" i="39"/>
  <c r="V46" i="39"/>
  <c r="V42" i="39"/>
  <c r="V38" i="39"/>
  <c r="V121" i="39"/>
  <c r="V113" i="39"/>
  <c r="V109" i="39"/>
  <c r="V105" i="39"/>
  <c r="V93" i="39"/>
  <c r="V77" i="39"/>
  <c r="V69" i="39"/>
  <c r="V61" i="39"/>
  <c r="V88" i="39"/>
  <c r="V68" i="39"/>
  <c r="V60" i="39"/>
  <c r="V52" i="39"/>
  <c r="V48" i="39"/>
  <c r="Z12" i="39"/>
  <c r="V129" i="39"/>
  <c r="V123" i="39"/>
  <c r="V115" i="39"/>
  <c r="V99" i="39"/>
  <c r="V95" i="39"/>
  <c r="V79" i="39"/>
  <c r="V71" i="39"/>
  <c r="V43" i="39"/>
  <c r="V39" i="39"/>
  <c r="V128" i="39"/>
  <c r="V122" i="39"/>
  <c r="V114" i="39"/>
  <c r="V110" i="39"/>
  <c r="V106" i="39"/>
  <c r="V94" i="39"/>
  <c r="V78" i="39"/>
  <c r="V70" i="39"/>
  <c r="V126" i="39"/>
  <c r="V124" i="39"/>
  <c r="V116" i="39"/>
  <c r="V100" i="39"/>
  <c r="V96" i="39"/>
  <c r="V80" i="39"/>
  <c r="V72" i="39"/>
  <c r="V44" i="39"/>
  <c r="V40" i="39"/>
  <c r="V118" i="39"/>
  <c r="V102" i="39"/>
  <c r="V90" i="39"/>
  <c r="V82" i="39"/>
  <c r="V74" i="39"/>
  <c r="V54" i="39"/>
  <c r="V50" i="39"/>
  <c r="V119" i="39"/>
  <c r="V117" i="39"/>
  <c r="V111" i="39"/>
  <c r="V30" i="39"/>
  <c r="V97" i="39"/>
  <c r="V101" i="39"/>
  <c r="V65" i="39"/>
  <c r="V63" i="39"/>
  <c r="V37" i="39"/>
  <c r="V31" i="39"/>
  <c r="V127" i="39"/>
  <c r="V107" i="39"/>
  <c r="V89" i="39"/>
  <c r="V49" i="39"/>
  <c r="V85" i="39"/>
  <c r="V73" i="39"/>
  <c r="V57" i="39"/>
  <c r="V41" i="39"/>
  <c r="V133" i="39"/>
  <c r="V81" i="39"/>
  <c r="V62" i="39"/>
  <c r="V83" i="39"/>
  <c r="V53" i="39"/>
  <c r="V55" i="39"/>
  <c r="V45" i="39"/>
  <c r="F101" i="21"/>
  <c r="F92" i="21"/>
  <c r="F88" i="21"/>
  <c r="F76" i="21"/>
  <c r="F75" i="21"/>
  <c r="F68" i="21"/>
  <c r="F67" i="21"/>
  <c r="F56" i="21"/>
  <c r="F55" i="21"/>
  <c r="F36" i="21"/>
  <c r="F32" i="21"/>
  <c r="F105" i="21"/>
  <c r="F83" i="21"/>
  <c r="F82" i="21"/>
  <c r="F47" i="21"/>
  <c r="F46" i="21"/>
  <c r="F78" i="21"/>
  <c r="F77" i="21"/>
  <c r="F70" i="21"/>
  <c r="F69" i="21"/>
  <c r="F58" i="21"/>
  <c r="F57" i="21"/>
  <c r="F42" i="21"/>
  <c r="F93" i="21"/>
  <c r="F89" i="21"/>
  <c r="F85" i="21"/>
  <c r="F84" i="21"/>
  <c r="F49" i="21"/>
  <c r="F48" i="21"/>
  <c r="F37" i="21"/>
  <c r="F33" i="21"/>
  <c r="F72" i="21"/>
  <c r="F71" i="21"/>
  <c r="F60" i="21"/>
  <c r="F59" i="21"/>
  <c r="F24" i="21"/>
  <c r="F23" i="21"/>
  <c r="F95" i="21"/>
  <c r="F94" i="21"/>
  <c r="F79" i="21"/>
  <c r="F51" i="21"/>
  <c r="F50" i="21"/>
  <c r="F43" i="21"/>
  <c r="F90" i="21"/>
  <c r="F86" i="21"/>
  <c r="F62" i="21"/>
  <c r="F61" i="21"/>
  <c r="F38" i="21"/>
  <c r="F34" i="21"/>
  <c r="F97" i="21"/>
  <c r="F96" i="21"/>
  <c r="F73" i="21"/>
  <c r="F53" i="21"/>
  <c r="F52" i="21"/>
  <c r="F25" i="21"/>
  <c r="F80" i="21"/>
  <c r="F64" i="21"/>
  <c r="F63" i="21"/>
  <c r="F44" i="21"/>
  <c r="F40" i="21"/>
  <c r="F39" i="21"/>
  <c r="L12" i="21"/>
  <c r="N12" i="21" s="1"/>
  <c r="F99" i="21"/>
  <c r="F98" i="21"/>
  <c r="F91" i="21"/>
  <c r="F87" i="21"/>
  <c r="F35" i="21"/>
  <c r="F31" i="21"/>
  <c r="F30" i="21"/>
  <c r="D27" i="21"/>
  <c r="F27" i="21" s="1"/>
  <c r="F41" i="21"/>
  <c r="F54" i="21"/>
  <c r="F65" i="21"/>
  <c r="F81" i="21"/>
  <c r="F74" i="21"/>
  <c r="F45" i="21"/>
  <c r="F66" i="21"/>
  <c r="F29" i="21"/>
  <c r="X283" i="18"/>
  <c r="Z283" i="18" s="1"/>
  <c r="L62" i="27"/>
  <c r="D123" i="27"/>
  <c r="H91" i="9"/>
  <c r="N16" i="9"/>
  <c r="N22" i="6"/>
  <c r="H26" i="6"/>
  <c r="X18" i="52"/>
  <c r="P27" i="52"/>
  <c r="L18" i="46"/>
  <c r="D27" i="46"/>
  <c r="X18" i="47"/>
  <c r="P27" i="47"/>
  <c r="H27" i="41"/>
  <c r="N18" i="41"/>
  <c r="L18" i="26"/>
  <c r="D27" i="26"/>
  <c r="Z18" i="25"/>
  <c r="T27" i="25"/>
  <c r="T27" i="20"/>
  <c r="Z18" i="20"/>
  <c r="L18" i="14"/>
  <c r="D27" i="14"/>
  <c r="L18" i="4"/>
  <c r="D27" i="4"/>
  <c r="L18" i="5"/>
  <c r="D27" i="5"/>
  <c r="J51" i="89"/>
  <c r="J56" i="89"/>
  <c r="J52" i="89"/>
  <c r="J65" i="89"/>
  <c r="J60" i="89"/>
  <c r="J38" i="89"/>
  <c r="J24" i="89"/>
  <c r="J22" i="89"/>
  <c r="J20" i="89"/>
  <c r="J39" i="89"/>
  <c r="H20" i="89"/>
  <c r="L20" i="89" s="1"/>
  <c r="J57" i="89"/>
  <c r="J50" i="89"/>
  <c r="J46" i="89"/>
  <c r="J40" i="89"/>
  <c r="J30" i="89"/>
  <c r="J61" i="89"/>
  <c r="J54" i="89"/>
  <c r="J41" i="89"/>
  <c r="J25" i="89"/>
  <c r="J47" i="89"/>
  <c r="J42" i="89"/>
  <c r="J26" i="89"/>
  <c r="J31" i="89"/>
  <c r="J27" i="89"/>
  <c r="J58" i="89"/>
  <c r="J43" i="89"/>
  <c r="J32" i="89"/>
  <c r="J16" i="89"/>
  <c r="J55" i="89"/>
  <c r="J33" i="89"/>
  <c r="J17" i="89"/>
  <c r="J48" i="89"/>
  <c r="J44" i="89"/>
  <c r="J34" i="89"/>
  <c r="J28" i="89"/>
  <c r="J53" i="89"/>
  <c r="J36" i="89"/>
  <c r="J18" i="89"/>
  <c r="L12" i="89"/>
  <c r="N12" i="89" s="1"/>
  <c r="J29" i="89"/>
  <c r="J37" i="89"/>
  <c r="J49" i="89"/>
  <c r="J35" i="89"/>
  <c r="J23" i="89"/>
  <c r="J45" i="89"/>
  <c r="Z20" i="80"/>
  <c r="T76" i="80"/>
  <c r="X12" i="73"/>
  <c r="Z12" i="73" s="1"/>
  <c r="T76" i="74"/>
  <c r="F43" i="65"/>
  <c r="F42" i="65"/>
  <c r="F35" i="65"/>
  <c r="F54" i="65"/>
  <c r="F30" i="65"/>
  <c r="F26" i="65"/>
  <c r="F75" i="65"/>
  <c r="F72" i="65"/>
  <c r="F61" i="65"/>
  <c r="F45" i="65"/>
  <c r="F44" i="65"/>
  <c r="F17" i="65"/>
  <c r="F16" i="65"/>
  <c r="F56" i="65"/>
  <c r="F55" i="65"/>
  <c r="F36" i="65"/>
  <c r="L12" i="65"/>
  <c r="N12" i="65" s="1"/>
  <c r="F47" i="65"/>
  <c r="F46" i="65"/>
  <c r="F31" i="65"/>
  <c r="F27" i="65"/>
  <c r="F62" i="65"/>
  <c r="F18" i="65"/>
  <c r="F51" i="65"/>
  <c r="F50" i="65"/>
  <c r="F39" i="65"/>
  <c r="F38" i="65"/>
  <c r="F68" i="65"/>
  <c r="F66" i="65"/>
  <c r="F53" i="65"/>
  <c r="F52" i="65"/>
  <c r="F41" i="65"/>
  <c r="F40" i="65"/>
  <c r="F29" i="65"/>
  <c r="F25" i="65"/>
  <c r="F70" i="65"/>
  <c r="F28" i="65"/>
  <c r="F24" i="65"/>
  <c r="F59" i="65"/>
  <c r="F57" i="65"/>
  <c r="F49" i="65"/>
  <c r="F64" i="65"/>
  <c r="F22" i="65"/>
  <c r="F33" i="65"/>
  <c r="F60" i="65"/>
  <c r="F37" i="65"/>
  <c r="F23" i="65"/>
  <c r="D20" i="65"/>
  <c r="F63" i="65"/>
  <c r="F20" i="65"/>
  <c r="F32" i="65"/>
  <c r="F58" i="65"/>
  <c r="F34" i="65"/>
  <c r="F48" i="65"/>
  <c r="J88" i="30"/>
  <c r="T27" i="52"/>
  <c r="Z18" i="52"/>
  <c r="T27" i="44"/>
  <c r="Z18" i="44"/>
  <c r="V17" i="97"/>
  <c r="D51" i="93"/>
  <c r="V21" i="93"/>
  <c r="Z60" i="89"/>
  <c r="V23" i="90"/>
  <c r="R89" i="86"/>
  <c r="R77" i="86"/>
  <c r="R73" i="86"/>
  <c r="R61" i="86"/>
  <c r="R79" i="86"/>
  <c r="R78" i="86"/>
  <c r="R74" i="86"/>
  <c r="R63" i="86"/>
  <c r="R62" i="86"/>
  <c r="R84" i="86"/>
  <c r="R65" i="86"/>
  <c r="R54" i="86"/>
  <c r="R53" i="86"/>
  <c r="R17" i="86"/>
  <c r="R94" i="86"/>
  <c r="R82" i="86"/>
  <c r="R76" i="86"/>
  <c r="R45" i="86"/>
  <c r="R44" i="86"/>
  <c r="R36" i="86"/>
  <c r="X12" i="86"/>
  <c r="Z12" i="86" s="1"/>
  <c r="R66" i="86"/>
  <c r="R64" i="86"/>
  <c r="R56" i="86"/>
  <c r="R55" i="86"/>
  <c r="R32" i="86"/>
  <c r="R31" i="86"/>
  <c r="R27" i="86"/>
  <c r="R69" i="86"/>
  <c r="R46" i="86"/>
  <c r="R23" i="86"/>
  <c r="R18" i="86"/>
  <c r="R72" i="86"/>
  <c r="R57" i="86"/>
  <c r="R37" i="86"/>
  <c r="R33" i="86"/>
  <c r="R22" i="86"/>
  <c r="R20" i="86"/>
  <c r="R85" i="86"/>
  <c r="R28" i="86"/>
  <c r="R24" i="86"/>
  <c r="P20" i="86"/>
  <c r="R80" i="86"/>
  <c r="R70" i="86"/>
  <c r="R67" i="86"/>
  <c r="R48" i="86"/>
  <c r="R47" i="86"/>
  <c r="R59" i="86"/>
  <c r="R58" i="86"/>
  <c r="R39" i="86"/>
  <c r="R38" i="86"/>
  <c r="R34" i="86"/>
  <c r="R91" i="86"/>
  <c r="R81" i="86"/>
  <c r="R75" i="86"/>
  <c r="R50" i="86"/>
  <c r="R49" i="86"/>
  <c r="R29" i="86"/>
  <c r="R25" i="86"/>
  <c r="R87" i="86"/>
  <c r="R60" i="86"/>
  <c r="R52" i="86"/>
  <c r="R51" i="86"/>
  <c r="R35" i="86"/>
  <c r="R16" i="86"/>
  <c r="R43" i="86"/>
  <c r="R26" i="86"/>
  <c r="R71" i="86"/>
  <c r="R42" i="86"/>
  <c r="R40" i="86"/>
  <c r="R30" i="86"/>
  <c r="R68" i="86"/>
  <c r="R41" i="86"/>
  <c r="V20" i="87"/>
  <c r="V20" i="86"/>
  <c r="V20" i="84"/>
  <c r="P75" i="82"/>
  <c r="X20" i="82"/>
  <c r="Z20" i="82" s="1"/>
  <c r="J126" i="77"/>
  <c r="J98" i="77"/>
  <c r="J86" i="77"/>
  <c r="H59" i="77"/>
  <c r="J54" i="77"/>
  <c r="J50" i="77"/>
  <c r="J46" i="77"/>
  <c r="J42" i="77"/>
  <c r="J105" i="77"/>
  <c r="J99" i="77"/>
  <c r="J87" i="77"/>
  <c r="J77" i="77"/>
  <c r="J73" i="77"/>
  <c r="J130" i="77"/>
  <c r="J116" i="77"/>
  <c r="J112" i="77"/>
  <c r="J100" i="77"/>
  <c r="J88" i="77"/>
  <c r="J78" i="77"/>
  <c r="J68" i="77"/>
  <c r="J64" i="77"/>
  <c r="J117" i="77"/>
  <c r="J89" i="77"/>
  <c r="J79" i="77"/>
  <c r="J55" i="77"/>
  <c r="J51" i="77"/>
  <c r="J47" i="77"/>
  <c r="J43" i="77"/>
  <c r="J118" i="77"/>
  <c r="J106" i="77"/>
  <c r="J90" i="77"/>
  <c r="J80" i="77"/>
  <c r="J74" i="77"/>
  <c r="J119" i="77"/>
  <c r="J113" i="77"/>
  <c r="J107" i="77"/>
  <c r="J101" i="77"/>
  <c r="J91" i="77"/>
  <c r="J81" i="77"/>
  <c r="J69" i="77"/>
  <c r="J65" i="77"/>
  <c r="J120" i="77"/>
  <c r="J108" i="77"/>
  <c r="J92" i="77"/>
  <c r="J82" i="77"/>
  <c r="J56" i="77"/>
  <c r="J52" i="77"/>
  <c r="J48" i="77"/>
  <c r="J44" i="77"/>
  <c r="J121" i="77"/>
  <c r="J93" i="77"/>
  <c r="J83" i="77"/>
  <c r="J75" i="77"/>
  <c r="J122" i="77"/>
  <c r="J114" i="77"/>
  <c r="J102" i="77"/>
  <c r="J94" i="77"/>
  <c r="J84" i="77"/>
  <c r="J70" i="77"/>
  <c r="J66" i="77"/>
  <c r="J40" i="77"/>
  <c r="J123" i="77"/>
  <c r="J109" i="77"/>
  <c r="J103" i="77"/>
  <c r="J72" i="77"/>
  <c r="J57" i="77"/>
  <c r="J63" i="77"/>
  <c r="J115" i="77"/>
  <c r="J61" i="77"/>
  <c r="J97" i="77"/>
  <c r="J76" i="77"/>
  <c r="J110" i="77"/>
  <c r="J95" i="77"/>
  <c r="J71" i="77"/>
  <c r="J67" i="77"/>
  <c r="J62" i="77"/>
  <c r="J41" i="77"/>
  <c r="J124" i="77"/>
  <c r="J104" i="77"/>
  <c r="J59" i="77"/>
  <c r="J45" i="77"/>
  <c r="J85" i="77"/>
  <c r="J53" i="77"/>
  <c r="J49" i="77"/>
  <c r="J96" i="77"/>
  <c r="J111" i="77"/>
  <c r="Z20" i="76"/>
  <c r="T82" i="76"/>
  <c r="V20" i="76"/>
  <c r="V118" i="77"/>
  <c r="V106" i="77"/>
  <c r="V90" i="77"/>
  <c r="V82" i="77"/>
  <c r="V74" i="77"/>
  <c r="V121" i="77"/>
  <c r="V113" i="77"/>
  <c r="V101" i="77"/>
  <c r="V93" i="77"/>
  <c r="V81" i="77"/>
  <c r="V69" i="77"/>
  <c r="V65" i="77"/>
  <c r="V120" i="77"/>
  <c r="V108" i="77"/>
  <c r="V92" i="77"/>
  <c r="V84" i="77"/>
  <c r="V56" i="77"/>
  <c r="V52" i="77"/>
  <c r="V48" i="77"/>
  <c r="V44" i="77"/>
  <c r="V40" i="77"/>
  <c r="V123" i="77"/>
  <c r="V103" i="77"/>
  <c r="V95" i="77"/>
  <c r="V83" i="77"/>
  <c r="V75" i="77"/>
  <c r="V71" i="77"/>
  <c r="V122" i="77"/>
  <c r="V114" i="77"/>
  <c r="V110" i="77"/>
  <c r="V102" i="77"/>
  <c r="V94" i="77"/>
  <c r="V70" i="77"/>
  <c r="V66" i="77"/>
  <c r="V62" i="77"/>
  <c r="V109" i="77"/>
  <c r="V97" i="77"/>
  <c r="V85" i="77"/>
  <c r="V61" i="77"/>
  <c r="V59" i="77"/>
  <c r="V57" i="77"/>
  <c r="V53" i="77"/>
  <c r="V49" i="77"/>
  <c r="V45" i="77"/>
  <c r="V41" i="77"/>
  <c r="V126" i="77"/>
  <c r="V124" i="77"/>
  <c r="V104" i="77"/>
  <c r="V96" i="77"/>
  <c r="V76" i="77"/>
  <c r="V72" i="77"/>
  <c r="T59" i="77"/>
  <c r="V115" i="77"/>
  <c r="V111" i="77"/>
  <c r="V99" i="77"/>
  <c r="V87" i="77"/>
  <c r="V67" i="77"/>
  <c r="V63" i="77"/>
  <c r="V98" i="77"/>
  <c r="V86" i="77"/>
  <c r="V78" i="77"/>
  <c r="V54" i="77"/>
  <c r="V50" i="77"/>
  <c r="V46" i="77"/>
  <c r="V42" i="77"/>
  <c r="V119" i="77"/>
  <c r="V130" i="77"/>
  <c r="V112" i="77"/>
  <c r="V89" i="77"/>
  <c r="V91" i="77"/>
  <c r="V73" i="77"/>
  <c r="V100" i="77"/>
  <c r="V64" i="77"/>
  <c r="V43" i="77"/>
  <c r="V116" i="77"/>
  <c r="V79" i="77"/>
  <c r="V77" i="77"/>
  <c r="V47" i="77"/>
  <c r="V117" i="77"/>
  <c r="V107" i="77"/>
  <c r="V105" i="77"/>
  <c r="V55" i="77"/>
  <c r="V68" i="77"/>
  <c r="V80" i="77"/>
  <c r="V51" i="77"/>
  <c r="V88" i="77"/>
  <c r="V21" i="75"/>
  <c r="H65" i="72"/>
  <c r="R129" i="69"/>
  <c r="R128" i="69"/>
  <c r="R88" i="69"/>
  <c r="R84" i="69"/>
  <c r="R116" i="69"/>
  <c r="R115" i="69"/>
  <c r="R108" i="69"/>
  <c r="R107" i="69"/>
  <c r="R100" i="69"/>
  <c r="R99" i="69"/>
  <c r="R75" i="69"/>
  <c r="R71" i="69"/>
  <c r="R67" i="69"/>
  <c r="R63" i="69"/>
  <c r="R59" i="69"/>
  <c r="R55" i="69"/>
  <c r="R130" i="69"/>
  <c r="R122" i="69"/>
  <c r="R94" i="69"/>
  <c r="R117" i="69"/>
  <c r="R135" i="69"/>
  <c r="R76" i="69"/>
  <c r="R72" i="69"/>
  <c r="R68" i="69"/>
  <c r="R64" i="69"/>
  <c r="R60" i="69"/>
  <c r="R56" i="69"/>
  <c r="R134" i="69"/>
  <c r="R131" i="69"/>
  <c r="R133" i="69"/>
  <c r="R119" i="69"/>
  <c r="R118" i="69"/>
  <c r="R111" i="69"/>
  <c r="R110" i="69"/>
  <c r="R103" i="69"/>
  <c r="R102" i="69"/>
  <c r="R91" i="69"/>
  <c r="R90" i="69"/>
  <c r="R86" i="69"/>
  <c r="R139" i="69"/>
  <c r="R127" i="69"/>
  <c r="R126" i="69"/>
  <c r="R114" i="69"/>
  <c r="R106" i="69"/>
  <c r="R74" i="69"/>
  <c r="R70" i="69"/>
  <c r="R66" i="69"/>
  <c r="R62" i="69"/>
  <c r="R58" i="69"/>
  <c r="R54" i="69"/>
  <c r="R124" i="69"/>
  <c r="R97" i="69"/>
  <c r="R113" i="69"/>
  <c r="R77" i="69"/>
  <c r="R98" i="69"/>
  <c r="R95" i="69"/>
  <c r="R82" i="69"/>
  <c r="R73" i="69"/>
  <c r="R53" i="69"/>
  <c r="R120" i="69"/>
  <c r="R93" i="69"/>
  <c r="R125" i="69"/>
  <c r="R101" i="69"/>
  <c r="R69" i="69"/>
  <c r="X12" i="69"/>
  <c r="Z12" i="69" s="1"/>
  <c r="R123" i="69"/>
  <c r="R109" i="69"/>
  <c r="R104" i="69"/>
  <c r="R65" i="69"/>
  <c r="R121" i="69"/>
  <c r="R96" i="69"/>
  <c r="R89" i="69"/>
  <c r="R87" i="69"/>
  <c r="R85" i="69"/>
  <c r="R83" i="69"/>
  <c r="P79" i="69"/>
  <c r="R61" i="69"/>
  <c r="R112" i="69"/>
  <c r="R57" i="69"/>
  <c r="R92" i="69"/>
  <c r="R105" i="69"/>
  <c r="R81" i="69"/>
  <c r="R52" i="69"/>
  <c r="Z16" i="61"/>
  <c r="T51" i="61"/>
  <c r="J52" i="68"/>
  <c r="J119" i="64"/>
  <c r="J103" i="64"/>
  <c r="J93" i="64"/>
  <c r="J87" i="64"/>
  <c r="J77" i="64"/>
  <c r="J123" i="64"/>
  <c r="J104" i="64"/>
  <c r="J96" i="64"/>
  <c r="J111" i="64"/>
  <c r="J105" i="64"/>
  <c r="J83" i="64"/>
  <c r="J79" i="64"/>
  <c r="J106" i="64"/>
  <c r="J70" i="64"/>
  <c r="J66" i="64"/>
  <c r="J62" i="64"/>
  <c r="J58" i="64"/>
  <c r="J54" i="64"/>
  <c r="J115" i="64"/>
  <c r="J109" i="64"/>
  <c r="J101" i="64"/>
  <c r="J91" i="64"/>
  <c r="J85" i="64"/>
  <c r="J81" i="64"/>
  <c r="J67" i="64"/>
  <c r="J61" i="64"/>
  <c r="J52" i="64"/>
  <c r="J108" i="64"/>
  <c r="J92" i="64"/>
  <c r="J89" i="64"/>
  <c r="J74" i="64"/>
  <c r="J64" i="64"/>
  <c r="J113" i="64"/>
  <c r="J99" i="64"/>
  <c r="H74" i="64"/>
  <c r="L74" i="64" s="1"/>
  <c r="J76" i="64"/>
  <c r="J59" i="64"/>
  <c r="J56" i="64"/>
  <c r="J53" i="64"/>
  <c r="J116" i="64"/>
  <c r="J84" i="64"/>
  <c r="J100" i="64"/>
  <c r="J82" i="64"/>
  <c r="J71" i="64"/>
  <c r="J68" i="64"/>
  <c r="J65" i="64"/>
  <c r="J90" i="64"/>
  <c r="J114" i="64"/>
  <c r="J57" i="64"/>
  <c r="J97" i="64"/>
  <c r="J94" i="64"/>
  <c r="J80" i="64"/>
  <c r="J63" i="64"/>
  <c r="J60" i="64"/>
  <c r="J118" i="64"/>
  <c r="J110" i="64"/>
  <c r="J107" i="64"/>
  <c r="J102" i="64"/>
  <c r="J98" i="64"/>
  <c r="J72" i="64"/>
  <c r="J55" i="64"/>
  <c r="J51" i="64"/>
  <c r="N12" i="64"/>
  <c r="J78" i="64"/>
  <c r="J88" i="64"/>
  <c r="J69" i="64"/>
  <c r="J112" i="64"/>
  <c r="J86" i="64"/>
  <c r="J95" i="64"/>
  <c r="V88" i="70"/>
  <c r="V74" i="70"/>
  <c r="V70" i="70"/>
  <c r="V62" i="70"/>
  <c r="V54" i="70"/>
  <c r="V46" i="70"/>
  <c r="T33" i="70"/>
  <c r="V53" i="70"/>
  <c r="V41" i="70"/>
  <c r="V37" i="70"/>
  <c r="V76" i="70"/>
  <c r="V64" i="70"/>
  <c r="V56" i="70"/>
  <c r="V75" i="70"/>
  <c r="V71" i="70"/>
  <c r="V55" i="70"/>
  <c r="V47" i="70"/>
  <c r="V78" i="70"/>
  <c r="V58" i="70"/>
  <c r="V42" i="70"/>
  <c r="V38" i="70"/>
  <c r="V77" i="70"/>
  <c r="V65" i="70"/>
  <c r="V57" i="70"/>
  <c r="V80" i="70"/>
  <c r="V72" i="70"/>
  <c r="V48" i="70"/>
  <c r="V79" i="70"/>
  <c r="V67" i="70"/>
  <c r="V59" i="70"/>
  <c r="V43" i="70"/>
  <c r="V39" i="70"/>
  <c r="V68" i="70"/>
  <c r="V60" i="70"/>
  <c r="V52" i="70"/>
  <c r="V44" i="70"/>
  <c r="V40" i="70"/>
  <c r="V36" i="70"/>
  <c r="V73" i="70"/>
  <c r="V49" i="70"/>
  <c r="V51" i="70"/>
  <c r="V81" i="70"/>
  <c r="V33" i="70"/>
  <c r="V84" i="70"/>
  <c r="V50" i="70"/>
  <c r="V31" i="70"/>
  <c r="V66" i="70"/>
  <c r="V45" i="70"/>
  <c r="V83" i="70"/>
  <c r="V69" i="70"/>
  <c r="V61" i="70"/>
  <c r="V35" i="70"/>
  <c r="V63" i="70"/>
  <c r="L16" i="63"/>
  <c r="D61" i="59"/>
  <c r="L16" i="59"/>
  <c r="L16" i="60"/>
  <c r="D50" i="60"/>
  <c r="V57" i="51"/>
  <c r="F93" i="51"/>
  <c r="F92" i="51"/>
  <c r="F69" i="51"/>
  <c r="F65" i="51"/>
  <c r="F61" i="51"/>
  <c r="F60" i="51"/>
  <c r="F84" i="51"/>
  <c r="F59" i="51"/>
  <c r="F52" i="51"/>
  <c r="F48" i="51"/>
  <c r="F44" i="51"/>
  <c r="F40" i="51"/>
  <c r="F39" i="51"/>
  <c r="F99" i="51"/>
  <c r="F95" i="51"/>
  <c r="F94" i="51"/>
  <c r="F75" i="51"/>
  <c r="F71" i="51"/>
  <c r="F70" i="51"/>
  <c r="D57" i="51"/>
  <c r="F86" i="51"/>
  <c r="F85" i="51"/>
  <c r="F66" i="51"/>
  <c r="F62" i="51"/>
  <c r="F101" i="51"/>
  <c r="F100" i="51"/>
  <c r="F77" i="51"/>
  <c r="F76" i="51"/>
  <c r="F53" i="51"/>
  <c r="F49" i="51"/>
  <c r="F45" i="51"/>
  <c r="F41" i="51"/>
  <c r="F96" i="51"/>
  <c r="F88" i="51"/>
  <c r="F87" i="51"/>
  <c r="F72" i="51"/>
  <c r="L12" i="51"/>
  <c r="N12" i="51" s="1"/>
  <c r="F103" i="51"/>
  <c r="F102" i="51"/>
  <c r="F79" i="51"/>
  <c r="F78" i="51"/>
  <c r="F67" i="51"/>
  <c r="F63" i="51"/>
  <c r="F111" i="51"/>
  <c r="F115" i="51"/>
  <c r="F110" i="51"/>
  <c r="F105" i="51"/>
  <c r="F104" i="51"/>
  <c r="F97" i="51"/>
  <c r="F81" i="51"/>
  <c r="F80" i="51"/>
  <c r="F73" i="51"/>
  <c r="F109" i="51"/>
  <c r="F68" i="51"/>
  <c r="F64" i="51"/>
  <c r="F90" i="51"/>
  <c r="F42" i="51"/>
  <c r="F46" i="51"/>
  <c r="F108" i="51"/>
  <c r="F54" i="51"/>
  <c r="F50" i="51"/>
  <c r="F98" i="51"/>
  <c r="F74" i="51"/>
  <c r="F82" i="51"/>
  <c r="F91" i="51"/>
  <c r="F43" i="51"/>
  <c r="F89" i="51"/>
  <c r="F47" i="51"/>
  <c r="F107" i="51"/>
  <c r="F51" i="51"/>
  <c r="F55" i="51"/>
  <c r="F83" i="51"/>
  <c r="J128" i="39"/>
  <c r="J124" i="39"/>
  <c r="J116" i="39"/>
  <c r="J100" i="39"/>
  <c r="J96" i="39"/>
  <c r="J80" i="39"/>
  <c r="J72" i="39"/>
  <c r="J44" i="39"/>
  <c r="J40" i="39"/>
  <c r="J30" i="39"/>
  <c r="J133" i="39"/>
  <c r="J127" i="39"/>
  <c r="J117" i="39"/>
  <c r="J111" i="39"/>
  <c r="J107" i="39"/>
  <c r="J101" i="39"/>
  <c r="J81" i="39"/>
  <c r="J73" i="39"/>
  <c r="J63" i="39"/>
  <c r="J31" i="39"/>
  <c r="J126" i="39"/>
  <c r="J118" i="39"/>
  <c r="J102" i="39"/>
  <c r="J90" i="39"/>
  <c r="J82" i="39"/>
  <c r="J74" i="39"/>
  <c r="J54" i="39"/>
  <c r="J50" i="39"/>
  <c r="J119" i="39"/>
  <c r="J97" i="39"/>
  <c r="J83" i="39"/>
  <c r="J55" i="39"/>
  <c r="J45" i="39"/>
  <c r="J41" i="39"/>
  <c r="J120" i="39"/>
  <c r="J112" i="39"/>
  <c r="J108" i="39"/>
  <c r="J84" i="39"/>
  <c r="J64" i="39"/>
  <c r="J56" i="39"/>
  <c r="J32" i="39"/>
  <c r="J103" i="39"/>
  <c r="J91" i="39"/>
  <c r="J85" i="39"/>
  <c r="J75" i="39"/>
  <c r="J65" i="39"/>
  <c r="J57" i="39"/>
  <c r="J51" i="39"/>
  <c r="J37" i="39"/>
  <c r="J104" i="39"/>
  <c r="J98" i="39"/>
  <c r="J92" i="39"/>
  <c r="J86" i="39"/>
  <c r="J76" i="39"/>
  <c r="J66" i="39"/>
  <c r="J88" i="39"/>
  <c r="J68" i="39"/>
  <c r="J60" i="39"/>
  <c r="J52" i="39"/>
  <c r="J48" i="39"/>
  <c r="J122" i="39"/>
  <c r="J114" i="39"/>
  <c r="J110" i="39"/>
  <c r="J106" i="39"/>
  <c r="J94" i="39"/>
  <c r="J78" i="39"/>
  <c r="J70" i="39"/>
  <c r="J62" i="39"/>
  <c r="J109" i="39"/>
  <c r="J43" i="39"/>
  <c r="J71" i="39"/>
  <c r="J79" i="39"/>
  <c r="J69" i="39"/>
  <c r="J53" i="39"/>
  <c r="J38" i="39"/>
  <c r="J95" i="39"/>
  <c r="J93" i="39"/>
  <c r="J77" i="39"/>
  <c r="J123" i="39"/>
  <c r="J121" i="39"/>
  <c r="J115" i="39"/>
  <c r="J113" i="39"/>
  <c r="J42" i="39"/>
  <c r="J36" i="39"/>
  <c r="J58" i="39"/>
  <c r="J67" i="39"/>
  <c r="J46" i="39"/>
  <c r="J99" i="39"/>
  <c r="J61" i="39"/>
  <c r="J129" i="39"/>
  <c r="J47" i="39"/>
  <c r="J87" i="39"/>
  <c r="J89" i="39"/>
  <c r="J59" i="39"/>
  <c r="J49" i="39"/>
  <c r="J105" i="39"/>
  <c r="H34" i="39"/>
  <c r="J39" i="39"/>
  <c r="T69" i="48"/>
  <c r="Z119" i="42"/>
  <c r="J85" i="33"/>
  <c r="J81" i="33"/>
  <c r="J65" i="33"/>
  <c r="J37" i="33"/>
  <c r="J86" i="33"/>
  <c r="J66" i="33"/>
  <c r="J56" i="33"/>
  <c r="N12" i="33"/>
  <c r="J99" i="33"/>
  <c r="J87" i="33"/>
  <c r="J75" i="33"/>
  <c r="J67" i="33"/>
  <c r="J51" i="33"/>
  <c r="J47" i="33"/>
  <c r="J33" i="33"/>
  <c r="J98" i="33"/>
  <c r="J88" i="33"/>
  <c r="J82" i="33"/>
  <c r="J52" i="33"/>
  <c r="J38" i="33"/>
  <c r="J34" i="33"/>
  <c r="J103" i="33"/>
  <c r="J97" i="33"/>
  <c r="J89" i="33"/>
  <c r="J57" i="33"/>
  <c r="J53" i="33"/>
  <c r="J43" i="33"/>
  <c r="J96" i="33"/>
  <c r="J90" i="33"/>
  <c r="J76" i="33"/>
  <c r="J68" i="33"/>
  <c r="J58" i="33"/>
  <c r="J48" i="33"/>
  <c r="J44" i="33"/>
  <c r="J42" i="33"/>
  <c r="J40" i="33"/>
  <c r="J95" i="33"/>
  <c r="J91" i="33"/>
  <c r="J83" i="33"/>
  <c r="J77" i="33"/>
  <c r="J69" i="33"/>
  <c r="J59" i="33"/>
  <c r="H40" i="33"/>
  <c r="J35" i="33"/>
  <c r="J94" i="33"/>
  <c r="J78" i="33"/>
  <c r="J70" i="33"/>
  <c r="J60" i="33"/>
  <c r="J54" i="33"/>
  <c r="J93" i="33"/>
  <c r="J79" i="33"/>
  <c r="J71" i="33"/>
  <c r="J61" i="33"/>
  <c r="J49" i="33"/>
  <c r="J45" i="33"/>
  <c r="J84" i="33"/>
  <c r="J80" i="33"/>
  <c r="J72" i="33"/>
  <c r="J62" i="33"/>
  <c r="J36" i="33"/>
  <c r="J73" i="33"/>
  <c r="J64" i="33"/>
  <c r="J55" i="33"/>
  <c r="J50" i="33"/>
  <c r="J46" i="33"/>
  <c r="J63" i="33"/>
  <c r="J74" i="33"/>
  <c r="L121" i="36"/>
  <c r="N121" i="36" s="1"/>
  <c r="F134" i="30"/>
  <c r="F126" i="30"/>
  <c r="F125" i="30"/>
  <c r="F106" i="30"/>
  <c r="F102" i="30"/>
  <c r="D88" i="30"/>
  <c r="F161" i="30"/>
  <c r="F160" i="30"/>
  <c r="F141" i="30"/>
  <c r="F117" i="30"/>
  <c r="F116" i="30"/>
  <c r="F97" i="30"/>
  <c r="F93" i="30"/>
  <c r="F165" i="30"/>
  <c r="F152" i="30"/>
  <c r="F148" i="30"/>
  <c r="F169" i="30"/>
  <c r="F164" i="30"/>
  <c r="F135" i="30"/>
  <c r="F127" i="30"/>
  <c r="F119" i="30"/>
  <c r="F118" i="30"/>
  <c r="F103" i="30"/>
  <c r="F163" i="30"/>
  <c r="F154" i="30"/>
  <c r="F153" i="30"/>
  <c r="F142" i="30"/>
  <c r="F110" i="30"/>
  <c r="F109" i="30"/>
  <c r="F98" i="30"/>
  <c r="F94" i="30"/>
  <c r="F149" i="30"/>
  <c r="F137" i="30"/>
  <c r="F136" i="30"/>
  <c r="F129" i="30"/>
  <c r="F158" i="30"/>
  <c r="F157" i="30"/>
  <c r="F150" i="30"/>
  <c r="F138" i="30"/>
  <c r="F122" i="30"/>
  <c r="F121" i="30"/>
  <c r="F114" i="30"/>
  <c r="F113" i="30"/>
  <c r="F86" i="30"/>
  <c r="F82" i="30"/>
  <c r="F78" i="30"/>
  <c r="F74" i="30"/>
  <c r="F70" i="30"/>
  <c r="F66" i="30"/>
  <c r="F62" i="30"/>
  <c r="F58" i="30"/>
  <c r="F145" i="30"/>
  <c r="F133" i="30"/>
  <c r="F132" i="30"/>
  <c r="F105" i="30"/>
  <c r="F101" i="30"/>
  <c r="F100" i="30"/>
  <c r="F140" i="30"/>
  <c r="F73" i="30"/>
  <c r="F146" i="30"/>
  <c r="F144" i="30"/>
  <c r="F120" i="30"/>
  <c r="F104" i="30"/>
  <c r="F99" i="30"/>
  <c r="F95" i="30"/>
  <c r="F80" i="30"/>
  <c r="F75" i="30"/>
  <c r="F64" i="30"/>
  <c r="F59" i="30"/>
  <c r="F57" i="30"/>
  <c r="F130" i="30"/>
  <c r="F112" i="30"/>
  <c r="F91" i="30"/>
  <c r="F128" i="30"/>
  <c r="F123" i="30"/>
  <c r="F115" i="30"/>
  <c r="F107" i="30"/>
  <c r="F69" i="30"/>
  <c r="F159" i="30"/>
  <c r="F85" i="30"/>
  <c r="F71" i="30"/>
  <c r="F155" i="30"/>
  <c r="F76" i="30"/>
  <c r="F60" i="30"/>
  <c r="F108" i="30"/>
  <c r="F96" i="30"/>
  <c r="F92" i="30"/>
  <c r="F88" i="30"/>
  <c r="F81" i="30"/>
  <c r="F67" i="30"/>
  <c r="F65" i="30"/>
  <c r="F147" i="30"/>
  <c r="F143" i="30"/>
  <c r="F139" i="30"/>
  <c r="F131" i="30"/>
  <c r="F83" i="30"/>
  <c r="F72" i="30"/>
  <c r="F151" i="30"/>
  <c r="F124" i="30"/>
  <c r="F79" i="30"/>
  <c r="F77" i="30"/>
  <c r="F68" i="30"/>
  <c r="F61" i="30"/>
  <c r="F56" i="30"/>
  <c r="F63" i="30"/>
  <c r="F111" i="30"/>
  <c r="F90" i="30"/>
  <c r="F156" i="30"/>
  <c r="F84" i="30"/>
  <c r="L12" i="30"/>
  <c r="N12" i="30" s="1"/>
  <c r="F143" i="24"/>
  <c r="F140" i="24"/>
  <c r="F125" i="24"/>
  <c r="F101" i="24"/>
  <c r="F100" i="24"/>
  <c r="F77" i="24"/>
  <c r="F73" i="24"/>
  <c r="F69" i="24"/>
  <c r="F65" i="24"/>
  <c r="F61" i="24"/>
  <c r="F57" i="24"/>
  <c r="F120" i="24"/>
  <c r="F119" i="24"/>
  <c r="F112" i="24"/>
  <c r="F111" i="24"/>
  <c r="F96" i="24"/>
  <c r="F127" i="24"/>
  <c r="F126" i="24"/>
  <c r="F103" i="24"/>
  <c r="F102" i="24"/>
  <c r="F91" i="24"/>
  <c r="F122" i="24"/>
  <c r="F121" i="24"/>
  <c r="F114" i="24"/>
  <c r="F113" i="24"/>
  <c r="F78" i="24"/>
  <c r="F74" i="24"/>
  <c r="F70" i="24"/>
  <c r="F66" i="24"/>
  <c r="F62" i="24"/>
  <c r="F58" i="24"/>
  <c r="F129" i="24"/>
  <c r="F128" i="24"/>
  <c r="F105" i="24"/>
  <c r="F104" i="24"/>
  <c r="F97" i="24"/>
  <c r="F92" i="24"/>
  <c r="F136" i="24"/>
  <c r="F134" i="24"/>
  <c r="F99" i="24"/>
  <c r="F95" i="24"/>
  <c r="F94" i="24"/>
  <c r="D81" i="24"/>
  <c r="F131" i="24"/>
  <c r="F93" i="24"/>
  <c r="F89" i="24"/>
  <c r="F87" i="24"/>
  <c r="F71" i="24"/>
  <c r="F63" i="24"/>
  <c r="L12" i="24"/>
  <c r="N12" i="24" s="1"/>
  <c r="F115" i="24"/>
  <c r="F85" i="24"/>
  <c r="F138" i="24"/>
  <c r="F110" i="24"/>
  <c r="F107" i="24"/>
  <c r="F55" i="24"/>
  <c r="F81" i="24"/>
  <c r="F72" i="24"/>
  <c r="F123" i="24"/>
  <c r="F118" i="24"/>
  <c r="F98" i="24"/>
  <c r="F88" i="24"/>
  <c r="F75" i="24"/>
  <c r="F64" i="24"/>
  <c r="F116" i="24"/>
  <c r="F108" i="24"/>
  <c r="F90" i="24"/>
  <c r="F67" i="24"/>
  <c r="F59" i="24"/>
  <c r="F56" i="24"/>
  <c r="F133" i="24"/>
  <c r="F130" i="24"/>
  <c r="F86" i="24"/>
  <c r="F83" i="24"/>
  <c r="F76" i="24"/>
  <c r="F84" i="24"/>
  <c r="F79" i="24"/>
  <c r="F124" i="24"/>
  <c r="F117" i="24"/>
  <c r="F60" i="24"/>
  <c r="F106" i="24"/>
  <c r="F68" i="24"/>
  <c r="F109" i="24"/>
  <c r="R285" i="18"/>
  <c r="R263" i="18"/>
  <c r="R262" i="18"/>
  <c r="R251" i="18"/>
  <c r="R250" i="18"/>
  <c r="R227" i="18"/>
  <c r="R226" i="18"/>
  <c r="R211" i="18"/>
  <c r="R210" i="18"/>
  <c r="R206" i="18"/>
  <c r="R191" i="18"/>
  <c r="R189" i="18"/>
  <c r="R284" i="18"/>
  <c r="R281" i="18"/>
  <c r="R274" i="18"/>
  <c r="R273" i="18"/>
  <c r="R257" i="18"/>
  <c r="R246" i="18"/>
  <c r="R245" i="18"/>
  <c r="R238" i="18"/>
  <c r="R237" i="18"/>
  <c r="R201" i="18"/>
  <c r="R197" i="18"/>
  <c r="R193" i="18"/>
  <c r="P189" i="18"/>
  <c r="R295" i="18"/>
  <c r="R283" i="18"/>
  <c r="R268" i="18"/>
  <c r="R264" i="18"/>
  <c r="R252" i="18"/>
  <c r="R229" i="18"/>
  <c r="R228" i="18"/>
  <c r="R220" i="18"/>
  <c r="R213" i="18"/>
  <c r="R212" i="18"/>
  <c r="R18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294" i="18"/>
  <c r="R276" i="18"/>
  <c r="R275" i="18"/>
  <c r="R247" i="18"/>
  <c r="R239" i="18"/>
  <c r="R207" i="18"/>
  <c r="R128" i="18"/>
  <c r="R293" i="18"/>
  <c r="R258" i="18"/>
  <c r="R231" i="18"/>
  <c r="R230" i="18"/>
  <c r="R214" i="18"/>
  <c r="R203" i="18"/>
  <c r="R202" i="18"/>
  <c r="R198" i="18"/>
  <c r="R194" i="18"/>
  <c r="R299" i="18"/>
  <c r="R292" i="18"/>
  <c r="R277" i="18"/>
  <c r="R269" i="18"/>
  <c r="R265" i="18"/>
  <c r="R253" i="18"/>
  <c r="R222" i="18"/>
  <c r="R221" i="18"/>
  <c r="R185" i="18"/>
  <c r="R181" i="18"/>
  <c r="R177" i="18"/>
  <c r="R173" i="18"/>
  <c r="R169" i="18"/>
  <c r="R165" i="18"/>
  <c r="R161" i="18"/>
  <c r="R157" i="18"/>
  <c r="R153" i="18"/>
  <c r="R149" i="18"/>
  <c r="R145" i="18"/>
  <c r="R291" i="18"/>
  <c r="R248" i="18"/>
  <c r="R240" i="18"/>
  <c r="R290" i="18"/>
  <c r="R289" i="18"/>
  <c r="R278" i="18"/>
  <c r="R271" i="18"/>
  <c r="R270" i="18"/>
  <c r="R266" i="18"/>
  <c r="R255" i="18"/>
  <c r="R254" i="18"/>
  <c r="R186" i="18"/>
  <c r="R18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288" i="18"/>
  <c r="R261" i="18"/>
  <c r="R249" i="18"/>
  <c r="R242" i="18"/>
  <c r="R241" i="18"/>
  <c r="R234" i="18"/>
  <c r="R233" i="18"/>
  <c r="R218" i="18"/>
  <c r="R217" i="18"/>
  <c r="R209" i="18"/>
  <c r="R205" i="18"/>
  <c r="R147" i="18"/>
  <c r="R279" i="18"/>
  <c r="R225" i="18"/>
  <c r="R163" i="18"/>
  <c r="X12" i="18"/>
  <c r="Z12" i="18" s="1"/>
  <c r="R260" i="18"/>
  <c r="R256" i="18"/>
  <c r="R223" i="18"/>
  <c r="R219" i="18"/>
  <c r="R192" i="18"/>
  <c r="R179" i="18"/>
  <c r="R286" i="18"/>
  <c r="R272" i="18"/>
  <c r="R167" i="18"/>
  <c r="R244" i="18"/>
  <c r="R236" i="18"/>
  <c r="R215" i="18"/>
  <c r="R204" i="18"/>
  <c r="R200" i="18"/>
  <c r="R196" i="18"/>
  <c r="R183" i="18"/>
  <c r="R151" i="18"/>
  <c r="R267" i="18"/>
  <c r="R232" i="18"/>
  <c r="R280" i="18"/>
  <c r="R171" i="18"/>
  <c r="R133" i="18"/>
  <c r="R129" i="18"/>
  <c r="R216" i="18"/>
  <c r="R187" i="18"/>
  <c r="R137" i="18"/>
  <c r="R135" i="18"/>
  <c r="R131" i="18"/>
  <c r="R224" i="18"/>
  <c r="R208" i="18"/>
  <c r="R155" i="18"/>
  <c r="R141" i="18"/>
  <c r="R139" i="18"/>
  <c r="R259" i="18"/>
  <c r="R199" i="18"/>
  <c r="R195" i="18"/>
  <c r="R175" i="18"/>
  <c r="R159" i="18"/>
  <c r="R287" i="18"/>
  <c r="R243" i="18"/>
  <c r="R235" i="18"/>
  <c r="R143" i="18"/>
  <c r="P167" i="30"/>
  <c r="X88" i="30"/>
  <c r="J275" i="12"/>
  <c r="J245" i="12"/>
  <c r="J239" i="12"/>
  <c r="J211" i="12"/>
  <c r="J201" i="12"/>
  <c r="J187" i="12"/>
  <c r="J183" i="12"/>
  <c r="J280" i="12"/>
  <c r="J274" i="12"/>
  <c r="J262" i="12"/>
  <c r="J254" i="12"/>
  <c r="J250" i="12"/>
  <c r="J246" i="12"/>
  <c r="J234" i="12"/>
  <c r="J273" i="12"/>
  <c r="J255" i="12"/>
  <c r="J229" i="12"/>
  <c r="J221" i="12"/>
  <c r="J195" i="12"/>
  <c r="J165" i="12"/>
  <c r="J272" i="12"/>
  <c r="J256" i="12"/>
  <c r="J240" i="12"/>
  <c r="J212" i="12"/>
  <c r="J196" i="12"/>
  <c r="J188" i="12"/>
  <c r="J184" i="12"/>
  <c r="J271" i="12"/>
  <c r="J263" i="12"/>
  <c r="J251" i="12"/>
  <c r="J247" i="12"/>
  <c r="J235" i="12"/>
  <c r="J270" i="12"/>
  <c r="J264" i="12"/>
  <c r="J236" i="12"/>
  <c r="J230" i="12"/>
  <c r="J222" i="12"/>
  <c r="J214" i="12"/>
  <c r="J204" i="12"/>
  <c r="J198" i="12"/>
  <c r="J267" i="12"/>
  <c r="J259" i="12"/>
  <c r="J243" i="12"/>
  <c r="J231" i="12"/>
  <c r="J261" i="12"/>
  <c r="J253" i="12"/>
  <c r="J249" i="12"/>
  <c r="J233" i="12"/>
  <c r="J227" i="12"/>
  <c r="J219" i="12"/>
  <c r="J209" i="12"/>
  <c r="J268" i="12"/>
  <c r="J265" i="12"/>
  <c r="J258" i="12"/>
  <c r="J241" i="12"/>
  <c r="J216" i="12"/>
  <c r="J177" i="12"/>
  <c r="J136" i="12"/>
  <c r="J224" i="12"/>
  <c r="J203" i="12"/>
  <c r="J200" i="12"/>
  <c r="J194" i="12"/>
  <c r="J157" i="12"/>
  <c r="J150" i="12"/>
  <c r="J143" i="12"/>
  <c r="J190" i="12"/>
  <c r="J174" i="12"/>
  <c r="J168" i="12"/>
  <c r="J164" i="12"/>
  <c r="J154" i="12"/>
  <c r="J140" i="12"/>
  <c r="J133" i="12"/>
  <c r="J129" i="12"/>
  <c r="J125" i="12"/>
  <c r="J121" i="12"/>
  <c r="J117" i="12"/>
  <c r="J207" i="12"/>
  <c r="J185" i="12"/>
  <c r="J181" i="12"/>
  <c r="H168" i="12"/>
  <c r="J161" i="12"/>
  <c r="J147" i="12"/>
  <c r="N12" i="12"/>
  <c r="J269" i="12"/>
  <c r="J248" i="12"/>
  <c r="J244" i="12"/>
  <c r="J242" i="12"/>
  <c r="J217" i="12"/>
  <c r="J182" i="12"/>
  <c r="J178" i="12"/>
  <c r="J171" i="12"/>
  <c r="J170" i="12"/>
  <c r="J158" i="12"/>
  <c r="J151" i="12"/>
  <c r="J144" i="12"/>
  <c r="J137" i="12"/>
  <c r="J113" i="12"/>
  <c r="J252" i="12"/>
  <c r="J225" i="12"/>
  <c r="J220" i="12"/>
  <c r="J208" i="12"/>
  <c r="J191" i="12"/>
  <c r="J175" i="12"/>
  <c r="J134" i="12"/>
  <c r="J130" i="12"/>
  <c r="J126" i="12"/>
  <c r="J122" i="12"/>
  <c r="J118" i="12"/>
  <c r="J114" i="12"/>
  <c r="J238" i="12"/>
  <c r="J192" i="12"/>
  <c r="J172" i="12"/>
  <c r="J162" i="12"/>
  <c r="J155" i="12"/>
  <c r="J148" i="12"/>
  <c r="J141" i="12"/>
  <c r="J223" i="12"/>
  <c r="J215" i="12"/>
  <c r="J205" i="12"/>
  <c r="J179" i="12"/>
  <c r="J152" i="12"/>
  <c r="J138" i="12"/>
  <c r="J257" i="12"/>
  <c r="J232" i="12"/>
  <c r="J218" i="12"/>
  <c r="J202" i="12"/>
  <c r="J199" i="12"/>
  <c r="J176" i="12"/>
  <c r="J159" i="12"/>
  <c r="J145" i="12"/>
  <c r="J131" i="12"/>
  <c r="J127" i="12"/>
  <c r="J123" i="12"/>
  <c r="J119" i="12"/>
  <c r="J115" i="12"/>
  <c r="J276" i="12"/>
  <c r="J260" i="12"/>
  <c r="J228" i="12"/>
  <c r="J197" i="12"/>
  <c r="J193" i="12"/>
  <c r="J186" i="12"/>
  <c r="J156" i="12"/>
  <c r="J142" i="12"/>
  <c r="J135" i="12"/>
  <c r="J226" i="12"/>
  <c r="J213" i="12"/>
  <c r="J189" i="12"/>
  <c r="J173" i="12"/>
  <c r="J166" i="12"/>
  <c r="J149" i="12"/>
  <c r="J237" i="12"/>
  <c r="J163" i="12"/>
  <c r="J160" i="12"/>
  <c r="J206" i="12"/>
  <c r="J180" i="12"/>
  <c r="J132" i="12"/>
  <c r="J124" i="12"/>
  <c r="J210" i="12"/>
  <c r="J146" i="12"/>
  <c r="J116" i="12"/>
  <c r="J153" i="12"/>
  <c r="J128" i="12"/>
  <c r="J120" i="12"/>
  <c r="J139" i="12"/>
  <c r="H27" i="99"/>
  <c r="N18" i="99"/>
  <c r="L18" i="44"/>
  <c r="D27" i="44"/>
  <c r="H27" i="46"/>
  <c r="N18" i="46"/>
  <c r="L18" i="52"/>
  <c r="D27" i="52"/>
  <c r="H27" i="38"/>
  <c r="N18" i="38"/>
  <c r="X18" i="38"/>
  <c r="P27" i="38"/>
  <c r="Z18" i="37"/>
  <c r="T27" i="37"/>
  <c r="D27" i="28"/>
  <c r="L18" i="28"/>
  <c r="H27" i="20"/>
  <c r="N18" i="20"/>
  <c r="X18" i="13"/>
  <c r="P27" i="13"/>
  <c r="H27" i="14"/>
  <c r="N18" i="14"/>
  <c r="L18" i="16"/>
  <c r="D27" i="16"/>
  <c r="P67" i="89"/>
  <c r="R124" i="36"/>
  <c r="R118" i="36"/>
  <c r="R117" i="36"/>
  <c r="R110" i="36"/>
  <c r="R109" i="36"/>
  <c r="R105" i="36"/>
  <c r="R101" i="36"/>
  <c r="R90" i="36"/>
  <c r="R89" i="36"/>
  <c r="R99" i="36"/>
  <c r="R98" i="36"/>
  <c r="R87" i="36"/>
  <c r="R86" i="36"/>
  <c r="R69" i="36"/>
  <c r="R68" i="36"/>
  <c r="R49" i="36"/>
  <c r="R48" i="36"/>
  <c r="R44" i="36"/>
  <c r="X12" i="36"/>
  <c r="Z12" i="36" s="1"/>
  <c r="R119" i="36"/>
  <c r="R100" i="36"/>
  <c r="R96" i="36"/>
  <c r="R95" i="36"/>
  <c r="R92" i="36"/>
  <c r="R39" i="36"/>
  <c r="R35" i="36"/>
  <c r="R128" i="36"/>
  <c r="R115" i="36"/>
  <c r="R106" i="36"/>
  <c r="R103" i="36"/>
  <c r="R84" i="36"/>
  <c r="R79" i="36"/>
  <c r="R70" i="36"/>
  <c r="R59" i="36"/>
  <c r="R58" i="36"/>
  <c r="R51" i="36"/>
  <c r="R50" i="36"/>
  <c r="R31" i="36"/>
  <c r="R26" i="36"/>
  <c r="R121" i="36"/>
  <c r="R88" i="36"/>
  <c r="R80" i="36"/>
  <c r="R45" i="36"/>
  <c r="R30" i="36"/>
  <c r="R122" i="36"/>
  <c r="R61" i="36"/>
  <c r="R60" i="36"/>
  <c r="R53" i="36"/>
  <c r="R52" i="36"/>
  <c r="R41" i="36"/>
  <c r="R40" i="36"/>
  <c r="R36" i="36"/>
  <c r="R32" i="36"/>
  <c r="P28" i="36"/>
  <c r="R28" i="36" s="1"/>
  <c r="R112" i="36"/>
  <c r="R111" i="36"/>
  <c r="R97" i="36"/>
  <c r="R93" i="36"/>
  <c r="R72" i="36"/>
  <c r="R71" i="36"/>
  <c r="R123" i="36"/>
  <c r="R116" i="36"/>
  <c r="R107" i="36"/>
  <c r="R104" i="36"/>
  <c r="R81" i="36"/>
  <c r="R63" i="36"/>
  <c r="R62" i="36"/>
  <c r="R55" i="36"/>
  <c r="R54" i="36"/>
  <c r="R46" i="36"/>
  <c r="R42" i="36"/>
  <c r="R85" i="36"/>
  <c r="R74" i="36"/>
  <c r="R73" i="36"/>
  <c r="R37" i="36"/>
  <c r="R33" i="36"/>
  <c r="R82" i="36"/>
  <c r="R65" i="36"/>
  <c r="R64" i="36"/>
  <c r="R56" i="36"/>
  <c r="R113" i="36"/>
  <c r="R102" i="36"/>
  <c r="R76" i="36"/>
  <c r="R75" i="36"/>
  <c r="R47" i="36"/>
  <c r="R43" i="36"/>
  <c r="R24" i="36"/>
  <c r="R114" i="36"/>
  <c r="R108" i="36"/>
  <c r="R66" i="36"/>
  <c r="R94" i="36"/>
  <c r="R78" i="36"/>
  <c r="R38" i="36"/>
  <c r="R57" i="36"/>
  <c r="R91" i="36"/>
  <c r="R67" i="36"/>
  <c r="R25" i="36"/>
  <c r="R83" i="36"/>
  <c r="R77" i="36"/>
  <c r="R34" i="36"/>
  <c r="V266" i="15"/>
  <c r="V232" i="15"/>
  <c r="V204" i="15"/>
  <c r="V196" i="15"/>
  <c r="V188" i="15"/>
  <c r="V176" i="15"/>
  <c r="V172" i="15"/>
  <c r="V168" i="15"/>
  <c r="V265" i="15"/>
  <c r="V251" i="15"/>
  <c r="V243" i="15"/>
  <c r="V239" i="15"/>
  <c r="V227" i="15"/>
  <c r="V195" i="15"/>
  <c r="V159" i="15"/>
  <c r="V155" i="15"/>
  <c r="V151" i="15"/>
  <c r="V147" i="15"/>
  <c r="V143" i="15"/>
  <c r="V139" i="15"/>
  <c r="V135" i="15"/>
  <c r="V131" i="15"/>
  <c r="V127" i="15"/>
  <c r="V123" i="15"/>
  <c r="V119" i="15"/>
  <c r="V115" i="15"/>
  <c r="V111" i="15"/>
  <c r="V264" i="15"/>
  <c r="V234" i="15"/>
  <c r="V222" i="15"/>
  <c r="V214" i="15"/>
  <c r="V206" i="15"/>
  <c r="V190" i="15"/>
  <c r="V182" i="15"/>
  <c r="V178" i="15"/>
  <c r="V263" i="15"/>
  <c r="V245" i="15"/>
  <c r="V233" i="15"/>
  <c r="V229" i="15"/>
  <c r="V197" i="15"/>
  <c r="V189" i="15"/>
  <c r="V173" i="15"/>
  <c r="V169" i="15"/>
  <c r="V270" i="15"/>
  <c r="V262" i="15"/>
  <c r="V252" i="15"/>
  <c r="V244" i="15"/>
  <c r="V240" i="15"/>
  <c r="V228" i="15"/>
  <c r="V216" i="15"/>
  <c r="V208" i="15"/>
  <c r="V192" i="15"/>
  <c r="V160" i="15"/>
  <c r="V156" i="15"/>
  <c r="V152" i="15"/>
  <c r="V148" i="15"/>
  <c r="V144" i="15"/>
  <c r="V140" i="15"/>
  <c r="V136" i="15"/>
  <c r="V132" i="15"/>
  <c r="V128" i="15"/>
  <c r="V124" i="15"/>
  <c r="V120" i="15"/>
  <c r="V116" i="15"/>
  <c r="V112" i="15"/>
  <c r="V261" i="15"/>
  <c r="V235" i="15"/>
  <c r="V223" i="15"/>
  <c r="V215" i="15"/>
  <c r="V207" i="15"/>
  <c r="V199" i="15"/>
  <c r="V191" i="15"/>
  <c r="V183" i="15"/>
  <c r="V179" i="15"/>
  <c r="V260" i="15"/>
  <c r="V254" i="15"/>
  <c r="V246" i="15"/>
  <c r="V230" i="15"/>
  <c r="V218" i="15"/>
  <c r="V210" i="15"/>
  <c r="V198" i="15"/>
  <c r="V174" i="15"/>
  <c r="V170" i="15"/>
  <c r="V166" i="15"/>
  <c r="V259" i="15"/>
  <c r="V253" i="15"/>
  <c r="V241" i="15"/>
  <c r="V237" i="15"/>
  <c r="V225" i="15"/>
  <c r="V217" i="15"/>
  <c r="V209" i="15"/>
  <c r="V201" i="15"/>
  <c r="V193" i="15"/>
  <c r="V185" i="15"/>
  <c r="V165" i="15"/>
  <c r="V163" i="15"/>
  <c r="V161" i="15"/>
  <c r="V157" i="15"/>
  <c r="V153" i="15"/>
  <c r="V149" i="15"/>
  <c r="V145" i="15"/>
  <c r="V141" i="15"/>
  <c r="V137" i="15"/>
  <c r="V133" i="15"/>
  <c r="V129" i="15"/>
  <c r="V125" i="15"/>
  <c r="V121" i="15"/>
  <c r="V117" i="15"/>
  <c r="V113" i="15"/>
  <c r="V258" i="15"/>
  <c r="V248" i="15"/>
  <c r="V236" i="15"/>
  <c r="V224" i="15"/>
  <c r="V220" i="15"/>
  <c r="V212" i="15"/>
  <c r="V200" i="15"/>
  <c r="V184" i="15"/>
  <c r="V180" i="15"/>
  <c r="T163" i="15"/>
  <c r="Z12" i="15"/>
  <c r="V250" i="15"/>
  <c r="V242" i="15"/>
  <c r="V238" i="15"/>
  <c r="V226" i="15"/>
  <c r="V202" i="15"/>
  <c r="V194" i="15"/>
  <c r="V186" i="15"/>
  <c r="V158" i="15"/>
  <c r="V154" i="15"/>
  <c r="V150" i="15"/>
  <c r="V146" i="15"/>
  <c r="V142" i="15"/>
  <c r="V138" i="15"/>
  <c r="V134" i="15"/>
  <c r="V130" i="15"/>
  <c r="V126" i="15"/>
  <c r="V122" i="15"/>
  <c r="V118" i="15"/>
  <c r="V114" i="15"/>
  <c r="V110" i="15"/>
  <c r="V247" i="15"/>
  <c r="V257" i="15"/>
  <c r="V249" i="15"/>
  <c r="V177" i="15"/>
  <c r="V175" i="15"/>
  <c r="V211" i="15"/>
  <c r="V167" i="15"/>
  <c r="V213" i="15"/>
  <c r="V255" i="15"/>
  <c r="V219" i="15"/>
  <c r="V221" i="15"/>
  <c r="V205" i="15"/>
  <c r="V203" i="15"/>
  <c r="V181" i="15"/>
  <c r="V171" i="15"/>
  <c r="V187" i="15"/>
  <c r="V231" i="15"/>
  <c r="F262" i="15"/>
  <c r="F253" i="15"/>
  <c r="F241" i="15"/>
  <c r="F217" i="15"/>
  <c r="F216" i="15"/>
  <c r="F209" i="15"/>
  <c r="F208" i="15"/>
  <c r="F193" i="15"/>
  <c r="F192" i="15"/>
  <c r="F161" i="15"/>
  <c r="F157" i="15"/>
  <c r="F153" i="15"/>
  <c r="F149" i="15"/>
  <c r="F145" i="15"/>
  <c r="F141" i="15"/>
  <c r="F137" i="15"/>
  <c r="F133" i="15"/>
  <c r="F129" i="15"/>
  <c r="F125" i="15"/>
  <c r="F121" i="15"/>
  <c r="F117" i="15"/>
  <c r="F113" i="15"/>
  <c r="F261" i="15"/>
  <c r="F236" i="15"/>
  <c r="F224" i="15"/>
  <c r="F200" i="15"/>
  <c r="F199" i="15"/>
  <c r="F184" i="15"/>
  <c r="F180" i="15"/>
  <c r="L12" i="15"/>
  <c r="N12" i="15" s="1"/>
  <c r="F260" i="15"/>
  <c r="F255" i="15"/>
  <c r="F254" i="15"/>
  <c r="F247" i="15"/>
  <c r="F231" i="15"/>
  <c r="F219" i="15"/>
  <c r="F218" i="15"/>
  <c r="F211" i="15"/>
  <c r="F210" i="15"/>
  <c r="F175" i="15"/>
  <c r="F171" i="15"/>
  <c r="F167" i="15"/>
  <c r="F166" i="15"/>
  <c r="F259" i="15"/>
  <c r="F242" i="15"/>
  <c r="F238" i="15"/>
  <c r="F237" i="15"/>
  <c r="F226" i="15"/>
  <c r="F225" i="15"/>
  <c r="F202" i="15"/>
  <c r="F201" i="15"/>
  <c r="F194" i="15"/>
  <c r="F186" i="15"/>
  <c r="F185" i="15"/>
  <c r="F165" i="15"/>
  <c r="F163" i="15"/>
  <c r="F158" i="15"/>
  <c r="F154" i="15"/>
  <c r="F150" i="15"/>
  <c r="F146" i="15"/>
  <c r="F142" i="15"/>
  <c r="F138" i="15"/>
  <c r="F134" i="15"/>
  <c r="F130" i="15"/>
  <c r="F126" i="15"/>
  <c r="F122" i="15"/>
  <c r="F118" i="15"/>
  <c r="F114" i="15"/>
  <c r="F258" i="15"/>
  <c r="F249" i="15"/>
  <c r="F248" i="15"/>
  <c r="F221" i="15"/>
  <c r="F220" i="15"/>
  <c r="F213" i="15"/>
  <c r="F212" i="15"/>
  <c r="F181" i="15"/>
  <c r="D163" i="15"/>
  <c r="F257" i="15"/>
  <c r="F232" i="15"/>
  <c r="F204" i="15"/>
  <c r="F203" i="15"/>
  <c r="F188" i="15"/>
  <c r="F187" i="15"/>
  <c r="F176" i="15"/>
  <c r="F172" i="15"/>
  <c r="F168" i="15"/>
  <c r="F251" i="15"/>
  <c r="F250" i="15"/>
  <c r="F243" i="15"/>
  <c r="F239" i="15"/>
  <c r="F227" i="15"/>
  <c r="F195" i="15"/>
  <c r="F159" i="15"/>
  <c r="F155" i="15"/>
  <c r="F151" i="15"/>
  <c r="F147" i="15"/>
  <c r="F143" i="15"/>
  <c r="F139" i="15"/>
  <c r="F135" i="15"/>
  <c r="F131" i="15"/>
  <c r="F127" i="15"/>
  <c r="F123" i="15"/>
  <c r="F119" i="15"/>
  <c r="F115" i="15"/>
  <c r="F111" i="15"/>
  <c r="F110" i="15"/>
  <c r="F222" i="15"/>
  <c r="F214" i="15"/>
  <c r="F206" i="15"/>
  <c r="F205" i="15"/>
  <c r="F182" i="15"/>
  <c r="F178" i="15"/>
  <c r="F177" i="15"/>
  <c r="F266" i="15"/>
  <c r="F233" i="15"/>
  <c r="F197" i="15"/>
  <c r="F196" i="15"/>
  <c r="F189" i="15"/>
  <c r="F173" i="15"/>
  <c r="F169" i="15"/>
  <c r="F264" i="15"/>
  <c r="F235" i="15"/>
  <c r="F234" i="15"/>
  <c r="F223" i="15"/>
  <c r="F215" i="15"/>
  <c r="F207" i="15"/>
  <c r="F191" i="15"/>
  <c r="F190" i="15"/>
  <c r="F183" i="15"/>
  <c r="F179" i="15"/>
  <c r="F144" i="15"/>
  <c r="F132" i="15"/>
  <c r="F263" i="15"/>
  <c r="F229" i="15"/>
  <c r="F156" i="15"/>
  <c r="F124" i="15"/>
  <c r="F245" i="15"/>
  <c r="F240" i="15"/>
  <c r="F170" i="15"/>
  <c r="F116" i="15"/>
  <c r="F230" i="15"/>
  <c r="F198" i="15"/>
  <c r="F148" i="15"/>
  <c r="F136" i="15"/>
  <c r="F160" i="15"/>
  <c r="F246" i="15"/>
  <c r="F228" i="15"/>
  <c r="F128" i="15"/>
  <c r="F270" i="15"/>
  <c r="F174" i="15"/>
  <c r="F244" i="15"/>
  <c r="F140" i="15"/>
  <c r="F120" i="15"/>
  <c r="F152" i="15"/>
  <c r="F112" i="15"/>
  <c r="F265" i="15"/>
  <c r="F252" i="15"/>
  <c r="Z16" i="96"/>
  <c r="T36" i="96"/>
  <c r="P36" i="96"/>
  <c r="X16" i="96"/>
  <c r="F17" i="97"/>
  <c r="H36" i="96"/>
  <c r="N16" i="96"/>
  <c r="D36" i="96"/>
  <c r="L16" i="96"/>
  <c r="V78" i="94"/>
  <c r="V74" i="94"/>
  <c r="V81" i="94"/>
  <c r="V84" i="94"/>
  <c r="V76" i="94"/>
  <c r="V77" i="94"/>
  <c r="V60" i="94"/>
  <c r="V48" i="94"/>
  <c r="V51" i="94"/>
  <c r="V39" i="94"/>
  <c r="V35" i="94"/>
  <c r="V66" i="94"/>
  <c r="V50" i="94"/>
  <c r="V30" i="94"/>
  <c r="V26" i="94"/>
  <c r="V82" i="94"/>
  <c r="V72" i="94"/>
  <c r="V61" i="94"/>
  <c r="V53" i="94"/>
  <c r="V41" i="94"/>
  <c r="V17" i="94"/>
  <c r="V85" i="94"/>
  <c r="V75" i="94"/>
  <c r="V68" i="94"/>
  <c r="V52" i="94"/>
  <c r="V40" i="94"/>
  <c r="V36" i="94"/>
  <c r="Z12" i="94"/>
  <c r="V91" i="94"/>
  <c r="V67" i="94"/>
  <c r="V63" i="94"/>
  <c r="V55" i="94"/>
  <c r="V43" i="94"/>
  <c r="V31" i="94"/>
  <c r="V27" i="94"/>
  <c r="V87" i="94"/>
  <c r="V62" i="94"/>
  <c r="V54" i="94"/>
  <c r="V42" i="94"/>
  <c r="V18" i="94"/>
  <c r="V73" i="94"/>
  <c r="V70" i="94"/>
  <c r="V69" i="94"/>
  <c r="V57" i="94"/>
  <c r="V45" i="94"/>
  <c r="V37" i="94"/>
  <c r="V83" i="94"/>
  <c r="V80" i="94"/>
  <c r="V79" i="94"/>
  <c r="V64" i="94"/>
  <c r="V56" i="94"/>
  <c r="V44" i="94"/>
  <c r="V32" i="94"/>
  <c r="V28" i="94"/>
  <c r="V24" i="94"/>
  <c r="V33" i="94"/>
  <c r="V19" i="94"/>
  <c r="V59" i="94"/>
  <c r="V23" i="94"/>
  <c r="V65" i="94"/>
  <c r="V46" i="94"/>
  <c r="V34" i="94"/>
  <c r="V25" i="94"/>
  <c r="V71" i="94"/>
  <c r="V47" i="94"/>
  <c r="V38" i="94"/>
  <c r="T21" i="94"/>
  <c r="V49" i="94"/>
  <c r="V58" i="94"/>
  <c r="V29" i="94"/>
  <c r="V21" i="92"/>
  <c r="N17" i="88"/>
  <c r="H46" i="88"/>
  <c r="L89" i="85"/>
  <c r="F115" i="77"/>
  <c r="F111" i="77"/>
  <c r="F110" i="77"/>
  <c r="F67" i="77"/>
  <c r="F63" i="77"/>
  <c r="F62" i="77"/>
  <c r="F98" i="77"/>
  <c r="F97" i="77"/>
  <c r="F86" i="77"/>
  <c r="F61" i="77"/>
  <c r="F54" i="77"/>
  <c r="F50" i="77"/>
  <c r="F46" i="77"/>
  <c r="F42" i="77"/>
  <c r="F126" i="77"/>
  <c r="F105" i="77"/>
  <c r="F77" i="77"/>
  <c r="F73" i="77"/>
  <c r="D59" i="77"/>
  <c r="F59" i="77" s="1"/>
  <c r="F130" i="77"/>
  <c r="F116" i="77"/>
  <c r="F112" i="77"/>
  <c r="F100" i="77"/>
  <c r="F99" i="77"/>
  <c r="F88" i="77"/>
  <c r="F87" i="77"/>
  <c r="F68" i="77"/>
  <c r="F64" i="77"/>
  <c r="F79" i="77"/>
  <c r="F78" i="77"/>
  <c r="F55" i="77"/>
  <c r="F51" i="77"/>
  <c r="F47" i="77"/>
  <c r="F43" i="77"/>
  <c r="F118" i="77"/>
  <c r="F117" i="77"/>
  <c r="F106" i="77"/>
  <c r="F90" i="77"/>
  <c r="F89" i="77"/>
  <c r="F74" i="77"/>
  <c r="F113" i="77"/>
  <c r="F101" i="77"/>
  <c r="F81" i="77"/>
  <c r="F80" i="77"/>
  <c r="F69" i="77"/>
  <c r="F65" i="77"/>
  <c r="F120" i="77"/>
  <c r="F119" i="77"/>
  <c r="F108" i="77"/>
  <c r="F107" i="77"/>
  <c r="F92" i="77"/>
  <c r="F91" i="77"/>
  <c r="F56" i="77"/>
  <c r="F52" i="77"/>
  <c r="F48" i="77"/>
  <c r="F44" i="77"/>
  <c r="F83" i="77"/>
  <c r="F82" i="77"/>
  <c r="F75" i="77"/>
  <c r="F96" i="77"/>
  <c r="F40" i="77"/>
  <c r="F109" i="77"/>
  <c r="F72" i="77"/>
  <c r="F70" i="77"/>
  <c r="F57" i="77"/>
  <c r="F123" i="77"/>
  <c r="F121" i="77"/>
  <c r="F103" i="77"/>
  <c r="F84" i="77"/>
  <c r="F76" i="77"/>
  <c r="F114" i="77"/>
  <c r="F95" i="77"/>
  <c r="F93" i="77"/>
  <c r="L12" i="77"/>
  <c r="N12" i="77" s="1"/>
  <c r="F122" i="77"/>
  <c r="F71" i="77"/>
  <c r="F41" i="77"/>
  <c r="F49" i="77"/>
  <c r="F45" i="77"/>
  <c r="F94" i="77"/>
  <c r="F85" i="77"/>
  <c r="F104" i="77"/>
  <c r="F66" i="77"/>
  <c r="F102" i="77"/>
  <c r="F53" i="77"/>
  <c r="F124" i="77"/>
  <c r="V24" i="72"/>
  <c r="J79" i="79"/>
  <c r="J71" i="79"/>
  <c r="J67" i="79"/>
  <c r="J51" i="79"/>
  <c r="J41" i="79"/>
  <c r="J52" i="79"/>
  <c r="J42" i="79"/>
  <c r="J81" i="79"/>
  <c r="J61" i="79"/>
  <c r="J53" i="79"/>
  <c r="J43" i="79"/>
  <c r="J29" i="79"/>
  <c r="J25" i="79"/>
  <c r="J72" i="79"/>
  <c r="J68" i="79"/>
  <c r="J54" i="79"/>
  <c r="J44" i="79"/>
  <c r="J85" i="79"/>
  <c r="J55" i="79"/>
  <c r="J62" i="79"/>
  <c r="J30" i="79"/>
  <c r="J26" i="79"/>
  <c r="J16" i="79"/>
  <c r="J73" i="79"/>
  <c r="J69" i="79"/>
  <c r="J63" i="79"/>
  <c r="J45" i="79"/>
  <c r="J75" i="79"/>
  <c r="J57" i="79"/>
  <c r="J76" i="79"/>
  <c r="J70" i="79"/>
  <c r="J58" i="79"/>
  <c r="J48" i="79"/>
  <c r="J38" i="79"/>
  <c r="J32" i="79"/>
  <c r="J18" i="79"/>
  <c r="J78" i="79"/>
  <c r="J27" i="79"/>
  <c r="J23" i="79"/>
  <c r="J65" i="79"/>
  <c r="J59" i="79"/>
  <c r="J46" i="79"/>
  <c r="J39" i="79"/>
  <c r="J36" i="79"/>
  <c r="J31" i="79"/>
  <c r="J37" i="79"/>
  <c r="J34" i="79"/>
  <c r="J66" i="79"/>
  <c r="J49" i="79"/>
  <c r="J24" i="79"/>
  <c r="J20" i="79"/>
  <c r="J40" i="79"/>
  <c r="J28" i="79"/>
  <c r="H20" i="79"/>
  <c r="J17" i="79"/>
  <c r="J77" i="79"/>
  <c r="J64" i="79"/>
  <c r="J47" i="79"/>
  <c r="J35" i="79"/>
  <c r="J33" i="79"/>
  <c r="J56" i="79"/>
  <c r="J60" i="79"/>
  <c r="J50" i="79"/>
  <c r="J22" i="79"/>
  <c r="J74" i="79"/>
  <c r="L57" i="71"/>
  <c r="D113" i="71"/>
  <c r="N107" i="71"/>
  <c r="X107" i="71"/>
  <c r="Z107" i="71" s="1"/>
  <c r="R52" i="70"/>
  <c r="R51" i="70"/>
  <c r="R36" i="70"/>
  <c r="R88" i="70"/>
  <c r="R74" i="70"/>
  <c r="R70" i="70"/>
  <c r="R63" i="70"/>
  <c r="R62" i="70"/>
  <c r="R46" i="70"/>
  <c r="R35" i="70"/>
  <c r="R31" i="70"/>
  <c r="R54" i="70"/>
  <c r="R53" i="70"/>
  <c r="R41" i="70"/>
  <c r="R37" i="70"/>
  <c r="P33" i="70"/>
  <c r="R64" i="70"/>
  <c r="R76" i="70"/>
  <c r="R75" i="70"/>
  <c r="R71" i="70"/>
  <c r="R56" i="70"/>
  <c r="R55" i="70"/>
  <c r="R47" i="70"/>
  <c r="R42" i="70"/>
  <c r="R38" i="70"/>
  <c r="R78" i="70"/>
  <c r="R77" i="70"/>
  <c r="R65" i="70"/>
  <c r="R58" i="70"/>
  <c r="R57" i="70"/>
  <c r="R72" i="70"/>
  <c r="R48" i="70"/>
  <c r="X12" i="70"/>
  <c r="Z12" i="70" s="1"/>
  <c r="R84" i="70"/>
  <c r="R81" i="70"/>
  <c r="R73" i="70"/>
  <c r="R50" i="70"/>
  <c r="R49" i="70"/>
  <c r="R83" i="70"/>
  <c r="R67" i="70"/>
  <c r="R59" i="70"/>
  <c r="R40" i="70"/>
  <c r="R79" i="70"/>
  <c r="R44" i="70"/>
  <c r="R68" i="70"/>
  <c r="R60" i="70"/>
  <c r="R80" i="70"/>
  <c r="R66" i="70"/>
  <c r="R39" i="70"/>
  <c r="R69" i="70"/>
  <c r="R45" i="70"/>
  <c r="R43" i="70"/>
  <c r="R61" i="70"/>
  <c r="X117" i="66"/>
  <c r="Z117" i="66" s="1"/>
  <c r="N117" i="66"/>
  <c r="J104" i="66"/>
  <c r="J88" i="66"/>
  <c r="J80" i="66"/>
  <c r="J76" i="66"/>
  <c r="J111" i="66"/>
  <c r="J105" i="66"/>
  <c r="J89" i="66"/>
  <c r="J71" i="66"/>
  <c r="J67" i="66"/>
  <c r="J112" i="66"/>
  <c r="J106" i="66"/>
  <c r="J98" i="66"/>
  <c r="J120" i="66"/>
  <c r="J114" i="66"/>
  <c r="J100" i="66"/>
  <c r="J92" i="66"/>
  <c r="J82" i="66"/>
  <c r="J72" i="66"/>
  <c r="J68" i="66"/>
  <c r="J119" i="66"/>
  <c r="J115" i="66"/>
  <c r="J107" i="66"/>
  <c r="J83" i="66"/>
  <c r="J59" i="66"/>
  <c r="J55" i="66"/>
  <c r="J51" i="66"/>
  <c r="J47" i="66"/>
  <c r="J108" i="66"/>
  <c r="J102" i="66"/>
  <c r="J94" i="66"/>
  <c r="J74" i="66"/>
  <c r="J113" i="66"/>
  <c r="J86" i="66"/>
  <c r="J73" i="66"/>
  <c r="J64" i="66"/>
  <c r="J117" i="66"/>
  <c r="J95" i="66"/>
  <c r="J90" i="66"/>
  <c r="J84" i="66"/>
  <c r="J78" i="66"/>
  <c r="J58" i="66"/>
  <c r="J52" i="66"/>
  <c r="J49" i="66"/>
  <c r="J103" i="66"/>
  <c r="J87" i="66"/>
  <c r="J69" i="66"/>
  <c r="J46" i="66"/>
  <c r="J42" i="66"/>
  <c r="J93" i="66"/>
  <c r="J81" i="66"/>
  <c r="J43" i="66"/>
  <c r="J96" i="66"/>
  <c r="J91" i="66"/>
  <c r="J79" i="66"/>
  <c r="J65" i="66"/>
  <c r="J99" i="66"/>
  <c r="J56" i="66"/>
  <c r="J53" i="66"/>
  <c r="J50" i="66"/>
  <c r="J118" i="66"/>
  <c r="J109" i="66"/>
  <c r="J101" i="66"/>
  <c r="J85" i="66"/>
  <c r="J44" i="66"/>
  <c r="J77" i="66"/>
  <c r="J70" i="66"/>
  <c r="J124" i="66"/>
  <c r="J66" i="66"/>
  <c r="J63" i="66"/>
  <c r="J45" i="66"/>
  <c r="N12" i="66"/>
  <c r="J48" i="66"/>
  <c r="J97" i="66"/>
  <c r="H61" i="66"/>
  <c r="J57" i="66"/>
  <c r="J54" i="66"/>
  <c r="J75" i="66"/>
  <c r="J110" i="66"/>
  <c r="H103" i="62"/>
  <c r="N16" i="62"/>
  <c r="V76" i="68"/>
  <c r="V48" i="68"/>
  <c r="V44" i="68"/>
  <c r="V40" i="68"/>
  <c r="V36" i="68"/>
  <c r="V89" i="68"/>
  <c r="V75" i="68"/>
  <c r="V67" i="68"/>
  <c r="V78" i="68"/>
  <c r="V62" i="68"/>
  <c r="V58" i="68"/>
  <c r="V77" i="68"/>
  <c r="V69" i="68"/>
  <c r="V49" i="68"/>
  <c r="V45" i="68"/>
  <c r="V80" i="68"/>
  <c r="V68" i="68"/>
  <c r="Z12" i="68"/>
  <c r="V79" i="68"/>
  <c r="V71" i="68"/>
  <c r="V63" i="68"/>
  <c r="V59" i="68"/>
  <c r="V55" i="68"/>
  <c r="V82" i="68"/>
  <c r="V70" i="68"/>
  <c r="V54" i="68"/>
  <c r="V50" i="68"/>
  <c r="V46" i="68"/>
  <c r="V42" i="68"/>
  <c r="V38" i="68"/>
  <c r="V81" i="68"/>
  <c r="V65" i="68"/>
  <c r="T52" i="68"/>
  <c r="V52" i="68" s="1"/>
  <c r="V72" i="68"/>
  <c r="V64" i="68"/>
  <c r="V60" i="68"/>
  <c r="V56" i="68"/>
  <c r="V61" i="68"/>
  <c r="V74" i="68"/>
  <c r="V43" i="68"/>
  <c r="V41" i="68"/>
  <c r="V66" i="68"/>
  <c r="V47" i="68"/>
  <c r="V35" i="68"/>
  <c r="V83" i="68"/>
  <c r="V85" i="68"/>
  <c r="V39" i="68"/>
  <c r="V37" i="68"/>
  <c r="V57" i="68"/>
  <c r="V73" i="68"/>
  <c r="P73" i="58"/>
  <c r="X16" i="58"/>
  <c r="L58" i="63"/>
  <c r="D62" i="63"/>
  <c r="Z16" i="55"/>
  <c r="T33" i="55"/>
  <c r="H51" i="61"/>
  <c r="L51" i="61" s="1"/>
  <c r="N16" i="61"/>
  <c r="H69" i="48"/>
  <c r="N17" i="48"/>
  <c r="J17" i="48"/>
  <c r="J96" i="45"/>
  <c r="J74" i="45"/>
  <c r="J68" i="45"/>
  <c r="J60" i="45"/>
  <c r="J48" i="45"/>
  <c r="J36" i="45"/>
  <c r="H23" i="45"/>
  <c r="J23" i="45" s="1"/>
  <c r="J75" i="45"/>
  <c r="J69" i="45"/>
  <c r="J61" i="45"/>
  <c r="J49" i="45"/>
  <c r="J41" i="45"/>
  <c r="J37" i="45"/>
  <c r="J84" i="45"/>
  <c r="J80" i="45"/>
  <c r="J76" i="45"/>
  <c r="J62" i="45"/>
  <c r="J50" i="45"/>
  <c r="J32" i="45"/>
  <c r="J28" i="45"/>
  <c r="J85" i="45"/>
  <c r="J63" i="45"/>
  <c r="J51" i="45"/>
  <c r="J86" i="45"/>
  <c r="J70" i="45"/>
  <c r="J64" i="45"/>
  <c r="J52" i="45"/>
  <c r="J42" i="45"/>
  <c r="J38" i="45"/>
  <c r="J87" i="45"/>
  <c r="J81" i="45"/>
  <c r="J77" i="45"/>
  <c r="J65" i="45"/>
  <c r="J53" i="45"/>
  <c r="J33" i="45"/>
  <c r="J29" i="45"/>
  <c r="J19" i="45"/>
  <c r="J88" i="45"/>
  <c r="J54" i="45"/>
  <c r="J89" i="45"/>
  <c r="J71" i="45"/>
  <c r="J55" i="45"/>
  <c r="J43" i="45"/>
  <c r="J39" i="45"/>
  <c r="J90" i="45"/>
  <c r="J82" i="45"/>
  <c r="J78" i="45"/>
  <c r="J66" i="45"/>
  <c r="J56" i="45"/>
  <c r="J44" i="45"/>
  <c r="J34" i="45"/>
  <c r="J30" i="45"/>
  <c r="J92" i="45"/>
  <c r="J72" i="45"/>
  <c r="J58" i="45"/>
  <c r="J46" i="45"/>
  <c r="J40" i="45"/>
  <c r="J26" i="45"/>
  <c r="N12" i="45"/>
  <c r="J25" i="45"/>
  <c r="J21" i="45"/>
  <c r="J73" i="45"/>
  <c r="J79" i="45"/>
  <c r="J59" i="45"/>
  <c r="J57" i="45"/>
  <c r="J31" i="45"/>
  <c r="J20" i="45"/>
  <c r="J83" i="45"/>
  <c r="J35" i="45"/>
  <c r="J67" i="45"/>
  <c r="J47" i="45"/>
  <c r="J45" i="45"/>
  <c r="J27" i="45"/>
  <c r="F89" i="39"/>
  <c r="F53" i="39"/>
  <c r="F49" i="39"/>
  <c r="F129" i="39"/>
  <c r="F124" i="39"/>
  <c r="F123" i="39"/>
  <c r="F116" i="39"/>
  <c r="F115" i="39"/>
  <c r="F100" i="39"/>
  <c r="F96" i="39"/>
  <c r="F95" i="39"/>
  <c r="F80" i="39"/>
  <c r="F79" i="39"/>
  <c r="F72" i="39"/>
  <c r="F71" i="39"/>
  <c r="F44" i="39"/>
  <c r="F40" i="39"/>
  <c r="F133" i="39"/>
  <c r="F128" i="39"/>
  <c r="F111" i="39"/>
  <c r="F107" i="39"/>
  <c r="F63" i="39"/>
  <c r="F31" i="39"/>
  <c r="F30" i="39"/>
  <c r="F127" i="39"/>
  <c r="F118" i="39"/>
  <c r="F117" i="39"/>
  <c r="F102" i="39"/>
  <c r="F101" i="39"/>
  <c r="F90" i="39"/>
  <c r="F82" i="39"/>
  <c r="F81" i="39"/>
  <c r="F74" i="39"/>
  <c r="F73" i="39"/>
  <c r="F54" i="39"/>
  <c r="F50" i="39"/>
  <c r="F126" i="39"/>
  <c r="F97" i="39"/>
  <c r="F45" i="39"/>
  <c r="F41" i="39"/>
  <c r="F120" i="39"/>
  <c r="F119" i="39"/>
  <c r="F112" i="39"/>
  <c r="F108" i="39"/>
  <c r="F84" i="39"/>
  <c r="F83" i="39"/>
  <c r="F64" i="39"/>
  <c r="F56" i="39"/>
  <c r="F55" i="39"/>
  <c r="F32" i="39"/>
  <c r="F103" i="39"/>
  <c r="F91" i="39"/>
  <c r="F75" i="39"/>
  <c r="F121" i="39"/>
  <c r="F113" i="39"/>
  <c r="F109" i="39"/>
  <c r="F105" i="39"/>
  <c r="F104" i="39"/>
  <c r="F93" i="39"/>
  <c r="F92" i="39"/>
  <c r="F77" i="39"/>
  <c r="F76" i="39"/>
  <c r="F99" i="39"/>
  <c r="F43" i="39"/>
  <c r="F39" i="39"/>
  <c r="F59" i="39"/>
  <c r="D34" i="39"/>
  <c r="F87" i="39"/>
  <c r="F85" i="39"/>
  <c r="F66" i="39"/>
  <c r="F62" i="39"/>
  <c r="F57" i="39"/>
  <c r="F51" i="39"/>
  <c r="F47" i="39"/>
  <c r="F38" i="39"/>
  <c r="F69" i="39"/>
  <c r="F60" i="39"/>
  <c r="F106" i="39"/>
  <c r="F88" i="39"/>
  <c r="F48" i="39"/>
  <c r="F42" i="39"/>
  <c r="F86" i="39"/>
  <c r="F58" i="39"/>
  <c r="F36" i="39"/>
  <c r="F110" i="39"/>
  <c r="F46" i="39"/>
  <c r="L12" i="39"/>
  <c r="N12" i="39" s="1"/>
  <c r="F70" i="39"/>
  <c r="F67" i="39"/>
  <c r="F65" i="39"/>
  <c r="F52" i="39"/>
  <c r="F78" i="39"/>
  <c r="F61" i="39"/>
  <c r="F122" i="39"/>
  <c r="F114" i="39"/>
  <c r="F68" i="39"/>
  <c r="F94" i="39"/>
  <c r="F34" i="39"/>
  <c r="F37" i="39"/>
  <c r="F98" i="39"/>
  <c r="F62" i="27"/>
  <c r="H27" i="100"/>
  <c r="N18" i="100"/>
  <c r="T27" i="53"/>
  <c r="Z18" i="53"/>
  <c r="H27" i="47"/>
  <c r="N18" i="47"/>
  <c r="L18" i="40"/>
  <c r="D27" i="40"/>
  <c r="T27" i="31"/>
  <c r="Z18" i="31"/>
  <c r="H27" i="35"/>
  <c r="N18" i="35"/>
  <c r="D27" i="31"/>
  <c r="L18" i="31"/>
  <c r="Z18" i="29"/>
  <c r="T27" i="29"/>
  <c r="T27" i="26"/>
  <c r="Z18" i="26"/>
  <c r="L18" i="29"/>
  <c r="D27" i="29"/>
  <c r="T27" i="38"/>
  <c r="Z18" i="38"/>
  <c r="X18" i="25"/>
  <c r="P27" i="25"/>
  <c r="H27" i="25"/>
  <c r="N18" i="25"/>
  <c r="X18" i="23"/>
  <c r="P27" i="23"/>
  <c r="L18" i="19"/>
  <c r="D27" i="19"/>
  <c r="T27" i="16"/>
  <c r="Z18" i="16"/>
  <c r="X18" i="5"/>
  <c r="P27" i="5"/>
  <c r="H27" i="7"/>
  <c r="N18" i="7"/>
  <c r="H31" i="99" l="1"/>
  <c r="N27" i="99"/>
  <c r="H131" i="39"/>
  <c r="P137" i="69"/>
  <c r="X79" i="69"/>
  <c r="L20" i="65"/>
  <c r="D68" i="65"/>
  <c r="D75" i="83"/>
  <c r="L71" i="83"/>
  <c r="N71" i="83" s="1"/>
  <c r="X27" i="29"/>
  <c r="P31" i="29"/>
  <c r="N21" i="93"/>
  <c r="H51" i="93"/>
  <c r="H171" i="30"/>
  <c r="J167" i="30"/>
  <c r="H31" i="16"/>
  <c r="N27" i="16"/>
  <c r="Z27" i="46"/>
  <c r="T31" i="46"/>
  <c r="T54" i="60"/>
  <c r="N27" i="4"/>
  <c r="H31" i="4"/>
  <c r="T55" i="93"/>
  <c r="V51" i="93"/>
  <c r="Z27" i="23"/>
  <c r="T31" i="23"/>
  <c r="N27" i="52"/>
  <c r="H31" i="52"/>
  <c r="N27" i="28"/>
  <c r="H31" i="28"/>
  <c r="T31" i="28"/>
  <c r="Z27" i="28"/>
  <c r="H31" i="44"/>
  <c r="N27" i="44"/>
  <c r="D83" i="90"/>
  <c r="L23" i="90"/>
  <c r="N23" i="90" s="1"/>
  <c r="L21" i="95"/>
  <c r="D84" i="95"/>
  <c r="X27" i="34"/>
  <c r="P31" i="34"/>
  <c r="P55" i="93"/>
  <c r="X51" i="93"/>
  <c r="Z51" i="93" s="1"/>
  <c r="T57" i="87"/>
  <c r="V53" i="87"/>
  <c r="Z27" i="100"/>
  <c r="T31" i="100"/>
  <c r="D94" i="45"/>
  <c r="L23" i="45"/>
  <c r="P78" i="67"/>
  <c r="D131" i="39"/>
  <c r="L34" i="39"/>
  <c r="N34" i="39" s="1"/>
  <c r="X33" i="70"/>
  <c r="Z33" i="70" s="1"/>
  <c r="P86" i="70"/>
  <c r="H40" i="96"/>
  <c r="T268" i="15"/>
  <c r="D31" i="16"/>
  <c r="L27" i="16"/>
  <c r="X27" i="38"/>
  <c r="P31" i="38"/>
  <c r="H278" i="12"/>
  <c r="P171" i="30"/>
  <c r="R167" i="30"/>
  <c r="D113" i="51"/>
  <c r="L57" i="51"/>
  <c r="N57" i="51" s="1"/>
  <c r="F57" i="51"/>
  <c r="P87" i="86"/>
  <c r="X20" i="86"/>
  <c r="Z20" i="86" s="1"/>
  <c r="T79" i="74"/>
  <c r="V76" i="74"/>
  <c r="X27" i="52"/>
  <c r="P31" i="52"/>
  <c r="P31" i="14"/>
  <c r="X27" i="14"/>
  <c r="H141" i="69"/>
  <c r="J137" i="69"/>
  <c r="L21" i="92"/>
  <c r="N21" i="92" s="1"/>
  <c r="L27" i="13"/>
  <c r="D31" i="13"/>
  <c r="N27" i="37"/>
  <c r="H31" i="37"/>
  <c r="H73" i="97"/>
  <c r="N69" i="97"/>
  <c r="J69" i="97"/>
  <c r="N20" i="73"/>
  <c r="H71" i="73"/>
  <c r="L20" i="73"/>
  <c r="P104" i="81"/>
  <c r="H53" i="87"/>
  <c r="L27" i="75"/>
  <c r="N27" i="75" s="1"/>
  <c r="D31" i="75"/>
  <c r="F27" i="75"/>
  <c r="X27" i="28"/>
  <c r="P31" i="28"/>
  <c r="D40" i="55"/>
  <c r="L37" i="55"/>
  <c r="D90" i="70"/>
  <c r="F86" i="70"/>
  <c r="T74" i="67"/>
  <c r="X74" i="67" s="1"/>
  <c r="H268" i="15"/>
  <c r="T87" i="90"/>
  <c r="Z83" i="90"/>
  <c r="V83" i="90"/>
  <c r="Z27" i="22"/>
  <c r="T31" i="22"/>
  <c r="H117" i="51"/>
  <c r="J113" i="51"/>
  <c r="H77" i="56"/>
  <c r="X27" i="19"/>
  <c r="P31" i="19"/>
  <c r="T136" i="24"/>
  <c r="Z81" i="24"/>
  <c r="X24" i="67"/>
  <c r="Z24" i="67" s="1"/>
  <c r="Z27" i="53"/>
  <c r="T31" i="53"/>
  <c r="Z27" i="19"/>
  <c r="T31" i="19"/>
  <c r="X81" i="24"/>
  <c r="P136" i="24"/>
  <c r="H93" i="94"/>
  <c r="J89" i="94"/>
  <c r="X27" i="25"/>
  <c r="P31" i="25"/>
  <c r="H122" i="66"/>
  <c r="X28" i="36"/>
  <c r="P126" i="36"/>
  <c r="D167" i="30"/>
  <c r="L88" i="30"/>
  <c r="N88" i="30" s="1"/>
  <c r="T80" i="80"/>
  <c r="V76" i="80"/>
  <c r="Z27" i="25"/>
  <c r="T31" i="25"/>
  <c r="H31" i="6"/>
  <c r="N26" i="6"/>
  <c r="P131" i="39"/>
  <c r="X34" i="39"/>
  <c r="R34" i="39"/>
  <c r="D125" i="64"/>
  <c r="T31" i="14"/>
  <c r="Z27" i="14"/>
  <c r="Z27" i="40"/>
  <c r="T31" i="40"/>
  <c r="T31" i="75"/>
  <c r="V27" i="75"/>
  <c r="D34" i="78"/>
  <c r="L30" i="78"/>
  <c r="F30" i="78"/>
  <c r="H79" i="82"/>
  <c r="J75" i="82"/>
  <c r="T88" i="95"/>
  <c r="V84" i="95"/>
  <c r="T65" i="59"/>
  <c r="Z61" i="59"/>
  <c r="P31" i="35"/>
  <c r="X27" i="35"/>
  <c r="H91" i="68"/>
  <c r="J87" i="68"/>
  <c r="D31" i="20"/>
  <c r="L27" i="20"/>
  <c r="D31" i="25"/>
  <c r="L27" i="25"/>
  <c r="X27" i="50"/>
  <c r="P31" i="50"/>
  <c r="L27" i="32"/>
  <c r="D31" i="32"/>
  <c r="P26" i="6"/>
  <c r="X22" i="6"/>
  <c r="L22" i="54"/>
  <c r="D26" i="54"/>
  <c r="H113" i="71"/>
  <c r="N57" i="71"/>
  <c r="X24" i="72"/>
  <c r="Z24" i="72" s="1"/>
  <c r="P65" i="72"/>
  <c r="D75" i="82"/>
  <c r="L20" i="82"/>
  <c r="N20" i="82" s="1"/>
  <c r="X27" i="49"/>
  <c r="P31" i="49"/>
  <c r="T95" i="9"/>
  <c r="T127" i="27"/>
  <c r="V123" i="27"/>
  <c r="D83" i="79"/>
  <c r="L20" i="79"/>
  <c r="P31" i="46"/>
  <c r="X27" i="46"/>
  <c r="X46" i="91"/>
  <c r="Z46" i="91" s="1"/>
  <c r="P50" i="91"/>
  <c r="L27" i="43"/>
  <c r="D31" i="43"/>
  <c r="L189" i="18"/>
  <c r="D297" i="18"/>
  <c r="P73" i="48"/>
  <c r="X69" i="48"/>
  <c r="R69" i="48"/>
  <c r="X70" i="56"/>
  <c r="Z70" i="56" s="1"/>
  <c r="P74" i="56"/>
  <c r="X20" i="79"/>
  <c r="P83" i="79"/>
  <c r="L20" i="80"/>
  <c r="N20" i="80" s="1"/>
  <c r="D76" i="80"/>
  <c r="L27" i="8"/>
  <c r="D31" i="8"/>
  <c r="X23" i="45"/>
  <c r="Z23" i="45" s="1"/>
  <c r="P94" i="45"/>
  <c r="T113" i="71"/>
  <c r="D31" i="53"/>
  <c r="L27" i="53"/>
  <c r="P278" i="12"/>
  <c r="X168" i="12"/>
  <c r="Z168" i="12" s="1"/>
  <c r="H31" i="7"/>
  <c r="N27" i="7"/>
  <c r="N27" i="35"/>
  <c r="H31" i="35"/>
  <c r="P40" i="96"/>
  <c r="X36" i="96"/>
  <c r="L163" i="15"/>
  <c r="N163" i="15" s="1"/>
  <c r="D268" i="15"/>
  <c r="N27" i="14"/>
  <c r="H31" i="14"/>
  <c r="H31" i="38"/>
  <c r="N27" i="38"/>
  <c r="P297" i="18"/>
  <c r="X189" i="18"/>
  <c r="T86" i="70"/>
  <c r="Z27" i="52"/>
  <c r="T31" i="52"/>
  <c r="D31" i="100"/>
  <c r="L27" i="100"/>
  <c r="D58" i="61"/>
  <c r="N20" i="65"/>
  <c r="H68" i="65"/>
  <c r="P80" i="80"/>
  <c r="X76" i="80"/>
  <c r="Z76" i="80" s="1"/>
  <c r="N27" i="50"/>
  <c r="H31" i="50"/>
  <c r="D31" i="38"/>
  <c r="L27" i="38"/>
  <c r="L320" i="3"/>
  <c r="N320" i="3" s="1"/>
  <c r="D324" i="3"/>
  <c r="F320" i="3"/>
  <c r="P122" i="66"/>
  <c r="X61" i="66"/>
  <c r="H80" i="80"/>
  <c r="J76" i="80"/>
  <c r="T73" i="97"/>
  <c r="V69" i="97"/>
  <c r="D124" i="42"/>
  <c r="L28" i="42"/>
  <c r="N33" i="55"/>
  <c r="H37" i="55"/>
  <c r="L24" i="72"/>
  <c r="N24" i="72" s="1"/>
  <c r="D65" i="72"/>
  <c r="T82" i="82"/>
  <c r="V79" i="82"/>
  <c r="L168" i="12"/>
  <c r="N168" i="12" s="1"/>
  <c r="T50" i="91"/>
  <c r="P69" i="97"/>
  <c r="X17" i="97"/>
  <c r="Z17" i="97" s="1"/>
  <c r="Z27" i="41"/>
  <c r="T31" i="41"/>
  <c r="T74" i="56"/>
  <c r="P31" i="40"/>
  <c r="X27" i="40"/>
  <c r="X61" i="59"/>
  <c r="X34" i="78"/>
  <c r="P37" i="78"/>
  <c r="R34" i="78"/>
  <c r="N73" i="58"/>
  <c r="H77" i="58"/>
  <c r="N27" i="22"/>
  <c r="H31" i="22"/>
  <c r="H136" i="24"/>
  <c r="N27" i="100"/>
  <c r="H31" i="100"/>
  <c r="L61" i="59"/>
  <c r="N61" i="59" s="1"/>
  <c r="D65" i="59"/>
  <c r="T81" i="84"/>
  <c r="V77" i="84"/>
  <c r="H85" i="92"/>
  <c r="P31" i="5"/>
  <c r="X27" i="5"/>
  <c r="H50" i="88"/>
  <c r="Z36" i="96"/>
  <c r="T40" i="96"/>
  <c r="P31" i="13"/>
  <c r="X27" i="13"/>
  <c r="D31" i="52"/>
  <c r="L27" i="52"/>
  <c r="T86" i="76"/>
  <c r="V82" i="76"/>
  <c r="D31" i="26"/>
  <c r="L27" i="26"/>
  <c r="T105" i="33"/>
  <c r="V101" i="33"/>
  <c r="D73" i="97"/>
  <c r="L69" i="97"/>
  <c r="F69" i="97"/>
  <c r="H31" i="17"/>
  <c r="N27" i="17"/>
  <c r="J20" i="65"/>
  <c r="L89" i="94"/>
  <c r="N89" i="94" s="1"/>
  <c r="D93" i="94"/>
  <c r="F89" i="94"/>
  <c r="P268" i="15"/>
  <c r="X163" i="15"/>
  <c r="Z163" i="15" s="1"/>
  <c r="P31" i="32"/>
  <c r="X27" i="32"/>
  <c r="Z27" i="47"/>
  <c r="T31" i="47"/>
  <c r="D76" i="48"/>
  <c r="L73" i="48"/>
  <c r="F73" i="48"/>
  <c r="P96" i="85"/>
  <c r="X92" i="85"/>
  <c r="R92" i="85"/>
  <c r="H124" i="42"/>
  <c r="N28" i="42"/>
  <c r="L27" i="23"/>
  <c r="D31" i="23"/>
  <c r="D282" i="12"/>
  <c r="L278" i="12"/>
  <c r="F278" i="12"/>
  <c r="T297" i="18"/>
  <c r="Z189" i="18"/>
  <c r="X27" i="26"/>
  <c r="P31" i="26"/>
  <c r="D31" i="50"/>
  <c r="L27" i="50"/>
  <c r="Z103" i="62"/>
  <c r="T107" i="62"/>
  <c r="P68" i="59"/>
  <c r="X59" i="77"/>
  <c r="P128" i="77"/>
  <c r="P75" i="83"/>
  <c r="H73" i="57"/>
  <c r="Z27" i="44"/>
  <c r="T31" i="44"/>
  <c r="Z74" i="64"/>
  <c r="T121" i="64"/>
  <c r="Z27" i="38"/>
  <c r="T31" i="38"/>
  <c r="T31" i="31"/>
  <c r="Z27" i="31"/>
  <c r="N69" i="48"/>
  <c r="H73" i="48"/>
  <c r="J69" i="48"/>
  <c r="H63" i="89"/>
  <c r="N20" i="89"/>
  <c r="H95" i="9"/>
  <c r="L95" i="9" s="1"/>
  <c r="D107" i="62"/>
  <c r="L103" i="62"/>
  <c r="N103" i="62" s="1"/>
  <c r="X27" i="20"/>
  <c r="P31" i="20"/>
  <c r="T101" i="81"/>
  <c r="Z97" i="81"/>
  <c r="T31" i="4"/>
  <c r="Z27" i="4"/>
  <c r="X27" i="99"/>
  <c r="P31" i="99"/>
  <c r="L63" i="89"/>
  <c r="D67" i="89"/>
  <c r="H31" i="19"/>
  <c r="N27" i="19"/>
  <c r="T324" i="3"/>
  <c r="V320" i="3"/>
  <c r="N189" i="18"/>
  <c r="H297" i="18"/>
  <c r="L69" i="48"/>
  <c r="X27" i="4"/>
  <c r="P31" i="4"/>
  <c r="Z22" i="6"/>
  <c r="T26" i="6"/>
  <c r="T26" i="54"/>
  <c r="Z22" i="54"/>
  <c r="D96" i="85"/>
  <c r="F92" i="85"/>
  <c r="P85" i="92"/>
  <c r="X21" i="92"/>
  <c r="Z21" i="92" s="1"/>
  <c r="R21" i="92"/>
  <c r="P50" i="88"/>
  <c r="X46" i="88"/>
  <c r="T31" i="34"/>
  <c r="Z27" i="34"/>
  <c r="P121" i="64"/>
  <c r="X74" i="64"/>
  <c r="T77" i="58"/>
  <c r="Z20" i="83"/>
  <c r="T71" i="83"/>
  <c r="P84" i="95"/>
  <c r="X21" i="95"/>
  <c r="Z21" i="95" s="1"/>
  <c r="N27" i="40"/>
  <c r="H31" i="40"/>
  <c r="Z27" i="49"/>
  <c r="T31" i="49"/>
  <c r="R168" i="12"/>
  <c r="N72" i="74"/>
  <c r="H76" i="74"/>
  <c r="J72" i="74"/>
  <c r="H92" i="85"/>
  <c r="N20" i="85"/>
  <c r="H50" i="91"/>
  <c r="L27" i="11"/>
  <c r="D31" i="11"/>
  <c r="L27" i="34"/>
  <c r="D31" i="34"/>
  <c r="Z20" i="73"/>
  <c r="T71" i="73"/>
  <c r="T31" i="5"/>
  <c r="Z27" i="5"/>
  <c r="P113" i="51"/>
  <c r="X57" i="51"/>
  <c r="Z57" i="51" s="1"/>
  <c r="D77" i="58"/>
  <c r="L73" i="58"/>
  <c r="X20" i="83"/>
  <c r="T31" i="8"/>
  <c r="Z27" i="8"/>
  <c r="N27" i="34"/>
  <c r="H31" i="34"/>
  <c r="J81" i="24"/>
  <c r="T96" i="85"/>
  <c r="Z92" i="85"/>
  <c r="V92" i="85"/>
  <c r="P79" i="82"/>
  <c r="X75" i="82"/>
  <c r="Z75" i="82" s="1"/>
  <c r="H87" i="86"/>
  <c r="L20" i="86"/>
  <c r="N20" i="86" s="1"/>
  <c r="N27" i="32"/>
  <c r="H31" i="32"/>
  <c r="D31" i="29"/>
  <c r="L27" i="29"/>
  <c r="L27" i="40"/>
  <c r="D31" i="40"/>
  <c r="D128" i="77"/>
  <c r="L59" i="77"/>
  <c r="J34" i="39"/>
  <c r="L27" i="5"/>
  <c r="D31" i="5"/>
  <c r="D127" i="27"/>
  <c r="F123" i="27"/>
  <c r="T131" i="39"/>
  <c r="Z34" i="39"/>
  <c r="H78" i="67"/>
  <c r="J74" i="67"/>
  <c r="N27" i="10"/>
  <c r="H31" i="10"/>
  <c r="H324" i="3"/>
  <c r="J320" i="3"/>
  <c r="H68" i="59"/>
  <c r="D137" i="69"/>
  <c r="L79" i="69"/>
  <c r="N79" i="69" s="1"/>
  <c r="X21" i="75"/>
  <c r="Z21" i="75" s="1"/>
  <c r="P27" i="75"/>
  <c r="N20" i="76"/>
  <c r="H82" i="76"/>
  <c r="H84" i="95"/>
  <c r="N21" i="95"/>
  <c r="L27" i="10"/>
  <c r="D31" i="10"/>
  <c r="D50" i="88"/>
  <c r="L46" i="88"/>
  <c r="N46" i="88" s="1"/>
  <c r="X27" i="53"/>
  <c r="P31" i="53"/>
  <c r="D31" i="7"/>
  <c r="L27" i="7"/>
  <c r="P31" i="43"/>
  <c r="X27" i="43"/>
  <c r="P31" i="11"/>
  <c r="X27" i="11"/>
  <c r="P31" i="31"/>
  <c r="X27" i="31"/>
  <c r="X82" i="76"/>
  <c r="Z82" i="76" s="1"/>
  <c r="P86" i="76"/>
  <c r="N27" i="8"/>
  <c r="H31" i="8"/>
  <c r="L27" i="47"/>
  <c r="D31" i="47"/>
  <c r="X27" i="7"/>
  <c r="P31" i="7"/>
  <c r="L20" i="76"/>
  <c r="D82" i="76"/>
  <c r="D31" i="37"/>
  <c r="L27" i="37"/>
  <c r="T89" i="94"/>
  <c r="Z21" i="94"/>
  <c r="T55" i="61"/>
  <c r="T31" i="16"/>
  <c r="Z27" i="16"/>
  <c r="H55" i="61"/>
  <c r="L55" i="61" s="1"/>
  <c r="N51" i="61"/>
  <c r="N27" i="20"/>
  <c r="H31" i="20"/>
  <c r="N27" i="46"/>
  <c r="H31" i="46"/>
  <c r="H69" i="72"/>
  <c r="J65" i="72"/>
  <c r="H128" i="77"/>
  <c r="N59" i="77"/>
  <c r="N27" i="41"/>
  <c r="H31" i="41"/>
  <c r="D103" i="21"/>
  <c r="L27" i="21"/>
  <c r="N27" i="21" s="1"/>
  <c r="N27" i="26"/>
  <c r="H31" i="26"/>
  <c r="P84" i="84"/>
  <c r="X81" i="84"/>
  <c r="R81" i="84"/>
  <c r="P31" i="44"/>
  <c r="X27" i="44"/>
  <c r="Z27" i="98"/>
  <c r="T31" i="98"/>
  <c r="P76" i="74"/>
  <c r="X72" i="74"/>
  <c r="Z72" i="74" s="1"/>
  <c r="T63" i="89"/>
  <c r="Z20" i="89"/>
  <c r="X20" i="89"/>
  <c r="N27" i="13"/>
  <c r="H31" i="13"/>
  <c r="P54" i="60"/>
  <c r="X50" i="60"/>
  <c r="Z50" i="60" s="1"/>
  <c r="T122" i="66"/>
  <c r="Z61" i="66"/>
  <c r="P68" i="65"/>
  <c r="X20" i="65"/>
  <c r="D133" i="36"/>
  <c r="F130" i="36"/>
  <c r="V74" i="64"/>
  <c r="X40" i="33"/>
  <c r="Z40" i="33" s="1"/>
  <c r="P101" i="33"/>
  <c r="Z27" i="99"/>
  <c r="T31" i="99"/>
  <c r="H34" i="75"/>
  <c r="J31" i="75"/>
  <c r="T89" i="92"/>
  <c r="V85" i="92"/>
  <c r="Z27" i="21"/>
  <c r="T103" i="21"/>
  <c r="F189" i="18"/>
  <c r="X62" i="27"/>
  <c r="Z62" i="27" s="1"/>
  <c r="P123" i="27"/>
  <c r="R62" i="27"/>
  <c r="H75" i="83"/>
  <c r="J71" i="83"/>
  <c r="N58" i="63"/>
  <c r="H62" i="63"/>
  <c r="H31" i="5"/>
  <c r="N27" i="5"/>
  <c r="V57" i="71"/>
  <c r="X53" i="87"/>
  <c r="Z53" i="87" s="1"/>
  <c r="P57" i="87"/>
  <c r="R53" i="87"/>
  <c r="P77" i="58"/>
  <c r="X73" i="58"/>
  <c r="Z73" i="58" s="1"/>
  <c r="T117" i="51"/>
  <c r="V113" i="51"/>
  <c r="H86" i="70"/>
  <c r="N33" i="70"/>
  <c r="L33" i="70"/>
  <c r="H87" i="90"/>
  <c r="J83" i="90"/>
  <c r="N27" i="53"/>
  <c r="H31" i="53"/>
  <c r="P31" i="17"/>
  <c r="X27" i="17"/>
  <c r="X103" i="21"/>
  <c r="P107" i="21"/>
  <c r="R103" i="21"/>
  <c r="D31" i="19"/>
  <c r="L27" i="19"/>
  <c r="H94" i="45"/>
  <c r="N23" i="45"/>
  <c r="T37" i="55"/>
  <c r="Z52" i="68"/>
  <c r="T87" i="68"/>
  <c r="R33" i="70"/>
  <c r="L27" i="44"/>
  <c r="D31" i="44"/>
  <c r="L81" i="24"/>
  <c r="N81" i="24" s="1"/>
  <c r="D136" i="24"/>
  <c r="R79" i="69"/>
  <c r="D31" i="4"/>
  <c r="L27" i="4"/>
  <c r="X27" i="47"/>
  <c r="P31" i="47"/>
  <c r="T124" i="42"/>
  <c r="N27" i="11"/>
  <c r="H31" i="11"/>
  <c r="D26" i="6"/>
  <c r="L22" i="6"/>
  <c r="H26" i="54"/>
  <c r="N22" i="54"/>
  <c r="D122" i="66"/>
  <c r="L61" i="66"/>
  <c r="N61" i="66" s="1"/>
  <c r="D87" i="68"/>
  <c r="L52" i="68"/>
  <c r="N52" i="68" s="1"/>
  <c r="X77" i="84"/>
  <c r="Z77" i="84" s="1"/>
  <c r="P31" i="8"/>
  <c r="X27" i="8"/>
  <c r="L27" i="41"/>
  <c r="D31" i="41"/>
  <c r="X27" i="100"/>
  <c r="P31" i="100"/>
  <c r="T137" i="69"/>
  <c r="Z79" i="69"/>
  <c r="V79" i="69"/>
  <c r="P87" i="90"/>
  <c r="X83" i="90"/>
  <c r="Z88" i="30"/>
  <c r="T167" i="30"/>
  <c r="X167" i="30" s="1"/>
  <c r="L27" i="49"/>
  <c r="D31" i="49"/>
  <c r="H54" i="60"/>
  <c r="H107" i="21"/>
  <c r="J103" i="21"/>
  <c r="H126" i="36"/>
  <c r="N28" i="36"/>
  <c r="L28" i="36"/>
  <c r="X28" i="42"/>
  <c r="Z28" i="42" s="1"/>
  <c r="L27" i="22"/>
  <c r="D31" i="22"/>
  <c r="D98" i="9"/>
  <c r="R81" i="24"/>
  <c r="H81" i="84"/>
  <c r="J77" i="84"/>
  <c r="T31" i="11"/>
  <c r="Z27" i="11"/>
  <c r="N27" i="31"/>
  <c r="H31" i="31"/>
  <c r="P324" i="3"/>
  <c r="X320" i="3"/>
  <c r="Z320" i="3" s="1"/>
  <c r="R320" i="3"/>
  <c r="P95" i="9"/>
  <c r="X91" i="9"/>
  <c r="Z91" i="9" s="1"/>
  <c r="P87" i="68"/>
  <c r="X52" i="68"/>
  <c r="T68" i="65"/>
  <c r="Z20" i="65"/>
  <c r="D78" i="73"/>
  <c r="P31" i="37"/>
  <c r="X27" i="37"/>
  <c r="H31" i="25"/>
  <c r="N27" i="25"/>
  <c r="Z27" i="20"/>
  <c r="T31" i="20"/>
  <c r="H31" i="49"/>
  <c r="N27" i="49"/>
  <c r="N27" i="98"/>
  <c r="H31" i="98"/>
  <c r="T31" i="35"/>
  <c r="Z27" i="35"/>
  <c r="Z27" i="26"/>
  <c r="T31" i="26"/>
  <c r="N27" i="47"/>
  <c r="H31" i="47"/>
  <c r="H107" i="62"/>
  <c r="D117" i="71"/>
  <c r="L113" i="71"/>
  <c r="F113" i="71"/>
  <c r="V21" i="94"/>
  <c r="L27" i="28"/>
  <c r="D31" i="28"/>
  <c r="H101" i="33"/>
  <c r="T73" i="48"/>
  <c r="Z69" i="48"/>
  <c r="V69" i="48"/>
  <c r="L21" i="93"/>
  <c r="X27" i="10"/>
  <c r="P31" i="10"/>
  <c r="Z20" i="79"/>
  <c r="T83" i="79"/>
  <c r="L20" i="87"/>
  <c r="N20" i="87" s="1"/>
  <c r="D53" i="87"/>
  <c r="T126" i="36"/>
  <c r="Z28" i="36"/>
  <c r="H101" i="81"/>
  <c r="N97" i="81"/>
  <c r="Z27" i="32"/>
  <c r="T31" i="32"/>
  <c r="T31" i="50"/>
  <c r="Z27" i="50"/>
  <c r="D73" i="57"/>
  <c r="L69" i="57"/>
  <c r="N69" i="57" s="1"/>
  <c r="P55" i="61"/>
  <c r="X51" i="61"/>
  <c r="Z51" i="61" s="1"/>
  <c r="V61" i="66"/>
  <c r="T50" i="88"/>
  <c r="Z46" i="88"/>
  <c r="J28" i="42"/>
  <c r="T31" i="7"/>
  <c r="Z27" i="7"/>
  <c r="L24" i="67"/>
  <c r="N24" i="67" s="1"/>
  <c r="D74" i="67"/>
  <c r="P75" i="73"/>
  <c r="R71" i="73"/>
  <c r="X69" i="57"/>
  <c r="Z69" i="57" s="1"/>
  <c r="P73" i="57"/>
  <c r="N27" i="23"/>
  <c r="H31" i="23"/>
  <c r="T31" i="43"/>
  <c r="Z27" i="43"/>
  <c r="P128" i="42"/>
  <c r="R124" i="42"/>
  <c r="P113" i="71"/>
  <c r="X57" i="71"/>
  <c r="Z57" i="71" s="1"/>
  <c r="N27" i="43"/>
  <c r="H31" i="43"/>
  <c r="L91" i="9"/>
  <c r="N91" i="9" s="1"/>
  <c r="P89" i="94"/>
  <c r="X21" i="94"/>
  <c r="Z27" i="13"/>
  <c r="T31" i="13"/>
  <c r="T31" i="10"/>
  <c r="Z27" i="10"/>
  <c r="H123" i="27"/>
  <c r="L123" i="27" s="1"/>
  <c r="N62" i="27"/>
  <c r="D74" i="56"/>
  <c r="L70" i="56"/>
  <c r="N70" i="56" s="1"/>
  <c r="D81" i="84"/>
  <c r="L77" i="84"/>
  <c r="N77" i="84" s="1"/>
  <c r="D76" i="74"/>
  <c r="L72" i="74"/>
  <c r="T31" i="17"/>
  <c r="Z27" i="17"/>
  <c r="F23" i="45"/>
  <c r="X103" i="62"/>
  <c r="L27" i="31"/>
  <c r="D31" i="31"/>
  <c r="D89" i="92"/>
  <c r="L85" i="92"/>
  <c r="P31" i="22"/>
  <c r="X27" i="22"/>
  <c r="X27" i="23"/>
  <c r="P31" i="23"/>
  <c r="Z27" i="29"/>
  <c r="T31" i="29"/>
  <c r="D65" i="63"/>
  <c r="L62" i="63"/>
  <c r="J61" i="66"/>
  <c r="H83" i="79"/>
  <c r="N20" i="79"/>
  <c r="D40" i="96"/>
  <c r="L36" i="96"/>
  <c r="N36" i="96" s="1"/>
  <c r="P70" i="89"/>
  <c r="T31" i="37"/>
  <c r="Z27" i="37"/>
  <c r="L50" i="60"/>
  <c r="N50" i="60" s="1"/>
  <c r="D54" i="60"/>
  <c r="N74" i="64"/>
  <c r="H121" i="64"/>
  <c r="Z59" i="77"/>
  <c r="T128" i="77"/>
  <c r="D55" i="93"/>
  <c r="L51" i="93"/>
  <c r="L27" i="14"/>
  <c r="D31" i="14"/>
  <c r="L27" i="46"/>
  <c r="D31" i="46"/>
  <c r="T98" i="45"/>
  <c r="V94" i="45"/>
  <c r="D31" i="17"/>
  <c r="L27" i="17"/>
  <c r="P37" i="55"/>
  <c r="X33" i="55"/>
  <c r="Z33" i="55" s="1"/>
  <c r="D31" i="99"/>
  <c r="L27" i="99"/>
  <c r="L27" i="35"/>
  <c r="D31" i="35"/>
  <c r="L27" i="98"/>
  <c r="D31" i="98"/>
  <c r="V88" i="30"/>
  <c r="Z30" i="78"/>
  <c r="T34" i="78"/>
  <c r="V30" i="78"/>
  <c r="T62" i="63"/>
  <c r="Z58" i="63"/>
  <c r="X58" i="63"/>
  <c r="J20" i="86"/>
  <c r="X27" i="98"/>
  <c r="P31" i="98"/>
  <c r="P26" i="54"/>
  <c r="X22" i="54"/>
  <c r="D101" i="81"/>
  <c r="L97" i="81"/>
  <c r="D94" i="86"/>
  <c r="L40" i="33"/>
  <c r="N40" i="33" s="1"/>
  <c r="D101" i="33"/>
  <c r="N30" i="78"/>
  <c r="H34" i="78"/>
  <c r="T91" i="86"/>
  <c r="V87" i="86"/>
  <c r="P31" i="41"/>
  <c r="X27" i="41"/>
  <c r="N27" i="29"/>
  <c r="H31" i="29"/>
  <c r="T69" i="72"/>
  <c r="V65" i="72"/>
  <c r="X27" i="16"/>
  <c r="P31" i="16"/>
  <c r="T278" i="12"/>
  <c r="P110" i="62"/>
  <c r="X107" i="62"/>
  <c r="D50" i="91"/>
  <c r="L46" i="91"/>
  <c r="N46" i="91" s="1"/>
  <c r="X31" i="16" l="1"/>
  <c r="P36" i="16"/>
  <c r="H37" i="78"/>
  <c r="X73" i="57"/>
  <c r="Z73" i="57" s="1"/>
  <c r="P76" i="57"/>
  <c r="X76" i="57" s="1"/>
  <c r="Z76" i="57" s="1"/>
  <c r="T130" i="36"/>
  <c r="V126" i="36"/>
  <c r="N101" i="33"/>
  <c r="H105" i="33"/>
  <c r="J101" i="33"/>
  <c r="X31" i="37"/>
  <c r="P36" i="37"/>
  <c r="N31" i="31"/>
  <c r="H36" i="31"/>
  <c r="N36" i="31" s="1"/>
  <c r="T128" i="42"/>
  <c r="V124" i="42"/>
  <c r="H36" i="53"/>
  <c r="N36" i="53" s="1"/>
  <c r="N31" i="53"/>
  <c r="X77" i="58"/>
  <c r="Z77" i="58" s="1"/>
  <c r="P80" i="58"/>
  <c r="Z31" i="99"/>
  <c r="T36" i="99"/>
  <c r="Z36" i="99" s="1"/>
  <c r="T126" i="66"/>
  <c r="V122" i="66"/>
  <c r="H132" i="77"/>
  <c r="J128" i="77"/>
  <c r="T58" i="61"/>
  <c r="N31" i="8"/>
  <c r="H36" i="8"/>
  <c r="N36" i="8" s="1"/>
  <c r="X31" i="53"/>
  <c r="P36" i="53"/>
  <c r="T75" i="73"/>
  <c r="Z71" i="73"/>
  <c r="V71" i="73"/>
  <c r="L31" i="23"/>
  <c r="D36" i="23"/>
  <c r="L73" i="97"/>
  <c r="D76" i="97"/>
  <c r="F73" i="97"/>
  <c r="P36" i="13"/>
  <c r="X31" i="13"/>
  <c r="L65" i="59"/>
  <c r="N65" i="59" s="1"/>
  <c r="D68" i="59"/>
  <c r="L68" i="59" s="1"/>
  <c r="T90" i="70"/>
  <c r="V86" i="70"/>
  <c r="L31" i="43"/>
  <c r="D36" i="43"/>
  <c r="T98" i="9"/>
  <c r="P31" i="6"/>
  <c r="X31" i="6" s="1"/>
  <c r="X26" i="6"/>
  <c r="D37" i="78"/>
  <c r="L34" i="78"/>
  <c r="N34" i="78" s="1"/>
  <c r="F34" i="78"/>
  <c r="P135" i="39"/>
  <c r="X131" i="39"/>
  <c r="R131" i="39"/>
  <c r="H43" i="96"/>
  <c r="T60" i="87"/>
  <c r="V57" i="87"/>
  <c r="X31" i="29"/>
  <c r="P36" i="29"/>
  <c r="D36" i="99"/>
  <c r="L31" i="99"/>
  <c r="P36" i="22"/>
  <c r="X31" i="22"/>
  <c r="D84" i="84"/>
  <c r="L81" i="84"/>
  <c r="N31" i="43"/>
  <c r="H36" i="43"/>
  <c r="N36" i="43" s="1"/>
  <c r="D57" i="87"/>
  <c r="L53" i="87"/>
  <c r="F53" i="87"/>
  <c r="L31" i="28"/>
  <c r="D36" i="28"/>
  <c r="X31" i="47"/>
  <c r="P36" i="47"/>
  <c r="T40" i="55"/>
  <c r="P127" i="27"/>
  <c r="X123" i="27"/>
  <c r="Z123" i="27" s="1"/>
  <c r="R123" i="27"/>
  <c r="P36" i="44"/>
  <c r="X31" i="44"/>
  <c r="D141" i="69"/>
  <c r="L137" i="69"/>
  <c r="N137" i="69" s="1"/>
  <c r="F137" i="69"/>
  <c r="Z131" i="39"/>
  <c r="T135" i="39"/>
  <c r="V131" i="39"/>
  <c r="D36" i="29"/>
  <c r="L31" i="29"/>
  <c r="N31" i="34"/>
  <c r="H36" i="34"/>
  <c r="N36" i="34" s="1"/>
  <c r="X121" i="64"/>
  <c r="Z121" i="64" s="1"/>
  <c r="P125" i="64"/>
  <c r="R121" i="64"/>
  <c r="T31" i="54"/>
  <c r="Z26" i="54"/>
  <c r="H36" i="19"/>
  <c r="N36" i="19" s="1"/>
  <c r="N31" i="19"/>
  <c r="L107" i="62"/>
  <c r="D110" i="62"/>
  <c r="T125" i="64"/>
  <c r="V121" i="64"/>
  <c r="Z107" i="62"/>
  <c r="T110" i="62"/>
  <c r="P36" i="32"/>
  <c r="X31" i="32"/>
  <c r="T43" i="96"/>
  <c r="L76" i="80"/>
  <c r="N76" i="80" s="1"/>
  <c r="D80" i="80"/>
  <c r="X31" i="49"/>
  <c r="P36" i="49"/>
  <c r="L31" i="32"/>
  <c r="D36" i="32"/>
  <c r="P36" i="35"/>
  <c r="X31" i="35"/>
  <c r="N122" i="66"/>
  <c r="H126" i="66"/>
  <c r="J122" i="66"/>
  <c r="X31" i="28"/>
  <c r="P36" i="28"/>
  <c r="P36" i="14"/>
  <c r="X31" i="14"/>
  <c r="P90" i="70"/>
  <c r="X86" i="70"/>
  <c r="Z86" i="70" s="1"/>
  <c r="R86" i="70"/>
  <c r="T36" i="28"/>
  <c r="Z36" i="28" s="1"/>
  <c r="Z31" i="28"/>
  <c r="L40" i="96"/>
  <c r="N40" i="96" s="1"/>
  <c r="D43" i="96"/>
  <c r="L43" i="96" s="1"/>
  <c r="H72" i="72"/>
  <c r="J69" i="72"/>
  <c r="L31" i="34"/>
  <c r="D36" i="34"/>
  <c r="P301" i="18"/>
  <c r="X297" i="18"/>
  <c r="R297" i="18"/>
  <c r="P174" i="30"/>
  <c r="R171" i="30"/>
  <c r="N126" i="36"/>
  <c r="H130" i="36"/>
  <c r="L126" i="36"/>
  <c r="J126" i="36"/>
  <c r="L87" i="68"/>
  <c r="N87" i="68" s="1"/>
  <c r="D91" i="68"/>
  <c r="T31" i="6"/>
  <c r="Z26" i="6"/>
  <c r="P83" i="80"/>
  <c r="X80" i="80"/>
  <c r="X31" i="52"/>
  <c r="P36" i="52"/>
  <c r="T65" i="63"/>
  <c r="X62" i="63"/>
  <c r="Z62" i="63" s="1"/>
  <c r="T93" i="94"/>
  <c r="V89" i="94"/>
  <c r="T72" i="72"/>
  <c r="V69" i="72"/>
  <c r="H87" i="79"/>
  <c r="J83" i="79"/>
  <c r="L31" i="31"/>
  <c r="D36" i="31"/>
  <c r="X113" i="71"/>
  <c r="P117" i="71"/>
  <c r="R113" i="71"/>
  <c r="X71" i="73"/>
  <c r="D76" i="57"/>
  <c r="L73" i="57"/>
  <c r="Z68" i="65"/>
  <c r="T72" i="65"/>
  <c r="V68" i="65"/>
  <c r="L122" i="66"/>
  <c r="D126" i="66"/>
  <c r="F122" i="66"/>
  <c r="D36" i="4"/>
  <c r="L31" i="4"/>
  <c r="H98" i="45"/>
  <c r="J94" i="45"/>
  <c r="H90" i="90"/>
  <c r="J87" i="90"/>
  <c r="Z103" i="21"/>
  <c r="T107" i="21"/>
  <c r="V103" i="21"/>
  <c r="R84" i="84"/>
  <c r="N31" i="46"/>
  <c r="H36" i="46"/>
  <c r="N36" i="46" s="1"/>
  <c r="L31" i="10"/>
  <c r="D36" i="10"/>
  <c r="T36" i="8"/>
  <c r="Z36" i="8" s="1"/>
  <c r="Z31" i="8"/>
  <c r="L31" i="11"/>
  <c r="D36" i="11"/>
  <c r="N31" i="40"/>
  <c r="H36" i="40"/>
  <c r="N36" i="40" s="1"/>
  <c r="X31" i="4"/>
  <c r="P36" i="4"/>
  <c r="X31" i="99"/>
  <c r="P36" i="99"/>
  <c r="L31" i="50"/>
  <c r="D36" i="50"/>
  <c r="H140" i="24"/>
  <c r="J136" i="24"/>
  <c r="Z74" i="56"/>
  <c r="T77" i="56"/>
  <c r="L65" i="72"/>
  <c r="N65" i="72" s="1"/>
  <c r="D69" i="72"/>
  <c r="H36" i="38"/>
  <c r="N36" i="38" s="1"/>
  <c r="N31" i="38"/>
  <c r="P282" i="12"/>
  <c r="X278" i="12"/>
  <c r="R278" i="12"/>
  <c r="L75" i="82"/>
  <c r="N75" i="82" s="1"/>
  <c r="D79" i="82"/>
  <c r="Z31" i="40"/>
  <c r="T36" i="40"/>
  <c r="Z36" i="40" s="1"/>
  <c r="X31" i="19"/>
  <c r="P36" i="19"/>
  <c r="L31" i="75"/>
  <c r="N31" i="75" s="1"/>
  <c r="D34" i="75"/>
  <c r="F31" i="75"/>
  <c r="N31" i="37"/>
  <c r="H36" i="37"/>
  <c r="N36" i="37" s="1"/>
  <c r="H282" i="12"/>
  <c r="N278" i="12"/>
  <c r="J278" i="12"/>
  <c r="D135" i="39"/>
  <c r="L131" i="39"/>
  <c r="N131" i="39" s="1"/>
  <c r="F131" i="39"/>
  <c r="X31" i="34"/>
  <c r="P36" i="34"/>
  <c r="N31" i="52"/>
  <c r="H36" i="52"/>
  <c r="N36" i="52" s="1"/>
  <c r="D72" i="65"/>
  <c r="L68" i="65"/>
  <c r="T132" i="77"/>
  <c r="V128" i="77"/>
  <c r="T87" i="79"/>
  <c r="V83" i="79"/>
  <c r="N31" i="13"/>
  <c r="H36" i="13"/>
  <c r="N36" i="13" s="1"/>
  <c r="T108" i="33"/>
  <c r="V105" i="33"/>
  <c r="T90" i="90"/>
  <c r="Z87" i="90"/>
  <c r="V87" i="90"/>
  <c r="Z31" i="46"/>
  <c r="T36" i="46"/>
  <c r="Z36" i="46" s="1"/>
  <c r="H36" i="29"/>
  <c r="N36" i="29" s="1"/>
  <c r="N31" i="29"/>
  <c r="Z34" i="78"/>
  <c r="T37" i="78"/>
  <c r="V34" i="78"/>
  <c r="D36" i="17"/>
  <c r="L31" i="17"/>
  <c r="H125" i="64"/>
  <c r="J121" i="64"/>
  <c r="N123" i="27"/>
  <c r="H127" i="27"/>
  <c r="J123" i="27"/>
  <c r="D78" i="67"/>
  <c r="L74" i="67"/>
  <c r="N74" i="67" s="1"/>
  <c r="X31" i="10"/>
  <c r="P36" i="10"/>
  <c r="N81" i="84"/>
  <c r="H84" i="84"/>
  <c r="J81" i="84"/>
  <c r="T141" i="69"/>
  <c r="V137" i="69"/>
  <c r="N31" i="26"/>
  <c r="H36" i="26"/>
  <c r="N36" i="26" s="1"/>
  <c r="D36" i="37"/>
  <c r="L31" i="37"/>
  <c r="P36" i="31"/>
  <c r="X31" i="31"/>
  <c r="L31" i="5"/>
  <c r="D36" i="5"/>
  <c r="X50" i="88"/>
  <c r="P53" i="88"/>
  <c r="H67" i="89"/>
  <c r="N63" i="89"/>
  <c r="J63" i="89"/>
  <c r="X31" i="26"/>
  <c r="P36" i="26"/>
  <c r="L93" i="94"/>
  <c r="D96" i="94"/>
  <c r="F93" i="94"/>
  <c r="D36" i="26"/>
  <c r="L31" i="26"/>
  <c r="P126" i="66"/>
  <c r="X122" i="66"/>
  <c r="Z122" i="66" s="1"/>
  <c r="R122" i="66"/>
  <c r="L58" i="61"/>
  <c r="N31" i="14"/>
  <c r="H36" i="14"/>
  <c r="N36" i="14" s="1"/>
  <c r="X74" i="56"/>
  <c r="P77" i="56"/>
  <c r="P36" i="46"/>
  <c r="X31" i="46"/>
  <c r="X65" i="72"/>
  <c r="Z65" i="72" s="1"/>
  <c r="P69" i="72"/>
  <c r="H272" i="15"/>
  <c r="J268" i="15"/>
  <c r="Z79" i="74"/>
  <c r="V79" i="74"/>
  <c r="X31" i="38"/>
  <c r="P36" i="38"/>
  <c r="P81" i="67"/>
  <c r="P131" i="42"/>
  <c r="X128" i="42"/>
  <c r="R128" i="42"/>
  <c r="T36" i="50"/>
  <c r="Z36" i="50" s="1"/>
  <c r="Z31" i="50"/>
  <c r="D120" i="71"/>
  <c r="L117" i="71"/>
  <c r="F117" i="71"/>
  <c r="H36" i="49"/>
  <c r="N36" i="49" s="1"/>
  <c r="N31" i="49"/>
  <c r="P91" i="68"/>
  <c r="X87" i="68"/>
  <c r="H110" i="21"/>
  <c r="J107" i="21"/>
  <c r="X31" i="100"/>
  <c r="P36" i="100"/>
  <c r="H31" i="54"/>
  <c r="N26" i="54"/>
  <c r="D140" i="24"/>
  <c r="L136" i="24"/>
  <c r="N136" i="24" s="1"/>
  <c r="D36" i="19"/>
  <c r="L31" i="19"/>
  <c r="H36" i="5"/>
  <c r="N36" i="5" s="1"/>
  <c r="N31" i="5"/>
  <c r="N31" i="20"/>
  <c r="H36" i="20"/>
  <c r="N36" i="20" s="1"/>
  <c r="D86" i="76"/>
  <c r="L82" i="76"/>
  <c r="H329" i="3"/>
  <c r="N324" i="3"/>
  <c r="J324" i="3"/>
  <c r="H91" i="86"/>
  <c r="N87" i="86"/>
  <c r="J87" i="86"/>
  <c r="L87" i="86"/>
  <c r="H76" i="57"/>
  <c r="N73" i="57"/>
  <c r="P99" i="85"/>
  <c r="X96" i="85"/>
  <c r="R96" i="85"/>
  <c r="X31" i="5"/>
  <c r="P36" i="5"/>
  <c r="N31" i="22"/>
  <c r="H36" i="22"/>
  <c r="N36" i="22" s="1"/>
  <c r="Z31" i="41"/>
  <c r="T36" i="41"/>
  <c r="Z36" i="41" s="1"/>
  <c r="H40" i="55"/>
  <c r="L40" i="55" s="1"/>
  <c r="N37" i="55"/>
  <c r="L31" i="53"/>
  <c r="D36" i="53"/>
  <c r="D36" i="25"/>
  <c r="L31" i="25"/>
  <c r="T91" i="95"/>
  <c r="V88" i="95"/>
  <c r="Z80" i="80"/>
  <c r="T83" i="80"/>
  <c r="V80" i="80"/>
  <c r="N93" i="94"/>
  <c r="H96" i="94"/>
  <c r="J93" i="94"/>
  <c r="H57" i="87"/>
  <c r="N53" i="87"/>
  <c r="J53" i="87"/>
  <c r="L31" i="13"/>
  <c r="D36" i="13"/>
  <c r="L84" i="95"/>
  <c r="D88" i="95"/>
  <c r="Z31" i="23"/>
  <c r="T36" i="23"/>
  <c r="Z36" i="23" s="1"/>
  <c r="H36" i="16"/>
  <c r="N36" i="16" s="1"/>
  <c r="N31" i="16"/>
  <c r="T36" i="35"/>
  <c r="Z36" i="35" s="1"/>
  <c r="Z31" i="35"/>
  <c r="D92" i="92"/>
  <c r="H53" i="88"/>
  <c r="P87" i="79"/>
  <c r="X83" i="79"/>
  <c r="Z83" i="79" s="1"/>
  <c r="T140" i="24"/>
  <c r="V136" i="24"/>
  <c r="D78" i="83"/>
  <c r="L75" i="83"/>
  <c r="L50" i="91"/>
  <c r="D53" i="91"/>
  <c r="L101" i="81"/>
  <c r="D104" i="81"/>
  <c r="T101" i="45"/>
  <c r="V98" i="45"/>
  <c r="L54" i="60"/>
  <c r="N54" i="60" s="1"/>
  <c r="D57" i="60"/>
  <c r="T36" i="10"/>
  <c r="Z36" i="10" s="1"/>
  <c r="Z31" i="10"/>
  <c r="X124" i="42"/>
  <c r="Z124" i="42" s="1"/>
  <c r="Z31" i="32"/>
  <c r="T36" i="32"/>
  <c r="Z36" i="32" s="1"/>
  <c r="Z31" i="20"/>
  <c r="T36" i="20"/>
  <c r="Z36" i="20" s="1"/>
  <c r="H57" i="60"/>
  <c r="H90" i="70"/>
  <c r="J86" i="70"/>
  <c r="N62" i="63"/>
  <c r="H65" i="63"/>
  <c r="T92" i="92"/>
  <c r="V89" i="92"/>
  <c r="T67" i="89"/>
  <c r="V63" i="89"/>
  <c r="X63" i="89"/>
  <c r="Z63" i="89" s="1"/>
  <c r="P36" i="11"/>
  <c r="X31" i="11"/>
  <c r="N84" i="95"/>
  <c r="H88" i="95"/>
  <c r="J84" i="95"/>
  <c r="N31" i="10"/>
  <c r="H36" i="10"/>
  <c r="N36" i="10" s="1"/>
  <c r="D80" i="58"/>
  <c r="L80" i="58" s="1"/>
  <c r="L77" i="58"/>
  <c r="H53" i="91"/>
  <c r="N50" i="91"/>
  <c r="P88" i="95"/>
  <c r="X84" i="95"/>
  <c r="Z84" i="95" s="1"/>
  <c r="H301" i="18"/>
  <c r="J297" i="18"/>
  <c r="T36" i="4"/>
  <c r="Z36" i="4" s="1"/>
  <c r="Z31" i="4"/>
  <c r="N73" i="48"/>
  <c r="H76" i="48"/>
  <c r="L76" i="48" s="1"/>
  <c r="J73" i="48"/>
  <c r="X75" i="83"/>
  <c r="P78" i="83"/>
  <c r="Z86" i="76"/>
  <c r="T89" i="76"/>
  <c r="V86" i="76"/>
  <c r="L324" i="3"/>
  <c r="D329" i="3"/>
  <c r="F324" i="3"/>
  <c r="D272" i="15"/>
  <c r="L268" i="15"/>
  <c r="N268" i="15" s="1"/>
  <c r="F268" i="15"/>
  <c r="L83" i="79"/>
  <c r="N83" i="79" s="1"/>
  <c r="D87" i="79"/>
  <c r="T36" i="14"/>
  <c r="Z36" i="14" s="1"/>
  <c r="Z31" i="14"/>
  <c r="P140" i="24"/>
  <c r="X136" i="24"/>
  <c r="Z136" i="24" s="1"/>
  <c r="R136" i="24"/>
  <c r="T78" i="67"/>
  <c r="Z74" i="67"/>
  <c r="V74" i="67"/>
  <c r="X137" i="69"/>
  <c r="Z137" i="69" s="1"/>
  <c r="P141" i="69"/>
  <c r="R137" i="69"/>
  <c r="D58" i="93"/>
  <c r="L55" i="93"/>
  <c r="P90" i="90"/>
  <c r="X90" i="90" s="1"/>
  <c r="X87" i="90"/>
  <c r="X57" i="87"/>
  <c r="Z57" i="87" s="1"/>
  <c r="P60" i="87"/>
  <c r="R57" i="87"/>
  <c r="N31" i="32"/>
  <c r="H36" i="32"/>
  <c r="N36" i="32" s="1"/>
  <c r="D70" i="89"/>
  <c r="L67" i="89"/>
  <c r="P53" i="91"/>
  <c r="X53" i="91" s="1"/>
  <c r="X50" i="91"/>
  <c r="N31" i="28"/>
  <c r="H36" i="28"/>
  <c r="N36" i="28" s="1"/>
  <c r="T36" i="11"/>
  <c r="Z36" i="11" s="1"/>
  <c r="Z31" i="11"/>
  <c r="N68" i="59"/>
  <c r="T68" i="59"/>
  <c r="P36" i="41"/>
  <c r="X31" i="41"/>
  <c r="L31" i="98"/>
  <c r="D36" i="98"/>
  <c r="Z31" i="29"/>
  <c r="T36" i="29"/>
  <c r="Z36" i="29" s="1"/>
  <c r="Z31" i="13"/>
  <c r="T36" i="13"/>
  <c r="Z36" i="13" s="1"/>
  <c r="T36" i="7"/>
  <c r="Z36" i="7" s="1"/>
  <c r="Z31" i="7"/>
  <c r="N107" i="62"/>
  <c r="H110" i="62"/>
  <c r="P98" i="9"/>
  <c r="X98" i="9" s="1"/>
  <c r="X95" i="9"/>
  <c r="Z95" i="9" s="1"/>
  <c r="L31" i="41"/>
  <c r="D36" i="41"/>
  <c r="D31" i="6"/>
  <c r="L31" i="6" s="1"/>
  <c r="N31" i="6" s="1"/>
  <c r="L26" i="6"/>
  <c r="L31" i="44"/>
  <c r="D36" i="44"/>
  <c r="X107" i="21"/>
  <c r="P110" i="21"/>
  <c r="R107" i="21"/>
  <c r="F133" i="36"/>
  <c r="D107" i="21"/>
  <c r="L103" i="21"/>
  <c r="N103" i="21" s="1"/>
  <c r="F103" i="21"/>
  <c r="X31" i="7"/>
  <c r="P36" i="7"/>
  <c r="H86" i="76"/>
  <c r="N82" i="76"/>
  <c r="J82" i="76"/>
  <c r="X79" i="82"/>
  <c r="Z79" i="82" s="1"/>
  <c r="P82" i="82"/>
  <c r="X82" i="82" s="1"/>
  <c r="T75" i="83"/>
  <c r="V71" i="83"/>
  <c r="P89" i="92"/>
  <c r="X85" i="92"/>
  <c r="Z85" i="92" s="1"/>
  <c r="R85" i="92"/>
  <c r="X71" i="83"/>
  <c r="Z71" i="83" s="1"/>
  <c r="T301" i="18"/>
  <c r="Z297" i="18"/>
  <c r="V297" i="18"/>
  <c r="N85" i="92"/>
  <c r="H89" i="92"/>
  <c r="L89" i="92" s="1"/>
  <c r="J85" i="92"/>
  <c r="N77" i="58"/>
  <c r="H80" i="58"/>
  <c r="D36" i="100"/>
  <c r="L31" i="100"/>
  <c r="T117" i="71"/>
  <c r="Z113" i="71"/>
  <c r="V113" i="71"/>
  <c r="H117" i="71"/>
  <c r="N113" i="71"/>
  <c r="J113" i="71"/>
  <c r="D36" i="20"/>
  <c r="L31" i="20"/>
  <c r="H82" i="82"/>
  <c r="J79" i="82"/>
  <c r="L125" i="64"/>
  <c r="D128" i="64"/>
  <c r="X104" i="81"/>
  <c r="P91" i="86"/>
  <c r="X87" i="86"/>
  <c r="Z87" i="86" s="1"/>
  <c r="L31" i="16"/>
  <c r="D36" i="16"/>
  <c r="D98" i="45"/>
  <c r="L94" i="45"/>
  <c r="N94" i="45" s="1"/>
  <c r="F94" i="45"/>
  <c r="P57" i="60"/>
  <c r="X57" i="60" s="1"/>
  <c r="X54" i="60"/>
  <c r="Z31" i="49"/>
  <c r="T36" i="49"/>
  <c r="Z36" i="49" s="1"/>
  <c r="H36" i="7"/>
  <c r="N36" i="7" s="1"/>
  <c r="N31" i="7"/>
  <c r="X31" i="25"/>
  <c r="P36" i="25"/>
  <c r="D77" i="56"/>
  <c r="L77" i="56" s="1"/>
  <c r="N77" i="56" s="1"/>
  <c r="L74" i="56"/>
  <c r="N74" i="56" s="1"/>
  <c r="N31" i="98"/>
  <c r="H36" i="98"/>
  <c r="N36" i="98" s="1"/>
  <c r="D53" i="88"/>
  <c r="L53" i="88" s="1"/>
  <c r="L50" i="88"/>
  <c r="N50" i="88" s="1"/>
  <c r="T36" i="34"/>
  <c r="Z36" i="34" s="1"/>
  <c r="Z31" i="34"/>
  <c r="P272" i="15"/>
  <c r="X268" i="15"/>
  <c r="R268" i="15"/>
  <c r="H72" i="65"/>
  <c r="N68" i="65"/>
  <c r="J68" i="65"/>
  <c r="Z31" i="25"/>
  <c r="T36" i="25"/>
  <c r="Z36" i="25" s="1"/>
  <c r="X110" i="62"/>
  <c r="P31" i="54"/>
  <c r="X31" i="54" s="1"/>
  <c r="X26" i="54"/>
  <c r="L31" i="46"/>
  <c r="D36" i="46"/>
  <c r="Z31" i="17"/>
  <c r="T36" i="17"/>
  <c r="Z36" i="17" s="1"/>
  <c r="T36" i="43"/>
  <c r="Z36" i="43" s="1"/>
  <c r="Z31" i="43"/>
  <c r="N31" i="47"/>
  <c r="H36" i="47"/>
  <c r="N36" i="47" s="1"/>
  <c r="L31" i="49"/>
  <c r="D36" i="49"/>
  <c r="N31" i="11"/>
  <c r="H36" i="11"/>
  <c r="N36" i="11" s="1"/>
  <c r="P79" i="74"/>
  <c r="X79" i="74" s="1"/>
  <c r="X76" i="74"/>
  <c r="Z76" i="74" s="1"/>
  <c r="N31" i="41"/>
  <c r="H36" i="41"/>
  <c r="N36" i="41" s="1"/>
  <c r="N55" i="61"/>
  <c r="H58" i="61"/>
  <c r="P36" i="43"/>
  <c r="X31" i="43"/>
  <c r="D132" i="77"/>
  <c r="L128" i="77"/>
  <c r="N128" i="77" s="1"/>
  <c r="F128" i="77"/>
  <c r="P117" i="51"/>
  <c r="X113" i="51"/>
  <c r="Z113" i="51" s="1"/>
  <c r="R113" i="51"/>
  <c r="H96" i="85"/>
  <c r="J92" i="85"/>
  <c r="Z101" i="81"/>
  <c r="T104" i="81"/>
  <c r="P132" i="77"/>
  <c r="X128" i="77"/>
  <c r="Z128" i="77" s="1"/>
  <c r="R128" i="77"/>
  <c r="F76" i="48"/>
  <c r="H36" i="17"/>
  <c r="N36" i="17" s="1"/>
  <c r="N31" i="17"/>
  <c r="X69" i="97"/>
  <c r="Z69" i="97" s="1"/>
  <c r="P73" i="97"/>
  <c r="R69" i="97"/>
  <c r="D128" i="42"/>
  <c r="L124" i="42"/>
  <c r="F124" i="42"/>
  <c r="Z31" i="52"/>
  <c r="T36" i="52"/>
  <c r="Z36" i="52" s="1"/>
  <c r="X94" i="45"/>
  <c r="Z94" i="45" s="1"/>
  <c r="P98" i="45"/>
  <c r="R94" i="45"/>
  <c r="X73" i="48"/>
  <c r="P76" i="48"/>
  <c r="R73" i="48"/>
  <c r="D31" i="54"/>
  <c r="L31" i="54" s="1"/>
  <c r="L26" i="54"/>
  <c r="L121" i="64"/>
  <c r="N121" i="64" s="1"/>
  <c r="D171" i="30"/>
  <c r="L167" i="30"/>
  <c r="N167" i="30" s="1"/>
  <c r="F167" i="30"/>
  <c r="Z31" i="19"/>
  <c r="T36" i="19"/>
  <c r="Z36" i="19" s="1"/>
  <c r="H120" i="51"/>
  <c r="J117" i="51"/>
  <c r="L90" i="70"/>
  <c r="D93" i="70"/>
  <c r="F90" i="70"/>
  <c r="X101" i="81"/>
  <c r="Z31" i="100"/>
  <c r="T36" i="100"/>
  <c r="Z36" i="100" s="1"/>
  <c r="L83" i="90"/>
  <c r="N83" i="90" s="1"/>
  <c r="D87" i="90"/>
  <c r="H174" i="30"/>
  <c r="J171" i="30"/>
  <c r="H135" i="39"/>
  <c r="J131" i="39"/>
  <c r="P58" i="61"/>
  <c r="X58" i="61" s="1"/>
  <c r="X55" i="61"/>
  <c r="Z55" i="61" s="1"/>
  <c r="X86" i="76"/>
  <c r="P89" i="76"/>
  <c r="X89" i="76" s="1"/>
  <c r="N95" i="9"/>
  <c r="H98" i="9"/>
  <c r="H83" i="80"/>
  <c r="J80" i="80"/>
  <c r="T57" i="60"/>
  <c r="Z54" i="60"/>
  <c r="X37" i="55"/>
  <c r="Z37" i="55" s="1"/>
  <c r="P40" i="55"/>
  <c r="X40" i="55" s="1"/>
  <c r="X75" i="73"/>
  <c r="P78" i="73"/>
  <c r="R75" i="73"/>
  <c r="L127" i="27"/>
  <c r="D130" i="27"/>
  <c r="F127" i="27"/>
  <c r="H128" i="42"/>
  <c r="N124" i="42"/>
  <c r="J124" i="42"/>
  <c r="Z82" i="82"/>
  <c r="V82" i="82"/>
  <c r="T34" i="75"/>
  <c r="V31" i="75"/>
  <c r="N73" i="97"/>
  <c r="H76" i="97"/>
  <c r="J73" i="97"/>
  <c r="X55" i="93"/>
  <c r="P58" i="93"/>
  <c r="X31" i="98"/>
  <c r="P36" i="98"/>
  <c r="L31" i="35"/>
  <c r="D36" i="35"/>
  <c r="T36" i="37"/>
  <c r="Z36" i="37" s="1"/>
  <c r="Z31" i="37"/>
  <c r="X31" i="23"/>
  <c r="P36" i="23"/>
  <c r="N31" i="23"/>
  <c r="H36" i="23"/>
  <c r="N36" i="23" s="1"/>
  <c r="N101" i="81"/>
  <c r="H104" i="81"/>
  <c r="T76" i="48"/>
  <c r="Z73" i="48"/>
  <c r="V73" i="48"/>
  <c r="H36" i="25"/>
  <c r="N36" i="25" s="1"/>
  <c r="N31" i="25"/>
  <c r="L31" i="22"/>
  <c r="D36" i="22"/>
  <c r="T120" i="51"/>
  <c r="V117" i="51"/>
  <c r="J34" i="75"/>
  <c r="X68" i="65"/>
  <c r="P72" i="65"/>
  <c r="Z31" i="98"/>
  <c r="T36" i="98"/>
  <c r="Z36" i="98" s="1"/>
  <c r="L31" i="47"/>
  <c r="D36" i="47"/>
  <c r="P31" i="75"/>
  <c r="X27" i="75"/>
  <c r="Z27" i="75" s="1"/>
  <c r="R27" i="75"/>
  <c r="H81" i="67"/>
  <c r="J78" i="67"/>
  <c r="L31" i="40"/>
  <c r="D36" i="40"/>
  <c r="L36" i="40" s="1"/>
  <c r="L96" i="85"/>
  <c r="D99" i="85"/>
  <c r="F96" i="85"/>
  <c r="X31" i="20"/>
  <c r="P36" i="20"/>
  <c r="T36" i="31"/>
  <c r="Z36" i="31" s="1"/>
  <c r="Z31" i="31"/>
  <c r="Z31" i="47"/>
  <c r="T36" i="47"/>
  <c r="Z36" i="47" s="1"/>
  <c r="D36" i="52"/>
  <c r="L31" i="52"/>
  <c r="Z50" i="91"/>
  <c r="T53" i="91"/>
  <c r="D36" i="38"/>
  <c r="L31" i="38"/>
  <c r="X40" i="96"/>
  <c r="Z40" i="96" s="1"/>
  <c r="P43" i="96"/>
  <c r="X43" i="96" s="1"/>
  <c r="D301" i="18"/>
  <c r="L297" i="18"/>
  <c r="N297" i="18" s="1"/>
  <c r="F297" i="18"/>
  <c r="T130" i="27"/>
  <c r="V127" i="27"/>
  <c r="H94" i="68"/>
  <c r="J91" i="68"/>
  <c r="P130" i="36"/>
  <c r="X126" i="36"/>
  <c r="Z126" i="36" s="1"/>
  <c r="R126" i="36"/>
  <c r="L86" i="70"/>
  <c r="N86" i="70" s="1"/>
  <c r="T272" i="15"/>
  <c r="Z268" i="15"/>
  <c r="V268" i="15"/>
  <c r="T58" i="93"/>
  <c r="Z55" i="93"/>
  <c r="V55" i="93"/>
  <c r="N51" i="93"/>
  <c r="H55" i="93"/>
  <c r="L101" i="33"/>
  <c r="D105" i="33"/>
  <c r="F101" i="33"/>
  <c r="H36" i="100"/>
  <c r="N36" i="100" s="1"/>
  <c r="N31" i="100"/>
  <c r="P105" i="33"/>
  <c r="X101" i="33"/>
  <c r="Z101" i="33" s="1"/>
  <c r="R101" i="33"/>
  <c r="Z31" i="44"/>
  <c r="T36" i="44"/>
  <c r="Z36" i="44" s="1"/>
  <c r="P36" i="40"/>
  <c r="X31" i="40"/>
  <c r="X31" i="50"/>
  <c r="P36" i="50"/>
  <c r="Z278" i="12"/>
  <c r="T282" i="12"/>
  <c r="V278" i="12"/>
  <c r="T94" i="86"/>
  <c r="V91" i="86"/>
  <c r="L31" i="14"/>
  <c r="D36" i="14"/>
  <c r="D79" i="74"/>
  <c r="L76" i="74"/>
  <c r="P93" i="94"/>
  <c r="X89" i="94"/>
  <c r="Z89" i="94" s="1"/>
  <c r="R89" i="94"/>
  <c r="Z50" i="88"/>
  <c r="T53" i="88"/>
  <c r="Z31" i="26"/>
  <c r="T36" i="26"/>
  <c r="Z36" i="26" s="1"/>
  <c r="P329" i="3"/>
  <c r="X324" i="3"/>
  <c r="Z324" i="3" s="1"/>
  <c r="R324" i="3"/>
  <c r="Z167" i="30"/>
  <c r="T171" i="30"/>
  <c r="X171" i="30" s="1"/>
  <c r="V167" i="30"/>
  <c r="P36" i="8"/>
  <c r="X31" i="8"/>
  <c r="T91" i="68"/>
  <c r="Z87" i="68"/>
  <c r="V87" i="68"/>
  <c r="P36" i="17"/>
  <c r="X31" i="17"/>
  <c r="H78" i="83"/>
  <c r="N75" i="83"/>
  <c r="J75" i="83"/>
  <c r="T36" i="16"/>
  <c r="Z36" i="16" s="1"/>
  <c r="Z31" i="16"/>
  <c r="L31" i="7"/>
  <c r="D36" i="7"/>
  <c r="T99" i="85"/>
  <c r="Z96" i="85"/>
  <c r="V96" i="85"/>
  <c r="T36" i="5"/>
  <c r="Z36" i="5" s="1"/>
  <c r="Z31" i="5"/>
  <c r="N76" i="74"/>
  <c r="H79" i="74"/>
  <c r="J76" i="74"/>
  <c r="T80" i="58"/>
  <c r="L92" i="85"/>
  <c r="N92" i="85" s="1"/>
  <c r="T329" i="3"/>
  <c r="V324" i="3"/>
  <c r="Z31" i="38"/>
  <c r="T36" i="38"/>
  <c r="Z36" i="38" s="1"/>
  <c r="X65" i="59"/>
  <c r="Z65" i="59" s="1"/>
  <c r="L282" i="12"/>
  <c r="D285" i="12"/>
  <c r="F282" i="12"/>
  <c r="Z81" i="84"/>
  <c r="T84" i="84"/>
  <c r="V81" i="84"/>
  <c r="X37" i="78"/>
  <c r="R37" i="78"/>
  <c r="T76" i="97"/>
  <c r="V73" i="97"/>
  <c r="N31" i="50"/>
  <c r="H36" i="50"/>
  <c r="N36" i="50" s="1"/>
  <c r="N31" i="35"/>
  <c r="H36" i="35"/>
  <c r="N36" i="35" s="1"/>
  <c r="L31" i="8"/>
  <c r="D36" i="8"/>
  <c r="Z31" i="53"/>
  <c r="T36" i="53"/>
  <c r="Z36" i="53" s="1"/>
  <c r="Z31" i="22"/>
  <c r="T36" i="22"/>
  <c r="Z36" i="22" s="1"/>
  <c r="H75" i="73"/>
  <c r="L71" i="73"/>
  <c r="N71" i="73" s="1"/>
  <c r="J71" i="73"/>
  <c r="H144" i="69"/>
  <c r="J141" i="69"/>
  <c r="D117" i="51"/>
  <c r="L113" i="51"/>
  <c r="N113" i="51" s="1"/>
  <c r="F113" i="51"/>
  <c r="H36" i="44"/>
  <c r="N36" i="44" s="1"/>
  <c r="N31" i="44"/>
  <c r="N31" i="4"/>
  <c r="H36" i="4"/>
  <c r="N36" i="4" s="1"/>
  <c r="H36" i="99"/>
  <c r="N36" i="99" s="1"/>
  <c r="N31" i="99"/>
  <c r="L36" i="13" l="1"/>
  <c r="L36" i="8"/>
  <c r="L36" i="46"/>
  <c r="L36" i="7"/>
  <c r="X36" i="50"/>
  <c r="L36" i="53"/>
  <c r="L36" i="37"/>
  <c r="X36" i="8"/>
  <c r="X36" i="17"/>
  <c r="L36" i="38"/>
  <c r="X36" i="25"/>
  <c r="L36" i="98"/>
  <c r="L36" i="20"/>
  <c r="L36" i="19"/>
  <c r="L36" i="47"/>
  <c r="X36" i="11"/>
  <c r="L36" i="31"/>
  <c r="L36" i="16"/>
  <c r="X36" i="7"/>
  <c r="X36" i="5"/>
  <c r="L36" i="52"/>
  <c r="X36" i="23"/>
  <c r="X36" i="32"/>
  <c r="X36" i="44"/>
  <c r="X36" i="41"/>
  <c r="X36" i="46"/>
  <c r="X36" i="98"/>
  <c r="L36" i="10"/>
  <c r="X36" i="35"/>
  <c r="L128" i="64"/>
  <c r="T120" i="71"/>
  <c r="V117" i="71"/>
  <c r="L88" i="95"/>
  <c r="D91" i="95"/>
  <c r="H94" i="86"/>
  <c r="J91" i="86"/>
  <c r="L91" i="86"/>
  <c r="N91" i="86" s="1"/>
  <c r="L36" i="11"/>
  <c r="H90" i="79"/>
  <c r="J87" i="79"/>
  <c r="X36" i="52"/>
  <c r="D144" i="69"/>
  <c r="L141" i="69"/>
  <c r="N141" i="69" s="1"/>
  <c r="F141" i="69"/>
  <c r="L37" i="78"/>
  <c r="F37" i="78"/>
  <c r="V99" i="85"/>
  <c r="T94" i="68"/>
  <c r="V91" i="68"/>
  <c r="Z272" i="15"/>
  <c r="T275" i="15"/>
  <c r="V272" i="15"/>
  <c r="V120" i="51"/>
  <c r="J76" i="97"/>
  <c r="L87" i="90"/>
  <c r="N87" i="90" s="1"/>
  <c r="D90" i="90"/>
  <c r="L90" i="90" s="1"/>
  <c r="L36" i="41"/>
  <c r="L58" i="93"/>
  <c r="X78" i="83"/>
  <c r="V101" i="45"/>
  <c r="P90" i="79"/>
  <c r="X87" i="79"/>
  <c r="D143" i="24"/>
  <c r="L143" i="24" s="1"/>
  <c r="L140" i="24"/>
  <c r="N140" i="24" s="1"/>
  <c r="N127" i="27"/>
  <c r="H130" i="27"/>
  <c r="J127" i="27"/>
  <c r="T90" i="79"/>
  <c r="Z87" i="79"/>
  <c r="V87" i="79"/>
  <c r="L135" i="39"/>
  <c r="D138" i="39"/>
  <c r="F135" i="39"/>
  <c r="Z72" i="65"/>
  <c r="T75" i="65"/>
  <c r="V72" i="65"/>
  <c r="Z110" i="62"/>
  <c r="P128" i="64"/>
  <c r="X125" i="64"/>
  <c r="Z125" i="64" s="1"/>
  <c r="R125" i="64"/>
  <c r="X36" i="13"/>
  <c r="X80" i="58"/>
  <c r="H108" i="33"/>
  <c r="J105" i="33"/>
  <c r="L36" i="100"/>
  <c r="Z91" i="95"/>
  <c r="V91" i="95"/>
  <c r="H143" i="24"/>
  <c r="J140" i="24"/>
  <c r="X174" i="30"/>
  <c r="R174" i="30"/>
  <c r="X36" i="20"/>
  <c r="P34" i="75"/>
  <c r="X31" i="75"/>
  <c r="Z31" i="75" s="1"/>
  <c r="R31" i="75"/>
  <c r="L36" i="22"/>
  <c r="R78" i="73"/>
  <c r="L132" i="77"/>
  <c r="N132" i="77" s="1"/>
  <c r="D135" i="77"/>
  <c r="F132" i="77"/>
  <c r="J82" i="82"/>
  <c r="N80" i="58"/>
  <c r="L107" i="21"/>
  <c r="N107" i="21" s="1"/>
  <c r="D110" i="21"/>
  <c r="F107" i="21"/>
  <c r="L98" i="9"/>
  <c r="N98" i="9" s="1"/>
  <c r="X141" i="69"/>
  <c r="P144" i="69"/>
  <c r="R141" i="69"/>
  <c r="L104" i="81"/>
  <c r="J329" i="3"/>
  <c r="N31" i="54"/>
  <c r="F120" i="71"/>
  <c r="H70" i="89"/>
  <c r="N67" i="89"/>
  <c r="J67" i="89"/>
  <c r="Z141" i="69"/>
  <c r="T144" i="69"/>
  <c r="V141" i="69"/>
  <c r="T135" i="77"/>
  <c r="V132" i="77"/>
  <c r="X83" i="80"/>
  <c r="L36" i="32"/>
  <c r="L76" i="97"/>
  <c r="N76" i="97" s="1"/>
  <c r="F76" i="97"/>
  <c r="Z94" i="86"/>
  <c r="V94" i="86"/>
  <c r="L130" i="27"/>
  <c r="F130" i="27"/>
  <c r="D120" i="51"/>
  <c r="L117" i="51"/>
  <c r="N117" i="51" s="1"/>
  <c r="F117" i="51"/>
  <c r="V84" i="84"/>
  <c r="Z80" i="58"/>
  <c r="X93" i="94"/>
  <c r="P96" i="94"/>
  <c r="R93" i="94"/>
  <c r="L105" i="33"/>
  <c r="N105" i="33" s="1"/>
  <c r="D108" i="33"/>
  <c r="F105" i="33"/>
  <c r="L171" i="30"/>
  <c r="N171" i="30" s="1"/>
  <c r="D174" i="30"/>
  <c r="F171" i="30"/>
  <c r="P135" i="77"/>
  <c r="X132" i="77"/>
  <c r="Z132" i="77" s="1"/>
  <c r="R132" i="77"/>
  <c r="Z75" i="83"/>
  <c r="T78" i="83"/>
  <c r="V75" i="83"/>
  <c r="N76" i="48"/>
  <c r="J76" i="48"/>
  <c r="X36" i="100"/>
  <c r="H275" i="15"/>
  <c r="J272" i="15"/>
  <c r="X53" i="88"/>
  <c r="N282" i="12"/>
  <c r="H285" i="12"/>
  <c r="J282" i="12"/>
  <c r="L36" i="50"/>
  <c r="L76" i="57"/>
  <c r="N76" i="57" s="1"/>
  <c r="T128" i="64"/>
  <c r="V125" i="64"/>
  <c r="N43" i="96"/>
  <c r="Z98" i="9"/>
  <c r="Z58" i="61"/>
  <c r="Z53" i="88"/>
  <c r="X88" i="95"/>
  <c r="Z88" i="95" s="1"/>
  <c r="P91" i="95"/>
  <c r="X91" i="95" s="1"/>
  <c r="L87" i="79"/>
  <c r="N87" i="79" s="1"/>
  <c r="D90" i="79"/>
  <c r="L90" i="79" s="1"/>
  <c r="Z171" i="30"/>
  <c r="T174" i="30"/>
  <c r="V171" i="30"/>
  <c r="X130" i="36"/>
  <c r="Z130" i="36" s="1"/>
  <c r="P133" i="36"/>
  <c r="R130" i="36"/>
  <c r="V34" i="75"/>
  <c r="Z104" i="81"/>
  <c r="X36" i="43"/>
  <c r="L53" i="91"/>
  <c r="N53" i="91" s="1"/>
  <c r="L36" i="25"/>
  <c r="D89" i="76"/>
  <c r="L86" i="76"/>
  <c r="X126" i="66"/>
  <c r="P129" i="66"/>
  <c r="R126" i="66"/>
  <c r="N125" i="64"/>
  <c r="H128" i="64"/>
  <c r="J125" i="64"/>
  <c r="Z90" i="90"/>
  <c r="V90" i="90"/>
  <c r="Z72" i="72"/>
  <c r="V72" i="72"/>
  <c r="Z31" i="6"/>
  <c r="X301" i="18"/>
  <c r="P304" i="18"/>
  <c r="R301" i="18"/>
  <c r="P93" i="70"/>
  <c r="X90" i="70"/>
  <c r="Z90" i="70" s="1"/>
  <c r="R90" i="70"/>
  <c r="X36" i="49"/>
  <c r="P130" i="27"/>
  <c r="X127" i="27"/>
  <c r="Z127" i="27" s="1"/>
  <c r="R127" i="27"/>
  <c r="L36" i="43"/>
  <c r="L36" i="23"/>
  <c r="T133" i="36"/>
  <c r="V130" i="36"/>
  <c r="N53" i="88"/>
  <c r="N90" i="90"/>
  <c r="J90" i="90"/>
  <c r="L79" i="74"/>
  <c r="N79" i="74" s="1"/>
  <c r="N55" i="93"/>
  <c r="H58" i="93"/>
  <c r="F99" i="85"/>
  <c r="L36" i="35"/>
  <c r="L128" i="42"/>
  <c r="N128" i="42" s="1"/>
  <c r="D131" i="42"/>
  <c r="F128" i="42"/>
  <c r="N58" i="61"/>
  <c r="L98" i="45"/>
  <c r="N98" i="45" s="1"/>
  <c r="D101" i="45"/>
  <c r="F98" i="45"/>
  <c r="N89" i="92"/>
  <c r="H92" i="92"/>
  <c r="J89" i="92"/>
  <c r="N110" i="62"/>
  <c r="D275" i="15"/>
  <c r="L272" i="15"/>
  <c r="N272" i="15" s="1"/>
  <c r="F272" i="15"/>
  <c r="V92" i="92"/>
  <c r="H60" i="87"/>
  <c r="J57" i="87"/>
  <c r="X99" i="85"/>
  <c r="Z99" i="85" s="1"/>
  <c r="R99" i="85"/>
  <c r="P72" i="72"/>
  <c r="X72" i="72" s="1"/>
  <c r="X69" i="72"/>
  <c r="Z69" i="72" s="1"/>
  <c r="L36" i="5"/>
  <c r="N84" i="84"/>
  <c r="J84" i="84"/>
  <c r="D75" i="65"/>
  <c r="L72" i="65"/>
  <c r="N72" i="65" s="1"/>
  <c r="P285" i="12"/>
  <c r="X282" i="12"/>
  <c r="Z282" i="12" s="1"/>
  <c r="R282" i="12"/>
  <c r="X36" i="99"/>
  <c r="H101" i="45"/>
  <c r="J98" i="45"/>
  <c r="L91" i="68"/>
  <c r="N91" i="68" s="1"/>
  <c r="D94" i="68"/>
  <c r="L94" i="68" s="1"/>
  <c r="N94" i="68" s="1"/>
  <c r="L36" i="34"/>
  <c r="L110" i="62"/>
  <c r="L36" i="29"/>
  <c r="L84" i="84"/>
  <c r="Z128" i="42"/>
  <c r="T131" i="42"/>
  <c r="X131" i="42" s="1"/>
  <c r="V128" i="42"/>
  <c r="X98" i="45"/>
  <c r="Z98" i="45" s="1"/>
  <c r="P101" i="45"/>
  <c r="R98" i="45"/>
  <c r="J144" i="69"/>
  <c r="L285" i="12"/>
  <c r="F285" i="12"/>
  <c r="J79" i="74"/>
  <c r="X36" i="40"/>
  <c r="J94" i="68"/>
  <c r="Z53" i="91"/>
  <c r="L93" i="70"/>
  <c r="F93" i="70"/>
  <c r="H75" i="65"/>
  <c r="J72" i="65"/>
  <c r="X110" i="21"/>
  <c r="R110" i="21"/>
  <c r="T81" i="67"/>
  <c r="V78" i="67"/>
  <c r="J110" i="21"/>
  <c r="L36" i="26"/>
  <c r="L36" i="17"/>
  <c r="X117" i="71"/>
  <c r="Z117" i="71" s="1"/>
  <c r="P120" i="71"/>
  <c r="R117" i="71"/>
  <c r="Z93" i="94"/>
  <c r="T96" i="94"/>
  <c r="V93" i="94"/>
  <c r="X36" i="14"/>
  <c r="D83" i="80"/>
  <c r="L83" i="80" s="1"/>
  <c r="L80" i="80"/>
  <c r="N80" i="80" s="1"/>
  <c r="Z40" i="55"/>
  <c r="X68" i="59"/>
  <c r="Z68" i="59" s="1"/>
  <c r="H135" i="77"/>
  <c r="J132" i="77"/>
  <c r="N57" i="60"/>
  <c r="L79" i="82"/>
  <c r="N79" i="82" s="1"/>
  <c r="D82" i="82"/>
  <c r="L82" i="82" s="1"/>
  <c r="N82" i="82" s="1"/>
  <c r="J78" i="83"/>
  <c r="L36" i="14"/>
  <c r="X72" i="65"/>
  <c r="P75" i="65"/>
  <c r="X75" i="65" s="1"/>
  <c r="Z57" i="60"/>
  <c r="X73" i="97"/>
  <c r="Z73" i="97" s="1"/>
  <c r="P76" i="97"/>
  <c r="R73" i="97"/>
  <c r="N96" i="85"/>
  <c r="H99" i="85"/>
  <c r="L99" i="85" s="1"/>
  <c r="J96" i="85"/>
  <c r="X60" i="87"/>
  <c r="R60" i="87"/>
  <c r="L329" i="3"/>
  <c r="N329" i="3" s="1"/>
  <c r="F329" i="3"/>
  <c r="N88" i="95"/>
  <c r="H91" i="95"/>
  <c r="J88" i="95"/>
  <c r="L78" i="83"/>
  <c r="N78" i="83" s="1"/>
  <c r="N96" i="94"/>
  <c r="J96" i="94"/>
  <c r="R131" i="42"/>
  <c r="X36" i="10"/>
  <c r="V108" i="33"/>
  <c r="L34" i="75"/>
  <c r="N34" i="75" s="1"/>
  <c r="F34" i="75"/>
  <c r="X36" i="4"/>
  <c r="L36" i="4"/>
  <c r="X36" i="28"/>
  <c r="T138" i="39"/>
  <c r="Z135" i="39"/>
  <c r="V135" i="39"/>
  <c r="X36" i="47"/>
  <c r="X36" i="22"/>
  <c r="P108" i="33"/>
  <c r="X105" i="33"/>
  <c r="Z105" i="33" s="1"/>
  <c r="R105" i="33"/>
  <c r="N83" i="80"/>
  <c r="J83" i="80"/>
  <c r="L36" i="49"/>
  <c r="P92" i="92"/>
  <c r="X89" i="92"/>
  <c r="Z89" i="92" s="1"/>
  <c r="R89" i="92"/>
  <c r="D60" i="87"/>
  <c r="L57" i="87"/>
  <c r="N57" i="87" s="1"/>
  <c r="F57" i="87"/>
  <c r="X329" i="3"/>
  <c r="Z329" i="3" s="1"/>
  <c r="R329" i="3"/>
  <c r="Z76" i="48"/>
  <c r="V76" i="48"/>
  <c r="N135" i="39"/>
  <c r="H138" i="39"/>
  <c r="J135" i="39"/>
  <c r="X76" i="48"/>
  <c r="R76" i="48"/>
  <c r="H120" i="71"/>
  <c r="N117" i="71"/>
  <c r="J117" i="71"/>
  <c r="L36" i="44"/>
  <c r="H304" i="18"/>
  <c r="J301" i="18"/>
  <c r="L65" i="63"/>
  <c r="N65" i="63" s="1"/>
  <c r="N40" i="55"/>
  <c r="X78" i="67"/>
  <c r="Z78" i="67" s="1"/>
  <c r="L96" i="94"/>
  <c r="F96" i="94"/>
  <c r="X36" i="31"/>
  <c r="Z37" i="78"/>
  <c r="V37" i="78"/>
  <c r="X36" i="34"/>
  <c r="L69" i="72"/>
  <c r="N69" i="72" s="1"/>
  <c r="D72" i="72"/>
  <c r="L72" i="72" s="1"/>
  <c r="N72" i="72" s="1"/>
  <c r="X84" i="84"/>
  <c r="Z84" i="84" s="1"/>
  <c r="J72" i="72"/>
  <c r="P138" i="39"/>
  <c r="X135" i="39"/>
  <c r="R135" i="39"/>
  <c r="T93" i="70"/>
  <c r="V90" i="70"/>
  <c r="Z126" i="66"/>
  <c r="T129" i="66"/>
  <c r="V126" i="66"/>
  <c r="N37" i="78"/>
  <c r="X117" i="51"/>
  <c r="Z117" i="51" s="1"/>
  <c r="P120" i="51"/>
  <c r="R117" i="51"/>
  <c r="V329" i="3"/>
  <c r="D304" i="18"/>
  <c r="L301" i="18"/>
  <c r="N301" i="18" s="1"/>
  <c r="F301" i="18"/>
  <c r="Z60" i="87"/>
  <c r="V60" i="87"/>
  <c r="Z58" i="93"/>
  <c r="V58" i="93"/>
  <c r="N104" i="81"/>
  <c r="X58" i="93"/>
  <c r="H131" i="42"/>
  <c r="J128" i="42"/>
  <c r="J120" i="51"/>
  <c r="X272" i="15"/>
  <c r="P275" i="15"/>
  <c r="R272" i="15"/>
  <c r="P94" i="86"/>
  <c r="X94" i="86" s="1"/>
  <c r="X91" i="86"/>
  <c r="Z91" i="86" s="1"/>
  <c r="Z301" i="18"/>
  <c r="T304" i="18"/>
  <c r="V301" i="18"/>
  <c r="H89" i="76"/>
  <c r="N86" i="76"/>
  <c r="J86" i="76"/>
  <c r="N90" i="70"/>
  <c r="H93" i="70"/>
  <c r="J90" i="70"/>
  <c r="L57" i="60"/>
  <c r="P94" i="68"/>
  <c r="X94" i="68" s="1"/>
  <c r="X91" i="68"/>
  <c r="Z91" i="68" s="1"/>
  <c r="X81" i="67"/>
  <c r="X77" i="56"/>
  <c r="X36" i="19"/>
  <c r="L126" i="66"/>
  <c r="D129" i="66"/>
  <c r="F126" i="66"/>
  <c r="H133" i="36"/>
  <c r="J130" i="36"/>
  <c r="L130" i="36"/>
  <c r="N130" i="36" s="1"/>
  <c r="Z43" i="96"/>
  <c r="L36" i="28"/>
  <c r="L36" i="99"/>
  <c r="Z75" i="73"/>
  <c r="T78" i="73"/>
  <c r="X78" i="73" s="1"/>
  <c r="V75" i="73"/>
  <c r="X36" i="37"/>
  <c r="X36" i="16"/>
  <c r="T285" i="12"/>
  <c r="V282" i="12"/>
  <c r="T70" i="89"/>
  <c r="V67" i="89"/>
  <c r="X67" i="89"/>
  <c r="Z67" i="89" s="1"/>
  <c r="H78" i="73"/>
  <c r="J75" i="73"/>
  <c r="L75" i="73"/>
  <c r="N75" i="73" s="1"/>
  <c r="V76" i="97"/>
  <c r="V130" i="27"/>
  <c r="N81" i="67"/>
  <c r="J81" i="67"/>
  <c r="J174" i="30"/>
  <c r="X140" i="24"/>
  <c r="P143" i="24"/>
  <c r="R140" i="24"/>
  <c r="Z89" i="76"/>
  <c r="V89" i="76"/>
  <c r="Z140" i="24"/>
  <c r="T143" i="24"/>
  <c r="V140" i="24"/>
  <c r="Z83" i="80"/>
  <c r="V83" i="80"/>
  <c r="X36" i="38"/>
  <c r="X36" i="26"/>
  <c r="D81" i="67"/>
  <c r="L81" i="67" s="1"/>
  <c r="L78" i="67"/>
  <c r="N78" i="67" s="1"/>
  <c r="Z77" i="56"/>
  <c r="Z107" i="21"/>
  <c r="T110" i="21"/>
  <c r="V107" i="21"/>
  <c r="X65" i="63"/>
  <c r="Z65" i="63" s="1"/>
  <c r="N126" i="66"/>
  <c r="H129" i="66"/>
  <c r="J126" i="66"/>
  <c r="Z31" i="54"/>
  <c r="X36" i="29"/>
  <c r="X36" i="53"/>
  <c r="X275" i="15" l="1"/>
  <c r="R275" i="15"/>
  <c r="J304" i="18"/>
  <c r="J135" i="77"/>
  <c r="L75" i="65"/>
  <c r="N285" i="12"/>
  <c r="J285" i="12"/>
  <c r="Z78" i="83"/>
  <c r="V78" i="83"/>
  <c r="X96" i="94"/>
  <c r="R96" i="94"/>
  <c r="X128" i="64"/>
  <c r="R128" i="64"/>
  <c r="N130" i="27"/>
  <c r="J130" i="27"/>
  <c r="Z110" i="21"/>
  <c r="V110" i="21"/>
  <c r="N93" i="70"/>
  <c r="J93" i="70"/>
  <c r="Z129" i="66"/>
  <c r="V129" i="66"/>
  <c r="L131" i="42"/>
  <c r="F131" i="42"/>
  <c r="N128" i="64"/>
  <c r="J128" i="64"/>
  <c r="L275" i="15"/>
  <c r="F275" i="15"/>
  <c r="X93" i="70"/>
  <c r="R93" i="70"/>
  <c r="X133" i="36"/>
  <c r="R133" i="36"/>
  <c r="N70" i="89"/>
  <c r="J70" i="89"/>
  <c r="L110" i="21"/>
  <c r="N110" i="21" s="1"/>
  <c r="F110" i="21"/>
  <c r="Z75" i="65"/>
  <c r="V75" i="65"/>
  <c r="X143" i="24"/>
  <c r="Z143" i="24" s="1"/>
  <c r="R143" i="24"/>
  <c r="L129" i="66"/>
  <c r="F129" i="66"/>
  <c r="X129" i="66"/>
  <c r="R129" i="66"/>
  <c r="N275" i="15"/>
  <c r="J275" i="15"/>
  <c r="X135" i="77"/>
  <c r="R135" i="77"/>
  <c r="X34" i="75"/>
  <c r="Z34" i="75" s="1"/>
  <c r="R34" i="75"/>
  <c r="N78" i="73"/>
  <c r="J78" i="73"/>
  <c r="L78" i="73"/>
  <c r="J89" i="76"/>
  <c r="L304" i="18"/>
  <c r="N304" i="18" s="1"/>
  <c r="F304" i="18"/>
  <c r="Z93" i="70"/>
  <c r="V93" i="70"/>
  <c r="J120" i="71"/>
  <c r="L60" i="87"/>
  <c r="F60" i="87"/>
  <c r="X101" i="45"/>
  <c r="Z101" i="45" s="1"/>
  <c r="R101" i="45"/>
  <c r="J101" i="45"/>
  <c r="Z133" i="36"/>
  <c r="V133" i="36"/>
  <c r="X304" i="18"/>
  <c r="R304" i="18"/>
  <c r="L120" i="71"/>
  <c r="N120" i="71" s="1"/>
  <c r="X90" i="79"/>
  <c r="Z90" i="79" s="1"/>
  <c r="N94" i="86"/>
  <c r="J94" i="86"/>
  <c r="L94" i="86"/>
  <c r="V285" i="12"/>
  <c r="X108" i="33"/>
  <c r="Z108" i="33" s="1"/>
  <c r="R108" i="33"/>
  <c r="N131" i="42"/>
  <c r="J131" i="42"/>
  <c r="Z174" i="30"/>
  <c r="V174" i="30"/>
  <c r="J108" i="33"/>
  <c r="L138" i="39"/>
  <c r="F138" i="39"/>
  <c r="L91" i="95"/>
  <c r="Z78" i="73"/>
  <c r="V78" i="73"/>
  <c r="N99" i="85"/>
  <c r="J99" i="85"/>
  <c r="J92" i="92"/>
  <c r="N58" i="93"/>
  <c r="L174" i="30"/>
  <c r="N174" i="30" s="1"/>
  <c r="F174" i="30"/>
  <c r="Z304" i="18"/>
  <c r="V304" i="18"/>
  <c r="V138" i="39"/>
  <c r="Z81" i="67"/>
  <c r="V81" i="67"/>
  <c r="L89" i="76"/>
  <c r="N89" i="76" s="1"/>
  <c r="L92" i="92"/>
  <c r="N92" i="92" s="1"/>
  <c r="L120" i="51"/>
  <c r="N120" i="51" s="1"/>
  <c r="F120" i="51"/>
  <c r="Z275" i="15"/>
  <c r="V275" i="15"/>
  <c r="N75" i="65"/>
  <c r="J75" i="65"/>
  <c r="X138" i="39"/>
  <c r="Z138" i="39" s="1"/>
  <c r="R138" i="39"/>
  <c r="X92" i="92"/>
  <c r="Z92" i="92" s="1"/>
  <c r="R92" i="92"/>
  <c r="Z96" i="94"/>
  <c r="V96" i="94"/>
  <c r="Z131" i="42"/>
  <c r="V131" i="42"/>
  <c r="Z128" i="64"/>
  <c r="V128" i="64"/>
  <c r="Z135" i="77"/>
  <c r="V135" i="77"/>
  <c r="L144" i="69"/>
  <c r="N144" i="69" s="1"/>
  <c r="F144" i="69"/>
  <c r="X120" i="51"/>
  <c r="Z120" i="51" s="1"/>
  <c r="R120" i="51"/>
  <c r="N138" i="39"/>
  <c r="J138" i="39"/>
  <c r="X76" i="97"/>
  <c r="Z76" i="97" s="1"/>
  <c r="R76" i="97"/>
  <c r="L101" i="45"/>
  <c r="N101" i="45" s="1"/>
  <c r="F101" i="45"/>
  <c r="L108" i="33"/>
  <c r="N108" i="33" s="1"/>
  <c r="F108" i="33"/>
  <c r="L135" i="77"/>
  <c r="N135" i="77" s="1"/>
  <c r="F135" i="77"/>
  <c r="N129" i="66"/>
  <c r="J129" i="66"/>
  <c r="Z70" i="89"/>
  <c r="V70" i="89"/>
  <c r="X70" i="89"/>
  <c r="X285" i="12"/>
  <c r="Z285" i="12" s="1"/>
  <c r="R285" i="12"/>
  <c r="N60" i="87"/>
  <c r="J60" i="87"/>
  <c r="L70" i="89"/>
  <c r="V90" i="79"/>
  <c r="Z94" i="68"/>
  <c r="V94" i="68"/>
  <c r="Z120" i="71"/>
  <c r="V120" i="71"/>
  <c r="N133" i="36"/>
  <c r="J133" i="36"/>
  <c r="L133" i="36"/>
  <c r="V143" i="24"/>
  <c r="N91" i="95"/>
  <c r="J91" i="95"/>
  <c r="X120" i="71"/>
  <c r="R120" i="71"/>
  <c r="X130" i="27"/>
  <c r="Z130" i="27" s="1"/>
  <c r="R130" i="27"/>
  <c r="Z144" i="69"/>
  <c r="V144" i="69"/>
  <c r="X144" i="69"/>
  <c r="R144" i="69"/>
  <c r="N143" i="24"/>
  <c r="J143" i="24"/>
  <c r="N90" i="79"/>
  <c r="J90" i="79"/>
</calcChain>
</file>

<file path=xl/sharedStrings.xml><?xml version="1.0" encoding="utf-8"?>
<sst xmlns="http://schemas.openxmlformats.org/spreadsheetml/2006/main" count="2922" uniqueCount="314">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</sst>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1" fillId="0" borderId="0" xfId="0" applyFont="1" applyFill="1"/>
    <xf numFmtId="0" fontId="2" fillId="0" borderId="0" xfId="0" applyFont="1" applyFill="1"/>
    <xf numFmtId="0" fontId="0" fillId="0" borderId="0" xfId="0" applyFont="1" applyFill="1" applyBorder="1"/>
    <xf numFmtId="167" fontId="2" fillId="0" borderId="0" xfId="3" applyNumberFormat="1" applyFont="1" applyFill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0" fontId="1" fillId="0" borderId="0" xfId="0" applyFont="1"/>
    <xf numFmtId="0" fontId="2" fillId="0" borderId="0" xfId="0" applyFont="1"/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8" fontId="2" fillId="2" borderId="4" xfId="2" applyNumberFormat="1" applyFont="1" applyFill="1" applyBorder="1"/>
    <xf numFmtId="167" fontId="2" fillId="2" borderId="3" xfId="3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/>
    <xf numFmtId="164" fontId="2" fillId="0" borderId="0" xfId="1" applyNumberFormat="1" applyFont="1" applyAlignment="1">
      <alignment horizontal="left"/>
    </xf>
    <xf numFmtId="167" fontId="0" fillId="0" borderId="0" xfId="3" applyNumberFormat="1" applyFont="1" applyAlignment="1">
      <alignment horizontal="centerContinuous"/>
    </xf>
    <xf numFmtId="49" fontId="2" fillId="0" borderId="0" xfId="0" applyNumberFormat="1" applyFont="1" applyFill="1"/>
    <xf numFmtId="165" fontId="0" fillId="0" borderId="0" xfId="0" applyNumberFormat="1"/>
    <xf numFmtId="0" fontId="3" fillId="0" borderId="0" xfId="0" applyFont="1" applyFill="1"/>
    <xf numFmtId="166" fontId="4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Continuous"/>
    </xf>
    <xf numFmtId="0" fontId="4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0" fontId="0" fillId="0" borderId="0" xfId="0" applyBorder="1"/>
    <xf numFmtId="0" fontId="2" fillId="0" borderId="0" xfId="0" applyFont="1" applyFill="1" applyBorder="1"/>
    <xf numFmtId="0" fontId="5" fillId="0" borderId="0" xfId="0" applyFon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138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106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106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313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313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198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198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80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5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80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21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21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124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124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199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199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4"/>
  <sheetViews>
    <sheetView tabSelected="1" zoomScale="80" workbookViewId="0">
      <pane xSplit="3" ySplit="10" topLeftCell="D322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312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813766.71</v>
      </c>
      <c r="E12" s="4"/>
      <c r="F12" s="13"/>
      <c r="G12" s="4"/>
      <c r="H12" s="4">
        <f>SUM(OSRRefH13x_0)</f>
        <v>1847036.6400000008</v>
      </c>
      <c r="I12" s="4"/>
      <c r="J12" s="13"/>
      <c r="K12" s="4"/>
      <c r="L12" s="4">
        <f t="shared" ref="L12:L136" si="0">+D12-H12</f>
        <v>-1033269.9300000009</v>
      </c>
      <c r="M12" s="4"/>
      <c r="N12" s="13">
        <f t="shared" ref="N12:N136" si="1">IF(H12=0,0,L12/H12)</f>
        <v>-0.55942037511502773</v>
      </c>
      <c r="O12" s="11"/>
      <c r="P12" s="4">
        <f>SUM(OSRRefP13x_0)</f>
        <v>7965152.7000000011</v>
      </c>
      <c r="Q12" s="4"/>
      <c r="R12" s="13"/>
      <c r="S12" s="4"/>
      <c r="T12" s="4">
        <f>SUM(OSRRefT13x_0)</f>
        <v>27045444.340000011</v>
      </c>
      <c r="U12" s="4"/>
      <c r="V12" s="13"/>
      <c r="W12" s="4"/>
      <c r="X12" s="4">
        <f t="shared" ref="X12:X136" si="2">+P12-T12</f>
        <v>-19080291.640000008</v>
      </c>
      <c r="Y12" s="4"/>
      <c r="Z12" s="13">
        <f t="shared" ref="Z12:Z136" si="3">IF(T12=0,0,X12/T12)</f>
        <v>-0.70549004113718328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-11598.32</f>
        <v>-11598.32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-11598.32</v>
      </c>
      <c r="M13" s="2"/>
      <c r="N13" s="19">
        <f t="shared" si="1"/>
        <v>0</v>
      </c>
      <c r="O13" s="10"/>
      <c r="P13" s="2">
        <f>-122656.41</f>
        <v>-122656.41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-122656.41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--7739.23</f>
        <v>7739.23</v>
      </c>
      <c r="E14" s="2"/>
      <c r="F14" s="19"/>
      <c r="G14" s="2"/>
      <c r="H14" s="2">
        <f>--6131.56</f>
        <v>6131.56</v>
      </c>
      <c r="I14" s="2"/>
      <c r="J14" s="19"/>
      <c r="K14" s="2"/>
      <c r="L14" s="2">
        <f t="shared" si="0"/>
        <v>1607.6699999999992</v>
      </c>
      <c r="M14" s="2"/>
      <c r="N14" s="19">
        <f t="shared" si="1"/>
        <v>0.26219591751528143</v>
      </c>
      <c r="O14" s="10"/>
      <c r="P14" s="2">
        <f>--1232463.24</f>
        <v>1232463.24</v>
      </c>
      <c r="Q14" s="2"/>
      <c r="R14" s="19"/>
      <c r="S14" s="2"/>
      <c r="T14" s="2">
        <f>--2396893.28</f>
        <v>2396893.2799999998</v>
      </c>
      <c r="U14" s="2"/>
      <c r="V14" s="19"/>
      <c r="W14" s="2"/>
      <c r="X14" s="2">
        <f t="shared" si="2"/>
        <v>-1164430.0399999998</v>
      </c>
      <c r="Y14" s="2"/>
      <c r="Z14" s="19">
        <f t="shared" si="3"/>
        <v>-0.48580804565483193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--1662.85</f>
        <v>1662.85</v>
      </c>
      <c r="E15" s="2"/>
      <c r="F15" s="19"/>
      <c r="G15" s="2"/>
      <c r="H15" s="2">
        <f>--4341.5</f>
        <v>4341.5</v>
      </c>
      <c r="I15" s="2"/>
      <c r="J15" s="19"/>
      <c r="K15" s="2"/>
      <c r="L15" s="2">
        <f t="shared" si="0"/>
        <v>-2678.65</v>
      </c>
      <c r="M15" s="2"/>
      <c r="N15" s="19">
        <f t="shared" si="1"/>
        <v>-0.61698721639986187</v>
      </c>
      <c r="O15" s="10"/>
      <c r="P15" s="2">
        <f>--576797.33</f>
        <v>576797.32999999996</v>
      </c>
      <c r="Q15" s="2"/>
      <c r="R15" s="19"/>
      <c r="S15" s="2"/>
      <c r="T15" s="2">
        <f>--1244314.69</f>
        <v>1244314.69</v>
      </c>
      <c r="U15" s="2"/>
      <c r="V15" s="19"/>
      <c r="W15" s="2"/>
      <c r="X15" s="2">
        <f t="shared" si="2"/>
        <v>-667517.36</v>
      </c>
      <c r="Y15" s="2"/>
      <c r="Z15" s="19">
        <f t="shared" si="3"/>
        <v>-0.53645381298198769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--49.99</f>
        <v>49.99</v>
      </c>
      <c r="E16" s="2"/>
      <c r="F16" s="19"/>
      <c r="G16" s="2"/>
      <c r="H16" s="2">
        <f>--78</f>
        <v>78</v>
      </c>
      <c r="I16" s="2"/>
      <c r="J16" s="19"/>
      <c r="K16" s="2"/>
      <c r="L16" s="2">
        <f t="shared" si="0"/>
        <v>-28.009999999999998</v>
      </c>
      <c r="M16" s="2"/>
      <c r="N16" s="19">
        <f t="shared" si="1"/>
        <v>-0.35910256410256408</v>
      </c>
      <c r="O16" s="10"/>
      <c r="P16" s="2">
        <f>--17977.88</f>
        <v>17977.88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-15717.009999999998</v>
      </c>
      <c r="Y16" s="2"/>
      <c r="Z16" s="19">
        <f t="shared" si="3"/>
        <v>-0.46645084759143002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>--253.6</f>
        <v>253.6</v>
      </c>
      <c r="I18" s="2"/>
      <c r="J18" s="19"/>
      <c r="K18" s="2"/>
      <c r="L18" s="2">
        <f t="shared" si="0"/>
        <v>-253.6</v>
      </c>
      <c r="M18" s="2"/>
      <c r="N18" s="19">
        <f t="shared" si="1"/>
        <v>-1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--29.21</f>
        <v>29.21</v>
      </c>
      <c r="E19" s="2"/>
      <c r="F19" s="19"/>
      <c r="G19" s="2"/>
      <c r="H19" s="2">
        <f>--412.75</f>
        <v>412.75</v>
      </c>
      <c r="I19" s="2"/>
      <c r="J19" s="19"/>
      <c r="K19" s="2"/>
      <c r="L19" s="2">
        <f t="shared" si="0"/>
        <v>-383.54</v>
      </c>
      <c r="M19" s="2"/>
      <c r="N19" s="19">
        <f t="shared" si="1"/>
        <v>-0.9292307692307693</v>
      </c>
      <c r="O19" s="10"/>
      <c r="P19" s="2">
        <f>--1202.02</f>
        <v>1202.02</v>
      </c>
      <c r="Q19" s="2"/>
      <c r="R19" s="19"/>
      <c r="S19" s="2"/>
      <c r="T19" s="2">
        <f>--2695</f>
        <v>2695</v>
      </c>
      <c r="U19" s="2"/>
      <c r="V19" s="19"/>
      <c r="W19" s="2"/>
      <c r="X19" s="2">
        <f t="shared" si="2"/>
        <v>-1492.98</v>
      </c>
      <c r="Y19" s="2"/>
      <c r="Z19" s="19">
        <f t="shared" si="3"/>
        <v>-0.5539814471243043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--35.82</f>
        <v>35.82</v>
      </c>
      <c r="E20" s="2"/>
      <c r="F20" s="19"/>
      <c r="G20" s="2"/>
      <c r="H20" s="2">
        <f>--67.24</f>
        <v>67.239999999999995</v>
      </c>
      <c r="I20" s="2"/>
      <c r="J20" s="19"/>
      <c r="K20" s="2"/>
      <c r="L20" s="2">
        <f t="shared" si="0"/>
        <v>-31.419999999999995</v>
      </c>
      <c r="M20" s="2"/>
      <c r="N20" s="19">
        <f t="shared" si="1"/>
        <v>-0.46728138013087445</v>
      </c>
      <c r="O20" s="10"/>
      <c r="P20" s="2">
        <f>--447.7</f>
        <v>447.7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-771.48</v>
      </c>
      <c r="Y20" s="2"/>
      <c r="Z20" s="19">
        <f t="shared" si="3"/>
        <v>-0.63278597089847277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--10.98</f>
        <v>10.98</v>
      </c>
      <c r="I21" s="2"/>
      <c r="J21" s="19"/>
      <c r="K21" s="2"/>
      <c r="L21" s="2">
        <f t="shared" si="0"/>
        <v>-10.98</v>
      </c>
      <c r="M21" s="2"/>
      <c r="N21" s="19">
        <f t="shared" si="1"/>
        <v>-1</v>
      </c>
      <c r="O21" s="10"/>
      <c r="P21" s="2">
        <f>0</f>
        <v>0</v>
      </c>
      <c r="Q21" s="2"/>
      <c r="R21" s="19"/>
      <c r="S21" s="2"/>
      <c r="T21" s="2">
        <f>--282.57</f>
        <v>282.57</v>
      </c>
      <c r="U21" s="2"/>
      <c r="V21" s="19"/>
      <c r="W21" s="2"/>
      <c r="X21" s="2">
        <f t="shared" si="2"/>
        <v>-282.57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--67.3</f>
        <v>67.3</v>
      </c>
      <c r="E22" s="2"/>
      <c r="F22" s="19"/>
      <c r="G22" s="2"/>
      <c r="H22" s="2">
        <f>--56.6</f>
        <v>56.6</v>
      </c>
      <c r="I22" s="2"/>
      <c r="J22" s="19"/>
      <c r="K22" s="2"/>
      <c r="L22" s="2">
        <f t="shared" si="0"/>
        <v>10.699999999999996</v>
      </c>
      <c r="M22" s="2"/>
      <c r="N22" s="19">
        <f t="shared" si="1"/>
        <v>0.18904593639575965</v>
      </c>
      <c r="O22" s="10"/>
      <c r="P22" s="2">
        <f>--400.14</f>
        <v>400.14</v>
      </c>
      <c r="Q22" s="2"/>
      <c r="R22" s="19"/>
      <c r="S22" s="2"/>
      <c r="T22" s="2">
        <f>--4154.31</f>
        <v>4154.3100000000004</v>
      </c>
      <c r="U22" s="2"/>
      <c r="V22" s="19"/>
      <c r="W22" s="2"/>
      <c r="X22" s="2">
        <f t="shared" si="2"/>
        <v>-3754.1700000000005</v>
      </c>
      <c r="Y22" s="2"/>
      <c r="Z22" s="19">
        <f t="shared" si="3"/>
        <v>-0.90368075564895256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6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5"/>
        <v>0</v>
      </c>
      <c r="E24" s="2"/>
      <c r="F24" s="19"/>
      <c r="G24" s="2"/>
      <c r="H24" s="2">
        <f>--2919.17</f>
        <v>2919.17</v>
      </c>
      <c r="I24" s="2"/>
      <c r="J24" s="19"/>
      <c r="K24" s="2"/>
      <c r="L24" s="2">
        <f t="shared" si="0"/>
        <v>-2919.17</v>
      </c>
      <c r="M24" s="2"/>
      <c r="N24" s="19">
        <f t="shared" si="1"/>
        <v>-1</v>
      </c>
      <c r="O24" s="10"/>
      <c r="P24" s="2">
        <f t="shared" si="6"/>
        <v>0</v>
      </c>
      <c r="Q24" s="2"/>
      <c r="R24" s="19"/>
      <c r="S24" s="2"/>
      <c r="T24" s="2">
        <f>--54702.86</f>
        <v>54702.86</v>
      </c>
      <c r="U24" s="2"/>
      <c r="V24" s="19"/>
      <c r="W24" s="2"/>
      <c r="X24" s="2">
        <f t="shared" si="2"/>
        <v>-54702.86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--16.37</f>
        <v>16.37</v>
      </c>
      <c r="E25" s="2"/>
      <c r="F25" s="19"/>
      <c r="G25" s="2"/>
      <c r="H25" s="2">
        <f>--4393.86</f>
        <v>4393.8599999999997</v>
      </c>
      <c r="I25" s="2"/>
      <c r="J25" s="19"/>
      <c r="K25" s="2"/>
      <c r="L25" s="2">
        <f t="shared" si="0"/>
        <v>-4377.49</v>
      </c>
      <c r="M25" s="2"/>
      <c r="N25" s="19">
        <f t="shared" si="1"/>
        <v>-0.99627434647439839</v>
      </c>
      <c r="O25" s="10"/>
      <c r="P25" s="2">
        <f>--464.75</f>
        <v>464.75</v>
      </c>
      <c r="Q25" s="2"/>
      <c r="R25" s="19"/>
      <c r="S25" s="2"/>
      <c r="T25" s="2">
        <f>--79868.06</f>
        <v>79868.06</v>
      </c>
      <c r="U25" s="2"/>
      <c r="V25" s="19"/>
      <c r="W25" s="2"/>
      <c r="X25" s="2">
        <f t="shared" si="2"/>
        <v>-79403.31</v>
      </c>
      <c r="Y25" s="2"/>
      <c r="Z25" s="19">
        <f t="shared" si="3"/>
        <v>-0.99418102806052888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--3028</f>
        <v>3028</v>
      </c>
      <c r="E26" s="2"/>
      <c r="F26" s="19"/>
      <c r="G26" s="2"/>
      <c r="H26" s="2">
        <f>--8153.25</f>
        <v>8153.25</v>
      </c>
      <c r="I26" s="2"/>
      <c r="J26" s="19"/>
      <c r="K26" s="2"/>
      <c r="L26" s="2">
        <f t="shared" si="0"/>
        <v>-5125.25</v>
      </c>
      <c r="M26" s="2"/>
      <c r="N26" s="19">
        <f t="shared" si="1"/>
        <v>-0.62861435623830986</v>
      </c>
      <c r="O26" s="10"/>
      <c r="P26" s="2">
        <f>--57512.32</f>
        <v>57512.32</v>
      </c>
      <c r="Q26" s="2"/>
      <c r="R26" s="19"/>
      <c r="S26" s="2"/>
      <c r="T26" s="2">
        <f>--269846.58</f>
        <v>269846.58</v>
      </c>
      <c r="U26" s="2"/>
      <c r="V26" s="19"/>
      <c r="W26" s="2"/>
      <c r="X26" s="2">
        <f t="shared" si="2"/>
        <v>-212334.26</v>
      </c>
      <c r="Y26" s="2"/>
      <c r="Z26" s="19">
        <f t="shared" si="3"/>
        <v>-0.78687030237700251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--3372.76</f>
        <v>3372.76</v>
      </c>
      <c r="E27" s="2"/>
      <c r="F27" s="19"/>
      <c r="G27" s="2"/>
      <c r="H27" s="2">
        <f>--17260.82</f>
        <v>17260.82</v>
      </c>
      <c r="I27" s="2"/>
      <c r="J27" s="19"/>
      <c r="K27" s="2"/>
      <c r="L27" s="2">
        <f t="shared" si="0"/>
        <v>-13888.06</v>
      </c>
      <c r="M27" s="2"/>
      <c r="N27" s="19">
        <f t="shared" si="1"/>
        <v>-0.80460024494780669</v>
      </c>
      <c r="O27" s="10"/>
      <c r="P27" s="2">
        <f>--44249.38</f>
        <v>44249.38</v>
      </c>
      <c r="Q27" s="2"/>
      <c r="R27" s="19"/>
      <c r="S27" s="2"/>
      <c r="T27" s="2">
        <f>--292597.05</f>
        <v>292597.05</v>
      </c>
      <c r="U27" s="2"/>
      <c r="V27" s="19"/>
      <c r="W27" s="2"/>
      <c r="X27" s="2">
        <f t="shared" si="2"/>
        <v>-248347.66999999998</v>
      </c>
      <c r="Y27" s="2"/>
      <c r="Z27" s="19">
        <f t="shared" si="3"/>
        <v>-0.84877024563303016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--434.03</f>
        <v>434.03</v>
      </c>
      <c r="E28" s="2"/>
      <c r="F28" s="19"/>
      <c r="G28" s="2"/>
      <c r="H28" s="2">
        <f>--44.3</f>
        <v>44.3</v>
      </c>
      <c r="I28" s="2"/>
      <c r="J28" s="19"/>
      <c r="K28" s="2"/>
      <c r="L28" s="2">
        <f t="shared" si="0"/>
        <v>389.72999999999996</v>
      </c>
      <c r="M28" s="2"/>
      <c r="N28" s="19">
        <f t="shared" si="1"/>
        <v>8.7975169300225726</v>
      </c>
      <c r="O28" s="10"/>
      <c r="P28" s="2">
        <f>--3614.87</f>
        <v>3614.87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3128.5299999999997</v>
      </c>
      <c r="Y28" s="2"/>
      <c r="Z28" s="19">
        <f t="shared" si="3"/>
        <v>6.4328042110457702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7">0</f>
        <v>0</v>
      </c>
      <c r="E29" s="2"/>
      <c r="F29" s="19"/>
      <c r="G29" s="2"/>
      <c r="H29" s="2">
        <f>--19182.55</f>
        <v>19182.55</v>
      </c>
      <c r="I29" s="2"/>
      <c r="J29" s="19"/>
      <c r="K29" s="2"/>
      <c r="L29" s="2">
        <f t="shared" si="0"/>
        <v>-19182.55</v>
      </c>
      <c r="M29" s="2"/>
      <c r="N29" s="19">
        <f t="shared" si="1"/>
        <v>-1</v>
      </c>
      <c r="O29" s="10"/>
      <c r="P29" s="2">
        <f>--444.59</f>
        <v>444.59</v>
      </c>
      <c r="Q29" s="2"/>
      <c r="R29" s="19"/>
      <c r="S29" s="2"/>
      <c r="T29" s="2">
        <f>--277653.17</f>
        <v>277653.17</v>
      </c>
      <c r="U29" s="2"/>
      <c r="V29" s="19"/>
      <c r="W29" s="2"/>
      <c r="X29" s="2">
        <f t="shared" si="2"/>
        <v>-277208.57999999996</v>
      </c>
      <c r="Y29" s="2"/>
      <c r="Z29" s="19">
        <f t="shared" si="3"/>
        <v>-0.99839875770191988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7"/>
        <v>0</v>
      </c>
      <c r="E30" s="2"/>
      <c r="F30" s="19"/>
      <c r="G30" s="2"/>
      <c r="H30" s="2">
        <f>--25.55</f>
        <v>25.55</v>
      </c>
      <c r="I30" s="2"/>
      <c r="J30" s="19"/>
      <c r="K30" s="2"/>
      <c r="L30" s="2">
        <f t="shared" si="0"/>
        <v>-25.55</v>
      </c>
      <c r="M30" s="2"/>
      <c r="N30" s="19">
        <f t="shared" si="1"/>
        <v>-1</v>
      </c>
      <c r="O30" s="10"/>
      <c r="P30" s="2">
        <f>0</f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7"/>
        <v>0</v>
      </c>
      <c r="E31" s="2"/>
      <c r="F31" s="19"/>
      <c r="G31" s="2"/>
      <c r="H31" s="2">
        <f>--758.61</f>
        <v>758.61</v>
      </c>
      <c r="I31" s="2"/>
      <c r="J31" s="19"/>
      <c r="K31" s="2"/>
      <c r="L31" s="2">
        <f t="shared" si="0"/>
        <v>-758.61</v>
      </c>
      <c r="M31" s="2"/>
      <c r="N31" s="19">
        <f t="shared" si="1"/>
        <v>-1</v>
      </c>
      <c r="O31" s="10"/>
      <c r="P31" s="2">
        <f>--6.78</f>
        <v>6.78</v>
      </c>
      <c r="Q31" s="2"/>
      <c r="R31" s="19"/>
      <c r="S31" s="2"/>
      <c r="T31" s="2">
        <f>--10922.06</f>
        <v>10922.06</v>
      </c>
      <c r="U31" s="2"/>
      <c r="V31" s="19"/>
      <c r="W31" s="2"/>
      <c r="X31" s="2">
        <f t="shared" si="2"/>
        <v>-10915.279999999999</v>
      </c>
      <c r="Y31" s="2"/>
      <c r="Z31" s="19">
        <f t="shared" si="3"/>
        <v>-0.99937923798257833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7"/>
        <v>0</v>
      </c>
      <c r="E32" s="2"/>
      <c r="F32" s="19"/>
      <c r="G32" s="2"/>
      <c r="H32" s="2">
        <f>--101.32</f>
        <v>101.32</v>
      </c>
      <c r="I32" s="2"/>
      <c r="J32" s="19"/>
      <c r="K32" s="2"/>
      <c r="L32" s="2">
        <f t="shared" si="0"/>
        <v>-101.32</v>
      </c>
      <c r="M32" s="2"/>
      <c r="N32" s="19">
        <f t="shared" si="1"/>
        <v>-1</v>
      </c>
      <c r="O32" s="10"/>
      <c r="P32" s="2">
        <f t="shared" ref="P32:P33" si="8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7"/>
        <v>0</v>
      </c>
      <c r="E33" s="2"/>
      <c r="F33" s="19"/>
      <c r="G33" s="2"/>
      <c r="H33" s="2">
        <f>--24.8</f>
        <v>24.8</v>
      </c>
      <c r="I33" s="2"/>
      <c r="J33" s="19"/>
      <c r="K33" s="2"/>
      <c r="L33" s="2">
        <f t="shared" si="0"/>
        <v>-24.8</v>
      </c>
      <c r="M33" s="2"/>
      <c r="N33" s="19">
        <f t="shared" si="1"/>
        <v>-1</v>
      </c>
      <c r="O33" s="10"/>
      <c r="P33" s="2">
        <f t="shared" si="8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--82653.17</f>
        <v>82653.17</v>
      </c>
      <c r="E34" s="2"/>
      <c r="F34" s="19"/>
      <c r="G34" s="2"/>
      <c r="H34" s="2">
        <f>--93833.27</f>
        <v>93833.27</v>
      </c>
      <c r="I34" s="2"/>
      <c r="J34" s="19"/>
      <c r="K34" s="2"/>
      <c r="L34" s="2">
        <f t="shared" si="0"/>
        <v>-11180.100000000006</v>
      </c>
      <c r="M34" s="2"/>
      <c r="N34" s="19">
        <f t="shared" si="1"/>
        <v>-0.11914857065090032</v>
      </c>
      <c r="O34" s="10"/>
      <c r="P34" s="2">
        <f>--754001.15</f>
        <v>754001.15</v>
      </c>
      <c r="Q34" s="2"/>
      <c r="R34" s="19"/>
      <c r="S34" s="2"/>
      <c r="T34" s="2">
        <f>--1776128.49</f>
        <v>1776128.49</v>
      </c>
      <c r="U34" s="2"/>
      <c r="V34" s="19"/>
      <c r="W34" s="2"/>
      <c r="X34" s="2">
        <f t="shared" si="2"/>
        <v>-1022127.34</v>
      </c>
      <c r="Y34" s="2"/>
      <c r="Z34" s="19">
        <f t="shared" si="3"/>
        <v>-0.57548051605207906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--47817.47</f>
        <v>47817.47</v>
      </c>
      <c r="E35" s="2"/>
      <c r="F35" s="19"/>
      <c r="G35" s="2"/>
      <c r="H35" s="2">
        <f>--25196.53</f>
        <v>25196.53</v>
      </c>
      <c r="I35" s="2"/>
      <c r="J35" s="19"/>
      <c r="K35" s="2"/>
      <c r="L35" s="2">
        <f t="shared" si="0"/>
        <v>22620.940000000002</v>
      </c>
      <c r="M35" s="2"/>
      <c r="N35" s="19">
        <f t="shared" si="1"/>
        <v>0.89777997208345761</v>
      </c>
      <c r="O35" s="10"/>
      <c r="P35" s="2">
        <f>--324016.78</f>
        <v>324016.78000000003</v>
      </c>
      <c r="Q35" s="2"/>
      <c r="R35" s="19"/>
      <c r="S35" s="2"/>
      <c r="T35" s="2">
        <f>--467017.72</f>
        <v>467017.72</v>
      </c>
      <c r="U35" s="2"/>
      <c r="V35" s="19"/>
      <c r="W35" s="2"/>
      <c r="X35" s="2">
        <f t="shared" si="2"/>
        <v>-143000.93999999994</v>
      </c>
      <c r="Y35" s="2"/>
      <c r="Z35" s="19">
        <f t="shared" si="3"/>
        <v>-0.30620024439329613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--11053.28</f>
        <v>11053.28</v>
      </c>
      <c r="E36" s="2"/>
      <c r="F36" s="19"/>
      <c r="G36" s="2"/>
      <c r="H36" s="2">
        <f>--18014.27</f>
        <v>18014.27</v>
      </c>
      <c r="I36" s="2"/>
      <c r="J36" s="19"/>
      <c r="K36" s="2"/>
      <c r="L36" s="2">
        <f t="shared" si="0"/>
        <v>-6960.99</v>
      </c>
      <c r="M36" s="2"/>
      <c r="N36" s="19">
        <f t="shared" si="1"/>
        <v>-0.38641532518386812</v>
      </c>
      <c r="O36" s="10"/>
      <c r="P36" s="2">
        <f>--90048.2</f>
        <v>90048.2</v>
      </c>
      <c r="Q36" s="2"/>
      <c r="R36" s="19"/>
      <c r="S36" s="2"/>
      <c r="T36" s="2">
        <f>--277580.41</f>
        <v>277580.40999999997</v>
      </c>
      <c r="U36" s="2"/>
      <c r="V36" s="19"/>
      <c r="W36" s="2"/>
      <c r="X36" s="2">
        <f t="shared" si="2"/>
        <v>-187532.20999999996</v>
      </c>
      <c r="Y36" s="2"/>
      <c r="Z36" s="19">
        <f t="shared" si="3"/>
        <v>-0.67559598316033898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--8285.51</f>
        <v>8285.51</v>
      </c>
      <c r="E37" s="2"/>
      <c r="F37" s="19"/>
      <c r="G37" s="2"/>
      <c r="H37" s="2">
        <f>--666.52</f>
        <v>666.52</v>
      </c>
      <c r="I37" s="2"/>
      <c r="J37" s="19"/>
      <c r="K37" s="2"/>
      <c r="L37" s="2">
        <f t="shared" si="0"/>
        <v>7618.99</v>
      </c>
      <c r="M37" s="2"/>
      <c r="N37" s="19">
        <f t="shared" si="1"/>
        <v>11.430999819960391</v>
      </c>
      <c r="O37" s="10"/>
      <c r="P37" s="2">
        <f>--132436.17</f>
        <v>132436.17000000001</v>
      </c>
      <c r="Q37" s="2"/>
      <c r="R37" s="19"/>
      <c r="S37" s="2"/>
      <c r="T37" s="2">
        <f>--76568.23</f>
        <v>76568.23</v>
      </c>
      <c r="U37" s="2"/>
      <c r="V37" s="19"/>
      <c r="W37" s="2"/>
      <c r="X37" s="2">
        <f t="shared" si="2"/>
        <v>55867.940000000017</v>
      </c>
      <c r="Y37" s="2"/>
      <c r="Z37" s="19">
        <f t="shared" si="3"/>
        <v>0.72964909858827898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--1774.45</f>
        <v>1774.45</v>
      </c>
      <c r="E38" s="2"/>
      <c r="F38" s="19"/>
      <c r="G38" s="2"/>
      <c r="H38" s="2">
        <f>--3732.24</f>
        <v>3732.24</v>
      </c>
      <c r="I38" s="2"/>
      <c r="J38" s="19"/>
      <c r="K38" s="2"/>
      <c r="L38" s="2">
        <f t="shared" si="0"/>
        <v>-1957.7899999999997</v>
      </c>
      <c r="M38" s="2"/>
      <c r="N38" s="19">
        <f t="shared" si="1"/>
        <v>-0.52456165734250737</v>
      </c>
      <c r="O38" s="10"/>
      <c r="P38" s="2">
        <f>--31346.85</f>
        <v>31346.85</v>
      </c>
      <c r="Q38" s="2"/>
      <c r="R38" s="19"/>
      <c r="S38" s="2"/>
      <c r="T38" s="2">
        <f>--66666.73</f>
        <v>66666.73</v>
      </c>
      <c r="U38" s="2"/>
      <c r="V38" s="19"/>
      <c r="W38" s="2"/>
      <c r="X38" s="2">
        <f t="shared" si="2"/>
        <v>-35319.879999999997</v>
      </c>
      <c r="Y38" s="2"/>
      <c r="Z38" s="19">
        <f t="shared" si="3"/>
        <v>-0.52979769669218812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--8707.87</f>
        <v>8707.8700000000008</v>
      </c>
      <c r="E39" s="2"/>
      <c r="F39" s="19"/>
      <c r="G39" s="2"/>
      <c r="H39" s="2">
        <f>--3847.78</f>
        <v>3847.78</v>
      </c>
      <c r="I39" s="2"/>
      <c r="J39" s="19"/>
      <c r="K39" s="2"/>
      <c r="L39" s="2">
        <f t="shared" si="0"/>
        <v>4860.09</v>
      </c>
      <c r="M39" s="2"/>
      <c r="N39" s="19">
        <f t="shared" si="1"/>
        <v>1.2630893658161328</v>
      </c>
      <c r="O39" s="10"/>
      <c r="P39" s="2">
        <f>--144197.44</f>
        <v>144197.44</v>
      </c>
      <c r="Q39" s="2"/>
      <c r="R39" s="19"/>
      <c r="S39" s="2"/>
      <c r="T39" s="2">
        <f>--74400.82</f>
        <v>74400.820000000007</v>
      </c>
      <c r="U39" s="2"/>
      <c r="V39" s="19"/>
      <c r="W39" s="2"/>
      <c r="X39" s="2">
        <f t="shared" si="2"/>
        <v>69796.62</v>
      </c>
      <c r="Y39" s="2"/>
      <c r="Z39" s="19">
        <f t="shared" si="3"/>
        <v>0.93811627344967419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>0</f>
        <v>0</v>
      </c>
      <c r="E40" s="2"/>
      <c r="F40" s="19"/>
      <c r="G40" s="2"/>
      <c r="H40" s="2">
        <f>--490.15</f>
        <v>490.15</v>
      </c>
      <c r="I40" s="2"/>
      <c r="J40" s="19"/>
      <c r="K40" s="2"/>
      <c r="L40" s="2">
        <f t="shared" si="0"/>
        <v>-490.15</v>
      </c>
      <c r="M40" s="2"/>
      <c r="N40" s="19">
        <f t="shared" si="1"/>
        <v>-1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"4051", " - ", "TAXABLE SALES-FOOD")</f>
        <v xml:space="preserve">          4051 - TAXABLE SALES-FOOD</v>
      </c>
      <c r="C41" s="10"/>
      <c r="D41" s="2">
        <f>--2604.58</f>
        <v>2604.58</v>
      </c>
      <c r="E41" s="2"/>
      <c r="F41" s="19"/>
      <c r="G41" s="2"/>
      <c r="H41" s="2">
        <f>--36958.41</f>
        <v>36958.410000000003</v>
      </c>
      <c r="I41" s="2"/>
      <c r="J41" s="19"/>
      <c r="K41" s="2"/>
      <c r="L41" s="2">
        <f t="shared" si="0"/>
        <v>-34353.83</v>
      </c>
      <c r="M41" s="2"/>
      <c r="N41" s="19">
        <f t="shared" si="1"/>
        <v>-0.92952673018130372</v>
      </c>
      <c r="O41" s="10"/>
      <c r="P41" s="2">
        <f>--25569.06</f>
        <v>25569.06</v>
      </c>
      <c r="Q41" s="2"/>
      <c r="R41" s="19"/>
      <c r="S41" s="2"/>
      <c r="T41" s="2">
        <f>--604143.21</f>
        <v>604143.21</v>
      </c>
      <c r="U41" s="2"/>
      <c r="V41" s="19"/>
      <c r="W41" s="2"/>
      <c r="X41" s="2">
        <f t="shared" si="2"/>
        <v>-578574.14999999991</v>
      </c>
      <c r="Y41" s="2"/>
      <c r="Z41" s="19">
        <f t="shared" si="3"/>
        <v>-0.95767715406418275</v>
      </c>
    </row>
    <row r="42" spans="1:26" s="23" customFormat="1" hidden="1" outlineLevel="1" x14ac:dyDescent="0.25">
      <c r="A42" s="44"/>
      <c r="B42" s="10" t="str">
        <f>CONCATENATE("          ", "4052", " - ", "TAXABLE SALES-FOOD")</f>
        <v xml:space="preserve">          4052 - TAXABLE SALES-FOOD</v>
      </c>
      <c r="C42" s="10"/>
      <c r="D42" s="2">
        <f>--51782.31</f>
        <v>51782.31</v>
      </c>
      <c r="E42" s="2"/>
      <c r="F42" s="19"/>
      <c r="G42" s="2"/>
      <c r="H42" s="2">
        <f>--48334.99</f>
        <v>48334.99</v>
      </c>
      <c r="I42" s="2"/>
      <c r="J42" s="19"/>
      <c r="K42" s="2"/>
      <c r="L42" s="2">
        <f t="shared" si="0"/>
        <v>3447.3199999999997</v>
      </c>
      <c r="M42" s="2"/>
      <c r="N42" s="19">
        <f t="shared" si="1"/>
        <v>7.1321417465897888E-2</v>
      </c>
      <c r="O42" s="10"/>
      <c r="P42" s="2">
        <f>--331940.11</f>
        <v>331940.11</v>
      </c>
      <c r="Q42" s="2"/>
      <c r="R42" s="19"/>
      <c r="S42" s="2"/>
      <c r="T42" s="2">
        <f>--836487.29</f>
        <v>836487.29</v>
      </c>
      <c r="U42" s="2"/>
      <c r="V42" s="19"/>
      <c r="W42" s="2"/>
      <c r="X42" s="2">
        <f t="shared" si="2"/>
        <v>-504547.18000000005</v>
      </c>
      <c r="Y42" s="2"/>
      <c r="Z42" s="19">
        <f t="shared" si="3"/>
        <v>-0.60317375533584028</v>
      </c>
    </row>
    <row r="43" spans="1:26" s="23" customFormat="1" hidden="1" outlineLevel="1" x14ac:dyDescent="0.25">
      <c r="A43" s="44"/>
      <c r="B43" s="10" t="str">
        <f>CONCATENATE("          ", "4053", " - ", "TAXABLE SALES-FOOD")</f>
        <v xml:space="preserve">          4053 - TAXABLE SALES-FOOD</v>
      </c>
      <c r="C43" s="10"/>
      <c r="D43" s="2">
        <f>--163.51</f>
        <v>163.51</v>
      </c>
      <c r="E43" s="2"/>
      <c r="F43" s="19"/>
      <c r="G43" s="2"/>
      <c r="H43" s="2">
        <f>--34924.26</f>
        <v>34924.26</v>
      </c>
      <c r="I43" s="2"/>
      <c r="J43" s="19"/>
      <c r="K43" s="2"/>
      <c r="L43" s="2">
        <f t="shared" si="0"/>
        <v>-34760.75</v>
      </c>
      <c r="M43" s="2"/>
      <c r="N43" s="19">
        <f t="shared" si="1"/>
        <v>-0.99531815419997438</v>
      </c>
      <c r="O43" s="10"/>
      <c r="P43" s="2">
        <f>--923.72</f>
        <v>923.72</v>
      </c>
      <c r="Q43" s="2"/>
      <c r="R43" s="19"/>
      <c r="S43" s="2"/>
      <c r="T43" s="2">
        <f>--279880.13</f>
        <v>279880.13</v>
      </c>
      <c r="U43" s="2"/>
      <c r="V43" s="19"/>
      <c r="W43" s="2"/>
      <c r="X43" s="2">
        <f t="shared" si="2"/>
        <v>-278956.41000000003</v>
      </c>
      <c r="Y43" s="2"/>
      <c r="Z43" s="19">
        <f t="shared" si="3"/>
        <v>-0.99669958706965023</v>
      </c>
    </row>
    <row r="44" spans="1:26" s="23" customFormat="1" hidden="1" outlineLevel="1" x14ac:dyDescent="0.25">
      <c r="A44" s="44"/>
      <c r="B44" s="10" t="str">
        <f>CONCATENATE("          ", "4055", " - ", "TAXABLE SALES-FOOD")</f>
        <v xml:space="preserve">          4055 - TAXABLE SALES-FOOD</v>
      </c>
      <c r="C44" s="10"/>
      <c r="D44" s="2">
        <f t="shared" ref="D44:D45" si="9">0</f>
        <v>0</v>
      </c>
      <c r="E44" s="2"/>
      <c r="F44" s="19"/>
      <c r="G44" s="2"/>
      <c r="H44" s="2">
        <f>--24162.83</f>
        <v>24162.83</v>
      </c>
      <c r="I44" s="2"/>
      <c r="J44" s="19"/>
      <c r="K44" s="2"/>
      <c r="L44" s="2">
        <f t="shared" si="0"/>
        <v>-24162.83</v>
      </c>
      <c r="M44" s="2"/>
      <c r="N44" s="19">
        <f t="shared" si="1"/>
        <v>-1</v>
      </c>
      <c r="O44" s="10"/>
      <c r="P44" s="2">
        <f>0</f>
        <v>0</v>
      </c>
      <c r="Q44" s="2"/>
      <c r="R44" s="19"/>
      <c r="S44" s="2"/>
      <c r="T44" s="2">
        <f>--382379.53</f>
        <v>382379.53</v>
      </c>
      <c r="U44" s="2"/>
      <c r="V44" s="19"/>
      <c r="W44" s="2"/>
      <c r="X44" s="2">
        <f t="shared" si="2"/>
        <v>-382379.53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"4058", " - ", "TAXABLE SALES-FOOD")</f>
        <v xml:space="preserve">          4058 - TAXABLE SALES-FOOD</v>
      </c>
      <c r="C45" s="10"/>
      <c r="D45" s="2">
        <f t="shared" si="9"/>
        <v>0</v>
      </c>
      <c r="E45" s="2"/>
      <c r="F45" s="19"/>
      <c r="G45" s="2"/>
      <c r="H45" s="2">
        <f>--6106.33</f>
        <v>6106.33</v>
      </c>
      <c r="I45" s="2"/>
      <c r="J45" s="19"/>
      <c r="K45" s="2"/>
      <c r="L45" s="2">
        <f t="shared" si="0"/>
        <v>-6106.33</v>
      </c>
      <c r="M45" s="2"/>
      <c r="N45" s="19">
        <f t="shared" si="1"/>
        <v>-1</v>
      </c>
      <c r="O45" s="10"/>
      <c r="P45" s="2">
        <f>--974.91</f>
        <v>974.91</v>
      </c>
      <c r="Q45" s="2"/>
      <c r="R45" s="19"/>
      <c r="S45" s="2"/>
      <c r="T45" s="2">
        <f>--117077.57</f>
        <v>117077.57</v>
      </c>
      <c r="U45" s="2"/>
      <c r="V45" s="19"/>
      <c r="W45" s="2"/>
      <c r="X45" s="2">
        <f t="shared" si="2"/>
        <v>-116102.66</v>
      </c>
      <c r="Y45" s="2"/>
      <c r="Z45" s="19">
        <f t="shared" si="3"/>
        <v>-0.99167295665600164</v>
      </c>
    </row>
    <row r="46" spans="1:26" s="23" customFormat="1" hidden="1" outlineLevel="1" x14ac:dyDescent="0.25">
      <c r="A46" s="44"/>
      <c r="B46" s="10" t="str">
        <f>CONCATENATE("          ", "4081", " - ", "TAXABLE SALES-ELECTRONICS")</f>
        <v xml:space="preserve">          4081 - TAXABLE SALES-ELECTRONICS</v>
      </c>
      <c r="C46" s="10"/>
      <c r="D46" s="2">
        <f>--1204.4</f>
        <v>1204.4000000000001</v>
      </c>
      <c r="E46" s="2"/>
      <c r="F46" s="19"/>
      <c r="G46" s="2"/>
      <c r="H46" s="2">
        <f>--15039.9</f>
        <v>15039.9</v>
      </c>
      <c r="I46" s="2"/>
      <c r="J46" s="19"/>
      <c r="K46" s="2"/>
      <c r="L46" s="2">
        <f t="shared" si="0"/>
        <v>-13835.5</v>
      </c>
      <c r="M46" s="2"/>
      <c r="N46" s="19">
        <f t="shared" si="1"/>
        <v>-0.91991968031702342</v>
      </c>
      <c r="O46" s="10"/>
      <c r="P46" s="2">
        <f>--60539.2</f>
        <v>60539.199999999997</v>
      </c>
      <c r="Q46" s="2"/>
      <c r="R46" s="19"/>
      <c r="S46" s="2"/>
      <c r="T46" s="2">
        <f>--314372.05</f>
        <v>314372.05</v>
      </c>
      <c r="U46" s="2"/>
      <c r="V46" s="19"/>
      <c r="W46" s="2"/>
      <c r="X46" s="2">
        <f t="shared" si="2"/>
        <v>-253832.84999999998</v>
      </c>
      <c r="Y46" s="2"/>
      <c r="Z46" s="19">
        <f t="shared" si="3"/>
        <v>-0.80742817308345316</v>
      </c>
    </row>
    <row r="47" spans="1:26" s="23" customFormat="1" hidden="1" outlineLevel="1" x14ac:dyDescent="0.25">
      <c r="A47" s="44"/>
      <c r="B47" s="10" t="str">
        <f>CONCATENATE("          ", "4082", " - ", "TAXABLE SALES-COMPUTER HARDWAR")</f>
        <v xml:space="preserve">          4082 - TAXABLE SALES-COMPUTER HARDWAR</v>
      </c>
      <c r="C47" s="10"/>
      <c r="D47" s="2">
        <f>--407027.89</f>
        <v>407027.89</v>
      </c>
      <c r="E47" s="2"/>
      <c r="F47" s="19"/>
      <c r="G47" s="2"/>
      <c r="H47" s="2">
        <f>--77631.44</f>
        <v>77631.44</v>
      </c>
      <c r="I47" s="2"/>
      <c r="J47" s="19"/>
      <c r="K47" s="2"/>
      <c r="L47" s="2">
        <f t="shared" si="0"/>
        <v>329396.45</v>
      </c>
      <c r="M47" s="2"/>
      <c r="N47" s="19">
        <f t="shared" si="1"/>
        <v>4.2430805096491833</v>
      </c>
      <c r="O47" s="10"/>
      <c r="P47" s="2">
        <f>--1657866.36</f>
        <v>1657866.36</v>
      </c>
      <c r="Q47" s="2"/>
      <c r="R47" s="19"/>
      <c r="S47" s="2"/>
      <c r="T47" s="2">
        <f>--1661472.97</f>
        <v>1661472.97</v>
      </c>
      <c r="U47" s="2"/>
      <c r="V47" s="19"/>
      <c r="W47" s="2"/>
      <c r="X47" s="2">
        <f t="shared" si="2"/>
        <v>-3606.6099999998696</v>
      </c>
      <c r="Y47" s="2"/>
      <c r="Z47" s="19">
        <f t="shared" si="3"/>
        <v>-2.170730469361695E-3</v>
      </c>
    </row>
    <row r="48" spans="1:26" s="23" customFormat="1" hidden="1" outlineLevel="1" x14ac:dyDescent="0.25">
      <c r="A48" s="44"/>
      <c r="B48" s="10" t="str">
        <f>CONCATENATE("          ", "4083", " - ", "TAXABLE SALES-COMPUTER EQUIPME")</f>
        <v xml:space="preserve">          4083 - TAXABLE SALES-COMPUTER EQUIPME</v>
      </c>
      <c r="C48" s="10"/>
      <c r="D48" s="2">
        <f>--22860.44</f>
        <v>22860.44</v>
      </c>
      <c r="E48" s="2"/>
      <c r="F48" s="19"/>
      <c r="G48" s="2"/>
      <c r="H48" s="2">
        <f>--4751.21</f>
        <v>4751.21</v>
      </c>
      <c r="I48" s="2"/>
      <c r="J48" s="19"/>
      <c r="K48" s="2"/>
      <c r="L48" s="2">
        <f t="shared" si="0"/>
        <v>18109.23</v>
      </c>
      <c r="M48" s="2"/>
      <c r="N48" s="19">
        <f t="shared" si="1"/>
        <v>3.811498544581275</v>
      </c>
      <c r="O48" s="10"/>
      <c r="P48" s="2">
        <f>--119669.26</f>
        <v>119669.26</v>
      </c>
      <c r="Q48" s="2"/>
      <c r="R48" s="19"/>
      <c r="S48" s="2"/>
      <c r="T48" s="2">
        <f>--100882.65</f>
        <v>100882.65</v>
      </c>
      <c r="U48" s="2"/>
      <c r="V48" s="19"/>
      <c r="W48" s="2"/>
      <c r="X48" s="2">
        <f t="shared" si="2"/>
        <v>18786.61</v>
      </c>
      <c r="Y48" s="2"/>
      <c r="Z48" s="19">
        <f t="shared" si="3"/>
        <v>0.18622240791652481</v>
      </c>
    </row>
    <row r="49" spans="1:26" s="23" customFormat="1" hidden="1" outlineLevel="1" x14ac:dyDescent="0.25">
      <c r="A49" s="44"/>
      <c r="B49" s="10" t="str">
        <f>CONCATENATE("          ", "4084", " - ", "TAXABLE SALES-SOFTWARE LICENSE")</f>
        <v xml:space="preserve">          4084 - TAXABLE SALES-SOFTWARE LICENSE</v>
      </c>
      <c r="C49" s="10"/>
      <c r="D49" s="2">
        <f>0</f>
        <v>0</v>
      </c>
      <c r="E49" s="2"/>
      <c r="F49" s="19"/>
      <c r="G49" s="2"/>
      <c r="H49" s="2">
        <f t="shared" ref="H49:H50" si="10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>0</f>
        <v>0</v>
      </c>
      <c r="Q49" s="2"/>
      <c r="R49" s="19"/>
      <c r="S49" s="2"/>
      <c r="T49" s="2">
        <f>--129</f>
        <v>129</v>
      </c>
      <c r="U49" s="2"/>
      <c r="V49" s="19"/>
      <c r="W49" s="2"/>
      <c r="X49" s="2">
        <f t="shared" si="2"/>
        <v>-129</v>
      </c>
      <c r="Y49" s="2"/>
      <c r="Z49" s="19">
        <f t="shared" si="3"/>
        <v>-1</v>
      </c>
    </row>
    <row r="50" spans="1:26" s="23" customFormat="1" hidden="1" outlineLevel="1" x14ac:dyDescent="0.25">
      <c r="A50" s="44"/>
      <c r="B50" s="10" t="str">
        <f>CONCATENATE("          ", "4085", " - ", "TAXABLE SALES-SOFTWARE")</f>
        <v xml:space="preserve">          4085 - TAXABLE SALES-SOFTWARE</v>
      </c>
      <c r="C50" s="10"/>
      <c r="D50" s="2">
        <f>--219.98</f>
        <v>219.98</v>
      </c>
      <c r="E50" s="2"/>
      <c r="F50" s="19"/>
      <c r="G50" s="2"/>
      <c r="H50" s="2">
        <f t="shared" si="10"/>
        <v>0</v>
      </c>
      <c r="I50" s="2"/>
      <c r="J50" s="19"/>
      <c r="K50" s="2"/>
      <c r="L50" s="2">
        <f t="shared" si="0"/>
        <v>219.98</v>
      </c>
      <c r="M50" s="2"/>
      <c r="N50" s="19">
        <f t="shared" si="1"/>
        <v>0</v>
      </c>
      <c r="O50" s="10"/>
      <c r="P50" s="2">
        <f>--3098.91</f>
        <v>3098.91</v>
      </c>
      <c r="Q50" s="2"/>
      <c r="R50" s="19"/>
      <c r="S50" s="2"/>
      <c r="T50" s="2">
        <f>--4557.93</f>
        <v>4557.93</v>
      </c>
      <c r="U50" s="2"/>
      <c r="V50" s="19"/>
      <c r="W50" s="2"/>
      <c r="X50" s="2">
        <f t="shared" si="2"/>
        <v>-1459.0200000000004</v>
      </c>
      <c r="Y50" s="2"/>
      <c r="Z50" s="19">
        <f t="shared" si="3"/>
        <v>-0.3201058375183472</v>
      </c>
    </row>
    <row r="51" spans="1:26" s="23" customFormat="1" hidden="1" outlineLevel="1" x14ac:dyDescent="0.25">
      <c r="A51" s="44"/>
      <c r="B51" s="10" t="str">
        <f>CONCATENATE("          ", "4086", " - ", "TAXABLE SALES-COMPUTER SUPPLIE")</f>
        <v xml:space="preserve">          4086 - TAXABLE SALES-COMPUTER SUPPLIE</v>
      </c>
      <c r="C51" s="10"/>
      <c r="D51" s="2">
        <f>--503.73</f>
        <v>503.73</v>
      </c>
      <c r="E51" s="2"/>
      <c r="F51" s="19"/>
      <c r="G51" s="2"/>
      <c r="H51" s="2">
        <f>--2057.99</f>
        <v>2057.9899999999998</v>
      </c>
      <c r="I51" s="2"/>
      <c r="J51" s="19"/>
      <c r="K51" s="2"/>
      <c r="L51" s="2">
        <f t="shared" si="0"/>
        <v>-1554.2599999999998</v>
      </c>
      <c r="M51" s="2"/>
      <c r="N51" s="19">
        <f t="shared" si="1"/>
        <v>-0.75523204680294842</v>
      </c>
      <c r="O51" s="10"/>
      <c r="P51" s="2">
        <f>--59450.9</f>
        <v>59450.9</v>
      </c>
      <c r="Q51" s="2"/>
      <c r="R51" s="19"/>
      <c r="S51" s="2"/>
      <c r="T51" s="2">
        <f>--49080.06</f>
        <v>49080.06</v>
      </c>
      <c r="U51" s="2"/>
      <c r="V51" s="19"/>
      <c r="W51" s="2"/>
      <c r="X51" s="2">
        <f t="shared" si="2"/>
        <v>10370.840000000004</v>
      </c>
      <c r="Y51" s="2"/>
      <c r="Z51" s="19">
        <f t="shared" si="3"/>
        <v>0.21130455015743674</v>
      </c>
    </row>
    <row r="52" spans="1:26" s="23" customFormat="1" hidden="1" outlineLevel="1" x14ac:dyDescent="0.25">
      <c r="A52" s="44"/>
      <c r="B52" s="10" t="str">
        <f>CONCATENATE("          ", "4088", " - ", "TAXABLE SALES-MUSIC")</f>
        <v xml:space="preserve">          4088 - TAXABLE SALES-MUSIC</v>
      </c>
      <c r="C52" s="10"/>
      <c r="D52" s="2">
        <f t="shared" ref="D52:D53" si="11">0</f>
        <v>0</v>
      </c>
      <c r="E52" s="2"/>
      <c r="F52" s="19"/>
      <c r="G52" s="2"/>
      <c r="H52" s="2">
        <f>--199.99</f>
        <v>199.99</v>
      </c>
      <c r="I52" s="2"/>
      <c r="J52" s="19"/>
      <c r="K52" s="2"/>
      <c r="L52" s="2">
        <f t="shared" si="0"/>
        <v>-199.99</v>
      </c>
      <c r="M52" s="2"/>
      <c r="N52" s="19">
        <f t="shared" si="1"/>
        <v>-1</v>
      </c>
      <c r="O52" s="10"/>
      <c r="P52" s="2">
        <f t="shared" ref="P52:P53" si="12">0</f>
        <v>0</v>
      </c>
      <c r="Q52" s="2"/>
      <c r="R52" s="19"/>
      <c r="S52" s="2"/>
      <c r="T52" s="2">
        <f>--1294.83</f>
        <v>1294.83</v>
      </c>
      <c r="U52" s="2"/>
      <c r="V52" s="19"/>
      <c r="W52" s="2"/>
      <c r="X52" s="2">
        <f t="shared" si="2"/>
        <v>-1294.83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"4092", " - ", "TAXABLE SALES-GRAD MERCH")</f>
        <v xml:space="preserve">          4092 - TAXABLE SALES-GRAD MERCH</v>
      </c>
      <c r="C53" s="10"/>
      <c r="D53" s="2">
        <f t="shared" si="11"/>
        <v>0</v>
      </c>
      <c r="E53" s="2"/>
      <c r="F53" s="19"/>
      <c r="G53" s="2"/>
      <c r="H53" s="2">
        <f>--10952.9</f>
        <v>10952.9</v>
      </c>
      <c r="I53" s="2"/>
      <c r="J53" s="19"/>
      <c r="K53" s="2"/>
      <c r="L53" s="2">
        <f t="shared" si="0"/>
        <v>-10952.9</v>
      </c>
      <c r="M53" s="2"/>
      <c r="N53" s="19">
        <f t="shared" si="1"/>
        <v>-1</v>
      </c>
      <c r="O53" s="10"/>
      <c r="P53" s="2">
        <f t="shared" si="12"/>
        <v>0</v>
      </c>
      <c r="Q53" s="2"/>
      <c r="R53" s="19"/>
      <c r="S53" s="2"/>
      <c r="T53" s="2">
        <f>--18612.27</f>
        <v>18612.27</v>
      </c>
      <c r="U53" s="2"/>
      <c r="V53" s="19"/>
      <c r="W53" s="2"/>
      <c r="X53" s="2">
        <f t="shared" si="2"/>
        <v>-18612.27</v>
      </c>
      <c r="Y53" s="2"/>
      <c r="Z53" s="19">
        <f t="shared" si="3"/>
        <v>-1</v>
      </c>
    </row>
    <row r="54" spans="1:26" s="23" customFormat="1" hidden="1" outlineLevel="1" x14ac:dyDescent="0.25">
      <c r="A54" s="44"/>
      <c r="B54" s="10" t="str">
        <f>CONCATENATE("          ", "4095", " - ", "TAXABLE SALES-CUSTOMER SERVICE")</f>
        <v xml:space="preserve">          4095 - TAXABLE SALES-CUSTOMER SERVICE</v>
      </c>
      <c r="C54" s="10"/>
      <c r="D54" s="2">
        <f>--775.28</f>
        <v>775.28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775.28</v>
      </c>
      <c r="M54" s="2"/>
      <c r="N54" s="19">
        <f t="shared" si="1"/>
        <v>0</v>
      </c>
      <c r="O54" s="10"/>
      <c r="P54" s="2">
        <f>--915.13</f>
        <v>915.13</v>
      </c>
      <c r="Q54" s="2"/>
      <c r="R54" s="19"/>
      <c r="S54" s="2"/>
      <c r="T54" s="2">
        <f>--309.26</f>
        <v>309.26</v>
      </c>
      <c r="U54" s="2"/>
      <c r="V54" s="19"/>
      <c r="W54" s="2"/>
      <c r="X54" s="2">
        <f t="shared" si="2"/>
        <v>605.87</v>
      </c>
      <c r="Y54" s="2"/>
      <c r="Z54" s="19">
        <f t="shared" si="3"/>
        <v>1.9590959063571105</v>
      </c>
    </row>
    <row r="55" spans="1:26" s="23" customFormat="1" hidden="1" outlineLevel="1" x14ac:dyDescent="0.25">
      <c r="A55" s="44"/>
      <c r="B55" s="10" t="str">
        <f>CONCATENATE("          ", "4100", " - ", "NON-TAXABLE SALES")</f>
        <v xml:space="preserve">          4100 - NON-TAXABLE SALES</v>
      </c>
      <c r="C55" s="10"/>
      <c r="D55" s="2">
        <f>--53675.54</f>
        <v>53675.54</v>
      </c>
      <c r="E55" s="2"/>
      <c r="F55" s="19"/>
      <c r="G55" s="2"/>
      <c r="H55" s="2">
        <f>--44892.53</f>
        <v>44892.53</v>
      </c>
      <c r="I55" s="2"/>
      <c r="J55" s="19"/>
      <c r="K55" s="2"/>
      <c r="L55" s="2">
        <f t="shared" si="0"/>
        <v>8783.010000000002</v>
      </c>
      <c r="M55" s="2"/>
      <c r="N55" s="19">
        <f t="shared" si="1"/>
        <v>0.19564524432015754</v>
      </c>
      <c r="O55" s="10"/>
      <c r="P55" s="2">
        <f>--730103.1</f>
        <v>730103.1</v>
      </c>
      <c r="Q55" s="2"/>
      <c r="R55" s="19"/>
      <c r="S55" s="2"/>
      <c r="T55" s="2">
        <f>--953812.65</f>
        <v>953812.65</v>
      </c>
      <c r="U55" s="2"/>
      <c r="V55" s="19"/>
      <c r="W55" s="2"/>
      <c r="X55" s="2">
        <f t="shared" si="2"/>
        <v>-223709.55000000005</v>
      </c>
      <c r="Y55" s="2"/>
      <c r="Z55" s="19">
        <f t="shared" si="3"/>
        <v>-0.23454244394850501</v>
      </c>
    </row>
    <row r="56" spans="1:26" s="23" customFormat="1" hidden="1" outlineLevel="1" x14ac:dyDescent="0.25">
      <c r="A56" s="44"/>
      <c r="B56" s="10" t="str">
        <f>CONCATENATE("          ", "4101", " - ", "NON-TAXABLE SALES-NEW TEXT")</f>
        <v xml:space="preserve">          4101 - NON-TAXABLE SALES-NEW TEXT</v>
      </c>
      <c r="C56" s="10"/>
      <c r="D56" s="2">
        <f>--1044.17</f>
        <v>1044.17</v>
      </c>
      <c r="E56" s="2"/>
      <c r="F56" s="19"/>
      <c r="G56" s="2"/>
      <c r="H56" s="2">
        <f>--2453.65</f>
        <v>2453.65</v>
      </c>
      <c r="I56" s="2"/>
      <c r="J56" s="19"/>
      <c r="K56" s="2"/>
      <c r="L56" s="2">
        <f t="shared" si="0"/>
        <v>-1409.48</v>
      </c>
      <c r="M56" s="2"/>
      <c r="N56" s="19">
        <f t="shared" si="1"/>
        <v>-0.57444215760193995</v>
      </c>
      <c r="O56" s="10"/>
      <c r="P56" s="2">
        <f>--112055.71</f>
        <v>112055.71</v>
      </c>
      <c r="Q56" s="2"/>
      <c r="R56" s="19"/>
      <c r="S56" s="2"/>
      <c r="T56" s="2">
        <f>--142191.42</f>
        <v>142191.42000000001</v>
      </c>
      <c r="U56" s="2"/>
      <c r="V56" s="19"/>
      <c r="W56" s="2"/>
      <c r="X56" s="2">
        <f t="shared" si="2"/>
        <v>-30135.710000000006</v>
      </c>
      <c r="Y56" s="2"/>
      <c r="Z56" s="19">
        <f t="shared" si="3"/>
        <v>-0.21193761198812139</v>
      </c>
    </row>
    <row r="57" spans="1:26" s="23" customFormat="1" hidden="1" outlineLevel="1" x14ac:dyDescent="0.25">
      <c r="A57" s="44"/>
      <c r="B57" s="10" t="str">
        <f>CONCATENATE("          ", "4102", " - ", "NON-TAXABLE SALES-USED TEXT")</f>
        <v xml:space="preserve">          4102 - NON-TAXABLE SALES-USED TEXT</v>
      </c>
      <c r="C57" s="10"/>
      <c r="D57" s="2">
        <f>--1572.06</f>
        <v>1572.06</v>
      </c>
      <c r="E57" s="2"/>
      <c r="F57" s="19"/>
      <c r="G57" s="2"/>
      <c r="H57" s="2">
        <f>--388.84</f>
        <v>388.84</v>
      </c>
      <c r="I57" s="2"/>
      <c r="J57" s="19"/>
      <c r="K57" s="2"/>
      <c r="L57" s="2">
        <f t="shared" si="0"/>
        <v>1183.22</v>
      </c>
      <c r="M57" s="2"/>
      <c r="N57" s="19">
        <f t="shared" si="1"/>
        <v>3.0429482563522274</v>
      </c>
      <c r="O57" s="10"/>
      <c r="P57" s="2">
        <f>--47959.43</f>
        <v>47959.43</v>
      </c>
      <c r="Q57" s="2"/>
      <c r="R57" s="19"/>
      <c r="S57" s="2"/>
      <c r="T57" s="2">
        <f>--68855.7</f>
        <v>68855.7</v>
      </c>
      <c r="U57" s="2"/>
      <c r="V57" s="19"/>
      <c r="W57" s="2"/>
      <c r="X57" s="2">
        <f t="shared" si="2"/>
        <v>-20896.269999999997</v>
      </c>
      <c r="Y57" s="2"/>
      <c r="Z57" s="19">
        <f t="shared" si="3"/>
        <v>-0.30347916004049041</v>
      </c>
    </row>
    <row r="58" spans="1:26" s="23" customFormat="1" hidden="1" outlineLevel="1" x14ac:dyDescent="0.25">
      <c r="A58" s="44"/>
      <c r="B58" s="10" t="str">
        <f>CONCATENATE("          ", "4103", " - ", "NON-TAXABLE SALES-RENTAL TEXT")</f>
        <v xml:space="preserve">          4103 - NON-TAXABLE SALES-RENTAL TEXT</v>
      </c>
      <c r="C58" s="10"/>
      <c r="D58" s="2">
        <f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0"/>
      <c r="P58" s="2">
        <f>--1138.95</f>
        <v>1138.95</v>
      </c>
      <c r="Q58" s="2"/>
      <c r="R58" s="19"/>
      <c r="S58" s="2"/>
      <c r="T58" s="2">
        <f>--664.97</f>
        <v>664.97</v>
      </c>
      <c r="U58" s="2"/>
      <c r="V58" s="19"/>
      <c r="W58" s="2"/>
      <c r="X58" s="2">
        <f t="shared" si="2"/>
        <v>473.98</v>
      </c>
      <c r="Y58" s="2"/>
      <c r="Z58" s="19">
        <f t="shared" si="3"/>
        <v>0.71278403537001667</v>
      </c>
    </row>
    <row r="59" spans="1:26" s="23" customFormat="1" hidden="1" outlineLevel="1" x14ac:dyDescent="0.25">
      <c r="A59" s="44"/>
      <c r="B59" s="10" t="str">
        <f>CONCATENATE("          ", "4104", " - ", "NON-TAXABLE SALES-DIGITAL TEXT")</f>
        <v xml:space="preserve">          4104 - NON-TAXABLE SALES-DIGITAL TEXT</v>
      </c>
      <c r="C59" s="10"/>
      <c r="D59" s="2">
        <f>--1097.13</f>
        <v>1097.1300000000001</v>
      </c>
      <c r="E59" s="2"/>
      <c r="F59" s="19"/>
      <c r="G59" s="2"/>
      <c r="H59" s="2">
        <f>--961.31</f>
        <v>961.31</v>
      </c>
      <c r="I59" s="2"/>
      <c r="J59" s="19"/>
      <c r="K59" s="2"/>
      <c r="L59" s="2">
        <f t="shared" si="0"/>
        <v>135.82000000000016</v>
      </c>
      <c r="M59" s="2"/>
      <c r="N59" s="19">
        <f t="shared" si="1"/>
        <v>0.14128636964142699</v>
      </c>
      <c r="O59" s="10"/>
      <c r="P59" s="2">
        <f>--476971.18</f>
        <v>476971.18</v>
      </c>
      <c r="Q59" s="2"/>
      <c r="R59" s="19"/>
      <c r="S59" s="2"/>
      <c r="T59" s="2">
        <f>--524351.65</f>
        <v>524351.65</v>
      </c>
      <c r="U59" s="2"/>
      <c r="V59" s="19"/>
      <c r="W59" s="2"/>
      <c r="X59" s="2">
        <f t="shared" si="2"/>
        <v>-47380.47000000003</v>
      </c>
      <c r="Y59" s="2"/>
      <c r="Z59" s="19">
        <f t="shared" si="3"/>
        <v>-9.0360104712171749E-2</v>
      </c>
    </row>
    <row r="60" spans="1:26" s="23" customFormat="1" hidden="1" outlineLevel="1" x14ac:dyDescent="0.25">
      <c r="A60" s="44"/>
      <c r="B60" s="10" t="str">
        <f>CONCATENATE("          ", "4111", " - ", "NON-TAXABLE SALES-NO VALUE TEX")</f>
        <v xml:space="preserve">          4111 - NON-TAXABLE SALES-NO VALUE TEX</v>
      </c>
      <c r="C60" s="10"/>
      <c r="D60" s="2">
        <f>0</f>
        <v>0</v>
      </c>
      <c r="E60" s="2"/>
      <c r="F60" s="19"/>
      <c r="G60" s="2"/>
      <c r="H60" s="2">
        <f>--369.34</f>
        <v>369.34</v>
      </c>
      <c r="I60" s="2"/>
      <c r="J60" s="19"/>
      <c r="K60" s="2"/>
      <c r="L60" s="2">
        <f t="shared" si="0"/>
        <v>-369.34</v>
      </c>
      <c r="M60" s="2"/>
      <c r="N60" s="19">
        <f t="shared" si="1"/>
        <v>-1</v>
      </c>
      <c r="O60" s="10"/>
      <c r="P60" s="2">
        <f>0</f>
        <v>0</v>
      </c>
      <c r="Q60" s="2"/>
      <c r="R60" s="19"/>
      <c r="S60" s="2"/>
      <c r="T60" s="2">
        <f>--14729.33</f>
        <v>14729.33</v>
      </c>
      <c r="U60" s="2"/>
      <c r="V60" s="19"/>
      <c r="W60" s="2"/>
      <c r="X60" s="2">
        <f t="shared" si="2"/>
        <v>-14729.33</v>
      </c>
      <c r="Y60" s="2"/>
      <c r="Z60" s="19">
        <f t="shared" si="3"/>
        <v>-1</v>
      </c>
    </row>
    <row r="61" spans="1:26" s="23" customFormat="1" hidden="1" outlineLevel="1" x14ac:dyDescent="0.25">
      <c r="A61" s="44"/>
      <c r="B61" s="10" t="str">
        <f>CONCATENATE("          ", "4113", " - ", "NON-TAXABLE SALES-TRADE BOOKS")</f>
        <v xml:space="preserve">          4113 - NON-TAXABLE SALES-TRADE BOOKS</v>
      </c>
      <c r="C61" s="10"/>
      <c r="D61" s="2">
        <f>--1250</f>
        <v>1250</v>
      </c>
      <c r="E61" s="2"/>
      <c r="F61" s="19"/>
      <c r="G61" s="2"/>
      <c r="H61" s="2">
        <f>--2440</f>
        <v>2440</v>
      </c>
      <c r="I61" s="2"/>
      <c r="J61" s="19"/>
      <c r="K61" s="2"/>
      <c r="L61" s="2">
        <f t="shared" si="0"/>
        <v>-1190</v>
      </c>
      <c r="M61" s="2"/>
      <c r="N61" s="19">
        <f t="shared" si="1"/>
        <v>-0.48770491803278687</v>
      </c>
      <c r="O61" s="10"/>
      <c r="P61" s="2">
        <f>--11389.25</f>
        <v>11389.25</v>
      </c>
      <c r="Q61" s="2"/>
      <c r="R61" s="19"/>
      <c r="S61" s="2"/>
      <c r="T61" s="2">
        <f>--5801.92</f>
        <v>5801.92</v>
      </c>
      <c r="U61" s="2"/>
      <c r="V61" s="19"/>
      <c r="W61" s="2"/>
      <c r="X61" s="2">
        <f t="shared" si="2"/>
        <v>5587.33</v>
      </c>
      <c r="Y61" s="2"/>
      <c r="Z61" s="19">
        <f t="shared" si="3"/>
        <v>0.96301396778997295</v>
      </c>
    </row>
    <row r="62" spans="1:26" s="23" customFormat="1" hidden="1" outlineLevel="1" x14ac:dyDescent="0.25">
      <c r="A62" s="44"/>
      <c r="B62" s="10" t="str">
        <f>CONCATENATE("          ", "4118", " - ", "NON-TAXABLE SALES-STUDY GUIDES")</f>
        <v xml:space="preserve">          4118 - NON-TAXABLE SALES-STUDY GUIDES</v>
      </c>
      <c r="C62" s="10"/>
      <c r="D62" s="2">
        <f t="shared" ref="D62:D64" si="13">0</f>
        <v>0</v>
      </c>
      <c r="E62" s="2"/>
      <c r="F62" s="19"/>
      <c r="G62" s="2"/>
      <c r="H62" s="2">
        <f>--7.02</f>
        <v>7.02</v>
      </c>
      <c r="I62" s="2"/>
      <c r="J62" s="19"/>
      <c r="K62" s="2"/>
      <c r="L62" s="2">
        <f t="shared" si="0"/>
        <v>-7.02</v>
      </c>
      <c r="M62" s="2"/>
      <c r="N62" s="19">
        <f t="shared" si="1"/>
        <v>-1</v>
      </c>
      <c r="O62" s="10"/>
      <c r="P62" s="2">
        <f>--771.73</f>
        <v>771.73</v>
      </c>
      <c r="Q62" s="2"/>
      <c r="R62" s="19"/>
      <c r="S62" s="2"/>
      <c r="T62" s="2">
        <f>--68.92</f>
        <v>68.92</v>
      </c>
      <c r="U62" s="2"/>
      <c r="V62" s="19"/>
      <c r="W62" s="2"/>
      <c r="X62" s="2">
        <f t="shared" si="2"/>
        <v>702.81000000000006</v>
      </c>
      <c r="Y62" s="2"/>
      <c r="Z62" s="19">
        <f t="shared" si="3"/>
        <v>10.197475333720256</v>
      </c>
    </row>
    <row r="63" spans="1:26" s="23" customFormat="1" hidden="1" outlineLevel="1" x14ac:dyDescent="0.25">
      <c r="A63" s="44"/>
      <c r="B63" s="10" t="str">
        <f>CONCATENATE("          ", "4125", " - ", "NON-TAXABLE SALES-TEST FORMS")</f>
        <v xml:space="preserve">          4125 - NON-TAXABLE SALES-TEST FORMS</v>
      </c>
      <c r="C63" s="10"/>
      <c r="D63" s="2">
        <f t="shared" si="13"/>
        <v>0</v>
      </c>
      <c r="E63" s="2"/>
      <c r="F63" s="19"/>
      <c r="G63" s="2"/>
      <c r="H63" s="2">
        <f>--4.54</f>
        <v>4.54</v>
      </c>
      <c r="I63" s="2"/>
      <c r="J63" s="19"/>
      <c r="K63" s="2"/>
      <c r="L63" s="2">
        <f t="shared" si="0"/>
        <v>-4.54</v>
      </c>
      <c r="M63" s="2"/>
      <c r="N63" s="19">
        <f t="shared" si="1"/>
        <v>-1</v>
      </c>
      <c r="O63" s="10"/>
      <c r="P63" s="2">
        <f>0</f>
        <v>0</v>
      </c>
      <c r="Q63" s="2"/>
      <c r="R63" s="19"/>
      <c r="S63" s="2"/>
      <c r="T63" s="2">
        <f>--267.61</f>
        <v>267.61</v>
      </c>
      <c r="U63" s="2"/>
      <c r="V63" s="19"/>
      <c r="W63" s="2"/>
      <c r="X63" s="2">
        <f t="shared" si="2"/>
        <v>-267.61</v>
      </c>
      <c r="Y63" s="2"/>
      <c r="Z63" s="19">
        <f t="shared" si="3"/>
        <v>-1</v>
      </c>
    </row>
    <row r="64" spans="1:26" s="23" customFormat="1" hidden="1" outlineLevel="1" x14ac:dyDescent="0.25">
      <c r="A64" s="44"/>
      <c r="B64" s="10" t="str">
        <f>CONCATENATE("          ", "4126", " - ", "NON-TAXABLE SALES-WRITING INST")</f>
        <v xml:space="preserve">          4126 - NON-TAXABLE SALES-WRITING INST</v>
      </c>
      <c r="C64" s="10"/>
      <c r="D64" s="2">
        <f t="shared" si="13"/>
        <v>0</v>
      </c>
      <c r="E64" s="2"/>
      <c r="F64" s="19"/>
      <c r="G64" s="2"/>
      <c r="H64" s="2">
        <f>--110.71</f>
        <v>110.71</v>
      </c>
      <c r="I64" s="2"/>
      <c r="J64" s="19"/>
      <c r="K64" s="2"/>
      <c r="L64" s="2">
        <f t="shared" si="0"/>
        <v>-110.71</v>
      </c>
      <c r="M64" s="2"/>
      <c r="N64" s="19">
        <f t="shared" si="1"/>
        <v>-1</v>
      </c>
      <c r="O64" s="10"/>
      <c r="P64" s="2">
        <f>--52.68</f>
        <v>52.68</v>
      </c>
      <c r="Q64" s="2"/>
      <c r="R64" s="19"/>
      <c r="S64" s="2"/>
      <c r="T64" s="2">
        <f>--3017.29</f>
        <v>3017.29</v>
      </c>
      <c r="U64" s="2"/>
      <c r="V64" s="19"/>
      <c r="W64" s="2"/>
      <c r="X64" s="2">
        <f t="shared" si="2"/>
        <v>-2964.61</v>
      </c>
      <c r="Y64" s="2"/>
      <c r="Z64" s="19">
        <f t="shared" si="3"/>
        <v>-0.98254062420251287</v>
      </c>
    </row>
    <row r="65" spans="1:26" s="23" customFormat="1" hidden="1" outlineLevel="1" x14ac:dyDescent="0.25">
      <c r="A65" s="44"/>
      <c r="B65" s="10" t="str">
        <f>CONCATENATE("          ", "4127", " - ", "NON-TAXABLE SALES-SCHOOL SUPPL")</f>
        <v xml:space="preserve">          4127 - NON-TAXABLE SALES-SCHOOL SUPPL</v>
      </c>
      <c r="C65" s="10"/>
      <c r="D65" s="2">
        <f>--389.95</f>
        <v>389.95</v>
      </c>
      <c r="E65" s="2"/>
      <c r="F65" s="19"/>
      <c r="G65" s="2"/>
      <c r="H65" s="2">
        <f>--53.81</f>
        <v>53.81</v>
      </c>
      <c r="I65" s="2"/>
      <c r="J65" s="19"/>
      <c r="K65" s="2"/>
      <c r="L65" s="2">
        <f t="shared" si="0"/>
        <v>336.14</v>
      </c>
      <c r="M65" s="2"/>
      <c r="N65" s="19">
        <f t="shared" si="1"/>
        <v>6.246794276156848</v>
      </c>
      <c r="O65" s="10"/>
      <c r="P65" s="2">
        <f>--6607.31</f>
        <v>6607.31</v>
      </c>
      <c r="Q65" s="2"/>
      <c r="R65" s="19"/>
      <c r="S65" s="2"/>
      <c r="T65" s="2">
        <f>--4716.22</f>
        <v>4716.22</v>
      </c>
      <c r="U65" s="2"/>
      <c r="V65" s="19"/>
      <c r="W65" s="2"/>
      <c r="X65" s="2">
        <f t="shared" si="2"/>
        <v>1891.0900000000001</v>
      </c>
      <c r="Y65" s="2"/>
      <c r="Z65" s="19">
        <f t="shared" si="3"/>
        <v>0.40097578145209511</v>
      </c>
    </row>
    <row r="66" spans="1:26" s="23" customFormat="1" hidden="1" outlineLevel="1" x14ac:dyDescent="0.25">
      <c r="A66" s="44"/>
      <c r="B66" s="10" t="str">
        <f>CONCATENATE("          ", "4128", " - ", "NON-TAXABLE SALES-ART/TECH")</f>
        <v xml:space="preserve">          4128 - NON-TAXABLE SALES-ART/TECH</v>
      </c>
      <c r="C66" s="10"/>
      <c r="D66" s="2">
        <f>0</f>
        <v>0</v>
      </c>
      <c r="E66" s="2"/>
      <c r="F66" s="19"/>
      <c r="G66" s="2"/>
      <c r="H66" s="2">
        <f>--52.12</f>
        <v>52.12</v>
      </c>
      <c r="I66" s="2"/>
      <c r="J66" s="19"/>
      <c r="K66" s="2"/>
      <c r="L66" s="2">
        <f t="shared" si="0"/>
        <v>-52.12</v>
      </c>
      <c r="M66" s="2"/>
      <c r="N66" s="19">
        <f t="shared" si="1"/>
        <v>-1</v>
      </c>
      <c r="O66" s="10"/>
      <c r="P66" s="2">
        <f>--38.58</f>
        <v>38.58</v>
      </c>
      <c r="Q66" s="2"/>
      <c r="R66" s="19"/>
      <c r="S66" s="2"/>
      <c r="T66" s="2">
        <f>--730.62</f>
        <v>730.62</v>
      </c>
      <c r="U66" s="2"/>
      <c r="V66" s="19"/>
      <c r="W66" s="2"/>
      <c r="X66" s="2">
        <f t="shared" si="2"/>
        <v>-692.04</v>
      </c>
      <c r="Y66" s="2"/>
      <c r="Z66" s="19">
        <f t="shared" si="3"/>
        <v>-0.94719553256138611</v>
      </c>
    </row>
    <row r="67" spans="1:26" s="23" customFormat="1" hidden="1" outlineLevel="1" x14ac:dyDescent="0.25">
      <c r="A67" s="44"/>
      <c r="B67" s="10" t="str">
        <f>CONCATENATE("          ", "4131", " - ", "NON-TAXABLE SALES-FOOD")</f>
        <v xml:space="preserve">          4131 - NON-TAXABLE SALES-FOOD</v>
      </c>
      <c r="C67" s="10"/>
      <c r="D67" s="2">
        <f>--829.28</f>
        <v>829.28</v>
      </c>
      <c r="E67" s="2"/>
      <c r="F67" s="19"/>
      <c r="G67" s="2"/>
      <c r="H67" s="2">
        <f>--4482.02</f>
        <v>4482.0200000000004</v>
      </c>
      <c r="I67" s="2"/>
      <c r="J67" s="19"/>
      <c r="K67" s="2"/>
      <c r="L67" s="2">
        <f t="shared" si="0"/>
        <v>-3652.7400000000007</v>
      </c>
      <c r="M67" s="2"/>
      <c r="N67" s="19">
        <f t="shared" si="1"/>
        <v>-0.81497628301524772</v>
      </c>
      <c r="O67" s="10"/>
      <c r="P67" s="2">
        <f>--10404.43</f>
        <v>10404.43</v>
      </c>
      <c r="Q67" s="2"/>
      <c r="R67" s="19"/>
      <c r="S67" s="2"/>
      <c r="T67" s="2">
        <f>--57883.57</f>
        <v>57883.57</v>
      </c>
      <c r="U67" s="2"/>
      <c r="V67" s="19"/>
      <c r="W67" s="2"/>
      <c r="X67" s="2">
        <f t="shared" si="2"/>
        <v>-47479.14</v>
      </c>
      <c r="Y67" s="2"/>
      <c r="Z67" s="19">
        <f t="shared" si="3"/>
        <v>-0.82025244814720311</v>
      </c>
    </row>
    <row r="68" spans="1:26" s="23" customFormat="1" hidden="1" outlineLevel="1" x14ac:dyDescent="0.25">
      <c r="A68" s="44"/>
      <c r="B68" s="10" t="str">
        <f>CONCATENATE("          ", "4132", " - ", "NON-TAXABLE SALES-JUICE")</f>
        <v xml:space="preserve">          4132 - NON-TAXABLE SALES-JUICE</v>
      </c>
      <c r="C68" s="10"/>
      <c r="D68" s="2">
        <f t="shared" ref="D68:D72" si="14">0</f>
        <v>0</v>
      </c>
      <c r="E68" s="2"/>
      <c r="F68" s="19"/>
      <c r="G68" s="2"/>
      <c r="H68" s="2">
        <f>--79319.9</f>
        <v>79319.899999999994</v>
      </c>
      <c r="I68" s="2"/>
      <c r="J68" s="19"/>
      <c r="K68" s="2"/>
      <c r="L68" s="2">
        <f t="shared" si="0"/>
        <v>-79319.899999999994</v>
      </c>
      <c r="M68" s="2"/>
      <c r="N68" s="19">
        <f t="shared" si="1"/>
        <v>-1</v>
      </c>
      <c r="O68" s="10"/>
      <c r="P68" s="2">
        <f>--2054.37</f>
        <v>2054.37</v>
      </c>
      <c r="Q68" s="2"/>
      <c r="R68" s="19"/>
      <c r="S68" s="2"/>
      <c r="T68" s="2">
        <f>--1109977.73</f>
        <v>1109977.73</v>
      </c>
      <c r="U68" s="2"/>
      <c r="V68" s="19"/>
      <c r="W68" s="2"/>
      <c r="X68" s="2">
        <f t="shared" si="2"/>
        <v>-1107923.3599999999</v>
      </c>
      <c r="Y68" s="2"/>
      <c r="Z68" s="19">
        <f t="shared" si="3"/>
        <v>-0.99814917908307932</v>
      </c>
    </row>
    <row r="69" spans="1:26" s="23" customFormat="1" hidden="1" outlineLevel="1" x14ac:dyDescent="0.25">
      <c r="A69" s="44"/>
      <c r="B69" s="10" t="str">
        <f>CONCATENATE("          ", "4133", " - ", "NON-TAXABLE SALES-CANDY")</f>
        <v xml:space="preserve">          4133 - NON-TAXABLE SALES-CANDY</v>
      </c>
      <c r="C69" s="10"/>
      <c r="D69" s="2">
        <f t="shared" si="14"/>
        <v>0</v>
      </c>
      <c r="E69" s="2"/>
      <c r="F69" s="19"/>
      <c r="G69" s="2"/>
      <c r="H69" s="2">
        <f>--1261.31</f>
        <v>1261.31</v>
      </c>
      <c r="I69" s="2"/>
      <c r="J69" s="19"/>
      <c r="K69" s="2"/>
      <c r="L69" s="2">
        <f t="shared" si="0"/>
        <v>-1261.31</v>
      </c>
      <c r="M69" s="2"/>
      <c r="N69" s="19">
        <f t="shared" si="1"/>
        <v>-1</v>
      </c>
      <c r="O69" s="10"/>
      <c r="P69" s="2">
        <f>--80.71</f>
        <v>80.709999999999994</v>
      </c>
      <c r="Q69" s="2"/>
      <c r="R69" s="19"/>
      <c r="S69" s="2"/>
      <c r="T69" s="2">
        <f>--18085.88</f>
        <v>18085.88</v>
      </c>
      <c r="U69" s="2"/>
      <c r="V69" s="19"/>
      <c r="W69" s="2"/>
      <c r="X69" s="2">
        <f t="shared" si="2"/>
        <v>-18005.170000000002</v>
      </c>
      <c r="Y69" s="2"/>
      <c r="Z69" s="19">
        <f t="shared" si="3"/>
        <v>-0.99553740265886981</v>
      </c>
    </row>
    <row r="70" spans="1:26" s="23" customFormat="1" hidden="1" outlineLevel="1" x14ac:dyDescent="0.25">
      <c r="A70" s="44"/>
      <c r="B70" s="10" t="str">
        <f>CONCATENATE("          ", "4134", " - ", "NON-TAXABLE SALES-SODA")</f>
        <v xml:space="preserve">          4134 - NON-TAXABLE SALES-SODA</v>
      </c>
      <c r="C70" s="10"/>
      <c r="D70" s="2">
        <f t="shared" si="14"/>
        <v>0</v>
      </c>
      <c r="E70" s="2"/>
      <c r="F70" s="19"/>
      <c r="G70" s="2"/>
      <c r="H70" s="2">
        <f>--26.93</f>
        <v>26.93</v>
      </c>
      <c r="I70" s="2"/>
      <c r="J70" s="19"/>
      <c r="K70" s="2"/>
      <c r="L70" s="2">
        <f t="shared" si="0"/>
        <v>-26.93</v>
      </c>
      <c r="M70" s="2"/>
      <c r="N70" s="19">
        <f t="shared" si="1"/>
        <v>-1</v>
      </c>
      <c r="O70" s="10"/>
      <c r="P70" s="2">
        <f>--45.53</f>
        <v>45.53</v>
      </c>
      <c r="Q70" s="2"/>
      <c r="R70" s="19"/>
      <c r="S70" s="2"/>
      <c r="T70" s="2">
        <f>--37.23</f>
        <v>37.229999999999997</v>
      </c>
      <c r="U70" s="2"/>
      <c r="V70" s="19"/>
      <c r="W70" s="2"/>
      <c r="X70" s="2">
        <f t="shared" si="2"/>
        <v>8.3000000000000043</v>
      </c>
      <c r="Y70" s="2"/>
      <c r="Z70" s="19">
        <f t="shared" si="3"/>
        <v>0.22293849046467915</v>
      </c>
    </row>
    <row r="71" spans="1:26" s="23" customFormat="1" hidden="1" outlineLevel="1" x14ac:dyDescent="0.25">
      <c r="A71" s="44"/>
      <c r="B71" s="10" t="str">
        <f>CONCATENATE("          ", "4135", " - ", "NON-TAXABLE SALES")</f>
        <v xml:space="preserve">          4135 - NON-TAXABLE SALES</v>
      </c>
      <c r="C71" s="10"/>
      <c r="D71" s="2">
        <f t="shared" si="14"/>
        <v>0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0"/>
      <c r="P71" s="2">
        <f>0</f>
        <v>0</v>
      </c>
      <c r="Q71" s="2"/>
      <c r="R71" s="19"/>
      <c r="S71" s="2"/>
      <c r="T71" s="2">
        <f>--161.4</f>
        <v>161.4</v>
      </c>
      <c r="U71" s="2"/>
      <c r="V71" s="19"/>
      <c r="W71" s="2"/>
      <c r="X71" s="2">
        <f t="shared" si="2"/>
        <v>-161.4</v>
      </c>
      <c r="Y71" s="2"/>
      <c r="Z71" s="19">
        <f t="shared" si="3"/>
        <v>-1</v>
      </c>
    </row>
    <row r="72" spans="1:26" s="23" customFormat="1" hidden="1" outlineLevel="1" x14ac:dyDescent="0.25">
      <c r="A72" s="44"/>
      <c r="B72" s="10" t="str">
        <f>CONCATENATE("          ", "4137", " - ", "NON-TAXABLE SALES-WATER")</f>
        <v xml:space="preserve">          4137 - NON-TAXABLE SALES-WATER</v>
      </c>
      <c r="C72" s="10"/>
      <c r="D72" s="2">
        <f t="shared" si="14"/>
        <v>0</v>
      </c>
      <c r="E72" s="2"/>
      <c r="F72" s="19"/>
      <c r="G72" s="2"/>
      <c r="H72" s="2">
        <f>--727.4</f>
        <v>727.4</v>
      </c>
      <c r="I72" s="2"/>
      <c r="J72" s="19"/>
      <c r="K72" s="2"/>
      <c r="L72" s="2">
        <f t="shared" si="0"/>
        <v>-727.4</v>
      </c>
      <c r="M72" s="2"/>
      <c r="N72" s="19">
        <f t="shared" si="1"/>
        <v>-1</v>
      </c>
      <c r="O72" s="10"/>
      <c r="P72" s="2">
        <f>--68.25</f>
        <v>68.25</v>
      </c>
      <c r="Q72" s="2"/>
      <c r="R72" s="19"/>
      <c r="S72" s="2"/>
      <c r="T72" s="2">
        <f>--10087.85</f>
        <v>10087.85</v>
      </c>
      <c r="U72" s="2"/>
      <c r="V72" s="19"/>
      <c r="W72" s="2"/>
      <c r="X72" s="2">
        <f t="shared" si="2"/>
        <v>-10019.6</v>
      </c>
      <c r="Y72" s="2"/>
      <c r="Z72" s="19">
        <f t="shared" si="3"/>
        <v>-0.99323443548427071</v>
      </c>
    </row>
    <row r="73" spans="1:26" s="23" customFormat="1" hidden="1" outlineLevel="1" x14ac:dyDescent="0.25">
      <c r="A73" s="44"/>
      <c r="B73" s="10" t="str">
        <f>CONCATENATE("          ", "4140", " - ", "NON-TAXABLE SALES-LOGO CLOTHIN")</f>
        <v xml:space="preserve">          4140 - NON-TAXABLE SALES-LOGO CLOTHIN</v>
      </c>
      <c r="C73" s="10"/>
      <c r="D73" s="2">
        <f>--16626.41</f>
        <v>16626.41</v>
      </c>
      <c r="E73" s="2"/>
      <c r="F73" s="19"/>
      <c r="G73" s="2"/>
      <c r="H73" s="2">
        <f>--5466.31</f>
        <v>5466.31</v>
      </c>
      <c r="I73" s="2"/>
      <c r="J73" s="19"/>
      <c r="K73" s="2"/>
      <c r="L73" s="2">
        <f t="shared" si="0"/>
        <v>11160.099999999999</v>
      </c>
      <c r="M73" s="2"/>
      <c r="N73" s="19">
        <f t="shared" si="1"/>
        <v>2.0416149102410945</v>
      </c>
      <c r="O73" s="10"/>
      <c r="P73" s="2">
        <f>--131751.69</f>
        <v>131751.69</v>
      </c>
      <c r="Q73" s="2"/>
      <c r="R73" s="19"/>
      <c r="S73" s="2"/>
      <c r="T73" s="2">
        <f>--48048.98</f>
        <v>48048.98</v>
      </c>
      <c r="U73" s="2"/>
      <c r="V73" s="19"/>
      <c r="W73" s="2"/>
      <c r="X73" s="2">
        <f t="shared" si="2"/>
        <v>83702.709999999992</v>
      </c>
      <c r="Y73" s="2"/>
      <c r="Z73" s="19">
        <f t="shared" si="3"/>
        <v>1.7420288630476648</v>
      </c>
    </row>
    <row r="74" spans="1:26" s="23" customFormat="1" hidden="1" outlineLevel="1" x14ac:dyDescent="0.25">
      <c r="A74" s="44"/>
      <c r="B74" s="10" t="str">
        <f>CONCATENATE("          ", "4141", " - ", "NON-TAXABLE SALES-LOGO GIFTS")</f>
        <v xml:space="preserve">          4141 - NON-TAXABLE SALES-LOGO GIFTS</v>
      </c>
      <c r="C74" s="10"/>
      <c r="D74" s="2">
        <f>--1055.22</f>
        <v>1055.22</v>
      </c>
      <c r="E74" s="2"/>
      <c r="F74" s="19"/>
      <c r="G74" s="2"/>
      <c r="H74" s="2">
        <f>--242.39</f>
        <v>242.39</v>
      </c>
      <c r="I74" s="2"/>
      <c r="J74" s="19"/>
      <c r="K74" s="2"/>
      <c r="L74" s="2">
        <f t="shared" si="0"/>
        <v>812.83</v>
      </c>
      <c r="M74" s="2"/>
      <c r="N74" s="19">
        <f t="shared" si="1"/>
        <v>3.3533974173852061</v>
      </c>
      <c r="O74" s="10"/>
      <c r="P74" s="2">
        <f>--9568.24</f>
        <v>9568.24</v>
      </c>
      <c r="Q74" s="2"/>
      <c r="R74" s="19"/>
      <c r="S74" s="2"/>
      <c r="T74" s="2">
        <f>--10914.56</f>
        <v>10914.56</v>
      </c>
      <c r="U74" s="2"/>
      <c r="V74" s="19"/>
      <c r="W74" s="2"/>
      <c r="X74" s="2">
        <f t="shared" si="2"/>
        <v>-1346.3199999999997</v>
      </c>
      <c r="Y74" s="2"/>
      <c r="Z74" s="19">
        <f t="shared" si="3"/>
        <v>-0.12335082678550485</v>
      </c>
    </row>
    <row r="75" spans="1:26" s="23" customFormat="1" hidden="1" outlineLevel="1" x14ac:dyDescent="0.25">
      <c r="A75" s="44"/>
      <c r="B75" s="10" t="str">
        <f>CONCATENATE("          ", "4142", " - ", "NON-TAXABLE SALES-EVERYDAY GIF")</f>
        <v xml:space="preserve">          4142 - NON-TAXABLE SALES-EVERYDAY GIF</v>
      </c>
      <c r="C75" s="10"/>
      <c r="D75" s="2">
        <f>--16.9</f>
        <v>16.899999999999999</v>
      </c>
      <c r="E75" s="2"/>
      <c r="F75" s="19"/>
      <c r="G75" s="2"/>
      <c r="H75" s="2">
        <f>--48.58</f>
        <v>48.58</v>
      </c>
      <c r="I75" s="2"/>
      <c r="J75" s="19"/>
      <c r="K75" s="2"/>
      <c r="L75" s="2">
        <f t="shared" si="0"/>
        <v>-31.68</v>
      </c>
      <c r="M75" s="2"/>
      <c r="N75" s="19">
        <f t="shared" si="1"/>
        <v>-0.65212021407986831</v>
      </c>
      <c r="O75" s="10"/>
      <c r="P75" s="2">
        <f>--2281.37</f>
        <v>2281.37</v>
      </c>
      <c r="Q75" s="2"/>
      <c r="R75" s="19"/>
      <c r="S75" s="2"/>
      <c r="T75" s="2">
        <f>--13741.43</f>
        <v>13741.43</v>
      </c>
      <c r="U75" s="2"/>
      <c r="V75" s="19"/>
      <c r="W75" s="2"/>
      <c r="X75" s="2">
        <f t="shared" si="2"/>
        <v>-11460.060000000001</v>
      </c>
      <c r="Y75" s="2"/>
      <c r="Z75" s="19">
        <f t="shared" si="3"/>
        <v>-0.83397870527303208</v>
      </c>
    </row>
    <row r="76" spans="1:26" s="23" customFormat="1" hidden="1" outlineLevel="1" x14ac:dyDescent="0.25">
      <c r="A76" s="44"/>
      <c r="B76" s="10" t="str">
        <f>CONCATENATE("          ", "4143", " - ", "NON-TAXABLE SALES-CARDS")</f>
        <v xml:space="preserve">          4143 - NON-TAXABLE SALES-CARDS</v>
      </c>
      <c r="C76" s="10"/>
      <c r="D76" s="2">
        <f>--261.82</f>
        <v>261.82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261.82</v>
      </c>
      <c r="M76" s="2"/>
      <c r="N76" s="19">
        <f t="shared" si="1"/>
        <v>0</v>
      </c>
      <c r="O76" s="10"/>
      <c r="P76" s="2">
        <f>--2381.48</f>
        <v>2381.48</v>
      </c>
      <c r="Q76" s="2"/>
      <c r="R76" s="19"/>
      <c r="S76" s="2"/>
      <c r="T76" s="2">
        <f>--9.99</f>
        <v>9.99</v>
      </c>
      <c r="U76" s="2"/>
      <c r="V76" s="19"/>
      <c r="W76" s="2"/>
      <c r="X76" s="2">
        <f t="shared" si="2"/>
        <v>2371.4900000000002</v>
      </c>
      <c r="Y76" s="2"/>
      <c r="Z76" s="19">
        <f t="shared" si="3"/>
        <v>237.38638638638639</v>
      </c>
    </row>
    <row r="77" spans="1:26" s="23" customFormat="1" hidden="1" outlineLevel="1" x14ac:dyDescent="0.25">
      <c r="A77" s="44"/>
      <c r="B77" s="10" t="str">
        <f>CONCATENATE("          ", "4144", " - ", "NON-TAXABLE SALES-ACCESSORIES")</f>
        <v xml:space="preserve">          4144 - NON-TAXABLE SALES-ACCESSORIES</v>
      </c>
      <c r="C77" s="10"/>
      <c r="D77" s="2">
        <f>--29.9</f>
        <v>29.9</v>
      </c>
      <c r="E77" s="2"/>
      <c r="F77" s="19"/>
      <c r="G77" s="2"/>
      <c r="H77" s="2">
        <f>--150</f>
        <v>150</v>
      </c>
      <c r="I77" s="2"/>
      <c r="J77" s="19"/>
      <c r="K77" s="2"/>
      <c r="L77" s="2">
        <f t="shared" si="0"/>
        <v>-120.1</v>
      </c>
      <c r="M77" s="2"/>
      <c r="N77" s="19">
        <f t="shared" si="1"/>
        <v>-0.80066666666666664</v>
      </c>
      <c r="O77" s="10"/>
      <c r="P77" s="2">
        <f>--679.25</f>
        <v>679.25</v>
      </c>
      <c r="Q77" s="2"/>
      <c r="R77" s="19"/>
      <c r="S77" s="2"/>
      <c r="T77" s="2">
        <f>--2040.27</f>
        <v>2040.27</v>
      </c>
      <c r="U77" s="2"/>
      <c r="V77" s="19"/>
      <c r="W77" s="2"/>
      <c r="X77" s="2">
        <f t="shared" si="2"/>
        <v>-1361.02</v>
      </c>
      <c r="Y77" s="2"/>
      <c r="Z77" s="19">
        <f t="shared" si="3"/>
        <v>-0.66707837688149119</v>
      </c>
    </row>
    <row r="78" spans="1:26" s="23" customFormat="1" hidden="1" outlineLevel="1" x14ac:dyDescent="0.25">
      <c r="A78" s="44"/>
      <c r="B78" s="10" t="str">
        <f>CONCATENATE("          ", "4145", " - ", "NON-TAXABLE SALES-SPECIAL ORDE")</f>
        <v xml:space="preserve">          4145 - NON-TAXABLE SALES-SPECIAL ORDE</v>
      </c>
      <c r="C78" s="10"/>
      <c r="D78" s="2">
        <f>0</f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0"/>
      <c r="P78" s="2">
        <f>--53716.09</f>
        <v>53716.09</v>
      </c>
      <c r="Q78" s="2"/>
      <c r="R78" s="19"/>
      <c r="S78" s="2"/>
      <c r="T78" s="2">
        <f>--140</f>
        <v>140</v>
      </c>
      <c r="U78" s="2"/>
      <c r="V78" s="19"/>
      <c r="W78" s="2"/>
      <c r="X78" s="2">
        <f t="shared" si="2"/>
        <v>53576.09</v>
      </c>
      <c r="Y78" s="2"/>
      <c r="Z78" s="19">
        <f t="shared" si="3"/>
        <v>382.6863571428571</v>
      </c>
    </row>
    <row r="79" spans="1:26" s="23" customFormat="1" hidden="1" outlineLevel="1" x14ac:dyDescent="0.25">
      <c r="A79" s="44"/>
      <c r="B79" s="10" t="str">
        <f>CONCATENATE("          ", "4146", " - ", "NON-TAXABLE SALES-COIN OP MACH")</f>
        <v xml:space="preserve">          4146 - NON-TAXABLE SALES-COIN OP MACH</v>
      </c>
      <c r="C79" s="10"/>
      <c r="D79" s="2">
        <f>--90.7</f>
        <v>90.7</v>
      </c>
      <c r="E79" s="2"/>
      <c r="F79" s="19"/>
      <c r="G79" s="2"/>
      <c r="H79" s="2">
        <f>--13383.2</f>
        <v>13383.2</v>
      </c>
      <c r="I79" s="2"/>
      <c r="J79" s="19"/>
      <c r="K79" s="2"/>
      <c r="L79" s="2">
        <f t="shared" si="0"/>
        <v>-13292.5</v>
      </c>
      <c r="M79" s="2"/>
      <c r="N79" s="19">
        <f t="shared" si="1"/>
        <v>-0.99322284655388837</v>
      </c>
      <c r="O79" s="10"/>
      <c r="P79" s="2">
        <f>--299.1</f>
        <v>299.10000000000002</v>
      </c>
      <c r="Q79" s="2"/>
      <c r="R79" s="19"/>
      <c r="S79" s="2"/>
      <c r="T79" s="2">
        <f>--205786.95</f>
        <v>205786.95</v>
      </c>
      <c r="U79" s="2"/>
      <c r="V79" s="19"/>
      <c r="W79" s="2"/>
      <c r="X79" s="2">
        <f t="shared" si="2"/>
        <v>-205487.85</v>
      </c>
      <c r="Y79" s="2"/>
      <c r="Z79" s="19">
        <f t="shared" si="3"/>
        <v>-0.99854655506580958</v>
      </c>
    </row>
    <row r="80" spans="1:26" s="23" customFormat="1" hidden="1" outlineLevel="1" x14ac:dyDescent="0.25">
      <c r="A80" s="44"/>
      <c r="B80" s="10" t="str">
        <f>CONCATENATE("          ", "4147", " - ", "NON-TAXABLE SALES-MISC")</f>
        <v xml:space="preserve">          4147 - NON-TAXABLE SALES-MISC</v>
      </c>
      <c r="C80" s="10"/>
      <c r="D80" s="2">
        <f>--11</f>
        <v>11</v>
      </c>
      <c r="E80" s="2"/>
      <c r="F80" s="19"/>
      <c r="G80" s="2"/>
      <c r="H80" s="2">
        <f>--933.53</f>
        <v>933.53</v>
      </c>
      <c r="I80" s="2"/>
      <c r="J80" s="19"/>
      <c r="K80" s="2"/>
      <c r="L80" s="2">
        <f t="shared" si="0"/>
        <v>-922.53</v>
      </c>
      <c r="M80" s="2"/>
      <c r="N80" s="19">
        <f t="shared" si="1"/>
        <v>-0.98821676860947161</v>
      </c>
      <c r="O80" s="10"/>
      <c r="P80" s="2">
        <f>--143.5</f>
        <v>143.5</v>
      </c>
      <c r="Q80" s="2"/>
      <c r="R80" s="19"/>
      <c r="S80" s="2"/>
      <c r="T80" s="2">
        <f>--3436.37</f>
        <v>3436.37</v>
      </c>
      <c r="U80" s="2"/>
      <c r="V80" s="19"/>
      <c r="W80" s="2"/>
      <c r="X80" s="2">
        <f t="shared" si="2"/>
        <v>-3292.87</v>
      </c>
      <c r="Y80" s="2"/>
      <c r="Z80" s="19">
        <f t="shared" si="3"/>
        <v>-0.95824081807255912</v>
      </c>
    </row>
    <row r="81" spans="1:26" s="23" customFormat="1" hidden="1" outlineLevel="1" x14ac:dyDescent="0.25">
      <c r="A81" s="44"/>
      <c r="B81" s="10" t="str">
        <f>CONCATENATE("          ", "4151", " - ", "NON-TAXABLE SALES-FOOD")</f>
        <v xml:space="preserve">          4151 - NON-TAXABLE SALES-FOOD</v>
      </c>
      <c r="C81" s="10"/>
      <c r="D81" s="2">
        <f>--89340.04</f>
        <v>89340.04</v>
      </c>
      <c r="E81" s="2"/>
      <c r="F81" s="19"/>
      <c r="G81" s="2"/>
      <c r="H81" s="2">
        <f>--1117055.86</f>
        <v>1117055.8600000001</v>
      </c>
      <c r="I81" s="2"/>
      <c r="J81" s="19"/>
      <c r="K81" s="2"/>
      <c r="L81" s="2">
        <f t="shared" si="0"/>
        <v>-1027715.8200000001</v>
      </c>
      <c r="M81" s="2"/>
      <c r="N81" s="19">
        <f t="shared" si="1"/>
        <v>-0.92002186891531101</v>
      </c>
      <c r="O81" s="10"/>
      <c r="P81" s="2">
        <f>--832309.85</f>
        <v>832309.85</v>
      </c>
      <c r="Q81" s="2"/>
      <c r="R81" s="19"/>
      <c r="S81" s="2"/>
      <c r="T81" s="2">
        <f>--10904380.56</f>
        <v>10904380.560000001</v>
      </c>
      <c r="U81" s="2"/>
      <c r="V81" s="19"/>
      <c r="W81" s="2"/>
      <c r="X81" s="2">
        <f t="shared" si="2"/>
        <v>-10072070.710000001</v>
      </c>
      <c r="Y81" s="2"/>
      <c r="Z81" s="19">
        <f t="shared" si="3"/>
        <v>-0.92367197334866313</v>
      </c>
    </row>
    <row r="82" spans="1:26" s="23" customFormat="1" hidden="1" outlineLevel="1" x14ac:dyDescent="0.25">
      <c r="A82" s="44"/>
      <c r="B82" s="10" t="str">
        <f>CONCATENATE("          ", "4152", " - ", "NON-TAXABLE SALES-FOOD")</f>
        <v xml:space="preserve">          4152 - NON-TAXABLE SALES-FOOD</v>
      </c>
      <c r="C82" s="10"/>
      <c r="D82" s="2">
        <f>0</f>
        <v>0</v>
      </c>
      <c r="E82" s="2"/>
      <c r="F82" s="19"/>
      <c r="G82" s="2"/>
      <c r="H82" s="2">
        <f>--3688.2</f>
        <v>3688.2</v>
      </c>
      <c r="I82" s="2"/>
      <c r="J82" s="19"/>
      <c r="K82" s="2"/>
      <c r="L82" s="2">
        <f t="shared" si="0"/>
        <v>-3688.2</v>
      </c>
      <c r="M82" s="2"/>
      <c r="N82" s="19">
        <f t="shared" si="1"/>
        <v>-1</v>
      </c>
      <c r="O82" s="10"/>
      <c r="P82" s="2">
        <f>0</f>
        <v>0</v>
      </c>
      <c r="Q82" s="2"/>
      <c r="R82" s="19"/>
      <c r="S82" s="2"/>
      <c r="T82" s="2">
        <f>--51415.27</f>
        <v>51415.27</v>
      </c>
      <c r="U82" s="2"/>
      <c r="V82" s="19"/>
      <c r="W82" s="2"/>
      <c r="X82" s="2">
        <f t="shared" si="2"/>
        <v>-51415.27</v>
      </c>
      <c r="Y82" s="2"/>
      <c r="Z82" s="19">
        <f t="shared" si="3"/>
        <v>-1</v>
      </c>
    </row>
    <row r="83" spans="1:26" s="23" customFormat="1" hidden="1" outlineLevel="1" x14ac:dyDescent="0.25">
      <c r="A83" s="44"/>
      <c r="B83" s="10" t="str">
        <f>CONCATENATE("          ", "4153", " - ", "NON-TAXABLE SALES-FOOD")</f>
        <v xml:space="preserve">          4153 - NON-TAXABLE SALES-FOOD</v>
      </c>
      <c r="C83" s="10"/>
      <c r="D83" s="2">
        <f>--5271.34</f>
        <v>5271.34</v>
      </c>
      <c r="E83" s="2"/>
      <c r="F83" s="19"/>
      <c r="G83" s="2"/>
      <c r="H83" s="2">
        <f>--11350.59</f>
        <v>11350.59</v>
      </c>
      <c r="I83" s="2"/>
      <c r="J83" s="19"/>
      <c r="K83" s="2"/>
      <c r="L83" s="2">
        <f t="shared" si="0"/>
        <v>-6079.25</v>
      </c>
      <c r="M83" s="2"/>
      <c r="N83" s="19">
        <f t="shared" si="1"/>
        <v>-0.53558889890305261</v>
      </c>
      <c r="O83" s="10"/>
      <c r="P83" s="2">
        <f>--43349.91</f>
        <v>43349.91</v>
      </c>
      <c r="Q83" s="2"/>
      <c r="R83" s="19"/>
      <c r="S83" s="2"/>
      <c r="T83" s="2">
        <f>--313330.52</f>
        <v>313330.52</v>
      </c>
      <c r="U83" s="2"/>
      <c r="V83" s="19"/>
      <c r="W83" s="2"/>
      <c r="X83" s="2">
        <f t="shared" si="2"/>
        <v>-269980.61</v>
      </c>
      <c r="Y83" s="2"/>
      <c r="Z83" s="19">
        <f t="shared" si="3"/>
        <v>-0.86164798117974584</v>
      </c>
    </row>
    <row r="84" spans="1:26" s="23" customFormat="1" hidden="1" outlineLevel="1" x14ac:dyDescent="0.25">
      <c r="A84" s="44"/>
      <c r="B84" s="10" t="str">
        <f>CONCATENATE("          ", "4155", " - ", "NON-TAXABLE SALES-FOOD")</f>
        <v xml:space="preserve">          4155 - NON-TAXABLE SALES-FOOD</v>
      </c>
      <c r="C84" s="10"/>
      <c r="D84" s="2">
        <f t="shared" ref="D84:D85" si="15">0</f>
        <v>0</v>
      </c>
      <c r="E84" s="2"/>
      <c r="F84" s="19"/>
      <c r="G84" s="2"/>
      <c r="H84" s="2">
        <f>--43938.14</f>
        <v>43938.14</v>
      </c>
      <c r="I84" s="2"/>
      <c r="J84" s="19"/>
      <c r="K84" s="2"/>
      <c r="L84" s="2">
        <f t="shared" si="0"/>
        <v>-43938.14</v>
      </c>
      <c r="M84" s="2"/>
      <c r="N84" s="19">
        <f t="shared" si="1"/>
        <v>-1</v>
      </c>
      <c r="O84" s="10"/>
      <c r="P84" s="2">
        <f t="shared" ref="P84:P85" si="16">0</f>
        <v>0</v>
      </c>
      <c r="Q84" s="2"/>
      <c r="R84" s="19"/>
      <c r="S84" s="2"/>
      <c r="T84" s="2">
        <f>--691123.63</f>
        <v>691123.63</v>
      </c>
      <c r="U84" s="2"/>
      <c r="V84" s="19"/>
      <c r="W84" s="2"/>
      <c r="X84" s="2">
        <f t="shared" si="2"/>
        <v>-691123.63</v>
      </c>
      <c r="Y84" s="2"/>
      <c r="Z84" s="19">
        <f t="shared" si="3"/>
        <v>-1</v>
      </c>
    </row>
    <row r="85" spans="1:26" s="23" customFormat="1" hidden="1" outlineLevel="1" x14ac:dyDescent="0.25">
      <c r="A85" s="44"/>
      <c r="B85" s="10" t="str">
        <f>CONCATENATE("          ", "4158", " - ", "NON-TAXABLE SALES-FOOD")</f>
        <v xml:space="preserve">          4158 - NON-TAXABLE SALES-FOOD</v>
      </c>
      <c r="C85" s="10"/>
      <c r="D85" s="2">
        <f t="shared" si="15"/>
        <v>0</v>
      </c>
      <c r="E85" s="2"/>
      <c r="F85" s="19"/>
      <c r="G85" s="2"/>
      <c r="H85" s="2">
        <f>--33459.89</f>
        <v>33459.89</v>
      </c>
      <c r="I85" s="2"/>
      <c r="J85" s="19"/>
      <c r="K85" s="2"/>
      <c r="L85" s="2">
        <f t="shared" si="0"/>
        <v>-33459.89</v>
      </c>
      <c r="M85" s="2"/>
      <c r="N85" s="19">
        <f t="shared" si="1"/>
        <v>-1</v>
      </c>
      <c r="O85" s="10"/>
      <c r="P85" s="2">
        <f t="shared" si="16"/>
        <v>0</v>
      </c>
      <c r="Q85" s="2"/>
      <c r="R85" s="19"/>
      <c r="S85" s="2"/>
      <c r="T85" s="2">
        <f>--474853.67</f>
        <v>474853.67</v>
      </c>
      <c r="U85" s="2"/>
      <c r="V85" s="19"/>
      <c r="W85" s="2"/>
      <c r="X85" s="2">
        <f t="shared" si="2"/>
        <v>-474853.67</v>
      </c>
      <c r="Y85" s="2"/>
      <c r="Z85" s="19">
        <f t="shared" si="3"/>
        <v>-1</v>
      </c>
    </row>
    <row r="86" spans="1:26" s="23" customFormat="1" hidden="1" outlineLevel="1" x14ac:dyDescent="0.25">
      <c r="A86" s="44"/>
      <c r="B86" s="10" t="str">
        <f>CONCATENATE("          ", "4181", " - ", "NON-TAXABLE SALES-ELECTRONICS")</f>
        <v xml:space="preserve">          4181 - NON-TAXABLE SALES-ELECTRONICS</v>
      </c>
      <c r="C86" s="10"/>
      <c r="D86" s="2">
        <f>--285.97</f>
        <v>285.97000000000003</v>
      </c>
      <c r="E86" s="2"/>
      <c r="F86" s="19"/>
      <c r="G86" s="2"/>
      <c r="H86" s="2">
        <f>--13.99</f>
        <v>13.99</v>
      </c>
      <c r="I86" s="2"/>
      <c r="J86" s="19"/>
      <c r="K86" s="2"/>
      <c r="L86" s="2">
        <f t="shared" si="0"/>
        <v>271.98</v>
      </c>
      <c r="M86" s="2"/>
      <c r="N86" s="19">
        <f t="shared" si="1"/>
        <v>19.441029306647607</v>
      </c>
      <c r="O86" s="10"/>
      <c r="P86" s="2">
        <f>--12478.63</f>
        <v>12478.63</v>
      </c>
      <c r="Q86" s="2"/>
      <c r="R86" s="19"/>
      <c r="S86" s="2"/>
      <c r="T86" s="2">
        <f>--2078.37</f>
        <v>2078.37</v>
      </c>
      <c r="U86" s="2"/>
      <c r="V86" s="19"/>
      <c r="W86" s="2"/>
      <c r="X86" s="2">
        <f t="shared" si="2"/>
        <v>10400.259999999998</v>
      </c>
      <c r="Y86" s="2"/>
      <c r="Z86" s="19">
        <f t="shared" si="3"/>
        <v>5.0040464402392253</v>
      </c>
    </row>
    <row r="87" spans="1:26" s="23" customFormat="1" hidden="1" outlineLevel="1" x14ac:dyDescent="0.25">
      <c r="A87" s="44"/>
      <c r="B87" s="10" t="str">
        <f>CONCATENATE("          ", "4182", " - ", "NON-TAXABLE SALES-COMPUTER HAR")</f>
        <v xml:space="preserve">          4182 - NON-TAXABLE SALES-COMPUTER HAR</v>
      </c>
      <c r="C87" s="10"/>
      <c r="D87" s="2">
        <f>--33767.84</f>
        <v>33767.839999999997</v>
      </c>
      <c r="E87" s="2"/>
      <c r="F87" s="19"/>
      <c r="G87" s="2"/>
      <c r="H87" s="2">
        <f>--20132</f>
        <v>20132</v>
      </c>
      <c r="I87" s="2"/>
      <c r="J87" s="19"/>
      <c r="K87" s="2"/>
      <c r="L87" s="2">
        <f t="shared" si="0"/>
        <v>13635.839999999997</v>
      </c>
      <c r="M87" s="2"/>
      <c r="N87" s="19">
        <f t="shared" si="1"/>
        <v>0.67732167693224699</v>
      </c>
      <c r="O87" s="10"/>
      <c r="P87" s="2">
        <f>--253414.83</f>
        <v>253414.83</v>
      </c>
      <c r="Q87" s="2"/>
      <c r="R87" s="19"/>
      <c r="S87" s="2"/>
      <c r="T87" s="2">
        <f>--118010.96</f>
        <v>118010.96</v>
      </c>
      <c r="U87" s="2"/>
      <c r="V87" s="19"/>
      <c r="W87" s="2"/>
      <c r="X87" s="2">
        <f t="shared" si="2"/>
        <v>135403.87</v>
      </c>
      <c r="Y87" s="2"/>
      <c r="Z87" s="19">
        <f t="shared" si="3"/>
        <v>1.1473838531607572</v>
      </c>
    </row>
    <row r="88" spans="1:26" s="23" customFormat="1" hidden="1" outlineLevel="1" x14ac:dyDescent="0.25">
      <c r="A88" s="44"/>
      <c r="B88" s="10" t="str">
        <f>CONCATENATE("          ", "4183", " - ", "NON-TAXABLE SALES-COMPUTER EQU")</f>
        <v xml:space="preserve">          4183 - NON-TAXABLE SALES-COMPUTER EQU</v>
      </c>
      <c r="C88" s="10"/>
      <c r="D88" s="2">
        <f>--2983.61</f>
        <v>2983.61</v>
      </c>
      <c r="E88" s="2"/>
      <c r="F88" s="19"/>
      <c r="G88" s="2"/>
      <c r="H88" s="2">
        <f>--705.91</f>
        <v>705.91</v>
      </c>
      <c r="I88" s="2"/>
      <c r="J88" s="19"/>
      <c r="K88" s="2"/>
      <c r="L88" s="2">
        <f t="shared" si="0"/>
        <v>2277.7000000000003</v>
      </c>
      <c r="M88" s="2"/>
      <c r="N88" s="19">
        <f t="shared" si="1"/>
        <v>3.226615290901107</v>
      </c>
      <c r="O88" s="10"/>
      <c r="P88" s="2">
        <f>--16606.43</f>
        <v>16606.43</v>
      </c>
      <c r="Q88" s="2"/>
      <c r="R88" s="19"/>
      <c r="S88" s="2"/>
      <c r="T88" s="2">
        <f>--6762.22</f>
        <v>6762.22</v>
      </c>
      <c r="U88" s="2"/>
      <c r="V88" s="19"/>
      <c r="W88" s="2"/>
      <c r="X88" s="2">
        <f t="shared" si="2"/>
        <v>9844.2099999999991</v>
      </c>
      <c r="Y88" s="2"/>
      <c r="Z88" s="19">
        <f t="shared" si="3"/>
        <v>1.4557660058383193</v>
      </c>
    </row>
    <row r="89" spans="1:26" s="23" customFormat="1" hidden="1" outlineLevel="1" x14ac:dyDescent="0.25">
      <c r="A89" s="44"/>
      <c r="B89" s="10" t="str">
        <f>CONCATENATE("          ", "4184", " - ", "NON-TAXABLE SALES-SOFTWARE LIC")</f>
        <v xml:space="preserve">          4184 - NON-TAXABLE SALES-SOFTWARE LIC</v>
      </c>
      <c r="C89" s="10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0"/>
      <c r="P89" s="2">
        <f>0</f>
        <v>0</v>
      </c>
      <c r="Q89" s="2"/>
      <c r="R89" s="19"/>
      <c r="S89" s="2"/>
      <c r="T89" s="2">
        <f>--2728</f>
        <v>2728</v>
      </c>
      <c r="U89" s="2"/>
      <c r="V89" s="19"/>
      <c r="W89" s="2"/>
      <c r="X89" s="2">
        <f t="shared" si="2"/>
        <v>-2728</v>
      </c>
      <c r="Y89" s="2"/>
      <c r="Z89" s="19">
        <f t="shared" si="3"/>
        <v>-1</v>
      </c>
    </row>
    <row r="90" spans="1:26" s="23" customFormat="1" hidden="1" outlineLevel="1" x14ac:dyDescent="0.25">
      <c r="A90" s="44"/>
      <c r="B90" s="10" t="str">
        <f>CONCATENATE("          ", "4185", " - ", "NON-TAXABLE SALES-SOFTWARE")</f>
        <v xml:space="preserve">          4185 - NON-TAXABLE SALES-SOFTWARE</v>
      </c>
      <c r="C90" s="10"/>
      <c r="D90" s="2">
        <f>--3559.59</f>
        <v>3559.59</v>
      </c>
      <c r="E90" s="2"/>
      <c r="F90" s="19"/>
      <c r="G90" s="2"/>
      <c r="H90" s="2">
        <f>--976.95</f>
        <v>976.95</v>
      </c>
      <c r="I90" s="2"/>
      <c r="J90" s="19"/>
      <c r="K90" s="2"/>
      <c r="L90" s="2">
        <f t="shared" si="0"/>
        <v>2582.6400000000003</v>
      </c>
      <c r="M90" s="2"/>
      <c r="N90" s="19">
        <f t="shared" si="1"/>
        <v>2.6435743896821742</v>
      </c>
      <c r="O90" s="10"/>
      <c r="P90" s="2">
        <f>--38686.78</f>
        <v>38686.78</v>
      </c>
      <c r="Q90" s="2"/>
      <c r="R90" s="19"/>
      <c r="S90" s="2"/>
      <c r="T90" s="2">
        <f>--13122.74</f>
        <v>13122.74</v>
      </c>
      <c r="U90" s="2"/>
      <c r="V90" s="19"/>
      <c r="W90" s="2"/>
      <c r="X90" s="2">
        <f t="shared" si="2"/>
        <v>25564.04</v>
      </c>
      <c r="Y90" s="2"/>
      <c r="Z90" s="19">
        <f t="shared" si="3"/>
        <v>1.9480718203667833</v>
      </c>
    </row>
    <row r="91" spans="1:26" s="23" customFormat="1" hidden="1" outlineLevel="1" x14ac:dyDescent="0.25">
      <c r="A91" s="44"/>
      <c r="B91" s="10" t="str">
        <f>CONCATENATE("          ", "4186", " - ", "NON-TAXABLE SALES-COMPUTER SUP")</f>
        <v xml:space="preserve">          4186 - NON-TAXABLE SALES-COMPUTER SUP</v>
      </c>
      <c r="C91" s="10"/>
      <c r="D91" s="2">
        <f>--424.94</f>
        <v>424.94</v>
      </c>
      <c r="E91" s="2"/>
      <c r="F91" s="19"/>
      <c r="G91" s="2"/>
      <c r="H91" s="2">
        <f>--149.98</f>
        <v>149.97999999999999</v>
      </c>
      <c r="I91" s="2"/>
      <c r="J91" s="19"/>
      <c r="K91" s="2"/>
      <c r="L91" s="2">
        <f t="shared" si="0"/>
        <v>274.96000000000004</v>
      </c>
      <c r="M91" s="2"/>
      <c r="N91" s="19">
        <f t="shared" si="1"/>
        <v>1.8333111081477533</v>
      </c>
      <c r="O91" s="10"/>
      <c r="P91" s="2">
        <f>--3255.2</f>
        <v>3255.2</v>
      </c>
      <c r="Q91" s="2"/>
      <c r="R91" s="19"/>
      <c r="S91" s="2"/>
      <c r="T91" s="2">
        <f>--2619.19</f>
        <v>2619.19</v>
      </c>
      <c r="U91" s="2"/>
      <c r="V91" s="19"/>
      <c r="W91" s="2"/>
      <c r="X91" s="2">
        <f t="shared" si="2"/>
        <v>636.00999999999976</v>
      </c>
      <c r="Y91" s="2"/>
      <c r="Z91" s="19">
        <f t="shared" si="3"/>
        <v>0.24282698086049495</v>
      </c>
    </row>
    <row r="92" spans="1:26" s="23" customFormat="1" hidden="1" outlineLevel="1" x14ac:dyDescent="0.25">
      <c r="A92" s="44"/>
      <c r="B92" s="10" t="str">
        <f>CONCATENATE("          ", "4188", " - ", "NON-TAXABLE SALES-MUSIC")</f>
        <v xml:space="preserve">          4188 - NON-TAXABLE SALES-MUSIC</v>
      </c>
      <c r="C92" s="10"/>
      <c r="D92" s="2">
        <f>0</f>
        <v>0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0"/>
      <c r="P92" s="2">
        <f>0</f>
        <v>0</v>
      </c>
      <c r="Q92" s="2"/>
      <c r="R92" s="19"/>
      <c r="S92" s="2"/>
      <c r="T92" s="2">
        <f>--219.96</f>
        <v>219.96</v>
      </c>
      <c r="U92" s="2"/>
      <c r="V92" s="19"/>
      <c r="W92" s="2"/>
      <c r="X92" s="2">
        <f t="shared" si="2"/>
        <v>-219.96</v>
      </c>
      <c r="Y92" s="2"/>
      <c r="Z92" s="19">
        <f t="shared" si="3"/>
        <v>-1</v>
      </c>
    </row>
    <row r="93" spans="1:26" s="23" customFormat="1" hidden="1" outlineLevel="1" x14ac:dyDescent="0.25">
      <c r="A93" s="44"/>
      <c r="B93" s="10" t="str">
        <f>CONCATENATE("          ", "4201", " - ", "SALES RETURN TAXABLE-NEW TEXT")</f>
        <v xml:space="preserve">          4201 - SALES RETURN TAXABLE-NEW TEXT</v>
      </c>
      <c r="C93" s="10"/>
      <c r="D93" s="2">
        <f>-596.94</f>
        <v>-596.94000000000005</v>
      </c>
      <c r="E93" s="2"/>
      <c r="F93" s="19"/>
      <c r="G93" s="2"/>
      <c r="H93" s="2">
        <f>-420.3</f>
        <v>-420.3</v>
      </c>
      <c r="I93" s="2"/>
      <c r="J93" s="19"/>
      <c r="K93" s="2"/>
      <c r="L93" s="2">
        <f t="shared" si="0"/>
        <v>-176.64000000000004</v>
      </c>
      <c r="M93" s="2"/>
      <c r="N93" s="19">
        <f t="shared" si="1"/>
        <v>0.42027123483226275</v>
      </c>
      <c r="O93" s="10"/>
      <c r="P93" s="2">
        <f>-51261.17</f>
        <v>-51261.17</v>
      </c>
      <c r="Q93" s="2"/>
      <c r="R93" s="19"/>
      <c r="S93" s="2"/>
      <c r="T93" s="2">
        <f>-121160.71</f>
        <v>-121160.71</v>
      </c>
      <c r="U93" s="2"/>
      <c r="V93" s="19"/>
      <c r="W93" s="2"/>
      <c r="X93" s="2">
        <f t="shared" si="2"/>
        <v>69899.540000000008</v>
      </c>
      <c r="Y93" s="2"/>
      <c r="Z93" s="19">
        <f t="shared" si="3"/>
        <v>-0.57691589955192579</v>
      </c>
    </row>
    <row r="94" spans="1:26" s="23" customFormat="1" hidden="1" outlineLevel="1" x14ac:dyDescent="0.25">
      <c r="A94" s="44"/>
      <c r="B94" s="10" t="str">
        <f>CONCATENATE("          ", "4202", " - ", "SALES RETURN TAXABLE-USED TEXT")</f>
        <v xml:space="preserve">          4202 - SALES RETURN TAXABLE-USED TEXT</v>
      </c>
      <c r="C94" s="10"/>
      <c r="D94" s="2">
        <f>-153.8</f>
        <v>-153.80000000000001</v>
      </c>
      <c r="E94" s="2"/>
      <c r="F94" s="19"/>
      <c r="G94" s="2"/>
      <c r="H94" s="2">
        <f>-133.45</f>
        <v>-133.44999999999999</v>
      </c>
      <c r="I94" s="2"/>
      <c r="J94" s="19"/>
      <c r="K94" s="2"/>
      <c r="L94" s="2">
        <f t="shared" si="0"/>
        <v>-20.350000000000023</v>
      </c>
      <c r="M94" s="2"/>
      <c r="N94" s="19">
        <f t="shared" si="1"/>
        <v>0.15249156987635837</v>
      </c>
      <c r="O94" s="10"/>
      <c r="P94" s="2">
        <f>-19889.31</f>
        <v>-19889.310000000001</v>
      </c>
      <c r="Q94" s="2"/>
      <c r="R94" s="19"/>
      <c r="S94" s="2"/>
      <c r="T94" s="2">
        <f>-45520.76</f>
        <v>-45520.76</v>
      </c>
      <c r="U94" s="2"/>
      <c r="V94" s="19"/>
      <c r="W94" s="2"/>
      <c r="X94" s="2">
        <f t="shared" si="2"/>
        <v>25631.45</v>
      </c>
      <c r="Y94" s="2"/>
      <c r="Z94" s="19">
        <f t="shared" si="3"/>
        <v>-0.56307166224816985</v>
      </c>
    </row>
    <row r="95" spans="1:26" s="23" customFormat="1" hidden="1" outlineLevel="1" x14ac:dyDescent="0.25">
      <c r="A95" s="44"/>
      <c r="B95" s="10" t="str">
        <f>CONCATENATE("          ", "4203", " - ", "SALES RETURN TAXABLE-RENTAL TE")</f>
        <v xml:space="preserve">          4203 - SALES RETURN TAXABLE-RENTAL TE</v>
      </c>
      <c r="C95" s="10"/>
      <c r="D95" s="2">
        <f t="shared" ref="D95:D99" si="17">0</f>
        <v>0</v>
      </c>
      <c r="E95" s="2"/>
      <c r="F95" s="19"/>
      <c r="G95" s="2"/>
      <c r="H95" s="2">
        <f t="shared" ref="H95:H96" si="18"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0"/>
      <c r="P95" s="2">
        <f>0</f>
        <v>0</v>
      </c>
      <c r="Q95" s="2"/>
      <c r="R95" s="19"/>
      <c r="S95" s="2"/>
      <c r="T95" s="2">
        <f>-144.99</f>
        <v>-144.99</v>
      </c>
      <c r="U95" s="2"/>
      <c r="V95" s="19"/>
      <c r="W95" s="2"/>
      <c r="X95" s="2">
        <f t="shared" si="2"/>
        <v>144.99</v>
      </c>
      <c r="Y95" s="2"/>
      <c r="Z95" s="19">
        <f t="shared" si="3"/>
        <v>-1</v>
      </c>
    </row>
    <row r="96" spans="1:26" s="23" customFormat="1" hidden="1" outlineLevel="1" x14ac:dyDescent="0.25">
      <c r="A96" s="44"/>
      <c r="B96" s="10" t="str">
        <f>CONCATENATE("          ", "4204", " - ", "SALES RETURN TAXABLE-DIGITAL T")</f>
        <v xml:space="preserve">          4204 - SALES RETURN TAXABLE-DIGITAL T</v>
      </c>
      <c r="C96" s="10"/>
      <c r="D96" s="2">
        <f t="shared" si="17"/>
        <v>0</v>
      </c>
      <c r="E96" s="2"/>
      <c r="F96" s="19"/>
      <c r="G96" s="2"/>
      <c r="H96" s="2">
        <f t="shared" si="18"/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0"/>
      <c r="P96" s="2">
        <f>-1763.1</f>
        <v>-1763.1</v>
      </c>
      <c r="Q96" s="2"/>
      <c r="R96" s="19"/>
      <c r="S96" s="2"/>
      <c r="T96" s="2">
        <f>-17255.33</f>
        <v>-17255.330000000002</v>
      </c>
      <c r="U96" s="2"/>
      <c r="V96" s="19"/>
      <c r="W96" s="2"/>
      <c r="X96" s="2">
        <f t="shared" si="2"/>
        <v>15492.230000000001</v>
      </c>
      <c r="Y96" s="2"/>
      <c r="Z96" s="19">
        <f t="shared" si="3"/>
        <v>-0.89782287559843832</v>
      </c>
    </row>
    <row r="97" spans="1:26" s="23" customFormat="1" hidden="1" outlineLevel="1" x14ac:dyDescent="0.25">
      <c r="A97" s="44"/>
      <c r="B97" s="10" t="str">
        <f>CONCATENATE("          ", "4213", " - ", "NON-TAXABLE SALES-TRADE BOOKS")</f>
        <v xml:space="preserve">          4213 - NON-TAXABLE SALES-TRADE BOOKS</v>
      </c>
      <c r="C97" s="10"/>
      <c r="D97" s="2">
        <f t="shared" si="17"/>
        <v>0</v>
      </c>
      <c r="E97" s="2"/>
      <c r="F97" s="19"/>
      <c r="G97" s="2"/>
      <c r="H97" s="2">
        <f>-374.85</f>
        <v>-374.85</v>
      </c>
      <c r="I97" s="2"/>
      <c r="J97" s="19"/>
      <c r="K97" s="2"/>
      <c r="L97" s="2">
        <f t="shared" si="0"/>
        <v>374.85</v>
      </c>
      <c r="M97" s="2"/>
      <c r="N97" s="19">
        <f t="shared" si="1"/>
        <v>-1</v>
      </c>
      <c r="O97" s="10"/>
      <c r="P97" s="2">
        <f>-69.93</f>
        <v>-69.930000000000007</v>
      </c>
      <c r="Q97" s="2"/>
      <c r="R97" s="19"/>
      <c r="S97" s="2"/>
      <c r="T97" s="2">
        <f>-594.91</f>
        <v>-594.91</v>
      </c>
      <c r="U97" s="2"/>
      <c r="V97" s="19"/>
      <c r="W97" s="2"/>
      <c r="X97" s="2">
        <f t="shared" si="2"/>
        <v>524.98</v>
      </c>
      <c r="Y97" s="2"/>
      <c r="Z97" s="19">
        <f t="shared" si="3"/>
        <v>-0.88245280798776293</v>
      </c>
    </row>
    <row r="98" spans="1:26" s="23" customFormat="1" hidden="1" outlineLevel="1" x14ac:dyDescent="0.25">
      <c r="A98" s="44"/>
      <c r="B98" s="10" t="str">
        <f>CONCATENATE("          ", "4214", " - ", "SALES RETURN TAXABLE-REMAINDER")</f>
        <v xml:space="preserve">          4214 - SALES RETURN TAXABLE-REMAINDER</v>
      </c>
      <c r="C98" s="10"/>
      <c r="D98" s="2">
        <f t="shared" si="17"/>
        <v>0</v>
      </c>
      <c r="E98" s="2"/>
      <c r="F98" s="19"/>
      <c r="G98" s="2"/>
      <c r="H98" s="2">
        <f t="shared" ref="H98:H100" si="19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0"/>
      <c r="P98" s="2">
        <f t="shared" ref="P98:P99" si="20">0</f>
        <v>0</v>
      </c>
      <c r="Q98" s="2"/>
      <c r="R98" s="19"/>
      <c r="S98" s="2"/>
      <c r="T98" s="2">
        <f>-11.94</f>
        <v>-11.94</v>
      </c>
      <c r="U98" s="2"/>
      <c r="V98" s="19"/>
      <c r="W98" s="2"/>
      <c r="X98" s="2">
        <f t="shared" si="2"/>
        <v>11.94</v>
      </c>
      <c r="Y98" s="2"/>
      <c r="Z98" s="19">
        <f t="shared" si="3"/>
        <v>-1</v>
      </c>
    </row>
    <row r="99" spans="1:26" s="23" customFormat="1" hidden="1" outlineLevel="1" x14ac:dyDescent="0.25">
      <c r="A99" s="44"/>
      <c r="B99" s="10" t="str">
        <f>CONCATENATE("          ", "4217", " - ", "NON-TAXABLE SALES-DORM/HOUSEWA")</f>
        <v xml:space="preserve">          4217 - NON-TAXABLE SALES-DORM/HOUSEWA</v>
      </c>
      <c r="C99" s="10"/>
      <c r="D99" s="2">
        <f t="shared" si="17"/>
        <v>0</v>
      </c>
      <c r="E99" s="2"/>
      <c r="F99" s="19"/>
      <c r="G99" s="2"/>
      <c r="H99" s="2">
        <f t="shared" si="19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0"/>
      <c r="P99" s="2">
        <f t="shared" si="20"/>
        <v>0</v>
      </c>
      <c r="Q99" s="2"/>
      <c r="R99" s="19"/>
      <c r="S99" s="2"/>
      <c r="T99" s="2">
        <f>-2.98</f>
        <v>-2.98</v>
      </c>
      <c r="U99" s="2"/>
      <c r="V99" s="19"/>
      <c r="W99" s="2"/>
      <c r="X99" s="2">
        <f t="shared" si="2"/>
        <v>2.98</v>
      </c>
      <c r="Y99" s="2"/>
      <c r="Z99" s="19">
        <f t="shared" si="3"/>
        <v>-1</v>
      </c>
    </row>
    <row r="100" spans="1:26" s="23" customFormat="1" hidden="1" outlineLevel="1" x14ac:dyDescent="0.25">
      <c r="A100" s="44"/>
      <c r="B100" s="10" t="str">
        <f>CONCATENATE("          ", "4218", " - ", "SALES RETURN TAXABLE-STUDY GUI")</f>
        <v xml:space="preserve">          4218 - SALES RETURN TAXABLE-STUDY GUI</v>
      </c>
      <c r="C100" s="10"/>
      <c r="D100" s="2">
        <f>-5.21</f>
        <v>-5.21</v>
      </c>
      <c r="E100" s="2"/>
      <c r="F100" s="19"/>
      <c r="G100" s="2"/>
      <c r="H100" s="2">
        <f t="shared" si="19"/>
        <v>0</v>
      </c>
      <c r="I100" s="2"/>
      <c r="J100" s="19"/>
      <c r="K100" s="2"/>
      <c r="L100" s="2">
        <f t="shared" si="0"/>
        <v>-5.21</v>
      </c>
      <c r="M100" s="2"/>
      <c r="N100" s="19">
        <f t="shared" si="1"/>
        <v>0</v>
      </c>
      <c r="O100" s="10"/>
      <c r="P100" s="2">
        <f>-5.21</f>
        <v>-5.21</v>
      </c>
      <c r="Q100" s="2"/>
      <c r="R100" s="19"/>
      <c r="S100" s="2"/>
      <c r="T100" s="2">
        <f>-39.25</f>
        <v>-39.25</v>
      </c>
      <c r="U100" s="2"/>
      <c r="V100" s="19"/>
      <c r="W100" s="2"/>
      <c r="X100" s="2">
        <f t="shared" si="2"/>
        <v>34.04</v>
      </c>
      <c r="Y100" s="2"/>
      <c r="Z100" s="19">
        <f t="shared" si="3"/>
        <v>-0.86726114649681529</v>
      </c>
    </row>
    <row r="101" spans="1:26" s="23" customFormat="1" hidden="1" outlineLevel="1" x14ac:dyDescent="0.25">
      <c r="A101" s="44"/>
      <c r="B101" s="10" t="str">
        <f>CONCATENATE("          ", "4225", " - ", "SALES RETURN TAXABLE-TEST FORM")</f>
        <v xml:space="preserve">          4225 - SALES RETURN TAXABLE-TEST FORM</v>
      </c>
      <c r="C101" s="10"/>
      <c r="D101" s="2">
        <f t="shared" ref="D101:D102" si="21">0</f>
        <v>0</v>
      </c>
      <c r="E101" s="2"/>
      <c r="F101" s="19"/>
      <c r="G101" s="2"/>
      <c r="H101" s="2">
        <f>-8.16</f>
        <v>-8.16</v>
      </c>
      <c r="I101" s="2"/>
      <c r="J101" s="19"/>
      <c r="K101" s="2"/>
      <c r="L101" s="2">
        <f t="shared" si="0"/>
        <v>8.16</v>
      </c>
      <c r="M101" s="2"/>
      <c r="N101" s="19">
        <f t="shared" si="1"/>
        <v>-1</v>
      </c>
      <c r="O101" s="10"/>
      <c r="P101" s="2">
        <f>0</f>
        <v>0</v>
      </c>
      <c r="Q101" s="2"/>
      <c r="R101" s="19"/>
      <c r="S101" s="2"/>
      <c r="T101" s="2">
        <f>-176.41</f>
        <v>-176.41</v>
      </c>
      <c r="U101" s="2"/>
      <c r="V101" s="19"/>
      <c r="W101" s="2"/>
      <c r="X101" s="2">
        <f t="shared" si="2"/>
        <v>176.41</v>
      </c>
      <c r="Y101" s="2"/>
      <c r="Z101" s="19">
        <f t="shared" si="3"/>
        <v>-1</v>
      </c>
    </row>
    <row r="102" spans="1:26" s="23" customFormat="1" hidden="1" outlineLevel="1" x14ac:dyDescent="0.25">
      <c r="A102" s="44"/>
      <c r="B102" s="10" t="str">
        <f>CONCATENATE("          ", "4226", " - ", "SALES RETURN TAXABLE-WRITING I")</f>
        <v xml:space="preserve">          4226 - SALES RETURN TAXABLE-WRITING I</v>
      </c>
      <c r="C102" s="10"/>
      <c r="D102" s="2">
        <f t="shared" si="21"/>
        <v>0</v>
      </c>
      <c r="E102" s="2"/>
      <c r="F102" s="19"/>
      <c r="G102" s="2"/>
      <c r="H102" s="2">
        <f>-11.25</f>
        <v>-11.25</v>
      </c>
      <c r="I102" s="2"/>
      <c r="J102" s="19"/>
      <c r="K102" s="2"/>
      <c r="L102" s="2">
        <f t="shared" si="0"/>
        <v>11.25</v>
      </c>
      <c r="M102" s="2"/>
      <c r="N102" s="19">
        <f t="shared" si="1"/>
        <v>-1</v>
      </c>
      <c r="O102" s="10"/>
      <c r="P102" s="2">
        <f>-34.23</f>
        <v>-34.229999999999997</v>
      </c>
      <c r="Q102" s="2"/>
      <c r="R102" s="19"/>
      <c r="S102" s="2"/>
      <c r="T102" s="2">
        <f>-765.04</f>
        <v>-765.04</v>
      </c>
      <c r="U102" s="2"/>
      <c r="V102" s="19"/>
      <c r="W102" s="2"/>
      <c r="X102" s="2">
        <f t="shared" si="2"/>
        <v>730.81</v>
      </c>
      <c r="Y102" s="2"/>
      <c r="Z102" s="19">
        <f t="shared" si="3"/>
        <v>-0.95525724145142732</v>
      </c>
    </row>
    <row r="103" spans="1:26" s="23" customFormat="1" hidden="1" outlineLevel="1" x14ac:dyDescent="0.25">
      <c r="A103" s="44"/>
      <c r="B103" s="10" t="str">
        <f>CONCATENATE("          ", "4227", " - ", "SALES RETURN TAXABLE-SCHOOL SU")</f>
        <v xml:space="preserve">          4227 - SALES RETURN TAXABLE-SCHOOL SU</v>
      </c>
      <c r="C103" s="10"/>
      <c r="D103" s="2">
        <f>-64.39</f>
        <v>-64.39</v>
      </c>
      <c r="E103" s="2"/>
      <c r="F103" s="19"/>
      <c r="G103" s="2"/>
      <c r="H103" s="2">
        <f>-979.19</f>
        <v>-979.19</v>
      </c>
      <c r="I103" s="2"/>
      <c r="J103" s="19"/>
      <c r="K103" s="2"/>
      <c r="L103" s="2">
        <f t="shared" si="0"/>
        <v>914.80000000000007</v>
      </c>
      <c r="M103" s="2"/>
      <c r="N103" s="19">
        <f t="shared" si="1"/>
        <v>-0.93424156700946703</v>
      </c>
      <c r="O103" s="10"/>
      <c r="P103" s="2">
        <f>-846.12</f>
        <v>-846.12</v>
      </c>
      <c r="Q103" s="2"/>
      <c r="R103" s="19"/>
      <c r="S103" s="2"/>
      <c r="T103" s="2">
        <f>-8593.61</f>
        <v>-8593.61</v>
      </c>
      <c r="U103" s="2"/>
      <c r="V103" s="19"/>
      <c r="W103" s="2"/>
      <c r="X103" s="2">
        <f t="shared" si="2"/>
        <v>7747.4900000000007</v>
      </c>
      <c r="Y103" s="2"/>
      <c r="Z103" s="19">
        <f t="shared" si="3"/>
        <v>-0.90154079601005865</v>
      </c>
    </row>
    <row r="104" spans="1:26" s="23" customFormat="1" hidden="1" outlineLevel="1" x14ac:dyDescent="0.25">
      <c r="A104" s="44"/>
      <c r="B104" s="10" t="str">
        <f>CONCATENATE("          ", "4228", " - ", "SALES RETURN TAXABLE-ART/TECH")</f>
        <v xml:space="preserve">          4228 - SALES RETURN TAXABLE-ART/TECH</v>
      </c>
      <c r="C104" s="10"/>
      <c r="D104" s="2">
        <f>-98.38</f>
        <v>-98.38</v>
      </c>
      <c r="E104" s="2"/>
      <c r="F104" s="19"/>
      <c r="G104" s="2"/>
      <c r="H104" s="2">
        <f>-139.18</f>
        <v>-139.18</v>
      </c>
      <c r="I104" s="2"/>
      <c r="J104" s="19"/>
      <c r="K104" s="2"/>
      <c r="L104" s="2">
        <f t="shared" si="0"/>
        <v>40.800000000000011</v>
      </c>
      <c r="M104" s="2"/>
      <c r="N104" s="19">
        <f t="shared" si="1"/>
        <v>-0.29314556689179488</v>
      </c>
      <c r="O104" s="10"/>
      <c r="P104" s="2">
        <f>-12837.62</f>
        <v>-12837.62</v>
      </c>
      <c r="Q104" s="2"/>
      <c r="R104" s="19"/>
      <c r="S104" s="2"/>
      <c r="T104" s="2">
        <f>-4739.1</f>
        <v>-4739.1000000000004</v>
      </c>
      <c r="U104" s="2"/>
      <c r="V104" s="19"/>
      <c r="W104" s="2"/>
      <c r="X104" s="2">
        <f t="shared" si="2"/>
        <v>-8098.52</v>
      </c>
      <c r="Y104" s="2"/>
      <c r="Z104" s="19">
        <f t="shared" si="3"/>
        <v>1.7088729927623387</v>
      </c>
    </row>
    <row r="105" spans="1:26" s="23" customFormat="1" hidden="1" outlineLevel="1" x14ac:dyDescent="0.25">
      <c r="A105" s="44"/>
      <c r="B105" s="10" t="str">
        <f>CONCATENATE("          ", "4233", " - ", "SALES RETURN TAXABLE-CANDY")</f>
        <v xml:space="preserve">          4233 - SALES RETURN TAXABLE-CANDY</v>
      </c>
      <c r="C105" s="10"/>
      <c r="D105" s="2">
        <f>0</f>
        <v>0</v>
      </c>
      <c r="E105" s="2"/>
      <c r="F105" s="19"/>
      <c r="G105" s="2"/>
      <c r="H105" s="2">
        <f>-6.96</f>
        <v>-6.96</v>
      </c>
      <c r="I105" s="2"/>
      <c r="J105" s="19"/>
      <c r="K105" s="2"/>
      <c r="L105" s="2">
        <f t="shared" si="0"/>
        <v>6.96</v>
      </c>
      <c r="M105" s="2"/>
      <c r="N105" s="19">
        <f t="shared" si="1"/>
        <v>-1</v>
      </c>
      <c r="O105" s="10"/>
      <c r="P105" s="2">
        <f>0</f>
        <v>0</v>
      </c>
      <c r="Q105" s="2"/>
      <c r="R105" s="19"/>
      <c r="S105" s="2"/>
      <c r="T105" s="2">
        <f>-8.25</f>
        <v>-8.25</v>
      </c>
      <c r="U105" s="2"/>
      <c r="V105" s="19"/>
      <c r="W105" s="2"/>
      <c r="X105" s="2">
        <f t="shared" si="2"/>
        <v>8.25</v>
      </c>
      <c r="Y105" s="2"/>
      <c r="Z105" s="19">
        <f t="shared" si="3"/>
        <v>-1</v>
      </c>
    </row>
    <row r="106" spans="1:26" s="23" customFormat="1" hidden="1" outlineLevel="1" x14ac:dyDescent="0.25">
      <c r="A106" s="44"/>
      <c r="B106" s="10" t="str">
        <f>CONCATENATE("          ", "4240", " - ", "SALES RETURN TAXABLE-LOGO CLOT")</f>
        <v xml:space="preserve">          4240 - SALES RETURN TAXABLE-LOGO CLOT</v>
      </c>
      <c r="C106" s="10"/>
      <c r="D106" s="2">
        <f>-3924.84</f>
        <v>-3924.84</v>
      </c>
      <c r="E106" s="2"/>
      <c r="F106" s="19"/>
      <c r="G106" s="2"/>
      <c r="H106" s="2">
        <f>-3000.56</f>
        <v>-3000.56</v>
      </c>
      <c r="I106" s="2"/>
      <c r="J106" s="19"/>
      <c r="K106" s="2"/>
      <c r="L106" s="2">
        <f t="shared" si="0"/>
        <v>-924.2800000000002</v>
      </c>
      <c r="M106" s="2"/>
      <c r="N106" s="19">
        <f t="shared" si="1"/>
        <v>0.30803583331111534</v>
      </c>
      <c r="O106" s="10"/>
      <c r="P106" s="2">
        <f>-35054.35</f>
        <v>-35054.35</v>
      </c>
      <c r="Q106" s="2"/>
      <c r="R106" s="19"/>
      <c r="S106" s="2"/>
      <c r="T106" s="2">
        <f>-72812.23</f>
        <v>-72812.23</v>
      </c>
      <c r="U106" s="2"/>
      <c r="V106" s="19"/>
      <c r="W106" s="2"/>
      <c r="X106" s="2">
        <f t="shared" si="2"/>
        <v>37757.879999999997</v>
      </c>
      <c r="Y106" s="2"/>
      <c r="Z106" s="19">
        <f t="shared" si="3"/>
        <v>-0.51856508171772786</v>
      </c>
    </row>
    <row r="107" spans="1:26" s="23" customFormat="1" hidden="1" outlineLevel="1" x14ac:dyDescent="0.25">
      <c r="A107" s="44"/>
      <c r="B107" s="10" t="str">
        <f>CONCATENATE("          ", "4241", " - ", "SALES RETURN TAXABLE-LOGO GIFT")</f>
        <v xml:space="preserve">          4241 - SALES RETURN TAXABLE-LOGO GIFT</v>
      </c>
      <c r="C107" s="10"/>
      <c r="D107" s="2">
        <f>-1222.82</f>
        <v>-1222.82</v>
      </c>
      <c r="E107" s="2"/>
      <c r="F107" s="19"/>
      <c r="G107" s="2"/>
      <c r="H107" s="2">
        <f>-214.4</f>
        <v>-214.4</v>
      </c>
      <c r="I107" s="2"/>
      <c r="J107" s="19"/>
      <c r="K107" s="2"/>
      <c r="L107" s="2">
        <f t="shared" si="0"/>
        <v>-1008.42</v>
      </c>
      <c r="M107" s="2"/>
      <c r="N107" s="19">
        <f t="shared" si="1"/>
        <v>4.7034514925373134</v>
      </c>
      <c r="O107" s="10"/>
      <c r="P107" s="2">
        <f>-6518.34</f>
        <v>-6518.34</v>
      </c>
      <c r="Q107" s="2"/>
      <c r="R107" s="19"/>
      <c r="S107" s="2"/>
      <c r="T107" s="2">
        <f>-6141.38</f>
        <v>-6141.38</v>
      </c>
      <c r="U107" s="2"/>
      <c r="V107" s="19"/>
      <c r="W107" s="2"/>
      <c r="X107" s="2">
        <f t="shared" si="2"/>
        <v>-376.96000000000004</v>
      </c>
      <c r="Y107" s="2"/>
      <c r="Z107" s="19">
        <f t="shared" si="3"/>
        <v>6.138034122623906E-2</v>
      </c>
    </row>
    <row r="108" spans="1:26" s="23" customFormat="1" hidden="1" outlineLevel="1" x14ac:dyDescent="0.25">
      <c r="A108" s="44"/>
      <c r="B108" s="10" t="str">
        <f>CONCATENATE("          ", "4242", " - ", "SALES RETURN TAXABLE-EVERYDAY")</f>
        <v xml:space="preserve">          4242 - SALES RETURN TAXABLE-EVERYDAY</v>
      </c>
      <c r="C108" s="10"/>
      <c r="D108" s="2">
        <f>-565.08</f>
        <v>-565.08000000000004</v>
      </c>
      <c r="E108" s="2"/>
      <c r="F108" s="19"/>
      <c r="G108" s="2"/>
      <c r="H108" s="2">
        <f>-284.33</f>
        <v>-284.33</v>
      </c>
      <c r="I108" s="2"/>
      <c r="J108" s="19"/>
      <c r="K108" s="2"/>
      <c r="L108" s="2">
        <f t="shared" si="0"/>
        <v>-280.75000000000006</v>
      </c>
      <c r="M108" s="2"/>
      <c r="N108" s="19">
        <f t="shared" si="1"/>
        <v>0.98740899658847137</v>
      </c>
      <c r="O108" s="10"/>
      <c r="P108" s="2">
        <f>-2303.82</f>
        <v>-2303.8200000000002</v>
      </c>
      <c r="Q108" s="2"/>
      <c r="R108" s="19"/>
      <c r="S108" s="2"/>
      <c r="T108" s="2">
        <f>-4178.41</f>
        <v>-4178.41</v>
      </c>
      <c r="U108" s="2"/>
      <c r="V108" s="19"/>
      <c r="W108" s="2"/>
      <c r="X108" s="2">
        <f t="shared" si="2"/>
        <v>1874.5899999999997</v>
      </c>
      <c r="Y108" s="2"/>
      <c r="Z108" s="19">
        <f t="shared" si="3"/>
        <v>-0.44863716102536605</v>
      </c>
    </row>
    <row r="109" spans="1:26" s="23" customFormat="1" hidden="1" outlineLevel="1" x14ac:dyDescent="0.25">
      <c r="A109" s="44"/>
      <c r="B109" s="10" t="str">
        <f>CONCATENATE("          ", "4243", " - ", "SALES RETURN TAXABLE-CARDS")</f>
        <v xml:space="preserve">          4243 - SALES RETURN TAXABLE-CARDS</v>
      </c>
      <c r="C109" s="10"/>
      <c r="D109" s="2">
        <f>-572.63</f>
        <v>-572.63</v>
      </c>
      <c r="E109" s="2"/>
      <c r="F109" s="19"/>
      <c r="G109" s="2"/>
      <c r="H109" s="2">
        <f>-159.92</f>
        <v>-159.91999999999999</v>
      </c>
      <c r="I109" s="2"/>
      <c r="J109" s="19"/>
      <c r="K109" s="2"/>
      <c r="L109" s="2">
        <f t="shared" si="0"/>
        <v>-412.71000000000004</v>
      </c>
      <c r="M109" s="2"/>
      <c r="N109" s="19">
        <f t="shared" si="1"/>
        <v>2.5807278639319664</v>
      </c>
      <c r="O109" s="10"/>
      <c r="P109" s="2">
        <f>-5942.23</f>
        <v>-5942.23</v>
      </c>
      <c r="Q109" s="2"/>
      <c r="R109" s="19"/>
      <c r="S109" s="2"/>
      <c r="T109" s="2">
        <f>-2993.31</f>
        <v>-2993.31</v>
      </c>
      <c r="U109" s="2"/>
      <c r="V109" s="19"/>
      <c r="W109" s="2"/>
      <c r="X109" s="2">
        <f t="shared" si="2"/>
        <v>-2948.9199999999996</v>
      </c>
      <c r="Y109" s="2"/>
      <c r="Z109" s="19">
        <f t="shared" si="3"/>
        <v>0.98517026301986754</v>
      </c>
    </row>
    <row r="110" spans="1:26" s="23" customFormat="1" hidden="1" outlineLevel="1" x14ac:dyDescent="0.25">
      <c r="A110" s="44"/>
      <c r="B110" s="10" t="str">
        <f>CONCATENATE("          ", "4244", " - ", "SALES RETURN TAXABLE-ACCESSORI")</f>
        <v xml:space="preserve">          4244 - SALES RETURN TAXABLE-ACCESSORI</v>
      </c>
      <c r="C110" s="10"/>
      <c r="D110" s="2">
        <f>-240.42</f>
        <v>-240.42</v>
      </c>
      <c r="E110" s="2"/>
      <c r="F110" s="19"/>
      <c r="G110" s="2"/>
      <c r="H110" s="2">
        <f>-39.9</f>
        <v>-39.9</v>
      </c>
      <c r="I110" s="2"/>
      <c r="J110" s="19"/>
      <c r="K110" s="2"/>
      <c r="L110" s="2">
        <f t="shared" si="0"/>
        <v>-200.51999999999998</v>
      </c>
      <c r="M110" s="2"/>
      <c r="N110" s="19">
        <f t="shared" si="1"/>
        <v>5.0255639097744362</v>
      </c>
      <c r="O110" s="10"/>
      <c r="P110" s="2">
        <f>-1235.26</f>
        <v>-1235.26</v>
      </c>
      <c r="Q110" s="2"/>
      <c r="R110" s="19"/>
      <c r="S110" s="2"/>
      <c r="T110" s="2">
        <f>-2470.7</f>
        <v>-2470.6999999999998</v>
      </c>
      <c r="U110" s="2"/>
      <c r="V110" s="19"/>
      <c r="W110" s="2"/>
      <c r="X110" s="2">
        <f t="shared" si="2"/>
        <v>1235.4399999999998</v>
      </c>
      <c r="Y110" s="2"/>
      <c r="Z110" s="19">
        <f t="shared" si="3"/>
        <v>-0.50003642692354389</v>
      </c>
    </row>
    <row r="111" spans="1:26" s="23" customFormat="1" hidden="1" outlineLevel="1" x14ac:dyDescent="0.25">
      <c r="A111" s="44"/>
      <c r="B111" s="10" t="str">
        <f>CONCATENATE("          ", "4245", " - ", "SALES RETURN TAXABLE-SPECIAL O")</f>
        <v xml:space="preserve">          4245 - SALES RETURN TAXABLE-SPECIAL O</v>
      </c>
      <c r="C111" s="10"/>
      <c r="D111" s="2">
        <f t="shared" ref="D111:D112" si="22">0</f>
        <v>0</v>
      </c>
      <c r="E111" s="2"/>
      <c r="F111" s="19"/>
      <c r="G111" s="2"/>
      <c r="H111" s="2">
        <f>-19.98</f>
        <v>-19.98</v>
      </c>
      <c r="I111" s="2"/>
      <c r="J111" s="19"/>
      <c r="K111" s="2"/>
      <c r="L111" s="2">
        <f t="shared" si="0"/>
        <v>19.98</v>
      </c>
      <c r="M111" s="2"/>
      <c r="N111" s="19">
        <f t="shared" si="1"/>
        <v>-1</v>
      </c>
      <c r="O111" s="10"/>
      <c r="P111" s="2">
        <f>-11353.59</f>
        <v>-11353.59</v>
      </c>
      <c r="Q111" s="2"/>
      <c r="R111" s="19"/>
      <c r="S111" s="2"/>
      <c r="T111" s="2">
        <f>-1735.03</f>
        <v>-1735.03</v>
      </c>
      <c r="U111" s="2"/>
      <c r="V111" s="19"/>
      <c r="W111" s="2"/>
      <c r="X111" s="2">
        <f t="shared" si="2"/>
        <v>-9618.56</v>
      </c>
      <c r="Y111" s="2"/>
      <c r="Z111" s="19">
        <f t="shared" si="3"/>
        <v>5.5437427594911899</v>
      </c>
    </row>
    <row r="112" spans="1:26" s="23" customFormat="1" hidden="1" outlineLevel="1" x14ac:dyDescent="0.25">
      <c r="A112" s="44"/>
      <c r="B112" s="10" t="str">
        <f>CONCATENATE("          ", "4281", " - ", "SALES RETURN TAXABLE-ELECTRONI")</f>
        <v xml:space="preserve">          4281 - SALES RETURN TAXABLE-ELECTRONI</v>
      </c>
      <c r="C112" s="10"/>
      <c r="D112" s="2">
        <f t="shared" si="22"/>
        <v>0</v>
      </c>
      <c r="E112" s="2"/>
      <c r="F112" s="19"/>
      <c r="G112" s="2"/>
      <c r="H112" s="2">
        <f>-213.97</f>
        <v>-213.97</v>
      </c>
      <c r="I112" s="2"/>
      <c r="J112" s="19"/>
      <c r="K112" s="2"/>
      <c r="L112" s="2">
        <f t="shared" si="0"/>
        <v>213.97</v>
      </c>
      <c r="M112" s="2"/>
      <c r="N112" s="19">
        <f t="shared" si="1"/>
        <v>-1</v>
      </c>
      <c r="O112" s="10"/>
      <c r="P112" s="2">
        <f>-14762.14</f>
        <v>-14762.14</v>
      </c>
      <c r="Q112" s="2"/>
      <c r="R112" s="19"/>
      <c r="S112" s="2"/>
      <c r="T112" s="2">
        <f>-7836.67</f>
        <v>-7836.67</v>
      </c>
      <c r="U112" s="2"/>
      <c r="V112" s="19"/>
      <c r="W112" s="2"/>
      <c r="X112" s="2">
        <f t="shared" si="2"/>
        <v>-6925.4699999999993</v>
      </c>
      <c r="Y112" s="2"/>
      <c r="Z112" s="19">
        <f t="shared" si="3"/>
        <v>0.88372612346825874</v>
      </c>
    </row>
    <row r="113" spans="1:26" s="23" customFormat="1" hidden="1" outlineLevel="1" x14ac:dyDescent="0.25">
      <c r="A113" s="44"/>
      <c r="B113" s="10" t="str">
        <f>CONCATENATE("          ", "4282", " - ", "SALES RETURN TAXABLE-COMPUTER")</f>
        <v xml:space="preserve">          4282 - SALES RETURN TAXABLE-COMPUTER</v>
      </c>
      <c r="C113" s="10"/>
      <c r="D113" s="2">
        <f>-43137</f>
        <v>-43137</v>
      </c>
      <c r="E113" s="2"/>
      <c r="F113" s="19"/>
      <c r="G113" s="2"/>
      <c r="H113" s="2">
        <f>-6266.02</f>
        <v>-6266.02</v>
      </c>
      <c r="I113" s="2"/>
      <c r="J113" s="19"/>
      <c r="K113" s="2"/>
      <c r="L113" s="2">
        <f t="shared" si="0"/>
        <v>-36870.979999999996</v>
      </c>
      <c r="M113" s="2"/>
      <c r="N113" s="19">
        <f t="shared" si="1"/>
        <v>5.8842742282980254</v>
      </c>
      <c r="O113" s="10"/>
      <c r="P113" s="2">
        <f>-172765.16</f>
        <v>-172765.16</v>
      </c>
      <c r="Q113" s="2"/>
      <c r="R113" s="19"/>
      <c r="S113" s="2"/>
      <c r="T113" s="2">
        <f>-213491.15</f>
        <v>-213491.15</v>
      </c>
      <c r="U113" s="2"/>
      <c r="V113" s="19"/>
      <c r="W113" s="2"/>
      <c r="X113" s="2">
        <f t="shared" si="2"/>
        <v>40725.989999999991</v>
      </c>
      <c r="Y113" s="2"/>
      <c r="Z113" s="19">
        <f t="shared" si="3"/>
        <v>-0.19076195898518505</v>
      </c>
    </row>
    <row r="114" spans="1:26" s="23" customFormat="1" hidden="1" outlineLevel="1" x14ac:dyDescent="0.25">
      <c r="A114" s="44"/>
      <c r="B114" s="10" t="str">
        <f>CONCATENATE("          ", "4283", " - ", "SALES RETURN TAXABLE-COMPUTER")</f>
        <v xml:space="preserve">          4283 - SALES RETURN TAXABLE-COMPUTER</v>
      </c>
      <c r="C114" s="10"/>
      <c r="D114" s="2">
        <f>-389.97</f>
        <v>-389.97</v>
      </c>
      <c r="E114" s="2"/>
      <c r="F114" s="19"/>
      <c r="G114" s="2"/>
      <c r="H114" s="2">
        <f>-627.65</f>
        <v>-627.65</v>
      </c>
      <c r="I114" s="2"/>
      <c r="J114" s="19"/>
      <c r="K114" s="2"/>
      <c r="L114" s="2">
        <f t="shared" si="0"/>
        <v>237.67999999999995</v>
      </c>
      <c r="M114" s="2"/>
      <c r="N114" s="19">
        <f t="shared" si="1"/>
        <v>-0.37868238668047471</v>
      </c>
      <c r="O114" s="10"/>
      <c r="P114" s="2">
        <f>-3749.25</f>
        <v>-3749.25</v>
      </c>
      <c r="Q114" s="2"/>
      <c r="R114" s="19"/>
      <c r="S114" s="2"/>
      <c r="T114" s="2">
        <f>-6453.06</f>
        <v>-6453.06</v>
      </c>
      <c r="U114" s="2"/>
      <c r="V114" s="19"/>
      <c r="W114" s="2"/>
      <c r="X114" s="2">
        <f t="shared" si="2"/>
        <v>2703.8100000000004</v>
      </c>
      <c r="Y114" s="2"/>
      <c r="Z114" s="19">
        <f t="shared" si="3"/>
        <v>-0.41899656906955773</v>
      </c>
    </row>
    <row r="115" spans="1:26" s="23" customFormat="1" hidden="1" outlineLevel="1" x14ac:dyDescent="0.25">
      <c r="A115" s="44"/>
      <c r="B115" s="10" t="str">
        <f>CONCATENATE("          ", "4284", " - ", "SALES RETURN TAXABLE-SOFTWARE")</f>
        <v xml:space="preserve">          4284 - SALES RETURN TAXABLE-SOFTWARE</v>
      </c>
      <c r="C115" s="10"/>
      <c r="D115" s="2">
        <f>0</f>
        <v>0</v>
      </c>
      <c r="E115" s="2"/>
      <c r="F115" s="19"/>
      <c r="G115" s="2"/>
      <c r="H115" s="2">
        <f t="shared" ref="H115:H116" si="23"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0"/>
      <c r="P115" s="2">
        <f>0</f>
        <v>0</v>
      </c>
      <c r="Q115" s="2"/>
      <c r="R115" s="19"/>
      <c r="S115" s="2"/>
      <c r="T115" s="2">
        <f>-129</f>
        <v>-129</v>
      </c>
      <c r="U115" s="2"/>
      <c r="V115" s="19"/>
      <c r="W115" s="2"/>
      <c r="X115" s="2">
        <f t="shared" si="2"/>
        <v>129</v>
      </c>
      <c r="Y115" s="2"/>
      <c r="Z115" s="19">
        <f t="shared" si="3"/>
        <v>-1</v>
      </c>
    </row>
    <row r="116" spans="1:26" s="23" customFormat="1" hidden="1" outlineLevel="1" x14ac:dyDescent="0.25">
      <c r="A116" s="44"/>
      <c r="B116" s="10" t="str">
        <f>CONCATENATE("          ", "4285", " - ", "SALES RETURN TAXABLE-SOFTWARE")</f>
        <v xml:space="preserve">          4285 - SALES RETURN TAXABLE-SOFTWARE</v>
      </c>
      <c r="C116" s="10"/>
      <c r="D116" s="2">
        <f>-149.99</f>
        <v>-149.99</v>
      </c>
      <c r="E116" s="2"/>
      <c r="F116" s="19"/>
      <c r="G116" s="2"/>
      <c r="H116" s="2">
        <f t="shared" si="23"/>
        <v>0</v>
      </c>
      <c r="I116" s="2"/>
      <c r="J116" s="19"/>
      <c r="K116" s="2"/>
      <c r="L116" s="2">
        <f t="shared" si="0"/>
        <v>-149.99</v>
      </c>
      <c r="M116" s="2"/>
      <c r="N116" s="19">
        <f t="shared" si="1"/>
        <v>0</v>
      </c>
      <c r="O116" s="10"/>
      <c r="P116" s="2">
        <f>-991.96</f>
        <v>-991.96</v>
      </c>
      <c r="Q116" s="2"/>
      <c r="R116" s="19"/>
      <c r="S116" s="2"/>
      <c r="T116" s="2">
        <f>-805.97</f>
        <v>-805.97</v>
      </c>
      <c r="U116" s="2"/>
      <c r="V116" s="19"/>
      <c r="W116" s="2"/>
      <c r="X116" s="2">
        <f t="shared" si="2"/>
        <v>-185.99</v>
      </c>
      <c r="Y116" s="2"/>
      <c r="Z116" s="19">
        <f t="shared" si="3"/>
        <v>0.23076541310470614</v>
      </c>
    </row>
    <row r="117" spans="1:26" s="23" customFormat="1" hidden="1" outlineLevel="1" x14ac:dyDescent="0.25">
      <c r="A117" s="44"/>
      <c r="B117" s="10" t="str">
        <f>CONCATENATE("          ", "4286", " - ", "SALES RETURN TAXABLE-COMPUTER")</f>
        <v xml:space="preserve">          4286 - SALES RETURN TAXABLE-COMPUTER</v>
      </c>
      <c r="C117" s="10"/>
      <c r="D117" s="2">
        <f>-39.98</f>
        <v>-39.979999999999997</v>
      </c>
      <c r="E117" s="2"/>
      <c r="F117" s="19"/>
      <c r="G117" s="2"/>
      <c r="H117" s="2">
        <f>-77.97</f>
        <v>-77.97</v>
      </c>
      <c r="I117" s="2"/>
      <c r="J117" s="19"/>
      <c r="K117" s="2"/>
      <c r="L117" s="2">
        <f t="shared" si="0"/>
        <v>37.99</v>
      </c>
      <c r="M117" s="2"/>
      <c r="N117" s="19">
        <f t="shared" si="1"/>
        <v>-0.4872386815441837</v>
      </c>
      <c r="O117" s="10"/>
      <c r="P117" s="2">
        <f>-4802.29</f>
        <v>-4802.29</v>
      </c>
      <c r="Q117" s="2"/>
      <c r="R117" s="19"/>
      <c r="S117" s="2"/>
      <c r="T117" s="2">
        <f>-3660.86</f>
        <v>-3660.86</v>
      </c>
      <c r="U117" s="2"/>
      <c r="V117" s="19"/>
      <c r="W117" s="2"/>
      <c r="X117" s="2">
        <f t="shared" si="2"/>
        <v>-1141.4299999999998</v>
      </c>
      <c r="Y117" s="2"/>
      <c r="Z117" s="19">
        <f t="shared" si="3"/>
        <v>0.31179285741601692</v>
      </c>
    </row>
    <row r="118" spans="1:26" s="23" customFormat="1" hidden="1" outlineLevel="1" x14ac:dyDescent="0.25">
      <c r="A118" s="44"/>
      <c r="B118" s="10" t="str">
        <f>CONCATENATE("          ", "4288", " - ", "TAXABLE SALES RETURN-MUSIC")</f>
        <v xml:space="preserve">          4288 - TAXABLE SALES RETURN-MUSIC</v>
      </c>
      <c r="C118" s="10"/>
      <c r="D118" s="2">
        <f t="shared" ref="D118:D121" si="24">0</f>
        <v>0</v>
      </c>
      <c r="E118" s="2"/>
      <c r="F118" s="19"/>
      <c r="G118" s="2"/>
      <c r="H118" s="2">
        <f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0"/>
      <c r="P118" s="2">
        <f t="shared" ref="P118:P120" si="25">0</f>
        <v>0</v>
      </c>
      <c r="Q118" s="2"/>
      <c r="R118" s="19"/>
      <c r="S118" s="2"/>
      <c r="T118" s="2">
        <f>-3.99</f>
        <v>-3.99</v>
      </c>
      <c r="U118" s="2"/>
      <c r="V118" s="19"/>
      <c r="W118" s="2"/>
      <c r="X118" s="2">
        <f t="shared" si="2"/>
        <v>3.99</v>
      </c>
      <c r="Y118" s="2"/>
      <c r="Z118" s="19">
        <f t="shared" si="3"/>
        <v>-1</v>
      </c>
    </row>
    <row r="119" spans="1:26" s="23" customFormat="1" hidden="1" outlineLevel="1" x14ac:dyDescent="0.25">
      <c r="A119" s="44"/>
      <c r="B119" s="10" t="str">
        <f>CONCATENATE("          ", "4292", " - ", "SALES RETURN TAXABLE-GRAD MERC")</f>
        <v xml:space="preserve">          4292 - SALES RETURN TAXABLE-GRAD MERC</v>
      </c>
      <c r="C119" s="10"/>
      <c r="D119" s="2">
        <f t="shared" si="24"/>
        <v>0</v>
      </c>
      <c r="E119" s="2"/>
      <c r="F119" s="19"/>
      <c r="G119" s="2"/>
      <c r="H119" s="2">
        <f>-94.9</f>
        <v>-94.9</v>
      </c>
      <c r="I119" s="2"/>
      <c r="J119" s="19"/>
      <c r="K119" s="2"/>
      <c r="L119" s="2">
        <f t="shared" si="0"/>
        <v>94.9</v>
      </c>
      <c r="M119" s="2"/>
      <c r="N119" s="19">
        <f t="shared" si="1"/>
        <v>-1</v>
      </c>
      <c r="O119" s="10"/>
      <c r="P119" s="2">
        <f t="shared" si="25"/>
        <v>0</v>
      </c>
      <c r="Q119" s="2"/>
      <c r="R119" s="19"/>
      <c r="S119" s="2"/>
      <c r="T119" s="2">
        <f>-513.95</f>
        <v>-513.95000000000005</v>
      </c>
      <c r="U119" s="2"/>
      <c r="V119" s="19"/>
      <c r="W119" s="2"/>
      <c r="X119" s="2">
        <f t="shared" si="2"/>
        <v>513.95000000000005</v>
      </c>
      <c r="Y119" s="2"/>
      <c r="Z119" s="19">
        <f t="shared" si="3"/>
        <v>-1</v>
      </c>
    </row>
    <row r="120" spans="1:26" s="23" customFormat="1" hidden="1" outlineLevel="1" x14ac:dyDescent="0.25">
      <c r="A120" s="44"/>
      <c r="B120" s="10" t="str">
        <f>CONCATENATE("          ", "4295", " - ", "SALES RETURN TAXABLE-CUSTOMER")</f>
        <v xml:space="preserve">          4295 - SALES RETURN TAXABLE-CUSTOMER</v>
      </c>
      <c r="C120" s="10"/>
      <c r="D120" s="2">
        <f t="shared" si="24"/>
        <v>0</v>
      </c>
      <c r="E120" s="2"/>
      <c r="F120" s="19"/>
      <c r="G120" s="2"/>
      <c r="H120" s="2">
        <f t="shared" ref="H120:H123" si="26">0</f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0"/>
      <c r="P120" s="2">
        <f t="shared" si="25"/>
        <v>0</v>
      </c>
      <c r="Q120" s="2"/>
      <c r="R120" s="19"/>
      <c r="S120" s="2"/>
      <c r="T120" s="2">
        <f>--0.99</f>
        <v>0.99</v>
      </c>
      <c r="U120" s="2"/>
      <c r="V120" s="19"/>
      <c r="W120" s="2"/>
      <c r="X120" s="2">
        <f t="shared" si="2"/>
        <v>-0.99</v>
      </c>
      <c r="Y120" s="2"/>
      <c r="Z120" s="19">
        <f t="shared" si="3"/>
        <v>-1</v>
      </c>
    </row>
    <row r="121" spans="1:26" s="23" customFormat="1" hidden="1" outlineLevel="1" x14ac:dyDescent="0.25">
      <c r="A121" s="44"/>
      <c r="B121" s="10" t="str">
        <f>CONCATENATE("          ", "4301", " - ", "SALES RETURN NON TAXABLE-NEW T")</f>
        <v xml:space="preserve">          4301 - SALES RETURN NON TAXABLE-NEW T</v>
      </c>
      <c r="C121" s="10"/>
      <c r="D121" s="2">
        <f t="shared" si="24"/>
        <v>0</v>
      </c>
      <c r="E121" s="2"/>
      <c r="F121" s="19"/>
      <c r="G121" s="2"/>
      <c r="H121" s="2">
        <f t="shared" si="26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0"/>
      <c r="P121" s="2">
        <f>-3237.29</f>
        <v>-3237.29</v>
      </c>
      <c r="Q121" s="2"/>
      <c r="R121" s="19"/>
      <c r="S121" s="2"/>
      <c r="T121" s="2">
        <f>-15221.62</f>
        <v>-15221.62</v>
      </c>
      <c r="U121" s="2"/>
      <c r="V121" s="19"/>
      <c r="W121" s="2"/>
      <c r="X121" s="2">
        <f t="shared" si="2"/>
        <v>11984.330000000002</v>
      </c>
      <c r="Y121" s="2"/>
      <c r="Z121" s="19">
        <f t="shared" si="3"/>
        <v>-0.78732289992786586</v>
      </c>
    </row>
    <row r="122" spans="1:26" s="23" customFormat="1" hidden="1" outlineLevel="1" x14ac:dyDescent="0.25">
      <c r="A122" s="44"/>
      <c r="B122" s="10" t="str">
        <f>CONCATENATE("          ", "4302", " - ", "SALES RETURN NON TAXABLE-TEXT")</f>
        <v xml:space="preserve">          4302 - SALES RETURN NON TAXABLE-TEXT</v>
      </c>
      <c r="C122" s="10"/>
      <c r="D122" s="2">
        <f>-270.87</f>
        <v>-270.87</v>
      </c>
      <c r="E122" s="2"/>
      <c r="F122" s="19"/>
      <c r="G122" s="2"/>
      <c r="H122" s="2">
        <f t="shared" si="26"/>
        <v>0</v>
      </c>
      <c r="I122" s="2"/>
      <c r="J122" s="19"/>
      <c r="K122" s="2"/>
      <c r="L122" s="2">
        <f t="shared" si="0"/>
        <v>-270.87</v>
      </c>
      <c r="M122" s="2"/>
      <c r="N122" s="19">
        <f t="shared" si="1"/>
        <v>0</v>
      </c>
      <c r="O122" s="10"/>
      <c r="P122" s="2">
        <f>-2344.35</f>
        <v>-2344.35</v>
      </c>
      <c r="Q122" s="2"/>
      <c r="R122" s="19"/>
      <c r="S122" s="2"/>
      <c r="T122" s="2">
        <f>-1312.37</f>
        <v>-1312.37</v>
      </c>
      <c r="U122" s="2"/>
      <c r="V122" s="19"/>
      <c r="W122" s="2"/>
      <c r="X122" s="2">
        <f t="shared" si="2"/>
        <v>-1031.98</v>
      </c>
      <c r="Y122" s="2"/>
      <c r="Z122" s="19">
        <f t="shared" si="3"/>
        <v>0.78634836212348658</v>
      </c>
    </row>
    <row r="123" spans="1:26" s="23" customFormat="1" hidden="1" outlineLevel="1" x14ac:dyDescent="0.25">
      <c r="A123" s="44"/>
      <c r="B123" s="10" t="str">
        <f>CONCATENATE("          ", "4303", " - ", "SALES RETURN NON-TAXABLE-RENTA")</f>
        <v xml:space="preserve">          4303 - SALES RETURN NON-TAXABLE-RENTA</v>
      </c>
      <c r="C123" s="10"/>
      <c r="D123" s="2">
        <f>0</f>
        <v>0</v>
      </c>
      <c r="E123" s="2"/>
      <c r="F123" s="19"/>
      <c r="G123" s="2"/>
      <c r="H123" s="2">
        <f t="shared" si="26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0"/>
      <c r="P123" s="2">
        <f>0</f>
        <v>0</v>
      </c>
      <c r="Q123" s="2"/>
      <c r="R123" s="19"/>
      <c r="S123" s="2"/>
      <c r="T123" s="2">
        <f>-184.99</f>
        <v>-184.99</v>
      </c>
      <c r="U123" s="2"/>
      <c r="V123" s="19"/>
      <c r="W123" s="2"/>
      <c r="X123" s="2">
        <f t="shared" si="2"/>
        <v>184.99</v>
      </c>
      <c r="Y123" s="2"/>
      <c r="Z123" s="19">
        <f t="shared" si="3"/>
        <v>-1</v>
      </c>
    </row>
    <row r="124" spans="1:26" s="23" customFormat="1" hidden="1" outlineLevel="1" x14ac:dyDescent="0.25">
      <c r="A124" s="44"/>
      <c r="B124" s="10" t="str">
        <f>CONCATENATE("          ", "4304", " - ", "SALES RETURN NON TAXABLE-DIGIT")</f>
        <v xml:space="preserve">          4304 - SALES RETURN NON TAXABLE-DIGIT</v>
      </c>
      <c r="C124" s="10"/>
      <c r="D124" s="2">
        <f>-275.04</f>
        <v>-275.04000000000002</v>
      </c>
      <c r="E124" s="2"/>
      <c r="F124" s="19"/>
      <c r="G124" s="2"/>
      <c r="H124" s="2">
        <f>-44.15</f>
        <v>-44.15</v>
      </c>
      <c r="I124" s="2"/>
      <c r="J124" s="19"/>
      <c r="K124" s="2"/>
      <c r="L124" s="2">
        <f t="shared" si="0"/>
        <v>-230.89000000000001</v>
      </c>
      <c r="M124" s="2"/>
      <c r="N124" s="19">
        <f t="shared" si="1"/>
        <v>5.2296715741789361</v>
      </c>
      <c r="O124" s="10"/>
      <c r="P124" s="2">
        <f>-27543.76</f>
        <v>-27543.759999999998</v>
      </c>
      <c r="Q124" s="2"/>
      <c r="R124" s="19"/>
      <c r="S124" s="2"/>
      <c r="T124" s="2">
        <f>-19036.13</f>
        <v>-19036.13</v>
      </c>
      <c r="U124" s="2"/>
      <c r="V124" s="19"/>
      <c r="W124" s="2"/>
      <c r="X124" s="2">
        <f t="shared" si="2"/>
        <v>-8507.6299999999974</v>
      </c>
      <c r="Y124" s="2"/>
      <c r="Z124" s="19">
        <f t="shared" si="3"/>
        <v>0.44692014605909902</v>
      </c>
    </row>
    <row r="125" spans="1:26" s="23" customFormat="1" hidden="1" outlineLevel="1" x14ac:dyDescent="0.25">
      <c r="A125" s="44"/>
      <c r="B125" s="10" t="str">
        <f>CONCATENATE("          ", "4311", " - ", "SALES RETURN NON TAXABLE-NO VA")</f>
        <v xml:space="preserve">          4311 - SALES RETURN NON TAXABLE-NO VA</v>
      </c>
      <c r="C125" s="10"/>
      <c r="D125" s="2">
        <f t="shared" ref="D125:D128" si="27">0</f>
        <v>0</v>
      </c>
      <c r="E125" s="2"/>
      <c r="F125" s="19"/>
      <c r="G125" s="2"/>
      <c r="H125" s="2">
        <f>-57.9</f>
        <v>-57.9</v>
      </c>
      <c r="I125" s="2"/>
      <c r="J125" s="19"/>
      <c r="K125" s="2"/>
      <c r="L125" s="2">
        <f t="shared" si="0"/>
        <v>57.9</v>
      </c>
      <c r="M125" s="2"/>
      <c r="N125" s="19">
        <f t="shared" si="1"/>
        <v>-1</v>
      </c>
      <c r="O125" s="10"/>
      <c r="P125" s="2">
        <f t="shared" ref="P125:P128" si="28">0</f>
        <v>0</v>
      </c>
      <c r="Q125" s="2"/>
      <c r="R125" s="19"/>
      <c r="S125" s="2"/>
      <c r="T125" s="2">
        <f>-852.66</f>
        <v>-852.66</v>
      </c>
      <c r="U125" s="2"/>
      <c r="V125" s="19"/>
      <c r="W125" s="2"/>
      <c r="X125" s="2">
        <f t="shared" si="2"/>
        <v>852.66</v>
      </c>
      <c r="Y125" s="2"/>
      <c r="Z125" s="19">
        <f t="shared" si="3"/>
        <v>-1</v>
      </c>
    </row>
    <row r="126" spans="1:26" s="23" customFormat="1" hidden="1" outlineLevel="1" x14ac:dyDescent="0.25">
      <c r="A126" s="44"/>
      <c r="B126" s="10" t="str">
        <f>CONCATENATE("          ", "4327", " - ", "SALES RETURN NON TAXABLE-SCHOO")</f>
        <v xml:space="preserve">          4327 - SALES RETURN NON TAXABLE-SCHOO</v>
      </c>
      <c r="C126" s="10"/>
      <c r="D126" s="2">
        <f t="shared" si="27"/>
        <v>0</v>
      </c>
      <c r="E126" s="2"/>
      <c r="F126" s="19"/>
      <c r="G126" s="2"/>
      <c r="H126" s="2">
        <f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0"/>
      <c r="P126" s="2">
        <f t="shared" si="28"/>
        <v>0</v>
      </c>
      <c r="Q126" s="2"/>
      <c r="R126" s="19"/>
      <c r="S126" s="2"/>
      <c r="T126" s="2">
        <f>-21.87</f>
        <v>-21.87</v>
      </c>
      <c r="U126" s="2"/>
      <c r="V126" s="19"/>
      <c r="W126" s="2"/>
      <c r="X126" s="2">
        <f t="shared" si="2"/>
        <v>21.87</v>
      </c>
      <c r="Y126" s="2"/>
      <c r="Z126" s="19">
        <f t="shared" si="3"/>
        <v>-1</v>
      </c>
    </row>
    <row r="127" spans="1:26" s="23" customFormat="1" hidden="1" outlineLevel="1" x14ac:dyDescent="0.25">
      <c r="A127" s="44"/>
      <c r="B127" s="10" t="str">
        <f>CONCATENATE("          ", "4331", " - ", "SALES RETURN NON TAXABLE-FOOD")</f>
        <v xml:space="preserve">          4331 - SALES RETURN NON TAXABLE-FOOD</v>
      </c>
      <c r="C127" s="10"/>
      <c r="D127" s="2">
        <f t="shared" si="27"/>
        <v>0</v>
      </c>
      <c r="E127" s="2"/>
      <c r="F127" s="19"/>
      <c r="G127" s="2"/>
      <c r="H127" s="2">
        <f>-4.99</f>
        <v>-4.99</v>
      </c>
      <c r="I127" s="2"/>
      <c r="J127" s="19"/>
      <c r="K127" s="2"/>
      <c r="L127" s="2">
        <f t="shared" si="0"/>
        <v>4.99</v>
      </c>
      <c r="M127" s="2"/>
      <c r="N127" s="19">
        <f t="shared" si="1"/>
        <v>-1</v>
      </c>
      <c r="O127" s="10"/>
      <c r="P127" s="2">
        <f t="shared" si="28"/>
        <v>0</v>
      </c>
      <c r="Q127" s="2"/>
      <c r="R127" s="19"/>
      <c r="S127" s="2"/>
      <c r="T127" s="2">
        <f>-12.57</f>
        <v>-12.57</v>
      </c>
      <c r="U127" s="2"/>
      <c r="V127" s="19"/>
      <c r="W127" s="2"/>
      <c r="X127" s="2">
        <f t="shared" si="2"/>
        <v>12.57</v>
      </c>
      <c r="Y127" s="2"/>
      <c r="Z127" s="19">
        <f t="shared" si="3"/>
        <v>-1</v>
      </c>
    </row>
    <row r="128" spans="1:26" s="23" customFormat="1" hidden="1" outlineLevel="1" x14ac:dyDescent="0.25">
      <c r="A128" s="44"/>
      <c r="B128" s="10" t="str">
        <f>CONCATENATE("          ", "4332", " - ", "SALES RETURN NON TAXABLE-JUICE")</f>
        <v xml:space="preserve">          4332 - SALES RETURN NON TAXABLE-JUICE</v>
      </c>
      <c r="C128" s="10"/>
      <c r="D128" s="2">
        <f t="shared" si="27"/>
        <v>0</v>
      </c>
      <c r="E128" s="2"/>
      <c r="F128" s="19"/>
      <c r="G128" s="2"/>
      <c r="H128" s="2">
        <f>0</f>
        <v>0</v>
      </c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0"/>
      <c r="P128" s="2">
        <f t="shared" si="28"/>
        <v>0</v>
      </c>
      <c r="Q128" s="2"/>
      <c r="R128" s="19"/>
      <c r="S128" s="2"/>
      <c r="T128" s="2">
        <f>-2.79</f>
        <v>-2.79</v>
      </c>
      <c r="U128" s="2"/>
      <c r="V128" s="19"/>
      <c r="W128" s="2"/>
      <c r="X128" s="2">
        <f t="shared" si="2"/>
        <v>2.79</v>
      </c>
      <c r="Y128" s="2"/>
      <c r="Z128" s="19">
        <f t="shared" si="3"/>
        <v>-1</v>
      </c>
    </row>
    <row r="129" spans="1:26" s="23" customFormat="1" hidden="1" outlineLevel="1" x14ac:dyDescent="0.25">
      <c r="A129" s="44"/>
      <c r="B129" s="10" t="str">
        <f>CONCATENATE("          ", "4340", " - ", "SALES RETURN NON TAXABLE-LOGO")</f>
        <v xml:space="preserve">          4340 - SALES RETURN NON TAXABLE-LOGO</v>
      </c>
      <c r="C129" s="10"/>
      <c r="D129" s="2">
        <f>-350.55</f>
        <v>-350.55</v>
      </c>
      <c r="E129" s="2"/>
      <c r="F129" s="19"/>
      <c r="G129" s="2"/>
      <c r="H129" s="2">
        <f>-63.8</f>
        <v>-63.8</v>
      </c>
      <c r="I129" s="2"/>
      <c r="J129" s="19"/>
      <c r="K129" s="2"/>
      <c r="L129" s="2">
        <f t="shared" si="0"/>
        <v>-286.75</v>
      </c>
      <c r="M129" s="2"/>
      <c r="N129" s="19">
        <f t="shared" si="1"/>
        <v>4.4945141065830727</v>
      </c>
      <c r="O129" s="10"/>
      <c r="P129" s="2">
        <f>-2643.39</f>
        <v>-2643.39</v>
      </c>
      <c r="Q129" s="2"/>
      <c r="R129" s="19"/>
      <c r="S129" s="2"/>
      <c r="T129" s="2">
        <f>-995.45</f>
        <v>-995.45</v>
      </c>
      <c r="U129" s="2"/>
      <c r="V129" s="19"/>
      <c r="W129" s="2"/>
      <c r="X129" s="2">
        <f t="shared" si="2"/>
        <v>-1647.9399999999998</v>
      </c>
      <c r="Y129" s="2"/>
      <c r="Z129" s="19">
        <f t="shared" si="3"/>
        <v>1.6554723994173486</v>
      </c>
    </row>
    <row r="130" spans="1:26" s="23" customFormat="1" hidden="1" outlineLevel="1" x14ac:dyDescent="0.25">
      <c r="A130" s="44"/>
      <c r="B130" s="10" t="str">
        <f>CONCATENATE("          ", "4341", " - ", "SALES RETURN NON TAXABLE-LOGO")</f>
        <v xml:space="preserve">          4341 - SALES RETURN NON TAXABLE-LOGO</v>
      </c>
      <c r="C130" s="10"/>
      <c r="D130" s="2">
        <f>-29.9</f>
        <v>-29.9</v>
      </c>
      <c r="E130" s="2"/>
      <c r="F130" s="19"/>
      <c r="G130" s="2"/>
      <c r="H130" s="2">
        <f t="shared" ref="H130:H132" si="29">0</f>
        <v>0</v>
      </c>
      <c r="I130" s="2"/>
      <c r="J130" s="19"/>
      <c r="K130" s="2"/>
      <c r="L130" s="2">
        <f t="shared" si="0"/>
        <v>-29.9</v>
      </c>
      <c r="M130" s="2"/>
      <c r="N130" s="19">
        <f t="shared" si="1"/>
        <v>0</v>
      </c>
      <c r="O130" s="10"/>
      <c r="P130" s="2">
        <f>-392.54</f>
        <v>-392.54</v>
      </c>
      <c r="Q130" s="2"/>
      <c r="R130" s="19"/>
      <c r="S130" s="2"/>
      <c r="T130" s="2">
        <f>-245.5</f>
        <v>-245.5</v>
      </c>
      <c r="U130" s="2"/>
      <c r="V130" s="19"/>
      <c r="W130" s="2"/>
      <c r="X130" s="2">
        <f t="shared" si="2"/>
        <v>-147.04000000000002</v>
      </c>
      <c r="Y130" s="2"/>
      <c r="Z130" s="19">
        <f t="shared" si="3"/>
        <v>0.59894093686354388</v>
      </c>
    </row>
    <row r="131" spans="1:26" s="23" customFormat="1" hidden="1" outlineLevel="1" x14ac:dyDescent="0.25">
      <c r="A131" s="44"/>
      <c r="B131" s="10" t="str">
        <f>CONCATENATE("          ", "4342", " - ", "SALES RETURN NON TAXABLE-EVERY")</f>
        <v xml:space="preserve">          4342 - SALES RETURN NON TAXABLE-EVERY</v>
      </c>
      <c r="C131" s="10"/>
      <c r="D131" s="2">
        <f t="shared" ref="D131:D136" si="30">0</f>
        <v>0</v>
      </c>
      <c r="E131" s="2"/>
      <c r="F131" s="19"/>
      <c r="G131" s="2"/>
      <c r="H131" s="2">
        <f t="shared" si="29"/>
        <v>0</v>
      </c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0"/>
      <c r="P131" s="2">
        <f>-118.7</f>
        <v>-118.7</v>
      </c>
      <c r="Q131" s="2"/>
      <c r="R131" s="19"/>
      <c r="S131" s="2"/>
      <c r="T131" s="2">
        <f>-149.22</f>
        <v>-149.22</v>
      </c>
      <c r="U131" s="2"/>
      <c r="V131" s="19"/>
      <c r="W131" s="2"/>
      <c r="X131" s="2">
        <f t="shared" si="2"/>
        <v>30.519999999999996</v>
      </c>
      <c r="Y131" s="2"/>
      <c r="Z131" s="19">
        <f t="shared" si="3"/>
        <v>-0.20453022383058569</v>
      </c>
    </row>
    <row r="132" spans="1:26" s="23" customFormat="1" hidden="1" outlineLevel="1" x14ac:dyDescent="0.25">
      <c r="A132" s="44"/>
      <c r="B132" s="10" t="str">
        <f>CONCATENATE("          ", "4346", " - ", "SALES RETURN NON TAXABLE-COIN-")</f>
        <v xml:space="preserve">          4346 - SALES RETURN NON TAXABLE-COIN-</v>
      </c>
      <c r="C132" s="10"/>
      <c r="D132" s="2">
        <f t="shared" si="30"/>
        <v>0</v>
      </c>
      <c r="E132" s="2"/>
      <c r="F132" s="19"/>
      <c r="G132" s="2"/>
      <c r="H132" s="2">
        <f t="shared" si="29"/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0"/>
      <c r="P132" s="2">
        <f t="shared" ref="P132:P133" si="31">0</f>
        <v>0</v>
      </c>
      <c r="Q132" s="2"/>
      <c r="R132" s="19"/>
      <c r="S132" s="2"/>
      <c r="T132" s="2">
        <f>-8.15</f>
        <v>-8.15</v>
      </c>
      <c r="U132" s="2"/>
      <c r="V132" s="19"/>
      <c r="W132" s="2"/>
      <c r="X132" s="2">
        <f t="shared" si="2"/>
        <v>8.15</v>
      </c>
      <c r="Y132" s="2"/>
      <c r="Z132" s="19">
        <f t="shared" si="3"/>
        <v>-1</v>
      </c>
    </row>
    <row r="133" spans="1:26" s="23" customFormat="1" hidden="1" outlineLevel="1" x14ac:dyDescent="0.25">
      <c r="A133" s="44"/>
      <c r="B133" s="10" t="str">
        <f>CONCATENATE("          ", "4347", " - ", "SALES RETURN NON TAXABLE-MISC")</f>
        <v xml:space="preserve">          4347 - SALES RETURN NON TAXABLE-MISC</v>
      </c>
      <c r="C133" s="10"/>
      <c r="D133" s="2">
        <f t="shared" si="30"/>
        <v>0</v>
      </c>
      <c r="E133" s="2"/>
      <c r="F133" s="19"/>
      <c r="G133" s="2"/>
      <c r="H133" s="2">
        <f>-84</f>
        <v>-84</v>
      </c>
      <c r="I133" s="2"/>
      <c r="J133" s="19"/>
      <c r="K133" s="2"/>
      <c r="L133" s="2">
        <f t="shared" si="0"/>
        <v>84</v>
      </c>
      <c r="M133" s="2"/>
      <c r="N133" s="19">
        <f t="shared" si="1"/>
        <v>-1</v>
      </c>
      <c r="O133" s="10"/>
      <c r="P133" s="2">
        <f t="shared" si="31"/>
        <v>0</v>
      </c>
      <c r="Q133" s="2"/>
      <c r="R133" s="19"/>
      <c r="S133" s="2"/>
      <c r="T133" s="2">
        <f>-84</f>
        <v>-84</v>
      </c>
      <c r="U133" s="2"/>
      <c r="V133" s="19"/>
      <c r="W133" s="2"/>
      <c r="X133" s="2">
        <f t="shared" si="2"/>
        <v>84</v>
      </c>
      <c r="Y133" s="2"/>
      <c r="Z133" s="19">
        <f t="shared" si="3"/>
        <v>-1</v>
      </c>
    </row>
    <row r="134" spans="1:26" s="23" customFormat="1" hidden="1" outlineLevel="1" x14ac:dyDescent="0.25">
      <c r="A134" s="44"/>
      <c r="B134" s="10" t="str">
        <f>CONCATENATE("          ", "4381", " - ", "SALES RETURN NON TAXABLE-ELECT")</f>
        <v xml:space="preserve">          4381 - SALES RETURN NON TAXABLE-ELECT</v>
      </c>
      <c r="C134" s="10"/>
      <c r="D134" s="2">
        <f t="shared" si="30"/>
        <v>0</v>
      </c>
      <c r="E134" s="2"/>
      <c r="F134" s="19"/>
      <c r="G134" s="2"/>
      <c r="H134" s="2">
        <f t="shared" ref="H134:H136" si="32">0</f>
        <v>0</v>
      </c>
      <c r="I134" s="2"/>
      <c r="J134" s="19"/>
      <c r="K134" s="2"/>
      <c r="L134" s="2">
        <f t="shared" si="0"/>
        <v>0</v>
      </c>
      <c r="M134" s="2"/>
      <c r="N134" s="19">
        <f t="shared" si="1"/>
        <v>0</v>
      </c>
      <c r="O134" s="10"/>
      <c r="P134" s="2">
        <f>-5624.15</f>
        <v>-5624.15</v>
      </c>
      <c r="Q134" s="2"/>
      <c r="R134" s="19"/>
      <c r="S134" s="2"/>
      <c r="T134" s="2">
        <f>-1279.84</f>
        <v>-1279.8399999999999</v>
      </c>
      <c r="U134" s="2"/>
      <c r="V134" s="19"/>
      <c r="W134" s="2"/>
      <c r="X134" s="2">
        <f t="shared" si="2"/>
        <v>-4344.3099999999995</v>
      </c>
      <c r="Y134" s="2"/>
      <c r="Z134" s="19">
        <f t="shared" si="3"/>
        <v>3.3944164895611948</v>
      </c>
    </row>
    <row r="135" spans="1:26" s="23" customFormat="1" hidden="1" outlineLevel="1" x14ac:dyDescent="0.25">
      <c r="A135" s="44"/>
      <c r="B135" s="10" t="str">
        <f>CONCATENATE("          ", "4383", " - ", "SALES RETURN NON TAXABLE-COMPU")</f>
        <v xml:space="preserve">          4383 - SALES RETURN NON TAXABLE-COMPU</v>
      </c>
      <c r="C135" s="10"/>
      <c r="D135" s="2">
        <f t="shared" si="30"/>
        <v>0</v>
      </c>
      <c r="E135" s="2"/>
      <c r="F135" s="19"/>
      <c r="G135" s="2"/>
      <c r="H135" s="2">
        <f t="shared" si="32"/>
        <v>0</v>
      </c>
      <c r="I135" s="2"/>
      <c r="J135" s="19"/>
      <c r="K135" s="2"/>
      <c r="L135" s="2">
        <f t="shared" si="0"/>
        <v>0</v>
      </c>
      <c r="M135" s="2"/>
      <c r="N135" s="19">
        <f t="shared" si="1"/>
        <v>0</v>
      </c>
      <c r="O135" s="10"/>
      <c r="P135" s="2">
        <f t="shared" ref="P135:P136" si="33">0</f>
        <v>0</v>
      </c>
      <c r="Q135" s="2"/>
      <c r="R135" s="19"/>
      <c r="S135" s="2"/>
      <c r="T135" s="2">
        <f>-49.98</f>
        <v>-49.98</v>
      </c>
      <c r="U135" s="2"/>
      <c r="V135" s="19"/>
      <c r="W135" s="2"/>
      <c r="X135" s="2">
        <f t="shared" si="2"/>
        <v>49.98</v>
      </c>
      <c r="Y135" s="2"/>
      <c r="Z135" s="19">
        <f t="shared" si="3"/>
        <v>-1</v>
      </c>
    </row>
    <row r="136" spans="1:26" s="23" customFormat="1" hidden="1" outlineLevel="1" x14ac:dyDescent="0.25">
      <c r="A136" s="44"/>
      <c r="B136" s="10" t="str">
        <f>CONCATENATE("          ", "4386", " - ", "SALES RETURN NON TAXABLE-COMPU")</f>
        <v xml:space="preserve">          4386 - SALES RETURN NON TAXABLE-COMPU</v>
      </c>
      <c r="C136" s="10"/>
      <c r="D136" s="2">
        <f t="shared" si="30"/>
        <v>0</v>
      </c>
      <c r="E136" s="2"/>
      <c r="F136" s="19"/>
      <c r="G136" s="2"/>
      <c r="H136" s="2">
        <f t="shared" si="32"/>
        <v>0</v>
      </c>
      <c r="I136" s="2"/>
      <c r="J136" s="19"/>
      <c r="K136" s="2"/>
      <c r="L136" s="2">
        <f t="shared" si="0"/>
        <v>0</v>
      </c>
      <c r="M136" s="2"/>
      <c r="N136" s="19">
        <f t="shared" si="1"/>
        <v>0</v>
      </c>
      <c r="O136" s="10"/>
      <c r="P136" s="2">
        <f t="shared" si="33"/>
        <v>0</v>
      </c>
      <c r="Q136" s="2"/>
      <c r="R136" s="19"/>
      <c r="S136" s="2"/>
      <c r="T136" s="2">
        <f>-104.96</f>
        <v>-104.96</v>
      </c>
      <c r="U136" s="2"/>
      <c r="V136" s="19"/>
      <c r="W136" s="2"/>
      <c r="X136" s="2">
        <f t="shared" si="2"/>
        <v>104.96</v>
      </c>
      <c r="Y136" s="2"/>
      <c r="Z136" s="19">
        <f t="shared" si="3"/>
        <v>-1</v>
      </c>
    </row>
    <row r="137" spans="1:26" x14ac:dyDescent="0.25">
      <c r="A137" s="9"/>
      <c r="B137" s="11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4" customFormat="1" collapsed="1" x14ac:dyDescent="0.25">
      <c r="A138" s="11"/>
      <c r="B138" s="28" t="s">
        <v>256</v>
      </c>
      <c r="C138" s="11"/>
      <c r="D138" s="4">
        <f>SUM(OSRRefD16x_0)</f>
        <v>492354.00000000006</v>
      </c>
      <c r="E138" s="4"/>
      <c r="F138" s="13">
        <f t="shared" ref="F138:F199" si="34">IF(D$12=0,0,D138/D$12)</f>
        <v>0.60503089392781884</v>
      </c>
      <c r="G138" s="4"/>
      <c r="H138" s="4">
        <f>SUM(OSRRefH16x_0)</f>
        <v>608125.24</v>
      </c>
      <c r="I138" s="4"/>
      <c r="J138" s="13">
        <f t="shared" ref="J138:J199" si="35">IF(H$12=0,0,H138/H$12)</f>
        <v>0.32924373389799116</v>
      </c>
      <c r="K138" s="4"/>
      <c r="L138" s="4">
        <f t="shared" ref="L138:L199" si="36">+D138-H138</f>
        <v>-115771.23999999993</v>
      </c>
      <c r="M138" s="4"/>
      <c r="N138" s="13">
        <f t="shared" ref="N138:N199" si="37">IF(H138=0,0,L138/H138)</f>
        <v>-0.19037400914324809</v>
      </c>
      <c r="O138" s="11"/>
      <c r="P138" s="4">
        <f>SUM(OSRRefP16x_0)</f>
        <v>4992344.28</v>
      </c>
      <c r="Q138" s="4"/>
      <c r="R138" s="13">
        <f t="shared" ref="R138:R199" si="38">IF(P$12=0,0,P138/P$12)</f>
        <v>0.62677320423499217</v>
      </c>
      <c r="S138" s="4"/>
      <c r="T138" s="4">
        <f>SUM(OSRRefT16x_0)</f>
        <v>11624940.310000004</v>
      </c>
      <c r="U138" s="4"/>
      <c r="V138" s="13">
        <f t="shared" ref="V138:V199" si="39">IF(T$12=0,0,T138/T$12)</f>
        <v>0.42982988794185956</v>
      </c>
      <c r="W138" s="4"/>
      <c r="X138" s="4">
        <f t="shared" ref="X138:X199" si="40">+P138-T138</f>
        <v>-6632596.030000004</v>
      </c>
      <c r="Y138" s="4"/>
      <c r="Z138" s="13">
        <f t="shared" ref="Z138:Z199" si="41">IF(T138=0,0,X138/T138)</f>
        <v>-0.57054882460725531</v>
      </c>
    </row>
    <row r="139" spans="1:26" s="23" customFormat="1" hidden="1" outlineLevel="1" x14ac:dyDescent="0.25">
      <c r="A139" s="44"/>
      <c r="B139" s="10" t="str">
        <f>CONCATENATE("          ", "5000", " - ", "PURCHASES @ COST")</f>
        <v xml:space="preserve">          5000 - PURCHASES @ COST</v>
      </c>
      <c r="C139" s="10"/>
      <c r="D139" s="2">
        <v>0</v>
      </c>
      <c r="E139" s="2"/>
      <c r="F139" s="19">
        <f t="shared" si="34"/>
        <v>0</v>
      </c>
      <c r="G139" s="2"/>
      <c r="H139" s="2">
        <v>0</v>
      </c>
      <c r="I139" s="2"/>
      <c r="J139" s="19">
        <f t="shared" si="35"/>
        <v>0</v>
      </c>
      <c r="K139" s="2"/>
      <c r="L139" s="2">
        <f t="shared" si="36"/>
        <v>0</v>
      </c>
      <c r="M139" s="2"/>
      <c r="N139" s="19">
        <f t="shared" si="37"/>
        <v>0</v>
      </c>
      <c r="O139" s="10"/>
      <c r="P139" s="2">
        <v>0</v>
      </c>
      <c r="Q139" s="2"/>
      <c r="R139" s="19">
        <f t="shared" si="38"/>
        <v>0</v>
      </c>
      <c r="S139" s="2"/>
      <c r="T139" s="2">
        <v>0</v>
      </c>
      <c r="U139" s="2"/>
      <c r="V139" s="19">
        <f t="shared" si="39"/>
        <v>0</v>
      </c>
      <c r="W139" s="2"/>
      <c r="X139" s="2">
        <f t="shared" si="40"/>
        <v>0</v>
      </c>
      <c r="Y139" s="2"/>
      <c r="Z139" s="19">
        <f t="shared" si="41"/>
        <v>0</v>
      </c>
    </row>
    <row r="140" spans="1:26" s="23" customFormat="1" hidden="1" outlineLevel="1" x14ac:dyDescent="0.25">
      <c r="A140" s="44"/>
      <c r="B140" s="10" t="str">
        <f>CONCATENATE("          ", "5001", " - ", "PURCHASES @ COST-NEW TEXT")</f>
        <v xml:space="preserve">          5001 - PURCHASES @ COST-NEW TEXT</v>
      </c>
      <c r="C140" s="10"/>
      <c r="D140" s="2">
        <v>-290899.24</v>
      </c>
      <c r="E140" s="2"/>
      <c r="F140" s="19">
        <f t="shared" si="34"/>
        <v>-0.35747252428155979</v>
      </c>
      <c r="G140" s="2"/>
      <c r="H140" s="2">
        <v>-921934.35</v>
      </c>
      <c r="I140" s="2"/>
      <c r="J140" s="19">
        <f t="shared" si="35"/>
        <v>-0.49914242632457989</v>
      </c>
      <c r="K140" s="2"/>
      <c r="L140" s="2">
        <f t="shared" si="36"/>
        <v>631035.11</v>
      </c>
      <c r="M140" s="2"/>
      <c r="N140" s="19">
        <f t="shared" si="37"/>
        <v>-0.68446859583873843</v>
      </c>
      <c r="O140" s="10"/>
      <c r="P140" s="2">
        <v>1035516.4</v>
      </c>
      <c r="Q140" s="2"/>
      <c r="R140" s="19">
        <f t="shared" si="38"/>
        <v>0.1300058440813068</v>
      </c>
      <c r="S140" s="2"/>
      <c r="T140" s="2">
        <v>1594665.12</v>
      </c>
      <c r="U140" s="2"/>
      <c r="V140" s="19">
        <f t="shared" si="39"/>
        <v>5.8962430047470225E-2</v>
      </c>
      <c r="W140" s="2"/>
      <c r="X140" s="2">
        <f t="shared" si="40"/>
        <v>-559148.72000000009</v>
      </c>
      <c r="Y140" s="2"/>
      <c r="Z140" s="19">
        <f t="shared" si="41"/>
        <v>-0.35063707921322068</v>
      </c>
    </row>
    <row r="141" spans="1:26" s="23" customFormat="1" hidden="1" outlineLevel="1" x14ac:dyDescent="0.25">
      <c r="A141" s="44"/>
      <c r="B141" s="10" t="str">
        <f>CONCATENATE("          ", "5002", " - ", "PURCHASES @ COST-USED TEXT")</f>
        <v xml:space="preserve">          5002 - PURCHASES @ COST-USED TEXT</v>
      </c>
      <c r="C141" s="10"/>
      <c r="D141" s="2">
        <v>14728.45</v>
      </c>
      <c r="E141" s="2"/>
      <c r="F141" s="19">
        <f t="shared" si="34"/>
        <v>1.8099106069354939E-2</v>
      </c>
      <c r="G141" s="2"/>
      <c r="H141" s="2">
        <v>74144.740000000005</v>
      </c>
      <c r="I141" s="2"/>
      <c r="J141" s="19">
        <f t="shared" si="35"/>
        <v>4.0142538807459702E-2</v>
      </c>
      <c r="K141" s="2"/>
      <c r="L141" s="2">
        <f t="shared" si="36"/>
        <v>-59416.290000000008</v>
      </c>
      <c r="M141" s="2"/>
      <c r="N141" s="19">
        <f t="shared" si="37"/>
        <v>-0.80135542993339792</v>
      </c>
      <c r="O141" s="10"/>
      <c r="P141" s="2">
        <v>397052.67</v>
      </c>
      <c r="Q141" s="2"/>
      <c r="R141" s="19">
        <f t="shared" si="38"/>
        <v>4.9848720414361912E-2</v>
      </c>
      <c r="S141" s="2"/>
      <c r="T141" s="2">
        <v>598700.11</v>
      </c>
      <c r="U141" s="2"/>
      <c r="V141" s="19">
        <f t="shared" si="39"/>
        <v>2.2136819143123744E-2</v>
      </c>
      <c r="W141" s="2"/>
      <c r="X141" s="2">
        <f t="shared" si="40"/>
        <v>-201647.44</v>
      </c>
      <c r="Y141" s="2"/>
      <c r="Z141" s="19">
        <f t="shared" si="41"/>
        <v>-0.3368087572257169</v>
      </c>
    </row>
    <row r="142" spans="1:26" s="23" customFormat="1" hidden="1" outlineLevel="1" x14ac:dyDescent="0.25">
      <c r="A142" s="44"/>
      <c r="B142" s="10" t="str">
        <f>CONCATENATE("          ", "5003", " - ", "PURCHASES @ COST-RENTAL TEXT")</f>
        <v xml:space="preserve">          5003 - PURCHASES @ COST-RENTAL TEXT</v>
      </c>
      <c r="C142" s="10"/>
      <c r="D142" s="2"/>
      <c r="E142" s="2"/>
      <c r="F142" s="19">
        <f t="shared" si="34"/>
        <v>0</v>
      </c>
      <c r="G142" s="2"/>
      <c r="H142" s="2"/>
      <c r="I142" s="2"/>
      <c r="J142" s="19">
        <f t="shared" si="35"/>
        <v>0</v>
      </c>
      <c r="K142" s="2"/>
      <c r="L142" s="2">
        <f t="shared" si="36"/>
        <v>0</v>
      </c>
      <c r="M142" s="2"/>
      <c r="N142" s="19">
        <f t="shared" si="37"/>
        <v>0</v>
      </c>
      <c r="O142" s="10"/>
      <c r="P142" s="2">
        <v>32.520000000000003</v>
      </c>
      <c r="Q142" s="2"/>
      <c r="R142" s="19">
        <f t="shared" si="38"/>
        <v>4.0827842509535316E-6</v>
      </c>
      <c r="S142" s="2"/>
      <c r="T142" s="2">
        <v>-78.400000000000006</v>
      </c>
      <c r="U142" s="2"/>
      <c r="V142" s="19">
        <f t="shared" si="39"/>
        <v>-2.8988246232674013E-6</v>
      </c>
      <c r="W142" s="2"/>
      <c r="X142" s="2">
        <f t="shared" si="40"/>
        <v>110.92000000000002</v>
      </c>
      <c r="Y142" s="2"/>
      <c r="Z142" s="19">
        <f t="shared" si="41"/>
        <v>-1.4147959183673471</v>
      </c>
    </row>
    <row r="143" spans="1:26" s="23" customFormat="1" hidden="1" outlineLevel="1" x14ac:dyDescent="0.25">
      <c r="A143" s="44"/>
      <c r="B143" s="10" t="str">
        <f>CONCATENATE("          ", "5004", " - ", "PURCHASES @ COST-DIGITAL TEXT")</f>
        <v xml:space="preserve">          5004 - PURCHASES @ COST-DIGITAL TEXT</v>
      </c>
      <c r="C143" s="10"/>
      <c r="D143" s="2">
        <v>-13446.08</v>
      </c>
      <c r="E143" s="2"/>
      <c r="F143" s="19">
        <f t="shared" si="34"/>
        <v>-1.6523261316501878E-2</v>
      </c>
      <c r="G143" s="2"/>
      <c r="H143" s="2">
        <v>-96834.95</v>
      </c>
      <c r="I143" s="2"/>
      <c r="J143" s="19">
        <f t="shared" si="35"/>
        <v>-5.2427194947253432E-2</v>
      </c>
      <c r="K143" s="2"/>
      <c r="L143" s="2">
        <f t="shared" si="36"/>
        <v>83388.87</v>
      </c>
      <c r="M143" s="2"/>
      <c r="N143" s="19">
        <f t="shared" si="37"/>
        <v>-0.8611443492251506</v>
      </c>
      <c r="O143" s="10"/>
      <c r="P143" s="2">
        <v>206562.5</v>
      </c>
      <c r="Q143" s="2"/>
      <c r="R143" s="19">
        <f t="shared" si="38"/>
        <v>2.5933275579261648E-2</v>
      </c>
      <c r="S143" s="2"/>
      <c r="T143" s="2">
        <v>438322.88</v>
      </c>
      <c r="U143" s="2"/>
      <c r="V143" s="19">
        <f t="shared" si="39"/>
        <v>1.6206902518947477E-2</v>
      </c>
      <c r="W143" s="2"/>
      <c r="X143" s="2">
        <f t="shared" si="40"/>
        <v>-231760.38</v>
      </c>
      <c r="Y143" s="2"/>
      <c r="Z143" s="19">
        <f t="shared" si="41"/>
        <v>-0.52874351437004607</v>
      </c>
    </row>
    <row r="144" spans="1:26" s="23" customFormat="1" hidden="1" outlineLevel="1" x14ac:dyDescent="0.25">
      <c r="A144" s="44"/>
      <c r="B144" s="10" t="str">
        <f>CONCATENATE("          ", "5011", " - ", "PURCHASES @ COST-NO VALUE TEXT")</f>
        <v xml:space="preserve">          5011 - PURCHASES @ COST-NO VALUE TEXT</v>
      </c>
      <c r="C144" s="10"/>
      <c r="D144" s="2"/>
      <c r="E144" s="2"/>
      <c r="F144" s="19">
        <f t="shared" si="34"/>
        <v>0</v>
      </c>
      <c r="G144" s="2"/>
      <c r="H144" s="2">
        <v>588</v>
      </c>
      <c r="I144" s="2"/>
      <c r="J144" s="19">
        <f t="shared" si="35"/>
        <v>3.1834777246216392E-4</v>
      </c>
      <c r="K144" s="2"/>
      <c r="L144" s="2">
        <f t="shared" si="36"/>
        <v>-588</v>
      </c>
      <c r="M144" s="2"/>
      <c r="N144" s="19">
        <f t="shared" si="37"/>
        <v>-1</v>
      </c>
      <c r="O144" s="10"/>
      <c r="P144" s="2">
        <v>67.17</v>
      </c>
      <c r="Q144" s="2"/>
      <c r="R144" s="19">
        <f t="shared" si="38"/>
        <v>8.4329833375322471E-6</v>
      </c>
      <c r="S144" s="2"/>
      <c r="T144" s="2">
        <v>6321</v>
      </c>
      <c r="U144" s="2"/>
      <c r="V144" s="19">
        <f t="shared" si="39"/>
        <v>2.3371773525093423E-4</v>
      </c>
      <c r="W144" s="2"/>
      <c r="X144" s="2">
        <f t="shared" si="40"/>
        <v>-6253.83</v>
      </c>
      <c r="Y144" s="2"/>
      <c r="Z144" s="19">
        <f t="shared" si="41"/>
        <v>-0.98937351684859987</v>
      </c>
    </row>
    <row r="145" spans="1:26" s="23" customFormat="1" hidden="1" outlineLevel="1" x14ac:dyDescent="0.25">
      <c r="A145" s="44"/>
      <c r="B145" s="10" t="str">
        <f>CONCATENATE("          ", "5013", " - ", "PURCHASES @ COST-TRADE BOOKS")</f>
        <v xml:space="preserve">          5013 - PURCHASES @ COST-TRADE BOOKS</v>
      </c>
      <c r="C145" s="10"/>
      <c r="D145" s="2">
        <v>2907.93</v>
      </c>
      <c r="E145" s="2"/>
      <c r="F145" s="19">
        <f t="shared" si="34"/>
        <v>3.5734197089482807E-3</v>
      </c>
      <c r="G145" s="2"/>
      <c r="H145" s="2">
        <v>3297.82</v>
      </c>
      <c r="I145" s="2"/>
      <c r="J145" s="19">
        <f t="shared" si="35"/>
        <v>1.7854653928251248E-3</v>
      </c>
      <c r="K145" s="2"/>
      <c r="L145" s="2">
        <f t="shared" si="36"/>
        <v>-389.89000000000033</v>
      </c>
      <c r="M145" s="2"/>
      <c r="N145" s="19">
        <f t="shared" si="37"/>
        <v>-0.11822658604775285</v>
      </c>
      <c r="O145" s="10"/>
      <c r="P145" s="2">
        <v>8870.02</v>
      </c>
      <c r="Q145" s="2"/>
      <c r="R145" s="19">
        <f t="shared" si="38"/>
        <v>1.113603258353101E-3</v>
      </c>
      <c r="S145" s="2"/>
      <c r="T145" s="2">
        <v>6348.54</v>
      </c>
      <c r="U145" s="2"/>
      <c r="V145" s="19">
        <f t="shared" si="39"/>
        <v>2.3473602134946463E-4</v>
      </c>
      <c r="W145" s="2"/>
      <c r="X145" s="2">
        <f t="shared" si="40"/>
        <v>2521.4800000000005</v>
      </c>
      <c r="Y145" s="2"/>
      <c r="Z145" s="19">
        <f t="shared" si="41"/>
        <v>0.39717478349352775</v>
      </c>
    </row>
    <row r="146" spans="1:26" s="23" customFormat="1" hidden="1" outlineLevel="1" x14ac:dyDescent="0.25">
      <c r="A146" s="44"/>
      <c r="B146" s="10" t="str">
        <f>CONCATENATE("          ", "5014", " - ", "PURCHASES @ COST-REMAINDERS")</f>
        <v xml:space="preserve">          5014 - PURCHASES @ COST-REMAINDERS</v>
      </c>
      <c r="C146" s="10"/>
      <c r="D146" s="2"/>
      <c r="E146" s="2"/>
      <c r="F146" s="19">
        <f t="shared" si="34"/>
        <v>0</v>
      </c>
      <c r="G146" s="2"/>
      <c r="H146" s="2">
        <v>13.9</v>
      </c>
      <c r="I146" s="2"/>
      <c r="J146" s="19">
        <f t="shared" si="35"/>
        <v>7.5255680905171404E-6</v>
      </c>
      <c r="K146" s="2"/>
      <c r="L146" s="2">
        <f t="shared" si="36"/>
        <v>-13.9</v>
      </c>
      <c r="M146" s="2"/>
      <c r="N146" s="19">
        <f t="shared" si="37"/>
        <v>-1</v>
      </c>
      <c r="O146" s="10"/>
      <c r="P146" s="2">
        <v>111.57</v>
      </c>
      <c r="Q146" s="2"/>
      <c r="R146" s="19">
        <f t="shared" si="38"/>
        <v>1.4007264418169909E-5</v>
      </c>
      <c r="S146" s="2"/>
      <c r="T146" s="2">
        <v>615.07000000000005</v>
      </c>
      <c r="U146" s="2"/>
      <c r="V146" s="19">
        <f t="shared" si="39"/>
        <v>2.2742092615217863E-5</v>
      </c>
      <c r="W146" s="2"/>
      <c r="X146" s="2">
        <f t="shared" si="40"/>
        <v>-503.50000000000006</v>
      </c>
      <c r="Y146" s="2"/>
      <c r="Z146" s="19">
        <f t="shared" si="41"/>
        <v>-0.81860601232380059</v>
      </c>
    </row>
    <row r="147" spans="1:26" s="23" customFormat="1" hidden="1" outlineLevel="1" x14ac:dyDescent="0.25">
      <c r="A147" s="44"/>
      <c r="B147" s="10" t="str">
        <f>CONCATENATE("          ", "5017", " - ", "PURCHASES @ COST-DORM/HOUSEWAR")</f>
        <v xml:space="preserve">          5017 - PURCHASES @ COST-DORM/HOUSEWAR</v>
      </c>
      <c r="C147" s="10"/>
      <c r="D147" s="2"/>
      <c r="E147" s="2"/>
      <c r="F147" s="19">
        <f t="shared" si="34"/>
        <v>0</v>
      </c>
      <c r="G147" s="2"/>
      <c r="H147" s="2">
        <v>14.46</v>
      </c>
      <c r="I147" s="2"/>
      <c r="J147" s="19">
        <f t="shared" si="35"/>
        <v>7.828756445243011E-6</v>
      </c>
      <c r="K147" s="2"/>
      <c r="L147" s="2">
        <f t="shared" si="36"/>
        <v>-14.46</v>
      </c>
      <c r="M147" s="2"/>
      <c r="N147" s="19">
        <f t="shared" si="37"/>
        <v>-1</v>
      </c>
      <c r="O147" s="10"/>
      <c r="P147" s="2"/>
      <c r="Q147" s="2"/>
      <c r="R147" s="19">
        <f t="shared" si="38"/>
        <v>0</v>
      </c>
      <c r="S147" s="2"/>
      <c r="T147" s="2">
        <v>14.46</v>
      </c>
      <c r="U147" s="2"/>
      <c r="V147" s="19">
        <f t="shared" si="39"/>
        <v>5.3465566393426817E-7</v>
      </c>
      <c r="W147" s="2"/>
      <c r="X147" s="2">
        <f t="shared" si="40"/>
        <v>-14.46</v>
      </c>
      <c r="Y147" s="2"/>
      <c r="Z147" s="19">
        <f t="shared" si="41"/>
        <v>-1</v>
      </c>
    </row>
    <row r="148" spans="1:26" s="23" customFormat="1" hidden="1" outlineLevel="1" x14ac:dyDescent="0.25">
      <c r="A148" s="44"/>
      <c r="B148" s="10" t="str">
        <f>CONCATENATE("          ", "5018", " - ", "PURCHASES @ COST-STUDY GUIDES")</f>
        <v xml:space="preserve">          5018 - PURCHASES @ COST-STUDY GUIDES</v>
      </c>
      <c r="C148" s="10"/>
      <c r="D148" s="2">
        <v>444.87</v>
      </c>
      <c r="E148" s="2"/>
      <c r="F148" s="19">
        <f t="shared" si="34"/>
        <v>5.4668001840478336E-4</v>
      </c>
      <c r="G148" s="2"/>
      <c r="H148" s="2">
        <v>108.9</v>
      </c>
      <c r="I148" s="2"/>
      <c r="J148" s="19">
        <f t="shared" si="35"/>
        <v>5.8959306838655865E-5</v>
      </c>
      <c r="K148" s="2"/>
      <c r="L148" s="2">
        <f t="shared" si="36"/>
        <v>335.97</v>
      </c>
      <c r="M148" s="2"/>
      <c r="N148" s="19">
        <f t="shared" si="37"/>
        <v>3.0851239669421489</v>
      </c>
      <c r="O148" s="10"/>
      <c r="P148" s="2">
        <v>967.21</v>
      </c>
      <c r="Q148" s="2"/>
      <c r="R148" s="19">
        <f t="shared" si="38"/>
        <v>1.2143018927935931E-4</v>
      </c>
      <c r="S148" s="2"/>
      <c r="T148" s="2">
        <v>2377.33</v>
      </c>
      <c r="U148" s="2"/>
      <c r="V148" s="19">
        <f t="shared" si="39"/>
        <v>8.7901310480003711E-5</v>
      </c>
      <c r="W148" s="2"/>
      <c r="X148" s="2">
        <f t="shared" si="40"/>
        <v>-1410.12</v>
      </c>
      <c r="Y148" s="2"/>
      <c r="Z148" s="19">
        <f t="shared" si="41"/>
        <v>-0.59315282270446257</v>
      </c>
    </row>
    <row r="149" spans="1:26" s="23" customFormat="1" hidden="1" outlineLevel="1" x14ac:dyDescent="0.25">
      <c r="A149" s="44"/>
      <c r="B149" s="10" t="str">
        <f>CONCATENATE("          ", "5025", " - ", "PURCHASES @ COST-TEST FORMS")</f>
        <v xml:space="preserve">          5025 - PURCHASES @ COST-TEST FORMS</v>
      </c>
      <c r="C149" s="10"/>
      <c r="D149" s="2"/>
      <c r="E149" s="2"/>
      <c r="F149" s="19">
        <f t="shared" si="34"/>
        <v>0</v>
      </c>
      <c r="G149" s="2"/>
      <c r="H149" s="2">
        <v>-1</v>
      </c>
      <c r="I149" s="2"/>
      <c r="J149" s="19">
        <f t="shared" si="35"/>
        <v>-5.4140777629619711E-7</v>
      </c>
      <c r="K149" s="2"/>
      <c r="L149" s="2">
        <f t="shared" si="36"/>
        <v>1</v>
      </c>
      <c r="M149" s="2"/>
      <c r="N149" s="19">
        <f t="shared" si="37"/>
        <v>-1</v>
      </c>
      <c r="O149" s="10"/>
      <c r="P149" s="2">
        <v>599.29</v>
      </c>
      <c r="Q149" s="2"/>
      <c r="R149" s="19">
        <f t="shared" si="38"/>
        <v>7.5238984432778025E-5</v>
      </c>
      <c r="S149" s="2"/>
      <c r="T149" s="2">
        <v>26400.39</v>
      </c>
      <c r="U149" s="2"/>
      <c r="V149" s="19">
        <f t="shared" si="39"/>
        <v>9.7614924229416406E-4</v>
      </c>
      <c r="W149" s="2"/>
      <c r="X149" s="2">
        <f t="shared" si="40"/>
        <v>-25801.1</v>
      </c>
      <c r="Y149" s="2"/>
      <c r="Z149" s="19">
        <f t="shared" si="41"/>
        <v>-0.97729995655367208</v>
      </c>
    </row>
    <row r="150" spans="1:26" s="23" customFormat="1" hidden="1" outlineLevel="1" x14ac:dyDescent="0.25">
      <c r="A150" s="44"/>
      <c r="B150" s="10" t="str">
        <f>CONCATENATE("          ", "5026", " - ", "PURCHASES @ COST-WRITING INSTR")</f>
        <v xml:space="preserve">          5026 - PURCHASES @ COST-WRITING INSTR</v>
      </c>
      <c r="C150" s="10"/>
      <c r="D150" s="2">
        <v>209.64</v>
      </c>
      <c r="E150" s="2"/>
      <c r="F150" s="19">
        <f t="shared" si="34"/>
        <v>2.5761682976685051E-4</v>
      </c>
      <c r="G150" s="2"/>
      <c r="H150" s="2">
        <v>3209.26</v>
      </c>
      <c r="I150" s="2"/>
      <c r="J150" s="19">
        <f t="shared" si="35"/>
        <v>1.7375183201563337E-3</v>
      </c>
      <c r="K150" s="2"/>
      <c r="L150" s="2">
        <f t="shared" si="36"/>
        <v>-2999.6200000000003</v>
      </c>
      <c r="M150" s="2"/>
      <c r="N150" s="19">
        <f t="shared" si="37"/>
        <v>-0.93467652979191473</v>
      </c>
      <c r="O150" s="10"/>
      <c r="P150" s="2">
        <v>584.54999999999995</v>
      </c>
      <c r="Q150" s="2"/>
      <c r="R150" s="19">
        <f t="shared" si="38"/>
        <v>7.3388423551503274E-5</v>
      </c>
      <c r="S150" s="2"/>
      <c r="T150" s="2">
        <v>48971.27</v>
      </c>
      <c r="U150" s="2"/>
      <c r="V150" s="19">
        <f t="shared" si="39"/>
        <v>1.8107031034269921E-3</v>
      </c>
      <c r="W150" s="2"/>
      <c r="X150" s="2">
        <f t="shared" si="40"/>
        <v>-48386.719999999994</v>
      </c>
      <c r="Y150" s="2"/>
      <c r="Z150" s="19">
        <f t="shared" si="41"/>
        <v>-0.98806340942352522</v>
      </c>
    </row>
    <row r="151" spans="1:26" s="23" customFormat="1" hidden="1" outlineLevel="1" x14ac:dyDescent="0.25">
      <c r="A151" s="44"/>
      <c r="B151" s="10" t="str">
        <f>CONCATENATE("          ", "5027", " - ", "PURCHASES @ COST-SCHOOL SUPPLI")</f>
        <v xml:space="preserve">          5027 - PURCHASES @ COST-SCHOOL SUPPLI</v>
      </c>
      <c r="C151" s="10"/>
      <c r="D151" s="2">
        <v>2824.53</v>
      </c>
      <c r="E151" s="2"/>
      <c r="F151" s="19">
        <f t="shared" si="34"/>
        <v>3.4709333341984465E-3</v>
      </c>
      <c r="G151" s="2"/>
      <c r="H151" s="2">
        <v>19253.84</v>
      </c>
      <c r="I151" s="2"/>
      <c r="J151" s="19">
        <f t="shared" si="35"/>
        <v>1.0424178699562772E-2</v>
      </c>
      <c r="K151" s="2"/>
      <c r="L151" s="2">
        <f t="shared" si="36"/>
        <v>-16429.310000000001</v>
      </c>
      <c r="M151" s="2"/>
      <c r="N151" s="19">
        <f t="shared" si="37"/>
        <v>-0.85330043253709398</v>
      </c>
      <c r="O151" s="10"/>
      <c r="P151" s="2">
        <v>21895.88</v>
      </c>
      <c r="Q151" s="2"/>
      <c r="R151" s="19">
        <f t="shared" si="38"/>
        <v>2.7489592258538868E-3</v>
      </c>
      <c r="S151" s="2"/>
      <c r="T151" s="2">
        <v>137605.04</v>
      </c>
      <c r="U151" s="2"/>
      <c r="V151" s="19">
        <f t="shared" si="39"/>
        <v>5.0879193652767305E-3</v>
      </c>
      <c r="W151" s="2"/>
      <c r="X151" s="2">
        <f t="shared" si="40"/>
        <v>-115709.16</v>
      </c>
      <c r="Y151" s="2"/>
      <c r="Z151" s="19">
        <f t="shared" si="41"/>
        <v>-0.84087879339303262</v>
      </c>
    </row>
    <row r="152" spans="1:26" s="23" customFormat="1" hidden="1" outlineLevel="1" x14ac:dyDescent="0.25">
      <c r="A152" s="44"/>
      <c r="B152" s="10" t="str">
        <f>CONCATENATE("          ", "5028", " - ", "PURCHASES @ COST-ART/TECH")</f>
        <v xml:space="preserve">          5028 - PURCHASES @ COST-ART/TECH</v>
      </c>
      <c r="C152" s="10"/>
      <c r="D152" s="2">
        <v>3443.78</v>
      </c>
      <c r="E152" s="2"/>
      <c r="F152" s="19">
        <f t="shared" si="34"/>
        <v>4.2319008109830396E-3</v>
      </c>
      <c r="G152" s="2"/>
      <c r="H152" s="2">
        <v>4417.37</v>
      </c>
      <c r="I152" s="2"/>
      <c r="J152" s="19">
        <f t="shared" si="35"/>
        <v>2.391598468777532E-3</v>
      </c>
      <c r="K152" s="2"/>
      <c r="L152" s="2">
        <f t="shared" si="36"/>
        <v>-973.58999999999969</v>
      </c>
      <c r="M152" s="2"/>
      <c r="N152" s="19">
        <f t="shared" si="37"/>
        <v>-0.22040037397818152</v>
      </c>
      <c r="O152" s="10"/>
      <c r="P152" s="2">
        <v>45635.360000000001</v>
      </c>
      <c r="Q152" s="2"/>
      <c r="R152" s="19">
        <f t="shared" si="38"/>
        <v>5.7293766634254227E-3</v>
      </c>
      <c r="S152" s="2"/>
      <c r="T152" s="2">
        <v>151070.15</v>
      </c>
      <c r="U152" s="2"/>
      <c r="V152" s="19">
        <f t="shared" si="39"/>
        <v>5.585789166590558E-3</v>
      </c>
      <c r="W152" s="2"/>
      <c r="X152" s="2">
        <f t="shared" si="40"/>
        <v>-105434.79</v>
      </c>
      <c r="Y152" s="2"/>
      <c r="Z152" s="19">
        <f t="shared" si="41"/>
        <v>-0.69791941028720761</v>
      </c>
    </row>
    <row r="153" spans="1:26" s="23" customFormat="1" hidden="1" outlineLevel="1" x14ac:dyDescent="0.25">
      <c r="A153" s="44"/>
      <c r="B153" s="10" t="str">
        <f>CONCATENATE("          ", "5031", " - ", "PURCHASES @ COST-FOOD")</f>
        <v xml:space="preserve">          5031 - PURCHASES @ COST-FOOD</v>
      </c>
      <c r="C153" s="10"/>
      <c r="D153" s="2"/>
      <c r="E153" s="2"/>
      <c r="F153" s="19">
        <f t="shared" si="34"/>
        <v>0</v>
      </c>
      <c r="G153" s="2"/>
      <c r="H153" s="2">
        <v>3113.82</v>
      </c>
      <c r="I153" s="2"/>
      <c r="J153" s="19">
        <f t="shared" si="35"/>
        <v>1.6858463619866247E-3</v>
      </c>
      <c r="K153" s="2"/>
      <c r="L153" s="2">
        <f t="shared" si="36"/>
        <v>-3113.82</v>
      </c>
      <c r="M153" s="2"/>
      <c r="N153" s="19">
        <f t="shared" si="37"/>
        <v>-1</v>
      </c>
      <c r="O153" s="10"/>
      <c r="P153" s="2">
        <v>7785.72</v>
      </c>
      <c r="Q153" s="2"/>
      <c r="R153" s="19">
        <f t="shared" si="38"/>
        <v>9.7747278592662744E-4</v>
      </c>
      <c r="S153" s="2"/>
      <c r="T153" s="2">
        <v>33239.879999999997</v>
      </c>
      <c r="U153" s="2"/>
      <c r="V153" s="19">
        <f t="shared" si="39"/>
        <v>1.2290380436027247E-3</v>
      </c>
      <c r="W153" s="2"/>
      <c r="X153" s="2">
        <f t="shared" si="40"/>
        <v>-25454.159999999996</v>
      </c>
      <c r="Y153" s="2"/>
      <c r="Z153" s="19">
        <f t="shared" si="41"/>
        <v>-0.76577171758742801</v>
      </c>
    </row>
    <row r="154" spans="1:26" s="23" customFormat="1" hidden="1" outlineLevel="1" x14ac:dyDescent="0.25">
      <c r="A154" s="44"/>
      <c r="B154" s="10" t="str">
        <f>CONCATENATE("          ", "5032", " - ", "PURCHASES @ COST-JUICE")</f>
        <v xml:space="preserve">          5032 - PURCHASES @ COST-JUICE</v>
      </c>
      <c r="C154" s="10"/>
      <c r="D154" s="2"/>
      <c r="E154" s="2"/>
      <c r="F154" s="19">
        <f t="shared" si="34"/>
        <v>0</v>
      </c>
      <c r="G154" s="2"/>
      <c r="H154" s="2">
        <v>688.97</v>
      </c>
      <c r="I154" s="2"/>
      <c r="J154" s="19">
        <f t="shared" si="35"/>
        <v>3.7301371563479096E-4</v>
      </c>
      <c r="K154" s="2"/>
      <c r="L154" s="2">
        <f t="shared" si="36"/>
        <v>-688.97</v>
      </c>
      <c r="M154" s="2"/>
      <c r="N154" s="19">
        <f t="shared" si="37"/>
        <v>-1</v>
      </c>
      <c r="O154" s="10"/>
      <c r="P154" s="2"/>
      <c r="Q154" s="2"/>
      <c r="R154" s="19">
        <f t="shared" si="38"/>
        <v>0</v>
      </c>
      <c r="S154" s="2"/>
      <c r="T154" s="2">
        <v>7802.45</v>
      </c>
      <c r="U154" s="2"/>
      <c r="V154" s="19">
        <f t="shared" si="39"/>
        <v>2.8849405844148893E-4</v>
      </c>
      <c r="W154" s="2"/>
      <c r="X154" s="2">
        <f t="shared" si="40"/>
        <v>-7802.45</v>
      </c>
      <c r="Y154" s="2"/>
      <c r="Z154" s="19">
        <f t="shared" si="41"/>
        <v>-1</v>
      </c>
    </row>
    <row r="155" spans="1:26" s="23" customFormat="1" hidden="1" outlineLevel="1" x14ac:dyDescent="0.25">
      <c r="A155" s="44"/>
      <c r="B155" s="10" t="str">
        <f>CONCATENATE("          ", "5033", " - ", "PURCHASES @ COST-CANDY")</f>
        <v xml:space="preserve">          5033 - PURCHASES @ COST-CANDY</v>
      </c>
      <c r="C155" s="10"/>
      <c r="D155" s="2"/>
      <c r="E155" s="2"/>
      <c r="F155" s="19">
        <f t="shared" si="34"/>
        <v>0</v>
      </c>
      <c r="G155" s="2"/>
      <c r="H155" s="2">
        <v>1198.55</v>
      </c>
      <c r="I155" s="2"/>
      <c r="J155" s="19">
        <f t="shared" si="35"/>
        <v>6.4890429027980698E-4</v>
      </c>
      <c r="K155" s="2"/>
      <c r="L155" s="2">
        <f t="shared" si="36"/>
        <v>-1198.55</v>
      </c>
      <c r="M155" s="2"/>
      <c r="N155" s="19">
        <f t="shared" si="37"/>
        <v>-1</v>
      </c>
      <c r="O155" s="10"/>
      <c r="P155" s="2"/>
      <c r="Q155" s="2"/>
      <c r="R155" s="19">
        <f t="shared" si="38"/>
        <v>0</v>
      </c>
      <c r="S155" s="2"/>
      <c r="T155" s="2">
        <v>10023.61</v>
      </c>
      <c r="U155" s="2"/>
      <c r="V155" s="19">
        <f t="shared" si="39"/>
        <v>3.7062101380139488E-4</v>
      </c>
      <c r="W155" s="2"/>
      <c r="X155" s="2">
        <f t="shared" si="40"/>
        <v>-10023.61</v>
      </c>
      <c r="Y155" s="2"/>
      <c r="Z155" s="19">
        <f t="shared" si="41"/>
        <v>-1</v>
      </c>
    </row>
    <row r="156" spans="1:26" s="23" customFormat="1" hidden="1" outlineLevel="1" x14ac:dyDescent="0.25">
      <c r="A156" s="44"/>
      <c r="B156" s="10" t="str">
        <f>CONCATENATE("          ", "5034", " - ", "PURCHASES @ COST-SODA")</f>
        <v xml:space="preserve">          5034 - PURCHASES @ COST-SODA</v>
      </c>
      <c r="C156" s="10"/>
      <c r="D156" s="2"/>
      <c r="E156" s="2"/>
      <c r="F156" s="19">
        <f t="shared" si="34"/>
        <v>0</v>
      </c>
      <c r="G156" s="2"/>
      <c r="H156" s="2">
        <v>271.79000000000002</v>
      </c>
      <c r="I156" s="2"/>
      <c r="J156" s="19">
        <f t="shared" si="35"/>
        <v>1.4714921951954342E-4</v>
      </c>
      <c r="K156" s="2"/>
      <c r="L156" s="2">
        <f t="shared" si="36"/>
        <v>-271.79000000000002</v>
      </c>
      <c r="M156" s="2"/>
      <c r="N156" s="19">
        <f t="shared" si="37"/>
        <v>-1</v>
      </c>
      <c r="O156" s="10"/>
      <c r="P156" s="2"/>
      <c r="Q156" s="2"/>
      <c r="R156" s="19">
        <f t="shared" si="38"/>
        <v>0</v>
      </c>
      <c r="S156" s="2"/>
      <c r="T156" s="2">
        <v>4033.88</v>
      </c>
      <c r="U156" s="2"/>
      <c r="V156" s="19">
        <f t="shared" si="39"/>
        <v>1.4915192182788143E-4</v>
      </c>
      <c r="W156" s="2"/>
      <c r="X156" s="2">
        <f t="shared" si="40"/>
        <v>-4033.88</v>
      </c>
      <c r="Y156" s="2"/>
      <c r="Z156" s="19">
        <f t="shared" si="41"/>
        <v>-1</v>
      </c>
    </row>
    <row r="157" spans="1:26" s="23" customFormat="1" hidden="1" outlineLevel="1" x14ac:dyDescent="0.25">
      <c r="A157" s="44"/>
      <c r="B157" s="10" t="str">
        <f>CONCATENATE("          ", "5035", " - ", "PURCHASES @ COST-HEALTH &amp; BEAU")</f>
        <v xml:space="preserve">          5035 - PURCHASES @ COST-HEALTH &amp; BEAU</v>
      </c>
      <c r="C157" s="10"/>
      <c r="D157" s="2"/>
      <c r="E157" s="2"/>
      <c r="F157" s="19">
        <f t="shared" si="34"/>
        <v>0</v>
      </c>
      <c r="G157" s="2"/>
      <c r="H157" s="2">
        <v>61.98</v>
      </c>
      <c r="I157" s="2"/>
      <c r="J157" s="19">
        <f t="shared" si="35"/>
        <v>3.3556453974838294E-5</v>
      </c>
      <c r="K157" s="2"/>
      <c r="L157" s="2">
        <f t="shared" si="36"/>
        <v>-61.98</v>
      </c>
      <c r="M157" s="2"/>
      <c r="N157" s="19">
        <f t="shared" si="37"/>
        <v>-1</v>
      </c>
      <c r="O157" s="10"/>
      <c r="P157" s="2"/>
      <c r="Q157" s="2"/>
      <c r="R157" s="19">
        <f t="shared" si="38"/>
        <v>0</v>
      </c>
      <c r="S157" s="2"/>
      <c r="T157" s="2">
        <v>1117.6500000000001</v>
      </c>
      <c r="U157" s="2"/>
      <c r="V157" s="19">
        <f t="shared" si="39"/>
        <v>4.132488954330116E-5</v>
      </c>
      <c r="W157" s="2"/>
      <c r="X157" s="2">
        <f t="shared" si="40"/>
        <v>-1117.6500000000001</v>
      </c>
      <c r="Y157" s="2"/>
      <c r="Z157" s="19">
        <f t="shared" si="41"/>
        <v>-1</v>
      </c>
    </row>
    <row r="158" spans="1:26" s="23" customFormat="1" hidden="1" outlineLevel="1" x14ac:dyDescent="0.25">
      <c r="A158" s="44"/>
      <c r="B158" s="10" t="str">
        <f>CONCATENATE("          ", "5037", " - ", "PURCHASES @ COST-WATER")</f>
        <v xml:space="preserve">          5037 - PURCHASES @ COST-WATER</v>
      </c>
      <c r="C158" s="10"/>
      <c r="D158" s="2"/>
      <c r="E158" s="2"/>
      <c r="F158" s="19">
        <f t="shared" si="34"/>
        <v>0</v>
      </c>
      <c r="G158" s="2"/>
      <c r="H158" s="2">
        <v>393.84</v>
      </c>
      <c r="I158" s="2"/>
      <c r="J158" s="19">
        <f t="shared" si="35"/>
        <v>2.1322803861649426E-4</v>
      </c>
      <c r="K158" s="2"/>
      <c r="L158" s="2">
        <f t="shared" si="36"/>
        <v>-393.84</v>
      </c>
      <c r="M158" s="2"/>
      <c r="N158" s="19">
        <f t="shared" si="37"/>
        <v>-1</v>
      </c>
      <c r="O158" s="10"/>
      <c r="P158" s="2"/>
      <c r="Q158" s="2"/>
      <c r="R158" s="19">
        <f t="shared" si="38"/>
        <v>0</v>
      </c>
      <c r="S158" s="2"/>
      <c r="T158" s="2">
        <v>5693.57</v>
      </c>
      <c r="U158" s="2"/>
      <c r="V158" s="19">
        <f t="shared" si="39"/>
        <v>2.1051863405990531E-4</v>
      </c>
      <c r="W158" s="2"/>
      <c r="X158" s="2">
        <f t="shared" si="40"/>
        <v>-5693.57</v>
      </c>
      <c r="Y158" s="2"/>
      <c r="Z158" s="19">
        <f t="shared" si="41"/>
        <v>-1</v>
      </c>
    </row>
    <row r="159" spans="1:26" s="23" customFormat="1" hidden="1" outlineLevel="1" x14ac:dyDescent="0.25">
      <c r="A159" s="44"/>
      <c r="B159" s="10" t="str">
        <f>CONCATENATE("          ", "5040", " - ", "PURCHASES @ COST-LOGO CLOTHING")</f>
        <v xml:space="preserve">          5040 - PURCHASES @ COST-LOGO CLOTHING</v>
      </c>
      <c r="C159" s="10"/>
      <c r="D159" s="2">
        <v>45900.51</v>
      </c>
      <c r="E159" s="2"/>
      <c r="F159" s="19">
        <f t="shared" si="34"/>
        <v>5.6404998430078325E-2</v>
      </c>
      <c r="G159" s="2"/>
      <c r="H159" s="2">
        <v>65352.98</v>
      </c>
      <c r="I159" s="2"/>
      <c r="J159" s="19">
        <f t="shared" si="35"/>
        <v>3.5382611576129847E-2</v>
      </c>
      <c r="K159" s="2"/>
      <c r="L159" s="2">
        <f t="shared" si="36"/>
        <v>-19452.47</v>
      </c>
      <c r="M159" s="2"/>
      <c r="N159" s="19">
        <f t="shared" si="37"/>
        <v>-0.29765237943242984</v>
      </c>
      <c r="O159" s="10"/>
      <c r="P159" s="2">
        <v>239871.6</v>
      </c>
      <c r="Q159" s="2"/>
      <c r="R159" s="19">
        <f t="shared" si="38"/>
        <v>3.0115128866267684E-2</v>
      </c>
      <c r="S159" s="2"/>
      <c r="T159" s="2">
        <v>966898.54</v>
      </c>
      <c r="U159" s="2"/>
      <c r="V159" s="19">
        <f t="shared" si="39"/>
        <v>3.575088387695536E-2</v>
      </c>
      <c r="W159" s="2"/>
      <c r="X159" s="2">
        <f t="shared" si="40"/>
        <v>-727026.94000000006</v>
      </c>
      <c r="Y159" s="2"/>
      <c r="Z159" s="19">
        <f t="shared" si="41"/>
        <v>-0.75191647305621134</v>
      </c>
    </row>
    <row r="160" spans="1:26" s="23" customFormat="1" hidden="1" outlineLevel="1" x14ac:dyDescent="0.25">
      <c r="A160" s="44"/>
      <c r="B160" s="10" t="str">
        <f>CONCATENATE("          ", "5041", " - ", "PURCHASES @ COST-LOGO GIFTS")</f>
        <v xml:space="preserve">          5041 - PURCHASES @ COST-LOGO GIFTS</v>
      </c>
      <c r="C160" s="10"/>
      <c r="D160" s="2">
        <v>899.63</v>
      </c>
      <c r="E160" s="2"/>
      <c r="F160" s="19">
        <f t="shared" si="34"/>
        <v>1.1055133970766635E-3</v>
      </c>
      <c r="G160" s="2"/>
      <c r="H160" s="2">
        <v>15128.67</v>
      </c>
      <c r="I160" s="2"/>
      <c r="J160" s="19">
        <f t="shared" si="35"/>
        <v>8.1907795830189877E-3</v>
      </c>
      <c r="K160" s="2"/>
      <c r="L160" s="2">
        <f t="shared" si="36"/>
        <v>-14229.04</v>
      </c>
      <c r="M160" s="2"/>
      <c r="N160" s="19">
        <f t="shared" si="37"/>
        <v>-0.94053475949967846</v>
      </c>
      <c r="O160" s="10"/>
      <c r="P160" s="2">
        <v>68463.44</v>
      </c>
      <c r="Q160" s="2"/>
      <c r="R160" s="19">
        <f t="shared" si="38"/>
        <v>8.5953706825984636E-3</v>
      </c>
      <c r="S160" s="2"/>
      <c r="T160" s="2">
        <v>149510.73000000001</v>
      </c>
      <c r="U160" s="2"/>
      <c r="V160" s="19">
        <f t="shared" si="39"/>
        <v>5.5281299179423997E-3</v>
      </c>
      <c r="W160" s="2"/>
      <c r="X160" s="2">
        <f t="shared" si="40"/>
        <v>-81047.290000000008</v>
      </c>
      <c r="Y160" s="2"/>
      <c r="Z160" s="19">
        <f t="shared" si="41"/>
        <v>-0.54208343441303508</v>
      </c>
    </row>
    <row r="161" spans="1:26" s="23" customFormat="1" hidden="1" outlineLevel="1" x14ac:dyDescent="0.25">
      <c r="A161" s="44"/>
      <c r="B161" s="10" t="str">
        <f>CONCATENATE("          ", "5042", " - ", "PURCHASES @ COST-EVERYDAY GIFT")</f>
        <v xml:space="preserve">          5042 - PURCHASES @ COST-EVERYDAY GIFT</v>
      </c>
      <c r="C161" s="10"/>
      <c r="D161" s="2">
        <v>-270</v>
      </c>
      <c r="E161" s="2"/>
      <c r="F161" s="19">
        <f t="shared" si="34"/>
        <v>-3.3179042185198265E-4</v>
      </c>
      <c r="G161" s="2"/>
      <c r="H161" s="2">
        <v>15355.27</v>
      </c>
      <c r="I161" s="2"/>
      <c r="J161" s="19">
        <f t="shared" si="35"/>
        <v>8.3134625851277073E-3</v>
      </c>
      <c r="K161" s="2"/>
      <c r="L161" s="2">
        <f t="shared" si="36"/>
        <v>-15625.27</v>
      </c>
      <c r="M161" s="2"/>
      <c r="N161" s="19">
        <f t="shared" si="37"/>
        <v>-1.0175835397228443</v>
      </c>
      <c r="O161" s="10"/>
      <c r="P161" s="2">
        <v>18748.18</v>
      </c>
      <c r="Q161" s="2"/>
      <c r="R161" s="19">
        <f t="shared" si="38"/>
        <v>2.3537753394231851E-3</v>
      </c>
      <c r="S161" s="2"/>
      <c r="T161" s="2">
        <v>115363.24</v>
      </c>
      <c r="U161" s="2"/>
      <c r="V161" s="19">
        <f t="shared" si="39"/>
        <v>4.2655331726008522E-3</v>
      </c>
      <c r="W161" s="2"/>
      <c r="X161" s="2">
        <f t="shared" si="40"/>
        <v>-96615.06</v>
      </c>
      <c r="Y161" s="2"/>
      <c r="Z161" s="19">
        <f t="shared" si="41"/>
        <v>-0.83748566701143268</v>
      </c>
    </row>
    <row r="162" spans="1:26" s="23" customFormat="1" hidden="1" outlineLevel="1" x14ac:dyDescent="0.25">
      <c r="A162" s="44"/>
      <c r="B162" s="10" t="str">
        <f>CONCATENATE("          ", "5043", " - ", "PURCHASES @ COST-CARDS")</f>
        <v xml:space="preserve">          5043 - PURCHASES @ COST-CARDS</v>
      </c>
      <c r="C162" s="10"/>
      <c r="D162" s="2"/>
      <c r="E162" s="2"/>
      <c r="F162" s="19">
        <f t="shared" si="34"/>
        <v>0</v>
      </c>
      <c r="G162" s="2"/>
      <c r="H162" s="2">
        <v>-4258.25</v>
      </c>
      <c r="I162" s="2"/>
      <c r="J162" s="19">
        <f t="shared" si="35"/>
        <v>-2.3054496634132811E-3</v>
      </c>
      <c r="K162" s="2"/>
      <c r="L162" s="2">
        <f t="shared" si="36"/>
        <v>4258.25</v>
      </c>
      <c r="M162" s="2"/>
      <c r="N162" s="19">
        <f t="shared" si="37"/>
        <v>-1</v>
      </c>
      <c r="O162" s="10"/>
      <c r="P162" s="2">
        <v>55364.33</v>
      </c>
      <c r="Q162" s="2"/>
      <c r="R162" s="19">
        <f t="shared" si="38"/>
        <v>6.9508184067833372E-3</v>
      </c>
      <c r="S162" s="2"/>
      <c r="T162" s="2">
        <v>24776.91</v>
      </c>
      <c r="U162" s="2"/>
      <c r="V162" s="19">
        <f t="shared" si="39"/>
        <v>9.1612138771020801E-4</v>
      </c>
      <c r="W162" s="2"/>
      <c r="X162" s="2">
        <f t="shared" si="40"/>
        <v>30587.420000000002</v>
      </c>
      <c r="Y162" s="2"/>
      <c r="Z162" s="19">
        <f t="shared" si="41"/>
        <v>1.2345131011090569</v>
      </c>
    </row>
    <row r="163" spans="1:26" s="23" customFormat="1" hidden="1" outlineLevel="1" x14ac:dyDescent="0.25">
      <c r="A163" s="44"/>
      <c r="B163" s="10" t="str">
        <f>CONCATENATE("          ", "5044", " - ", "PURCHASES @ COST-ACCESSORIES")</f>
        <v xml:space="preserve">          5044 - PURCHASES @ COST-ACCESSORIES</v>
      </c>
      <c r="C163" s="10"/>
      <c r="D163" s="2"/>
      <c r="E163" s="2"/>
      <c r="F163" s="19">
        <f t="shared" si="34"/>
        <v>0</v>
      </c>
      <c r="G163" s="2"/>
      <c r="H163" s="2">
        <v>-1305.4100000000001</v>
      </c>
      <c r="I163" s="2"/>
      <c r="J163" s="19">
        <f t="shared" si="35"/>
        <v>-7.0675912525481872E-4</v>
      </c>
      <c r="K163" s="2"/>
      <c r="L163" s="2">
        <f t="shared" si="36"/>
        <v>1305.4100000000001</v>
      </c>
      <c r="M163" s="2"/>
      <c r="N163" s="19">
        <f t="shared" si="37"/>
        <v>-1</v>
      </c>
      <c r="O163" s="10"/>
      <c r="P163" s="2">
        <v>1064.83</v>
      </c>
      <c r="Q163" s="2"/>
      <c r="R163" s="19">
        <f t="shared" si="38"/>
        <v>1.3368607484449103E-4</v>
      </c>
      <c r="S163" s="2"/>
      <c r="T163" s="2">
        <v>32094.03</v>
      </c>
      <c r="U163" s="2"/>
      <c r="V163" s="19">
        <f t="shared" si="39"/>
        <v>1.1866704645903401E-3</v>
      </c>
      <c r="W163" s="2"/>
      <c r="X163" s="2">
        <f t="shared" si="40"/>
        <v>-31029.199999999997</v>
      </c>
      <c r="Y163" s="2"/>
      <c r="Z163" s="19">
        <f t="shared" si="41"/>
        <v>-0.96682155528613878</v>
      </c>
    </row>
    <row r="164" spans="1:26" s="23" customFormat="1" hidden="1" outlineLevel="1" x14ac:dyDescent="0.25">
      <c r="A164" s="44"/>
      <c r="B164" s="10" t="str">
        <f>CONCATENATE("          ", "5045", " - ", "PURCHASES @ COST-SPECIAL ORDER")</f>
        <v xml:space="preserve">          5045 - PURCHASES @ COST-SPECIAL ORDER</v>
      </c>
      <c r="C164" s="10"/>
      <c r="D164" s="2">
        <v>13853.18</v>
      </c>
      <c r="E164" s="2"/>
      <c r="F164" s="19">
        <f t="shared" si="34"/>
        <v>1.7023527541449812E-2</v>
      </c>
      <c r="G164" s="2"/>
      <c r="H164" s="2">
        <v>6736.47</v>
      </c>
      <c r="I164" s="2"/>
      <c r="J164" s="19">
        <f t="shared" si="35"/>
        <v>3.6471772427860432E-3</v>
      </c>
      <c r="K164" s="2"/>
      <c r="L164" s="2">
        <f t="shared" si="36"/>
        <v>7116.71</v>
      </c>
      <c r="M164" s="2"/>
      <c r="N164" s="19">
        <f t="shared" si="37"/>
        <v>1.0564449927038939</v>
      </c>
      <c r="O164" s="10"/>
      <c r="P164" s="2">
        <v>109226.69</v>
      </c>
      <c r="Q164" s="2"/>
      <c r="R164" s="19">
        <f t="shared" si="38"/>
        <v>1.3713069179452139E-2</v>
      </c>
      <c r="S164" s="2"/>
      <c r="T164" s="2">
        <v>57701.25</v>
      </c>
      <c r="U164" s="2"/>
      <c r="V164" s="19">
        <f t="shared" si="39"/>
        <v>2.133492401700359E-3</v>
      </c>
      <c r="W164" s="2"/>
      <c r="X164" s="2">
        <f t="shared" si="40"/>
        <v>51525.440000000002</v>
      </c>
      <c r="Y164" s="2"/>
      <c r="Z164" s="19">
        <f t="shared" si="41"/>
        <v>0.89296921643811877</v>
      </c>
    </row>
    <row r="165" spans="1:26" s="23" customFormat="1" hidden="1" outlineLevel="1" x14ac:dyDescent="0.25">
      <c r="A165" s="44"/>
      <c r="B165" s="10" t="str">
        <f>CONCATENATE("          ", "5053", " - ", "PURCHASES @ COST-FOOD")</f>
        <v xml:space="preserve">          5053 - PURCHASES @ COST-FOOD</v>
      </c>
      <c r="C165" s="10"/>
      <c r="D165" s="2">
        <v>32724.15</v>
      </c>
      <c r="E165" s="2"/>
      <c r="F165" s="19">
        <f t="shared" si="34"/>
        <v>4.0213183456472436E-2</v>
      </c>
      <c r="G165" s="2"/>
      <c r="H165" s="2">
        <v>358944.25</v>
      </c>
      <c r="I165" s="2"/>
      <c r="J165" s="19">
        <f t="shared" si="35"/>
        <v>0.19433520820680625</v>
      </c>
      <c r="K165" s="2"/>
      <c r="L165" s="2">
        <f t="shared" si="36"/>
        <v>-326220.09999999998</v>
      </c>
      <c r="M165" s="2"/>
      <c r="N165" s="19">
        <f t="shared" si="37"/>
        <v>-0.90883222115969253</v>
      </c>
      <c r="O165" s="10"/>
      <c r="P165" s="2">
        <v>375005.39</v>
      </c>
      <c r="Q165" s="2"/>
      <c r="R165" s="19">
        <f t="shared" si="38"/>
        <v>4.7080753392210545E-2</v>
      </c>
      <c r="S165" s="2"/>
      <c r="T165" s="2">
        <v>4891330.91</v>
      </c>
      <c r="U165" s="2"/>
      <c r="V165" s="19">
        <f t="shared" si="39"/>
        <v>0.18085600105174676</v>
      </c>
      <c r="W165" s="2"/>
      <c r="X165" s="2">
        <f t="shared" si="40"/>
        <v>-4516325.5200000005</v>
      </c>
      <c r="Y165" s="2"/>
      <c r="Z165" s="19">
        <f t="shared" si="41"/>
        <v>-0.9233326477189826</v>
      </c>
    </row>
    <row r="166" spans="1:26" s="23" customFormat="1" hidden="1" outlineLevel="1" x14ac:dyDescent="0.25">
      <c r="A166" s="44"/>
      <c r="B166" s="10" t="str">
        <f>CONCATENATE("          ", "5059", " - ", "PURCHASES @ COST-FOOD")</f>
        <v xml:space="preserve">          5059 - PURCHASES @ COST-FOOD</v>
      </c>
      <c r="C166" s="10"/>
      <c r="D166" s="2">
        <v>5155</v>
      </c>
      <c r="E166" s="2"/>
      <c r="F166" s="19">
        <f t="shared" si="34"/>
        <v>6.3347393505443347E-3</v>
      </c>
      <c r="G166" s="2"/>
      <c r="H166" s="2">
        <v>45519.78</v>
      </c>
      <c r="I166" s="2"/>
      <c r="J166" s="19">
        <f t="shared" si="35"/>
        <v>2.4644762867292107E-2</v>
      </c>
      <c r="K166" s="2"/>
      <c r="L166" s="2">
        <f t="shared" si="36"/>
        <v>-40364.78</v>
      </c>
      <c r="M166" s="2"/>
      <c r="N166" s="19">
        <f t="shared" si="37"/>
        <v>-0.8867525282415688</v>
      </c>
      <c r="O166" s="10"/>
      <c r="P166" s="2">
        <v>31841.29</v>
      </c>
      <c r="Q166" s="2"/>
      <c r="R166" s="19">
        <f t="shared" si="38"/>
        <v>3.9975743340111983E-3</v>
      </c>
      <c r="S166" s="2"/>
      <c r="T166" s="2">
        <v>-54509.42</v>
      </c>
      <c r="U166" s="2"/>
      <c r="V166" s="19">
        <f t="shared" si="39"/>
        <v>-2.0154751134697007E-3</v>
      </c>
      <c r="W166" s="2"/>
      <c r="X166" s="2">
        <f t="shared" si="40"/>
        <v>86350.709999999992</v>
      </c>
      <c r="Y166" s="2"/>
      <c r="Z166" s="19">
        <f t="shared" si="41"/>
        <v>-1.5841428875963088</v>
      </c>
    </row>
    <row r="167" spans="1:26" s="23" customFormat="1" hidden="1" outlineLevel="1" x14ac:dyDescent="0.25">
      <c r="A167" s="44"/>
      <c r="B167" s="10" t="str">
        <f>CONCATENATE("          ", "5081", " - ", "PURCHASES @ COST-ELECTRONICS")</f>
        <v xml:space="preserve">          5081 - PURCHASES @ COST-ELECTRONICS</v>
      </c>
      <c r="C167" s="10"/>
      <c r="D167" s="2">
        <v>309.97000000000003</v>
      </c>
      <c r="E167" s="2"/>
      <c r="F167" s="19">
        <f t="shared" si="34"/>
        <v>3.8090769282021877E-4</v>
      </c>
      <c r="G167" s="2"/>
      <c r="H167" s="2">
        <v>36011.160000000003</v>
      </c>
      <c r="I167" s="2"/>
      <c r="J167" s="19">
        <f t="shared" si="35"/>
        <v>1.9496722057446562E-2</v>
      </c>
      <c r="K167" s="2"/>
      <c r="L167" s="2">
        <f t="shared" si="36"/>
        <v>-35701.19</v>
      </c>
      <c r="M167" s="2"/>
      <c r="N167" s="19">
        <f t="shared" si="37"/>
        <v>-0.99139239058114204</v>
      </c>
      <c r="O167" s="10"/>
      <c r="P167" s="2">
        <v>32467.87</v>
      </c>
      <c r="Q167" s="2"/>
      <c r="R167" s="19">
        <f t="shared" si="38"/>
        <v>4.076239492558629E-3</v>
      </c>
      <c r="S167" s="2"/>
      <c r="T167" s="2">
        <v>265032.64</v>
      </c>
      <c r="U167" s="2"/>
      <c r="V167" s="19">
        <f t="shared" si="39"/>
        <v>9.799529882673021E-3</v>
      </c>
      <c r="W167" s="2"/>
      <c r="X167" s="2">
        <f t="shared" si="40"/>
        <v>-232564.77000000002</v>
      </c>
      <c r="Y167" s="2"/>
      <c r="Z167" s="19">
        <f t="shared" si="41"/>
        <v>-0.87749482478837326</v>
      </c>
    </row>
    <row r="168" spans="1:26" s="23" customFormat="1" hidden="1" outlineLevel="1" x14ac:dyDescent="0.25">
      <c r="A168" s="44"/>
      <c r="B168" s="10" t="str">
        <f>CONCATENATE("          ", "5082", " - ", "PURCHASES @ COST-COMPUTER HARD")</f>
        <v xml:space="preserve">          5082 - PURCHASES @ COST-COMPUTER HARD</v>
      </c>
      <c r="C168" s="10"/>
      <c r="D168" s="2">
        <v>132715.92000000001</v>
      </c>
      <c r="E168" s="2"/>
      <c r="F168" s="19">
        <f t="shared" si="34"/>
        <v>0.16308841141953326</v>
      </c>
      <c r="G168" s="2"/>
      <c r="H168" s="2">
        <v>169875.81</v>
      </c>
      <c r="I168" s="2"/>
      <c r="J168" s="19">
        <f t="shared" si="35"/>
        <v>9.1972084538615287E-2</v>
      </c>
      <c r="K168" s="2"/>
      <c r="L168" s="2">
        <f t="shared" si="36"/>
        <v>-37159.889999999985</v>
      </c>
      <c r="M168" s="2"/>
      <c r="N168" s="19">
        <f t="shared" si="37"/>
        <v>-0.21874738963717075</v>
      </c>
      <c r="O168" s="10"/>
      <c r="P168" s="2">
        <v>1396293.76</v>
      </c>
      <c r="Q168" s="2"/>
      <c r="R168" s="19">
        <f t="shared" si="38"/>
        <v>0.17530031282388345</v>
      </c>
      <c r="S168" s="2"/>
      <c r="T168" s="2">
        <v>1381174.39</v>
      </c>
      <c r="U168" s="2"/>
      <c r="V168" s="19">
        <f t="shared" si="39"/>
        <v>5.1068652178039957E-2</v>
      </c>
      <c r="W168" s="2"/>
      <c r="X168" s="2">
        <f t="shared" si="40"/>
        <v>15119.370000000112</v>
      </c>
      <c r="Y168" s="2"/>
      <c r="Z168" s="19">
        <f t="shared" si="41"/>
        <v>1.0946749454281521E-2</v>
      </c>
    </row>
    <row r="169" spans="1:26" s="23" customFormat="1" hidden="1" outlineLevel="1" x14ac:dyDescent="0.25">
      <c r="A169" s="44"/>
      <c r="B169" s="10" t="str">
        <f>CONCATENATE("          ", "5083", " - ", "PURCHASES @ COST-COMPUTER EQUI")</f>
        <v xml:space="preserve">          5083 - PURCHASES @ COST-COMPUTER EQUI</v>
      </c>
      <c r="C169" s="10"/>
      <c r="D169" s="2">
        <v>6015.06</v>
      </c>
      <c r="E169" s="2"/>
      <c r="F169" s="19">
        <f t="shared" si="34"/>
        <v>7.39162701801847E-3</v>
      </c>
      <c r="G169" s="2"/>
      <c r="H169" s="2">
        <v>6360.99</v>
      </c>
      <c r="I169" s="2"/>
      <c r="J169" s="19">
        <f t="shared" si="35"/>
        <v>3.4438894509423467E-3</v>
      </c>
      <c r="K169" s="2"/>
      <c r="L169" s="2">
        <f t="shared" si="36"/>
        <v>-345.92999999999938</v>
      </c>
      <c r="M169" s="2"/>
      <c r="N169" s="19">
        <f t="shared" si="37"/>
        <v>-5.4383044148788064E-2</v>
      </c>
      <c r="O169" s="10"/>
      <c r="P169" s="2">
        <v>105203.33</v>
      </c>
      <c r="Q169" s="2"/>
      <c r="R169" s="19">
        <f t="shared" si="38"/>
        <v>1.3207948919799112E-2</v>
      </c>
      <c r="S169" s="2"/>
      <c r="T169" s="2">
        <v>77872.789999999994</v>
      </c>
      <c r="U169" s="2"/>
      <c r="V169" s="19">
        <f t="shared" si="39"/>
        <v>2.8793311369200436E-3</v>
      </c>
      <c r="W169" s="2"/>
      <c r="X169" s="2">
        <f t="shared" si="40"/>
        <v>27330.540000000008</v>
      </c>
      <c r="Y169" s="2"/>
      <c r="Z169" s="19">
        <f t="shared" si="41"/>
        <v>0.35096392462630416</v>
      </c>
    </row>
    <row r="170" spans="1:26" s="23" customFormat="1" hidden="1" outlineLevel="1" x14ac:dyDescent="0.25">
      <c r="A170" s="44"/>
      <c r="B170" s="10" t="str">
        <f>CONCATENATE("          ", "5084", " - ", "PURCHASES @ COST-SOFTWARE LICE")</f>
        <v xml:space="preserve">          5084 - PURCHASES @ COST-SOFTWARE LICE</v>
      </c>
      <c r="C170" s="10"/>
      <c r="D170" s="2"/>
      <c r="E170" s="2"/>
      <c r="F170" s="19">
        <f t="shared" si="34"/>
        <v>0</v>
      </c>
      <c r="G170" s="2"/>
      <c r="H170" s="2"/>
      <c r="I170" s="2"/>
      <c r="J170" s="19">
        <f t="shared" si="35"/>
        <v>0</v>
      </c>
      <c r="K170" s="2"/>
      <c r="L170" s="2">
        <f t="shared" si="36"/>
        <v>0</v>
      </c>
      <c r="M170" s="2"/>
      <c r="N170" s="19">
        <f t="shared" si="37"/>
        <v>0</v>
      </c>
      <c r="O170" s="10"/>
      <c r="P170" s="2"/>
      <c r="Q170" s="2"/>
      <c r="R170" s="19">
        <f t="shared" si="38"/>
        <v>0</v>
      </c>
      <c r="S170" s="2"/>
      <c r="T170" s="2">
        <v>2728</v>
      </c>
      <c r="U170" s="2"/>
      <c r="V170" s="19">
        <f t="shared" si="39"/>
        <v>1.0086726495246773E-4</v>
      </c>
      <c r="W170" s="2"/>
      <c r="X170" s="2">
        <f t="shared" si="40"/>
        <v>-2728</v>
      </c>
      <c r="Y170" s="2"/>
      <c r="Z170" s="19">
        <f t="shared" si="41"/>
        <v>-1</v>
      </c>
    </row>
    <row r="171" spans="1:26" s="23" customFormat="1" hidden="1" outlineLevel="1" x14ac:dyDescent="0.25">
      <c r="A171" s="44"/>
      <c r="B171" s="10" t="str">
        <f>CONCATENATE("          ", "5085", " - ", "PURCHASES @ COST-SOFTWARE")</f>
        <v xml:space="preserve">          5085 - PURCHASES @ COST-SOFTWARE</v>
      </c>
      <c r="C171" s="10"/>
      <c r="D171" s="2">
        <v>3753.26</v>
      </c>
      <c r="E171" s="2"/>
      <c r="F171" s="19">
        <f t="shared" si="34"/>
        <v>4.612206365630268E-3</v>
      </c>
      <c r="G171" s="2"/>
      <c r="H171" s="2"/>
      <c r="I171" s="2"/>
      <c r="J171" s="19">
        <f t="shared" si="35"/>
        <v>0</v>
      </c>
      <c r="K171" s="2"/>
      <c r="L171" s="2">
        <f t="shared" si="36"/>
        <v>3753.26</v>
      </c>
      <c r="M171" s="2"/>
      <c r="N171" s="19">
        <f t="shared" si="37"/>
        <v>0</v>
      </c>
      <c r="O171" s="10"/>
      <c r="P171" s="2">
        <v>33898.71</v>
      </c>
      <c r="Q171" s="2"/>
      <c r="R171" s="19">
        <f t="shared" si="38"/>
        <v>4.2558769777257368E-3</v>
      </c>
      <c r="S171" s="2"/>
      <c r="T171" s="2">
        <v>9162.39</v>
      </c>
      <c r="U171" s="2"/>
      <c r="V171" s="19">
        <f t="shared" si="39"/>
        <v>3.3877757321401788E-4</v>
      </c>
      <c r="W171" s="2"/>
      <c r="X171" s="2">
        <f t="shared" si="40"/>
        <v>24736.32</v>
      </c>
      <c r="Y171" s="2"/>
      <c r="Z171" s="19">
        <f t="shared" si="41"/>
        <v>2.6997672004793509</v>
      </c>
    </row>
    <row r="172" spans="1:26" s="23" customFormat="1" hidden="1" outlineLevel="1" x14ac:dyDescent="0.25">
      <c r="A172" s="44"/>
      <c r="B172" s="10" t="str">
        <f>CONCATENATE("          ", "5086", " - ", "PURCHASES @ COST-COMPUTER SUPP")</f>
        <v xml:space="preserve">          5086 - PURCHASES @ COST-COMPUTER SUPP</v>
      </c>
      <c r="C172" s="10"/>
      <c r="D172" s="2">
        <v>525.71</v>
      </c>
      <c r="E172" s="2"/>
      <c r="F172" s="19">
        <f t="shared" si="34"/>
        <v>6.4602052841409555E-4</v>
      </c>
      <c r="G172" s="2"/>
      <c r="H172" s="2">
        <v>948.45</v>
      </c>
      <c r="I172" s="2"/>
      <c r="J172" s="19">
        <f t="shared" si="35"/>
        <v>5.1349820542812821E-4</v>
      </c>
      <c r="K172" s="2"/>
      <c r="L172" s="2">
        <f t="shared" si="36"/>
        <v>-422.74</v>
      </c>
      <c r="M172" s="2"/>
      <c r="N172" s="19">
        <f t="shared" si="37"/>
        <v>-0.4457166956613422</v>
      </c>
      <c r="O172" s="10"/>
      <c r="P172" s="2">
        <v>23664.2</v>
      </c>
      <c r="Q172" s="2"/>
      <c r="R172" s="19">
        <f t="shared" si="38"/>
        <v>2.9709662691086887E-3</v>
      </c>
      <c r="S172" s="2"/>
      <c r="T172" s="2">
        <v>30376.77</v>
      </c>
      <c r="U172" s="2"/>
      <c r="V172" s="19">
        <f t="shared" si="39"/>
        <v>1.1231751128996236E-3</v>
      </c>
      <c r="W172" s="2"/>
      <c r="X172" s="2">
        <f t="shared" si="40"/>
        <v>-6712.57</v>
      </c>
      <c r="Y172" s="2"/>
      <c r="Z172" s="19">
        <f t="shared" si="41"/>
        <v>-0.22097708215850467</v>
      </c>
    </row>
    <row r="173" spans="1:26" s="23" customFormat="1" hidden="1" outlineLevel="1" x14ac:dyDescent="0.25">
      <c r="A173" s="44"/>
      <c r="B173" s="10" t="str">
        <f>CONCATENATE("          ", "5088", " - ", "PURCHASES @ COST-MUSIC")</f>
        <v xml:space="preserve">          5088 - PURCHASES @ COST-MUSIC</v>
      </c>
      <c r="C173" s="10"/>
      <c r="D173" s="2"/>
      <c r="E173" s="2"/>
      <c r="F173" s="19">
        <f t="shared" si="34"/>
        <v>0</v>
      </c>
      <c r="G173" s="2"/>
      <c r="H173" s="2"/>
      <c r="I173" s="2"/>
      <c r="J173" s="19">
        <f t="shared" si="35"/>
        <v>0</v>
      </c>
      <c r="K173" s="2"/>
      <c r="L173" s="2">
        <f t="shared" si="36"/>
        <v>0</v>
      </c>
      <c r="M173" s="2"/>
      <c r="N173" s="19">
        <f t="shared" si="37"/>
        <v>0</v>
      </c>
      <c r="O173" s="10"/>
      <c r="P173" s="2"/>
      <c r="Q173" s="2"/>
      <c r="R173" s="19">
        <f t="shared" si="38"/>
        <v>0</v>
      </c>
      <c r="S173" s="2"/>
      <c r="T173" s="2">
        <v>95.65</v>
      </c>
      <c r="U173" s="2"/>
      <c r="V173" s="19">
        <f t="shared" si="39"/>
        <v>3.5366399899939659E-6</v>
      </c>
      <c r="W173" s="2"/>
      <c r="X173" s="2">
        <f t="shared" si="40"/>
        <v>-95.65</v>
      </c>
      <c r="Y173" s="2"/>
      <c r="Z173" s="19">
        <f t="shared" si="41"/>
        <v>-1</v>
      </c>
    </row>
    <row r="174" spans="1:26" s="23" customFormat="1" hidden="1" outlineLevel="1" x14ac:dyDescent="0.25">
      <c r="A174" s="44"/>
      <c r="B174" s="10" t="str">
        <f>CONCATENATE("          ", "5092", " - ", "PURCHASES @ COST-GRAD MERCH")</f>
        <v xml:space="preserve">          5092 - PURCHASES @ COST-GRAD MERCH</v>
      </c>
      <c r="C174" s="10"/>
      <c r="D174" s="2"/>
      <c r="E174" s="2"/>
      <c r="F174" s="19">
        <f t="shared" si="34"/>
        <v>0</v>
      </c>
      <c r="G174" s="2"/>
      <c r="H174" s="2">
        <v>1036.33</v>
      </c>
      <c r="I174" s="2"/>
      <c r="J174" s="19">
        <f t="shared" si="35"/>
        <v>5.610771208090379E-4</v>
      </c>
      <c r="K174" s="2"/>
      <c r="L174" s="2">
        <f t="shared" si="36"/>
        <v>-1036.33</v>
      </c>
      <c r="M174" s="2"/>
      <c r="N174" s="19">
        <f t="shared" si="37"/>
        <v>-1</v>
      </c>
      <c r="O174" s="10"/>
      <c r="P174" s="2">
        <v>0</v>
      </c>
      <c r="Q174" s="2"/>
      <c r="R174" s="19">
        <f t="shared" si="38"/>
        <v>0</v>
      </c>
      <c r="S174" s="2"/>
      <c r="T174" s="2">
        <v>2946.13</v>
      </c>
      <c r="U174" s="2"/>
      <c r="V174" s="19">
        <f t="shared" si="39"/>
        <v>1.0893257892023966E-4</v>
      </c>
      <c r="W174" s="2"/>
      <c r="X174" s="2">
        <f t="shared" si="40"/>
        <v>-2946.13</v>
      </c>
      <c r="Y174" s="2"/>
      <c r="Z174" s="19">
        <f t="shared" si="41"/>
        <v>-1</v>
      </c>
    </row>
    <row r="175" spans="1:26" s="23" customFormat="1" hidden="1" outlineLevel="1" x14ac:dyDescent="0.25">
      <c r="A175" s="44"/>
      <c r="B175" s="10" t="str">
        <f>CONCATENATE("          ", "5095", " - ", "PURCHASES @ COST-CUSTOMER SERV")</f>
        <v xml:space="preserve">          5095 - PURCHASES @ COST-CUSTOMER SERV</v>
      </c>
      <c r="C175" s="10"/>
      <c r="D175" s="2"/>
      <c r="E175" s="2"/>
      <c r="F175" s="19">
        <f t="shared" si="34"/>
        <v>0</v>
      </c>
      <c r="G175" s="2"/>
      <c r="H175" s="2"/>
      <c r="I175" s="2"/>
      <c r="J175" s="19">
        <f t="shared" si="35"/>
        <v>0</v>
      </c>
      <c r="K175" s="2"/>
      <c r="L175" s="2">
        <f t="shared" si="36"/>
        <v>0</v>
      </c>
      <c r="M175" s="2"/>
      <c r="N175" s="19">
        <f t="shared" si="37"/>
        <v>0</v>
      </c>
      <c r="O175" s="10"/>
      <c r="P175" s="2"/>
      <c r="Q175" s="2"/>
      <c r="R175" s="19">
        <f t="shared" si="38"/>
        <v>0</v>
      </c>
      <c r="S175" s="2"/>
      <c r="T175" s="2">
        <v>0</v>
      </c>
      <c r="U175" s="2"/>
      <c r="V175" s="19">
        <f t="shared" si="39"/>
        <v>0</v>
      </c>
      <c r="W175" s="2"/>
      <c r="X175" s="2">
        <f t="shared" si="40"/>
        <v>0</v>
      </c>
      <c r="Y175" s="2"/>
      <c r="Z175" s="19">
        <f t="shared" si="41"/>
        <v>0</v>
      </c>
    </row>
    <row r="176" spans="1:26" s="23" customFormat="1" hidden="1" outlineLevel="1" x14ac:dyDescent="0.25">
      <c r="A176" s="44"/>
      <c r="B176" s="10" t="str">
        <f>CONCATENATE("          ", "5200", " - ", "PURCHASES OFFSET")</f>
        <v xml:space="preserve">          5200 - PURCHASES OFFSET</v>
      </c>
      <c r="C176" s="10"/>
      <c r="D176" s="2">
        <v>73739.19</v>
      </c>
      <c r="E176" s="2"/>
      <c r="F176" s="19">
        <f t="shared" si="34"/>
        <v>9.0614655396753702E-2</v>
      </c>
      <c r="G176" s="2"/>
      <c r="H176" s="2">
        <v>593468</v>
      </c>
      <c r="I176" s="2"/>
      <c r="J176" s="19">
        <f t="shared" si="35"/>
        <v>0.32130819018295148</v>
      </c>
      <c r="K176" s="2"/>
      <c r="L176" s="2">
        <f t="shared" si="36"/>
        <v>-519728.81</v>
      </c>
      <c r="M176" s="2"/>
      <c r="N176" s="19">
        <f t="shared" si="37"/>
        <v>-0.87574866715644317</v>
      </c>
      <c r="O176" s="10"/>
      <c r="P176" s="2">
        <v>-3351949.73</v>
      </c>
      <c r="Q176" s="2"/>
      <c r="R176" s="19">
        <f t="shared" si="38"/>
        <v>-0.42082680097269187</v>
      </c>
      <c r="S176" s="2"/>
      <c r="T176" s="2">
        <v>-5131493</v>
      </c>
      <c r="U176" s="2"/>
      <c r="V176" s="19">
        <f t="shared" si="39"/>
        <v>-0.18973594722607534</v>
      </c>
      <c r="W176" s="2"/>
      <c r="X176" s="2">
        <f t="shared" si="40"/>
        <v>1779543.27</v>
      </c>
      <c r="Y176" s="2"/>
      <c r="Z176" s="19">
        <f t="shared" si="41"/>
        <v>-0.3467885993413613</v>
      </c>
    </row>
    <row r="177" spans="1:26" s="23" customFormat="1" hidden="1" outlineLevel="1" x14ac:dyDescent="0.25">
      <c r="A177" s="44"/>
      <c r="B177" s="10" t="str">
        <f>CONCATENATE("          ", "5300", " - ", "COG$ OFFSET")</f>
        <v xml:space="preserve">          5300 - COG$ OFFSET</v>
      </c>
      <c r="C177" s="10"/>
      <c r="D177" s="2">
        <v>453621</v>
      </c>
      <c r="E177" s="2"/>
      <c r="F177" s="19">
        <f t="shared" si="34"/>
        <v>0.55743371463303037</v>
      </c>
      <c r="G177" s="2"/>
      <c r="H177" s="2">
        <v>200750</v>
      </c>
      <c r="I177" s="2"/>
      <c r="J177" s="19">
        <f t="shared" si="35"/>
        <v>0.10868761109146156</v>
      </c>
      <c r="K177" s="2"/>
      <c r="L177" s="2">
        <f t="shared" si="36"/>
        <v>252871</v>
      </c>
      <c r="M177" s="2"/>
      <c r="N177" s="19">
        <f t="shared" si="37"/>
        <v>1.2596313823163139</v>
      </c>
      <c r="O177" s="10"/>
      <c r="P177" s="2">
        <v>4038084</v>
      </c>
      <c r="Q177" s="2"/>
      <c r="R177" s="19">
        <f t="shared" si="38"/>
        <v>0.50696881178436159</v>
      </c>
      <c r="S177" s="2"/>
      <c r="T177" s="2">
        <v>5599707.4699999997</v>
      </c>
      <c r="U177" s="2"/>
      <c r="V177" s="19">
        <f t="shared" si="39"/>
        <v>0.20704808542258166</v>
      </c>
      <c r="W177" s="2"/>
      <c r="X177" s="2">
        <f t="shared" si="40"/>
        <v>-1561623.4699999997</v>
      </c>
      <c r="Y177" s="2"/>
      <c r="Z177" s="19">
        <f t="shared" si="41"/>
        <v>-0.27887590170848692</v>
      </c>
    </row>
    <row r="178" spans="1:26" s="23" customFormat="1" hidden="1" outlineLevel="1" x14ac:dyDescent="0.25">
      <c r="A178" s="44"/>
      <c r="B178" s="10" t="str">
        <f>CONCATENATE("          ", "5500", " - ", "FREIGHT-IN")</f>
        <v xml:space="preserve">          5500 - FREIGHT-IN</v>
      </c>
      <c r="C178" s="10"/>
      <c r="D178" s="2"/>
      <c r="E178" s="2"/>
      <c r="F178" s="19">
        <f t="shared" si="34"/>
        <v>0</v>
      </c>
      <c r="G178" s="2"/>
      <c r="H178" s="2"/>
      <c r="I178" s="2"/>
      <c r="J178" s="19">
        <f t="shared" si="35"/>
        <v>0</v>
      </c>
      <c r="K178" s="2"/>
      <c r="L178" s="2">
        <f t="shared" si="36"/>
        <v>0</v>
      </c>
      <c r="M178" s="2"/>
      <c r="N178" s="19">
        <f t="shared" si="37"/>
        <v>0</v>
      </c>
      <c r="O178" s="10"/>
      <c r="P178" s="2">
        <v>0</v>
      </c>
      <c r="Q178" s="2"/>
      <c r="R178" s="19">
        <f t="shared" si="38"/>
        <v>0</v>
      </c>
      <c r="S178" s="2"/>
      <c r="T178" s="2">
        <v>156.47999999999999</v>
      </c>
      <c r="U178" s="2"/>
      <c r="V178" s="19">
        <f t="shared" si="39"/>
        <v>5.7858173092969763E-6</v>
      </c>
      <c r="W178" s="2"/>
      <c r="X178" s="2">
        <f t="shared" si="40"/>
        <v>-156.47999999999999</v>
      </c>
      <c r="Y178" s="2"/>
      <c r="Z178" s="19">
        <f t="shared" si="41"/>
        <v>-1</v>
      </c>
    </row>
    <row r="179" spans="1:26" s="23" customFormat="1" hidden="1" outlineLevel="1" x14ac:dyDescent="0.25">
      <c r="A179" s="44"/>
      <c r="B179" s="10" t="str">
        <f>CONCATENATE("          ", "5501", " - ", "FREIGHT-IN-NEW TEXT")</f>
        <v xml:space="preserve">          5501 - FREIGHT-IN-NEW TEXT</v>
      </c>
      <c r="C179" s="10"/>
      <c r="D179" s="2">
        <v>785.54</v>
      </c>
      <c r="E179" s="2"/>
      <c r="F179" s="19">
        <f t="shared" si="34"/>
        <v>9.6531351104298677E-4</v>
      </c>
      <c r="G179" s="2"/>
      <c r="H179" s="2">
        <v>1315.81</v>
      </c>
      <c r="I179" s="2"/>
      <c r="J179" s="19">
        <f t="shared" si="35"/>
        <v>7.1238976612829905E-4</v>
      </c>
      <c r="K179" s="2"/>
      <c r="L179" s="2">
        <f t="shared" si="36"/>
        <v>-530.27</v>
      </c>
      <c r="M179" s="2"/>
      <c r="N179" s="19">
        <f t="shared" si="37"/>
        <v>-0.4029989132169538</v>
      </c>
      <c r="O179" s="10"/>
      <c r="P179" s="2">
        <v>50042.46</v>
      </c>
      <c r="Q179" s="2"/>
      <c r="R179" s="19">
        <f t="shared" si="38"/>
        <v>6.2826742794271848E-3</v>
      </c>
      <c r="S179" s="2"/>
      <c r="T179" s="2">
        <v>67340.55</v>
      </c>
      <c r="U179" s="2"/>
      <c r="V179" s="19">
        <f t="shared" si="39"/>
        <v>2.4899036286271633E-3</v>
      </c>
      <c r="W179" s="2"/>
      <c r="X179" s="2">
        <f t="shared" si="40"/>
        <v>-17298.090000000004</v>
      </c>
      <c r="Y179" s="2"/>
      <c r="Z179" s="19">
        <f t="shared" si="41"/>
        <v>-0.25687479534990437</v>
      </c>
    </row>
    <row r="180" spans="1:26" s="23" customFormat="1" hidden="1" outlineLevel="1" x14ac:dyDescent="0.25">
      <c r="A180" s="44"/>
      <c r="B180" s="10" t="str">
        <f>CONCATENATE("          ", "5502", " - ", "FREIGHT-IN-USED TEXT")</f>
        <v xml:space="preserve">          5502 - FREIGHT-IN-USED TEXT</v>
      </c>
      <c r="C180" s="10"/>
      <c r="D180" s="2">
        <v>663.37</v>
      </c>
      <c r="E180" s="2"/>
      <c r="F180" s="19">
        <f t="shared" si="34"/>
        <v>8.1518448942203604E-4</v>
      </c>
      <c r="G180" s="2"/>
      <c r="H180" s="2">
        <v>506.55</v>
      </c>
      <c r="I180" s="2"/>
      <c r="J180" s="19">
        <f t="shared" si="35"/>
        <v>2.7425010908283865E-4</v>
      </c>
      <c r="K180" s="2"/>
      <c r="L180" s="2">
        <f t="shared" si="36"/>
        <v>156.82</v>
      </c>
      <c r="M180" s="2"/>
      <c r="N180" s="19">
        <f t="shared" si="37"/>
        <v>0.30958444378639816</v>
      </c>
      <c r="O180" s="10"/>
      <c r="P180" s="2">
        <v>17800.13</v>
      </c>
      <c r="Q180" s="2"/>
      <c r="R180" s="19">
        <f t="shared" si="38"/>
        <v>2.2347506281957404E-3</v>
      </c>
      <c r="S180" s="2"/>
      <c r="T180" s="2">
        <v>15264.64</v>
      </c>
      <c r="U180" s="2"/>
      <c r="V180" s="19">
        <f t="shared" si="39"/>
        <v>5.6440707011878193E-4</v>
      </c>
      <c r="W180" s="2"/>
      <c r="X180" s="2">
        <f t="shared" si="40"/>
        <v>2535.4900000000016</v>
      </c>
      <c r="Y180" s="2"/>
      <c r="Z180" s="19">
        <f t="shared" si="41"/>
        <v>0.16610218125026216</v>
      </c>
    </row>
    <row r="181" spans="1:26" s="23" customFormat="1" hidden="1" outlineLevel="1" x14ac:dyDescent="0.25">
      <c r="A181" s="44"/>
      <c r="B181" s="10" t="str">
        <f>CONCATENATE("          ", "5504", " - ", "FREIGHT-IN-DIGITAL TEXT")</f>
        <v xml:space="preserve">          5504 - FREIGHT-IN-DIGITAL TEXT</v>
      </c>
      <c r="C181" s="10"/>
      <c r="D181" s="2"/>
      <c r="E181" s="2"/>
      <c r="F181" s="19">
        <f t="shared" si="34"/>
        <v>0</v>
      </c>
      <c r="G181" s="2"/>
      <c r="H181" s="2">
        <v>12.78</v>
      </c>
      <c r="I181" s="2"/>
      <c r="J181" s="19">
        <f t="shared" si="35"/>
        <v>6.9191913810653983E-6</v>
      </c>
      <c r="K181" s="2"/>
      <c r="L181" s="2">
        <f t="shared" si="36"/>
        <v>-12.78</v>
      </c>
      <c r="M181" s="2"/>
      <c r="N181" s="19">
        <f t="shared" si="37"/>
        <v>-1</v>
      </c>
      <c r="O181" s="10"/>
      <c r="P181" s="2">
        <v>28.92</v>
      </c>
      <c r="Q181" s="2"/>
      <c r="R181" s="19">
        <f t="shared" si="38"/>
        <v>3.6308155146856128E-6</v>
      </c>
      <c r="S181" s="2"/>
      <c r="T181" s="2">
        <v>118.75</v>
      </c>
      <c r="U181" s="2"/>
      <c r="V181" s="19">
        <f t="shared" si="39"/>
        <v>4.3907579593495392E-6</v>
      </c>
      <c r="W181" s="2"/>
      <c r="X181" s="2">
        <f t="shared" si="40"/>
        <v>-89.83</v>
      </c>
      <c r="Y181" s="2"/>
      <c r="Z181" s="19">
        <f t="shared" si="41"/>
        <v>-0.75646315789473684</v>
      </c>
    </row>
    <row r="182" spans="1:26" s="23" customFormat="1" hidden="1" outlineLevel="1" x14ac:dyDescent="0.25">
      <c r="A182" s="44"/>
      <c r="B182" s="10" t="str">
        <f>CONCATENATE("          ", "5513", " - ", "FREIGHT-IN-TRADE BOOKS")</f>
        <v xml:space="preserve">          5513 - FREIGHT-IN-TRADE BOOKS</v>
      </c>
      <c r="C182" s="10"/>
      <c r="D182" s="2">
        <v>51.76</v>
      </c>
      <c r="E182" s="2"/>
      <c r="F182" s="19">
        <f t="shared" si="34"/>
        <v>6.3605452722439329E-5</v>
      </c>
      <c r="G182" s="2"/>
      <c r="H182" s="2">
        <v>8.83</v>
      </c>
      <c r="I182" s="2"/>
      <c r="J182" s="19">
        <f t="shared" si="35"/>
        <v>4.7806306646954207E-6</v>
      </c>
      <c r="K182" s="2"/>
      <c r="L182" s="2">
        <f t="shared" si="36"/>
        <v>42.93</v>
      </c>
      <c r="M182" s="2"/>
      <c r="N182" s="19">
        <f t="shared" si="37"/>
        <v>4.8618346545866364</v>
      </c>
      <c r="O182" s="10"/>
      <c r="P182" s="2">
        <v>85.28</v>
      </c>
      <c r="Q182" s="2"/>
      <c r="R182" s="19">
        <f t="shared" si="38"/>
        <v>1.0706637174702249E-5</v>
      </c>
      <c r="S182" s="2"/>
      <c r="T182" s="2">
        <v>30.24</v>
      </c>
      <c r="U182" s="2"/>
      <c r="V182" s="19">
        <f t="shared" si="39"/>
        <v>1.118118068974569E-6</v>
      </c>
      <c r="W182" s="2"/>
      <c r="X182" s="2">
        <f t="shared" si="40"/>
        <v>55.040000000000006</v>
      </c>
      <c r="Y182" s="2"/>
      <c r="Z182" s="19">
        <f t="shared" si="41"/>
        <v>1.8201058201058204</v>
      </c>
    </row>
    <row r="183" spans="1:26" s="23" customFormat="1" hidden="1" outlineLevel="1" x14ac:dyDescent="0.25">
      <c r="A183" s="44"/>
      <c r="B183" s="10" t="str">
        <f>CONCATENATE("          ", "5518", " - ", "FREIGHT-IN-STUDY GUIDES")</f>
        <v xml:space="preserve">          5518 - FREIGHT-IN-STUDY GUIDES</v>
      </c>
      <c r="C183" s="10"/>
      <c r="D183" s="2"/>
      <c r="E183" s="2"/>
      <c r="F183" s="19">
        <f t="shared" si="34"/>
        <v>0</v>
      </c>
      <c r="G183" s="2"/>
      <c r="H183" s="2"/>
      <c r="I183" s="2"/>
      <c r="J183" s="19">
        <f t="shared" si="35"/>
        <v>0</v>
      </c>
      <c r="K183" s="2"/>
      <c r="L183" s="2">
        <f t="shared" si="36"/>
        <v>0</v>
      </c>
      <c r="M183" s="2"/>
      <c r="N183" s="19">
        <f t="shared" si="37"/>
        <v>0</v>
      </c>
      <c r="O183" s="10"/>
      <c r="P183" s="2"/>
      <c r="Q183" s="2"/>
      <c r="R183" s="19">
        <f t="shared" si="38"/>
        <v>0</v>
      </c>
      <c r="S183" s="2"/>
      <c r="T183" s="2">
        <v>21.13</v>
      </c>
      <c r="U183" s="2"/>
      <c r="V183" s="19">
        <f t="shared" si="39"/>
        <v>7.812776057352064E-7</v>
      </c>
      <c r="W183" s="2"/>
      <c r="X183" s="2">
        <f t="shared" si="40"/>
        <v>-21.13</v>
      </c>
      <c r="Y183" s="2"/>
      <c r="Z183" s="19">
        <f t="shared" si="41"/>
        <v>-1</v>
      </c>
    </row>
    <row r="184" spans="1:26" s="23" customFormat="1" hidden="1" outlineLevel="1" x14ac:dyDescent="0.25">
      <c r="A184" s="44"/>
      <c r="B184" s="10" t="str">
        <f>CONCATENATE("          ", "5525", " - ", "FREIGHT-IN-TEST FORMS")</f>
        <v xml:space="preserve">          5525 - FREIGHT-IN-TEST FORMS</v>
      </c>
      <c r="C184" s="10"/>
      <c r="D184" s="2"/>
      <c r="E184" s="2"/>
      <c r="F184" s="19">
        <f t="shared" si="34"/>
        <v>0</v>
      </c>
      <c r="G184" s="2"/>
      <c r="H184" s="2">
        <v>82.2</v>
      </c>
      <c r="I184" s="2"/>
      <c r="J184" s="19">
        <f t="shared" si="35"/>
        <v>4.4503719211547404E-5</v>
      </c>
      <c r="K184" s="2"/>
      <c r="L184" s="2">
        <f t="shared" si="36"/>
        <v>-82.2</v>
      </c>
      <c r="M184" s="2"/>
      <c r="N184" s="19">
        <f t="shared" si="37"/>
        <v>-1</v>
      </c>
      <c r="O184" s="10"/>
      <c r="P184" s="2">
        <v>48.14</v>
      </c>
      <c r="Q184" s="2"/>
      <c r="R184" s="19">
        <f t="shared" si="38"/>
        <v>6.0438263788715556E-6</v>
      </c>
      <c r="S184" s="2"/>
      <c r="T184" s="2">
        <v>1237.22</v>
      </c>
      <c r="U184" s="2"/>
      <c r="V184" s="19">
        <f t="shared" si="39"/>
        <v>4.574596684182263E-5</v>
      </c>
      <c r="W184" s="2"/>
      <c r="X184" s="2">
        <f t="shared" si="40"/>
        <v>-1189.08</v>
      </c>
      <c r="Y184" s="2"/>
      <c r="Z184" s="19">
        <f t="shared" si="41"/>
        <v>-0.9610901860623009</v>
      </c>
    </row>
    <row r="185" spans="1:26" s="23" customFormat="1" hidden="1" outlineLevel="1" x14ac:dyDescent="0.25">
      <c r="A185" s="44"/>
      <c r="B185" s="10" t="str">
        <f>CONCATENATE("          ", "5526", " - ", "FREIGHT-IN-WRITING INSTRUMENTS")</f>
        <v xml:space="preserve">          5526 - FREIGHT-IN-WRITING INSTRUMENTS</v>
      </c>
      <c r="C185" s="10"/>
      <c r="D185" s="2"/>
      <c r="E185" s="2"/>
      <c r="F185" s="19">
        <f t="shared" si="34"/>
        <v>0</v>
      </c>
      <c r="G185" s="2"/>
      <c r="H185" s="2"/>
      <c r="I185" s="2"/>
      <c r="J185" s="19">
        <f t="shared" si="35"/>
        <v>0</v>
      </c>
      <c r="K185" s="2"/>
      <c r="L185" s="2">
        <f t="shared" si="36"/>
        <v>0</v>
      </c>
      <c r="M185" s="2"/>
      <c r="N185" s="19">
        <f t="shared" si="37"/>
        <v>0</v>
      </c>
      <c r="O185" s="10"/>
      <c r="P185" s="2">
        <v>0</v>
      </c>
      <c r="Q185" s="2"/>
      <c r="R185" s="19">
        <f t="shared" si="38"/>
        <v>0</v>
      </c>
      <c r="S185" s="2"/>
      <c r="T185" s="2">
        <v>260.35000000000002</v>
      </c>
      <c r="U185" s="2"/>
      <c r="V185" s="19">
        <f t="shared" si="39"/>
        <v>9.6263901870876018E-6</v>
      </c>
      <c r="W185" s="2"/>
      <c r="X185" s="2">
        <f t="shared" si="40"/>
        <v>-260.35000000000002</v>
      </c>
      <c r="Y185" s="2"/>
      <c r="Z185" s="19">
        <f t="shared" si="41"/>
        <v>-1</v>
      </c>
    </row>
    <row r="186" spans="1:26" s="23" customFormat="1" hidden="1" outlineLevel="1" x14ac:dyDescent="0.25">
      <c r="A186" s="44"/>
      <c r="B186" s="10" t="str">
        <f>CONCATENATE("          ", "5527", " - ", "FREIGHT-IN-SCHOOL SUPPLIES")</f>
        <v xml:space="preserve">          5527 - FREIGHT-IN-SCHOOL SUPPLIES</v>
      </c>
      <c r="C186" s="10"/>
      <c r="D186" s="2">
        <v>41.12</v>
      </c>
      <c r="E186" s="2"/>
      <c r="F186" s="19">
        <f t="shared" si="34"/>
        <v>5.0530452394642688E-5</v>
      </c>
      <c r="G186" s="2"/>
      <c r="H186" s="2">
        <v>407.31</v>
      </c>
      <c r="I186" s="2"/>
      <c r="J186" s="19">
        <f t="shared" si="35"/>
        <v>2.2052080136320405E-4</v>
      </c>
      <c r="K186" s="2"/>
      <c r="L186" s="2">
        <f t="shared" si="36"/>
        <v>-366.19</v>
      </c>
      <c r="M186" s="2"/>
      <c r="N186" s="19">
        <f t="shared" si="37"/>
        <v>-0.89904495347523994</v>
      </c>
      <c r="O186" s="10"/>
      <c r="P186" s="2">
        <v>218.62</v>
      </c>
      <c r="Q186" s="2"/>
      <c r="R186" s="19">
        <f t="shared" si="38"/>
        <v>2.7447056978581209E-5</v>
      </c>
      <c r="S186" s="2"/>
      <c r="T186" s="2">
        <v>2058.91</v>
      </c>
      <c r="U186" s="2"/>
      <c r="V186" s="19">
        <f t="shared" si="39"/>
        <v>7.612779343228935E-5</v>
      </c>
      <c r="W186" s="2"/>
      <c r="X186" s="2">
        <f t="shared" si="40"/>
        <v>-1840.29</v>
      </c>
      <c r="Y186" s="2"/>
      <c r="Z186" s="19">
        <f t="shared" si="41"/>
        <v>-0.89381760251783715</v>
      </c>
    </row>
    <row r="187" spans="1:26" s="23" customFormat="1" hidden="1" outlineLevel="1" x14ac:dyDescent="0.25">
      <c r="A187" s="44"/>
      <c r="B187" s="10" t="str">
        <f>CONCATENATE("          ", "5528", " - ", "FREIGHT-IN-ART/TECH")</f>
        <v xml:space="preserve">          5528 - FREIGHT-IN-ART/TECH</v>
      </c>
      <c r="C187" s="10"/>
      <c r="D187" s="2">
        <v>103.71</v>
      </c>
      <c r="E187" s="2"/>
      <c r="F187" s="19">
        <f t="shared" si="34"/>
        <v>1.2744438759358933E-4</v>
      </c>
      <c r="G187" s="2"/>
      <c r="H187" s="2">
        <v>771.27</v>
      </c>
      <c r="I187" s="2"/>
      <c r="J187" s="19">
        <f t="shared" si="35"/>
        <v>4.1757157562396792E-4</v>
      </c>
      <c r="K187" s="2"/>
      <c r="L187" s="2">
        <f t="shared" si="36"/>
        <v>-667.56</v>
      </c>
      <c r="M187" s="2"/>
      <c r="N187" s="19">
        <f t="shared" si="37"/>
        <v>-0.86553347076899134</v>
      </c>
      <c r="O187" s="10"/>
      <c r="P187" s="2">
        <v>455.21</v>
      </c>
      <c r="Q187" s="2"/>
      <c r="R187" s="19">
        <f t="shared" si="38"/>
        <v>5.7150191232366443E-5</v>
      </c>
      <c r="S187" s="2"/>
      <c r="T187" s="2">
        <v>2267.52</v>
      </c>
      <c r="U187" s="2"/>
      <c r="V187" s="19">
        <f t="shared" si="39"/>
        <v>8.3841107267235932E-5</v>
      </c>
      <c r="W187" s="2"/>
      <c r="X187" s="2">
        <f t="shared" si="40"/>
        <v>-1812.31</v>
      </c>
      <c r="Y187" s="2"/>
      <c r="Z187" s="19">
        <f t="shared" si="41"/>
        <v>-0.79924763618402483</v>
      </c>
    </row>
    <row r="188" spans="1:26" s="23" customFormat="1" hidden="1" outlineLevel="1" x14ac:dyDescent="0.25">
      <c r="A188" s="44"/>
      <c r="B188" s="10" t="str">
        <f>CONCATENATE("          ", "5540", " - ", "FREIGHT-IN-LOGO CLOTHING")</f>
        <v xml:space="preserve">          5540 - FREIGHT-IN-LOGO CLOTHING</v>
      </c>
      <c r="C188" s="10"/>
      <c r="D188" s="2">
        <v>1167.1400000000001</v>
      </c>
      <c r="E188" s="2"/>
      <c r="F188" s="19">
        <f t="shared" si="34"/>
        <v>1.4342439739271223E-3</v>
      </c>
      <c r="G188" s="2"/>
      <c r="H188" s="2">
        <v>2177.09</v>
      </c>
      <c r="I188" s="2"/>
      <c r="J188" s="19">
        <f t="shared" si="35"/>
        <v>1.1786934556966878E-3</v>
      </c>
      <c r="K188" s="2"/>
      <c r="L188" s="2">
        <f t="shared" si="36"/>
        <v>-1009.95</v>
      </c>
      <c r="M188" s="2"/>
      <c r="N188" s="19">
        <f t="shared" si="37"/>
        <v>-0.46389905791676045</v>
      </c>
      <c r="O188" s="10"/>
      <c r="P188" s="2">
        <v>7108.37</v>
      </c>
      <c r="Q188" s="2"/>
      <c r="R188" s="19">
        <f t="shared" si="38"/>
        <v>8.924336127291067E-4</v>
      </c>
      <c r="S188" s="2"/>
      <c r="T188" s="2">
        <v>30658.39</v>
      </c>
      <c r="U188" s="2"/>
      <c r="V188" s="19">
        <f t="shared" si="39"/>
        <v>1.133587957164988E-3</v>
      </c>
      <c r="W188" s="2"/>
      <c r="X188" s="2">
        <f t="shared" si="40"/>
        <v>-23550.02</v>
      </c>
      <c r="Y188" s="2"/>
      <c r="Z188" s="19">
        <f t="shared" si="41"/>
        <v>-0.76814274983128605</v>
      </c>
    </row>
    <row r="189" spans="1:26" s="23" customFormat="1" hidden="1" outlineLevel="1" x14ac:dyDescent="0.25">
      <c r="A189" s="44"/>
      <c r="B189" s="10" t="str">
        <f>CONCATENATE("          ", "5541", " - ", "FREIGHT-IN-LOGO GIFTS")</f>
        <v xml:space="preserve">          5541 - FREIGHT-IN-LOGO GIFTS</v>
      </c>
      <c r="C189" s="10"/>
      <c r="D189" s="2">
        <v>60.07</v>
      </c>
      <c r="E189" s="2"/>
      <c r="F189" s="19">
        <f t="shared" si="34"/>
        <v>7.3817224594994798E-5</v>
      </c>
      <c r="G189" s="2"/>
      <c r="H189" s="2">
        <v>622.03</v>
      </c>
      <c r="I189" s="2"/>
      <c r="J189" s="19">
        <f t="shared" si="35"/>
        <v>3.3677187908952348E-4</v>
      </c>
      <c r="K189" s="2"/>
      <c r="L189" s="2">
        <f t="shared" si="36"/>
        <v>-561.95999999999992</v>
      </c>
      <c r="M189" s="2"/>
      <c r="N189" s="19">
        <f t="shared" si="37"/>
        <v>-0.90342909505972369</v>
      </c>
      <c r="O189" s="10"/>
      <c r="P189" s="2">
        <v>2138</v>
      </c>
      <c r="Q189" s="2"/>
      <c r="R189" s="19">
        <f t="shared" si="38"/>
        <v>2.6841921059466941E-4</v>
      </c>
      <c r="S189" s="2"/>
      <c r="T189" s="2">
        <v>4695.95</v>
      </c>
      <c r="U189" s="2"/>
      <c r="V189" s="19">
        <f t="shared" si="39"/>
        <v>1.7363183022490501E-4</v>
      </c>
      <c r="W189" s="2"/>
      <c r="X189" s="2">
        <f t="shared" si="40"/>
        <v>-2557.9499999999998</v>
      </c>
      <c r="Y189" s="2"/>
      <c r="Z189" s="19">
        <f t="shared" si="41"/>
        <v>-0.5447140621173564</v>
      </c>
    </row>
    <row r="190" spans="1:26" s="23" customFormat="1" hidden="1" outlineLevel="1" x14ac:dyDescent="0.25">
      <c r="A190" s="44"/>
      <c r="B190" s="10" t="str">
        <f>CONCATENATE("          ", "5542", " - ", "FREIGHT-IN-EVERYDAY GIFTS")</f>
        <v xml:space="preserve">          5542 - FREIGHT-IN-EVERYDAY GIFTS</v>
      </c>
      <c r="C190" s="10"/>
      <c r="D190" s="2">
        <v>297.79000000000002</v>
      </c>
      <c r="E190" s="2"/>
      <c r="F190" s="19">
        <f t="shared" si="34"/>
        <v>3.6594025823445155E-4</v>
      </c>
      <c r="G190" s="2"/>
      <c r="H190" s="2">
        <v>42.24</v>
      </c>
      <c r="I190" s="2"/>
      <c r="J190" s="19">
        <f t="shared" si="35"/>
        <v>2.2869064470751367E-5</v>
      </c>
      <c r="K190" s="2"/>
      <c r="L190" s="2">
        <f t="shared" si="36"/>
        <v>255.55</v>
      </c>
      <c r="M190" s="2"/>
      <c r="N190" s="19">
        <f t="shared" si="37"/>
        <v>6.0499526515151514</v>
      </c>
      <c r="O190" s="10"/>
      <c r="P190" s="2">
        <v>681.72</v>
      </c>
      <c r="Q190" s="2"/>
      <c r="R190" s="19">
        <f t="shared" si="38"/>
        <v>8.5587813024601519E-5</v>
      </c>
      <c r="S190" s="2"/>
      <c r="T190" s="2">
        <v>1793.94</v>
      </c>
      <c r="U190" s="2"/>
      <c r="V190" s="19">
        <f t="shared" si="39"/>
        <v>6.6330579651330634E-5</v>
      </c>
      <c r="W190" s="2"/>
      <c r="X190" s="2">
        <f t="shared" si="40"/>
        <v>-1112.22</v>
      </c>
      <c r="Y190" s="2"/>
      <c r="Z190" s="19">
        <f t="shared" si="41"/>
        <v>-0.61998729054483426</v>
      </c>
    </row>
    <row r="191" spans="1:26" s="23" customFormat="1" hidden="1" outlineLevel="1" x14ac:dyDescent="0.25">
      <c r="A191" s="44"/>
      <c r="B191" s="10" t="str">
        <f>CONCATENATE("          ", "5543", " - ", "FREIGHT-IN-CARDS")</f>
        <v xml:space="preserve">          5543 - FREIGHT-IN-CARDS</v>
      </c>
      <c r="C191" s="10"/>
      <c r="D191" s="2"/>
      <c r="E191" s="2"/>
      <c r="F191" s="19">
        <f t="shared" si="34"/>
        <v>0</v>
      </c>
      <c r="G191" s="2"/>
      <c r="H191" s="2">
        <v>25.64</v>
      </c>
      <c r="I191" s="2"/>
      <c r="J191" s="19">
        <f t="shared" si="35"/>
        <v>1.3881695384234495E-5</v>
      </c>
      <c r="K191" s="2"/>
      <c r="L191" s="2">
        <f t="shared" si="36"/>
        <v>-25.64</v>
      </c>
      <c r="M191" s="2"/>
      <c r="N191" s="19">
        <f t="shared" si="37"/>
        <v>-1</v>
      </c>
      <c r="O191" s="10"/>
      <c r="P191" s="2">
        <v>9110.5300000000007</v>
      </c>
      <c r="Q191" s="2"/>
      <c r="R191" s="19">
        <f t="shared" si="38"/>
        <v>1.1437985363419334E-3</v>
      </c>
      <c r="S191" s="2"/>
      <c r="T191" s="2">
        <v>2926.76</v>
      </c>
      <c r="U191" s="2"/>
      <c r="V191" s="19">
        <f t="shared" si="39"/>
        <v>1.0821637696931249E-4</v>
      </c>
      <c r="W191" s="2"/>
      <c r="X191" s="2">
        <f t="shared" si="40"/>
        <v>6183.77</v>
      </c>
      <c r="Y191" s="2"/>
      <c r="Z191" s="19">
        <f t="shared" si="41"/>
        <v>2.112838087168063</v>
      </c>
    </row>
    <row r="192" spans="1:26" s="23" customFormat="1" hidden="1" outlineLevel="1" x14ac:dyDescent="0.25">
      <c r="A192" s="44"/>
      <c r="B192" s="10" t="str">
        <f>CONCATENATE("          ", "5544", " - ", "FREIGHT-IN-ACCESSORIES")</f>
        <v xml:space="preserve">          5544 - FREIGHT-IN-ACCESSORIES</v>
      </c>
      <c r="C192" s="10"/>
      <c r="D192" s="2"/>
      <c r="E192" s="2"/>
      <c r="F192" s="19">
        <f t="shared" si="34"/>
        <v>0</v>
      </c>
      <c r="G192" s="2"/>
      <c r="H192" s="2"/>
      <c r="I192" s="2"/>
      <c r="J192" s="19">
        <f t="shared" si="35"/>
        <v>0</v>
      </c>
      <c r="K192" s="2"/>
      <c r="L192" s="2">
        <f t="shared" si="36"/>
        <v>0</v>
      </c>
      <c r="M192" s="2"/>
      <c r="N192" s="19">
        <f t="shared" si="37"/>
        <v>0</v>
      </c>
      <c r="O192" s="10"/>
      <c r="P192" s="2"/>
      <c r="Q192" s="2"/>
      <c r="R192" s="19">
        <f t="shared" si="38"/>
        <v>0</v>
      </c>
      <c r="S192" s="2"/>
      <c r="T192" s="2">
        <v>483.44</v>
      </c>
      <c r="U192" s="2"/>
      <c r="V192" s="19">
        <f t="shared" si="39"/>
        <v>1.787509918204582E-5</v>
      </c>
      <c r="W192" s="2"/>
      <c r="X192" s="2">
        <f t="shared" si="40"/>
        <v>-483.44</v>
      </c>
      <c r="Y192" s="2"/>
      <c r="Z192" s="19">
        <f t="shared" si="41"/>
        <v>-1</v>
      </c>
    </row>
    <row r="193" spans="1:26" s="23" customFormat="1" hidden="1" outlineLevel="1" x14ac:dyDescent="0.25">
      <c r="A193" s="44"/>
      <c r="B193" s="10" t="str">
        <f>CONCATENATE("          ", "5545", " - ", "FREIGHT-IN-SPECIAL ORDERS")</f>
        <v xml:space="preserve">          5545 - FREIGHT-IN-SPECIAL ORDERS</v>
      </c>
      <c r="C193" s="10"/>
      <c r="D193" s="2">
        <v>17.63</v>
      </c>
      <c r="E193" s="2"/>
      <c r="F193" s="19">
        <f t="shared" si="34"/>
        <v>2.1664685693520198E-5</v>
      </c>
      <c r="G193" s="2"/>
      <c r="H193" s="2">
        <v>28.68</v>
      </c>
      <c r="I193" s="2"/>
      <c r="J193" s="19">
        <f t="shared" si="35"/>
        <v>1.5527575024174932E-5</v>
      </c>
      <c r="K193" s="2"/>
      <c r="L193" s="2">
        <f t="shared" si="36"/>
        <v>-11.05</v>
      </c>
      <c r="M193" s="2"/>
      <c r="N193" s="19">
        <f t="shared" si="37"/>
        <v>-0.38528591352859137</v>
      </c>
      <c r="O193" s="10"/>
      <c r="P193" s="2">
        <v>1266.1600000000001</v>
      </c>
      <c r="Q193" s="2"/>
      <c r="R193" s="19">
        <f t="shared" si="38"/>
        <v>1.589624264202744E-4</v>
      </c>
      <c r="S193" s="2"/>
      <c r="T193" s="2">
        <v>875.07</v>
      </c>
      <c r="U193" s="2"/>
      <c r="V193" s="19">
        <f t="shared" si="39"/>
        <v>3.2355541620951591E-5</v>
      </c>
      <c r="W193" s="2"/>
      <c r="X193" s="2">
        <f t="shared" si="40"/>
        <v>391.09000000000003</v>
      </c>
      <c r="Y193" s="2"/>
      <c r="Z193" s="19">
        <f t="shared" si="41"/>
        <v>0.44692424606031517</v>
      </c>
    </row>
    <row r="194" spans="1:26" s="23" customFormat="1" hidden="1" outlineLevel="1" x14ac:dyDescent="0.25">
      <c r="A194" s="44"/>
      <c r="B194" s="10" t="str">
        <f>CONCATENATE("          ", "5581", " - ", "FREIGHT-IN-ELECTRONICS")</f>
        <v xml:space="preserve">          5581 - FREIGHT-IN-ELECTRONICS</v>
      </c>
      <c r="C194" s="10"/>
      <c r="D194" s="2"/>
      <c r="E194" s="2"/>
      <c r="F194" s="19">
        <f t="shared" si="34"/>
        <v>0</v>
      </c>
      <c r="G194" s="2"/>
      <c r="H194" s="2"/>
      <c r="I194" s="2"/>
      <c r="J194" s="19">
        <f t="shared" si="35"/>
        <v>0</v>
      </c>
      <c r="K194" s="2"/>
      <c r="L194" s="2">
        <f t="shared" si="36"/>
        <v>0</v>
      </c>
      <c r="M194" s="2"/>
      <c r="N194" s="19">
        <f t="shared" si="37"/>
        <v>0</v>
      </c>
      <c r="O194" s="10"/>
      <c r="P194" s="2">
        <v>31</v>
      </c>
      <c r="Q194" s="2"/>
      <c r="R194" s="19">
        <f t="shared" si="38"/>
        <v>3.8919530067515208E-6</v>
      </c>
      <c r="S194" s="2"/>
      <c r="T194" s="2">
        <v>105.75</v>
      </c>
      <c r="U194" s="2"/>
      <c r="V194" s="19">
        <f t="shared" si="39"/>
        <v>3.9100855090628531E-6</v>
      </c>
      <c r="W194" s="2"/>
      <c r="X194" s="2">
        <f t="shared" si="40"/>
        <v>-74.75</v>
      </c>
      <c r="Y194" s="2"/>
      <c r="Z194" s="19">
        <f t="shared" si="41"/>
        <v>-0.70685579196217496</v>
      </c>
    </row>
    <row r="195" spans="1:26" s="23" customFormat="1" hidden="1" outlineLevel="1" x14ac:dyDescent="0.25">
      <c r="A195" s="44"/>
      <c r="B195" s="10" t="str">
        <f>CONCATENATE("          ", "5582", " - ", "FREIGHT-IN-COMPUTER HARDWARE")</f>
        <v xml:space="preserve">          5582 - FREIGHT-IN-COMPUTER HARDWARE</v>
      </c>
      <c r="C195" s="10"/>
      <c r="D195" s="2"/>
      <c r="E195" s="2"/>
      <c r="F195" s="19">
        <f t="shared" si="34"/>
        <v>0</v>
      </c>
      <c r="G195" s="2"/>
      <c r="H195" s="2">
        <v>149.46</v>
      </c>
      <c r="I195" s="2"/>
      <c r="J195" s="19">
        <f t="shared" si="35"/>
        <v>8.0918806245229623E-5</v>
      </c>
      <c r="K195" s="2"/>
      <c r="L195" s="2">
        <f t="shared" si="36"/>
        <v>-149.46</v>
      </c>
      <c r="M195" s="2"/>
      <c r="N195" s="19">
        <f t="shared" si="37"/>
        <v>-1</v>
      </c>
      <c r="O195" s="10"/>
      <c r="P195" s="2">
        <v>125</v>
      </c>
      <c r="Q195" s="2"/>
      <c r="R195" s="19">
        <f t="shared" si="38"/>
        <v>1.5693358898191616E-5</v>
      </c>
      <c r="S195" s="2"/>
      <c r="T195" s="2">
        <v>154.30000000000001</v>
      </c>
      <c r="U195" s="2"/>
      <c r="V195" s="19">
        <f t="shared" si="39"/>
        <v>5.7052122368642861E-6</v>
      </c>
      <c r="W195" s="2"/>
      <c r="X195" s="2">
        <f t="shared" si="40"/>
        <v>-29.300000000000011</v>
      </c>
      <c r="Y195" s="2"/>
      <c r="Z195" s="19">
        <f t="shared" si="41"/>
        <v>-0.18988982501620227</v>
      </c>
    </row>
    <row r="196" spans="1:26" s="23" customFormat="1" hidden="1" outlineLevel="1" x14ac:dyDescent="0.25">
      <c r="A196" s="44"/>
      <c r="B196" s="10" t="str">
        <f>CONCATENATE("          ", "5583", " - ", "FREIGHT-IN-COMPUTER EQUIPMENT")</f>
        <v xml:space="preserve">          5583 - FREIGHT-IN-COMPUTER EQUIPMENT</v>
      </c>
      <c r="C196" s="10"/>
      <c r="D196" s="2"/>
      <c r="E196" s="2"/>
      <c r="F196" s="19">
        <f t="shared" si="34"/>
        <v>0</v>
      </c>
      <c r="G196" s="2"/>
      <c r="H196" s="2"/>
      <c r="I196" s="2"/>
      <c r="J196" s="19">
        <f t="shared" si="35"/>
        <v>0</v>
      </c>
      <c r="K196" s="2"/>
      <c r="L196" s="2">
        <f t="shared" si="36"/>
        <v>0</v>
      </c>
      <c r="M196" s="2"/>
      <c r="N196" s="19">
        <f t="shared" si="37"/>
        <v>0</v>
      </c>
      <c r="O196" s="10"/>
      <c r="P196" s="2">
        <v>242.46</v>
      </c>
      <c r="Q196" s="2"/>
      <c r="R196" s="19">
        <f t="shared" si="38"/>
        <v>3.0440094387644317E-5</v>
      </c>
      <c r="S196" s="2"/>
      <c r="T196" s="2">
        <v>57.5</v>
      </c>
      <c r="U196" s="2"/>
      <c r="V196" s="19">
        <f t="shared" si="39"/>
        <v>2.1260512224218823E-6</v>
      </c>
      <c r="W196" s="2"/>
      <c r="X196" s="2">
        <f t="shared" si="40"/>
        <v>184.96</v>
      </c>
      <c r="Y196" s="2"/>
      <c r="Z196" s="19">
        <f t="shared" si="41"/>
        <v>3.2166956521739132</v>
      </c>
    </row>
    <row r="197" spans="1:26" s="23" customFormat="1" hidden="1" outlineLevel="1" x14ac:dyDescent="0.25">
      <c r="A197" s="44"/>
      <c r="B197" s="10" t="str">
        <f>CONCATENATE("          ", "5585", " - ", "FREIGHT-IN-SOFTWARE")</f>
        <v xml:space="preserve">          5585 - FREIGHT-IN-SOFTWARE</v>
      </c>
      <c r="C197" s="10"/>
      <c r="D197" s="2">
        <v>9.41</v>
      </c>
      <c r="E197" s="2"/>
      <c r="F197" s="19">
        <f t="shared" si="34"/>
        <v>1.1563510628248727E-5</v>
      </c>
      <c r="G197" s="2"/>
      <c r="H197" s="2"/>
      <c r="I197" s="2"/>
      <c r="J197" s="19">
        <f t="shared" si="35"/>
        <v>0</v>
      </c>
      <c r="K197" s="2"/>
      <c r="L197" s="2">
        <f t="shared" si="36"/>
        <v>9.41</v>
      </c>
      <c r="M197" s="2"/>
      <c r="N197" s="19">
        <f t="shared" si="37"/>
        <v>0</v>
      </c>
      <c r="O197" s="10"/>
      <c r="P197" s="2">
        <v>9.41</v>
      </c>
      <c r="Q197" s="2"/>
      <c r="R197" s="19">
        <f t="shared" si="38"/>
        <v>1.181396057855865E-6</v>
      </c>
      <c r="S197" s="2"/>
      <c r="T197" s="2"/>
      <c r="U197" s="2"/>
      <c r="V197" s="19">
        <f t="shared" si="39"/>
        <v>0</v>
      </c>
      <c r="W197" s="2"/>
      <c r="X197" s="2">
        <f t="shared" si="40"/>
        <v>9.41</v>
      </c>
      <c r="Y197" s="2"/>
      <c r="Z197" s="19">
        <f t="shared" si="41"/>
        <v>0</v>
      </c>
    </row>
    <row r="198" spans="1:26" s="23" customFormat="1" hidden="1" outlineLevel="1" x14ac:dyDescent="0.25">
      <c r="A198" s="44"/>
      <c r="B198" s="10" t="str">
        <f>CONCATENATE("          ", "5586", " - ", "FREIGHT-IN-COMPUTER SUPPLIES")</f>
        <v xml:space="preserve">          5586 - FREIGHT-IN-COMPUTER SUPPLIES</v>
      </c>
      <c r="C198" s="10"/>
      <c r="D198" s="2"/>
      <c r="E198" s="2"/>
      <c r="F198" s="19">
        <f t="shared" si="34"/>
        <v>0</v>
      </c>
      <c r="G198" s="2"/>
      <c r="H198" s="2">
        <v>30.96</v>
      </c>
      <c r="I198" s="2"/>
      <c r="J198" s="19">
        <f t="shared" si="35"/>
        <v>1.6761984754130265E-5</v>
      </c>
      <c r="K198" s="2"/>
      <c r="L198" s="2">
        <f t="shared" si="36"/>
        <v>-30.96</v>
      </c>
      <c r="M198" s="2"/>
      <c r="N198" s="19">
        <f t="shared" si="37"/>
        <v>-1</v>
      </c>
      <c r="O198" s="10"/>
      <c r="P198" s="2">
        <v>24.12</v>
      </c>
      <c r="Q198" s="2"/>
      <c r="R198" s="19">
        <f t="shared" si="38"/>
        <v>3.0281905329950545E-6</v>
      </c>
      <c r="S198" s="2"/>
      <c r="T198" s="2">
        <v>301.27</v>
      </c>
      <c r="U198" s="2"/>
      <c r="V198" s="19">
        <f t="shared" si="39"/>
        <v>1.1139399161374616E-5</v>
      </c>
      <c r="W198" s="2"/>
      <c r="X198" s="2">
        <f t="shared" si="40"/>
        <v>-277.14999999999998</v>
      </c>
      <c r="Y198" s="2"/>
      <c r="Z198" s="19">
        <f t="shared" si="41"/>
        <v>-0.91993892521658316</v>
      </c>
    </row>
    <row r="199" spans="1:26" s="23" customFormat="1" hidden="1" outlineLevel="1" x14ac:dyDescent="0.25">
      <c r="A199" s="44"/>
      <c r="B199" s="10" t="str">
        <f>CONCATENATE("          ", "5592", " - ", "FREIGHT-IN-GRAD MERCH")</f>
        <v xml:space="preserve">          5592 - FREIGHT-IN-GRAD MERCH</v>
      </c>
      <c r="C199" s="10"/>
      <c r="D199" s="2"/>
      <c r="E199" s="2"/>
      <c r="F199" s="19">
        <f t="shared" si="34"/>
        <v>0</v>
      </c>
      <c r="G199" s="2"/>
      <c r="H199" s="2">
        <v>12.95</v>
      </c>
      <c r="I199" s="2"/>
      <c r="J199" s="19">
        <f t="shared" si="35"/>
        <v>7.0112307030357524E-6</v>
      </c>
      <c r="K199" s="2"/>
      <c r="L199" s="2">
        <f t="shared" si="36"/>
        <v>-12.95</v>
      </c>
      <c r="M199" s="2"/>
      <c r="N199" s="19">
        <f t="shared" si="37"/>
        <v>-1</v>
      </c>
      <c r="O199" s="10"/>
      <c r="P199" s="2">
        <v>0</v>
      </c>
      <c r="Q199" s="2"/>
      <c r="R199" s="19">
        <f t="shared" si="38"/>
        <v>0</v>
      </c>
      <c r="S199" s="2"/>
      <c r="T199" s="2">
        <v>118.73</v>
      </c>
      <c r="U199" s="2"/>
      <c r="V199" s="19">
        <f t="shared" si="39"/>
        <v>4.3900184632721755E-6</v>
      </c>
      <c r="W199" s="2"/>
      <c r="X199" s="2">
        <f t="shared" si="40"/>
        <v>-118.73</v>
      </c>
      <c r="Y199" s="2"/>
      <c r="Z199" s="19">
        <f t="shared" si="41"/>
        <v>-1</v>
      </c>
    </row>
    <row r="200" spans="1:26" x14ac:dyDescent="0.25">
      <c r="A200" s="9"/>
      <c r="B200" s="11"/>
      <c r="C200" s="11"/>
      <c r="D200" s="3"/>
      <c r="E200" s="3"/>
      <c r="F200" s="8"/>
      <c r="G200" s="3"/>
      <c r="H200" s="3"/>
      <c r="I200" s="3"/>
      <c r="J200" s="8"/>
      <c r="K200" s="3"/>
      <c r="L200" s="3"/>
      <c r="M200" s="3"/>
      <c r="N200" s="8"/>
      <c r="O200" s="11"/>
      <c r="P200" s="3"/>
      <c r="Q200" s="3"/>
      <c r="R200" s="8"/>
      <c r="S200" s="3"/>
      <c r="T200" s="3"/>
      <c r="U200" s="3"/>
      <c r="V200" s="8"/>
      <c r="W200" s="3"/>
      <c r="X200" s="3"/>
      <c r="Y200" s="3"/>
      <c r="Z200" s="8"/>
    </row>
    <row r="201" spans="1:26" s="24" customFormat="1" x14ac:dyDescent="0.25">
      <c r="A201" s="11"/>
      <c r="B201" s="29" t="s">
        <v>107</v>
      </c>
      <c r="C201" s="29"/>
      <c r="D201" s="22">
        <f>D12-D138</f>
        <v>321412.7099999999</v>
      </c>
      <c r="E201" s="14"/>
      <c r="F201" s="20">
        <f>IF(D$12=0,0,D201/D$12)</f>
        <v>0.39496910607218122</v>
      </c>
      <c r="G201" s="14"/>
      <c r="H201" s="22">
        <f>H12-H138</f>
        <v>1238911.4000000008</v>
      </c>
      <c r="I201" s="14"/>
      <c r="J201" s="20">
        <f>IF(H$12=0,0,H201/H$12)</f>
        <v>0.67075626610200878</v>
      </c>
      <c r="K201" s="15"/>
      <c r="L201" s="22">
        <f>+D201-H201</f>
        <v>-917498.69000000088</v>
      </c>
      <c r="M201" s="15"/>
      <c r="N201" s="20">
        <f>IF(H201=0,0,L201/H201)</f>
        <v>-0.74056844581460812</v>
      </c>
      <c r="O201" s="28"/>
      <c r="P201" s="22">
        <f>P12-P138</f>
        <v>2972808.4200000009</v>
      </c>
      <c r="Q201" s="14"/>
      <c r="R201" s="20">
        <f>IF(P$12=0,0,P201/P$12)</f>
        <v>0.37322679576500778</v>
      </c>
      <c r="S201" s="14"/>
      <c r="T201" s="22">
        <f>T12-T138</f>
        <v>15420504.030000007</v>
      </c>
      <c r="U201" s="14"/>
      <c r="V201" s="20">
        <f>IF(T$12=0,0,T201/T$12)</f>
        <v>0.5701701120581405</v>
      </c>
      <c r="W201" s="15"/>
      <c r="X201" s="22">
        <f>+P201-T201</f>
        <v>-12447695.610000007</v>
      </c>
      <c r="Y201" s="15"/>
      <c r="Z201" s="20">
        <f>IF(T201=0,0,X201/T201)</f>
        <v>-0.80721716915241459</v>
      </c>
    </row>
    <row r="202" spans="1:26" x14ac:dyDescent="0.25">
      <c r="A202" s="9"/>
      <c r="B202" s="11"/>
      <c r="C202" s="9"/>
      <c r="D202" s="1"/>
      <c r="E202" s="1"/>
      <c r="F202" s="5"/>
      <c r="G202" s="1"/>
      <c r="H202" s="1"/>
      <c r="I202" s="1"/>
      <c r="J202" s="5"/>
      <c r="K202" s="1"/>
      <c r="L202" s="1"/>
      <c r="M202" s="1"/>
      <c r="N202" s="5"/>
      <c r="O202" s="37"/>
      <c r="P202" s="1"/>
      <c r="Q202" s="1"/>
      <c r="R202" s="5"/>
      <c r="S202" s="1"/>
      <c r="T202" s="1"/>
      <c r="U202" s="1"/>
      <c r="V202" s="5"/>
      <c r="W202" s="1"/>
      <c r="X202" s="1"/>
      <c r="Y202" s="1"/>
      <c r="Z202" s="5"/>
    </row>
    <row r="203" spans="1:26" s="24" customFormat="1" x14ac:dyDescent="0.25">
      <c r="A203" s="11"/>
      <c r="B203" s="28" t="s">
        <v>294</v>
      </c>
      <c r="C203" s="11"/>
      <c r="D203" s="21">
        <f>SUM(OSRRefD22x_0)</f>
        <v>620951.03999999969</v>
      </c>
      <c r="E203" s="21"/>
      <c r="F203" s="31">
        <f t="shared" ref="F203:F214" si="42">IF(D$12=0,0,D203/D$12)</f>
        <v>0.76305780559639713</v>
      </c>
      <c r="G203" s="21"/>
      <c r="H203" s="21">
        <f>SUM(OSRRefH22x_0)</f>
        <v>1596741.36</v>
      </c>
      <c r="I203" s="21"/>
      <c r="J203" s="31">
        <f t="shared" ref="J203:J214" si="43">IF(H$12=0,0,H203/H$12)</f>
        <v>0.86448818903776559</v>
      </c>
      <c r="K203" s="4"/>
      <c r="L203" s="21">
        <f t="shared" ref="L203:L214" si="44">+D203-H203</f>
        <v>-975790.32000000041</v>
      </c>
      <c r="M203" s="4"/>
      <c r="N203" s="31">
        <f t="shared" ref="N203:N214" si="45">IF(H203=0,0,L203/H203)</f>
        <v>-0.61111357446142711</v>
      </c>
      <c r="O203" s="11"/>
      <c r="P203" s="21">
        <f>SUM(OSRRefP22x_0)</f>
        <v>6106232.3500000006</v>
      </c>
      <c r="Q203" s="21"/>
      <c r="R203" s="31">
        <f t="shared" ref="R203:R214" si="46">IF(P$12=0,0,P203/P$12)</f>
        <v>0.76661836627438418</v>
      </c>
      <c r="S203" s="21"/>
      <c r="T203" s="21">
        <f>SUM(OSRRefT22x_0)</f>
        <v>13899523.169999998</v>
      </c>
      <c r="U203" s="21"/>
      <c r="V203" s="31">
        <f t="shared" ref="V203:V214" si="47">IF(T$12=0,0,T203/T$12)</f>
        <v>0.51393214307234381</v>
      </c>
      <c r="W203" s="4"/>
      <c r="X203" s="21">
        <f t="shared" ref="X203:X214" si="48">+P203-T203</f>
        <v>-7793290.8199999975</v>
      </c>
      <c r="Y203" s="4"/>
      <c r="Z203" s="31">
        <f t="shared" ref="Z203:Z214" si="49">IF(T203=0,0,X203/T203)</f>
        <v>-0.56068763832277557</v>
      </c>
    </row>
    <row r="204" spans="1:26" s="26" customFormat="1" outlineLevel="1" collapsed="1" x14ac:dyDescent="0.25">
      <c r="A204" s="27"/>
      <c r="B204" s="12" t="str">
        <f>CONCATENATE("     ","*Benefits                                         ")</f>
        <v xml:space="preserve">     *Benefits                                         </v>
      </c>
      <c r="C204" s="12"/>
      <c r="D204" s="1">
        <f>SUM(OSRRefD22_0x_0)</f>
        <v>147159.49</v>
      </c>
      <c r="E204" s="1"/>
      <c r="F204" s="5">
        <f t="shared" si="42"/>
        <v>0.18083744172823191</v>
      </c>
      <c r="G204" s="1"/>
      <c r="H204" s="1">
        <f>SUM(OSRRefH22_0x_0)</f>
        <v>229623.28000000003</v>
      </c>
      <c r="I204" s="1"/>
      <c r="J204" s="5">
        <f t="shared" si="43"/>
        <v>0.12431982941063904</v>
      </c>
      <c r="K204" s="1"/>
      <c r="L204" s="1">
        <f t="shared" si="44"/>
        <v>-82463.790000000037</v>
      </c>
      <c r="M204" s="1"/>
      <c r="N204" s="5">
        <f t="shared" si="45"/>
        <v>-0.35912643526388105</v>
      </c>
      <c r="O204" s="12"/>
      <c r="P204" s="1">
        <f>SUM(OSRRefP22_0x_0)</f>
        <v>1387220.61</v>
      </c>
      <c r="Q204" s="1"/>
      <c r="R204" s="5">
        <f t="shared" si="46"/>
        <v>0.17416120722958645</v>
      </c>
      <c r="S204" s="1"/>
      <c r="T204" s="1">
        <f>SUM(OSRRefT22_0x_0)</f>
        <v>2100211.0499999998</v>
      </c>
      <c r="U204" s="1"/>
      <c r="V204" s="5">
        <f t="shared" si="47"/>
        <v>7.7654891655590336E-2</v>
      </c>
      <c r="W204" s="1"/>
      <c r="X204" s="1">
        <f t="shared" si="48"/>
        <v>-712990.43999999971</v>
      </c>
      <c r="Y204" s="1"/>
      <c r="Z204" s="5">
        <f t="shared" si="49"/>
        <v>-0.33948513888639897</v>
      </c>
    </row>
    <row r="205" spans="1:26" s="23" customFormat="1" hidden="1" outlineLevel="2" x14ac:dyDescent="0.25">
      <c r="A205" s="25"/>
      <c r="B205" s="10" t="str">
        <f>CONCATENATE("          ", "6111", " - ", "F.I.C.A.")</f>
        <v xml:space="preserve">          6111 - F.I.C.A.</v>
      </c>
      <c r="C205" s="10"/>
      <c r="D205" s="6">
        <v>18662.14</v>
      </c>
      <c r="E205" s="2"/>
      <c r="F205" s="7">
        <f t="shared" si="42"/>
        <v>2.2933034456521329E-2</v>
      </c>
      <c r="G205" s="2"/>
      <c r="H205" s="6">
        <v>55184.37</v>
      </c>
      <c r="I205" s="2"/>
      <c r="J205" s="7">
        <f t="shared" si="43"/>
        <v>2.9877247048006574E-2</v>
      </c>
      <c r="K205" s="2"/>
      <c r="L205" s="6">
        <f t="shared" si="44"/>
        <v>-36522.230000000003</v>
      </c>
      <c r="M205" s="2"/>
      <c r="N205" s="7">
        <f t="shared" si="45"/>
        <v>-0.66182199778669215</v>
      </c>
      <c r="O205" s="10"/>
      <c r="P205" s="6">
        <v>189428.97</v>
      </c>
      <c r="Q205" s="2"/>
      <c r="R205" s="7">
        <f t="shared" si="46"/>
        <v>2.3782214495398184E-2</v>
      </c>
      <c r="S205" s="2"/>
      <c r="T205" s="6">
        <v>375467.43</v>
      </c>
      <c r="U205" s="2"/>
      <c r="V205" s="7">
        <f t="shared" si="47"/>
        <v>1.3882834583149609E-2</v>
      </c>
      <c r="W205" s="2"/>
      <c r="X205" s="6">
        <f t="shared" si="48"/>
        <v>-186038.46</v>
      </c>
      <c r="Y205" s="2"/>
      <c r="Z205" s="7">
        <f t="shared" si="49"/>
        <v>-0.49548494792211401</v>
      </c>
    </row>
    <row r="206" spans="1:26" s="23" customFormat="1" hidden="1" outlineLevel="2" x14ac:dyDescent="0.25">
      <c r="A206" s="25"/>
      <c r="B206" s="10" t="str">
        <f>CONCATENATE("          ", "6112", " - ", "COMPENSATION INSURANCE")</f>
        <v xml:space="preserve">          6112 - COMPENSATION INSURANCE</v>
      </c>
      <c r="C206" s="10"/>
      <c r="D206" s="6">
        <v>7198.59</v>
      </c>
      <c r="E206" s="2"/>
      <c r="F206" s="7">
        <f t="shared" si="42"/>
        <v>8.8460118994054208E-3</v>
      </c>
      <c r="G206" s="2"/>
      <c r="H206" s="6">
        <v>35883.699999999997</v>
      </c>
      <c r="I206" s="2"/>
      <c r="J206" s="7">
        <f t="shared" si="43"/>
        <v>1.9427714222279846E-2</v>
      </c>
      <c r="K206" s="2"/>
      <c r="L206" s="6">
        <f t="shared" si="44"/>
        <v>-28685.109999999997</v>
      </c>
      <c r="M206" s="2"/>
      <c r="N206" s="7">
        <f t="shared" si="45"/>
        <v>-0.79939108843290962</v>
      </c>
      <c r="O206" s="10"/>
      <c r="P206" s="6">
        <v>73686.33</v>
      </c>
      <c r="Q206" s="2"/>
      <c r="R206" s="7">
        <f t="shared" si="46"/>
        <v>9.2510881806446722E-3</v>
      </c>
      <c r="S206" s="2"/>
      <c r="T206" s="6">
        <v>185458.1</v>
      </c>
      <c r="U206" s="2"/>
      <c r="V206" s="7">
        <f t="shared" si="47"/>
        <v>6.8572768732702554E-3</v>
      </c>
      <c r="W206" s="2"/>
      <c r="X206" s="6">
        <f t="shared" si="48"/>
        <v>-111771.77</v>
      </c>
      <c r="Y206" s="2"/>
      <c r="Z206" s="7">
        <f t="shared" si="49"/>
        <v>-0.60267936531216482</v>
      </c>
    </row>
    <row r="207" spans="1:26" s="23" customFormat="1" hidden="1" outlineLevel="2" x14ac:dyDescent="0.25">
      <c r="A207" s="25"/>
      <c r="B207" s="10" t="str">
        <f>CONCATENATE("          ", "6113", " - ", "GROUP INSURANCE")</f>
        <v xml:space="preserve">          6113 - GROUP INSURANCE</v>
      </c>
      <c r="C207" s="10"/>
      <c r="D207" s="6">
        <v>74510.69</v>
      </c>
      <c r="E207" s="2"/>
      <c r="F207" s="7">
        <f t="shared" si="42"/>
        <v>9.1562715805860381E-2</v>
      </c>
      <c r="G207" s="2"/>
      <c r="H207" s="6">
        <v>105577.47</v>
      </c>
      <c r="I207" s="2"/>
      <c r="J207" s="7">
        <f t="shared" si="43"/>
        <v>5.7160463259678461E-2</v>
      </c>
      <c r="K207" s="2"/>
      <c r="L207" s="6">
        <f t="shared" si="44"/>
        <v>-31066.78</v>
      </c>
      <c r="M207" s="2"/>
      <c r="N207" s="7">
        <f t="shared" si="45"/>
        <v>-0.29425577256208163</v>
      </c>
      <c r="O207" s="10"/>
      <c r="P207" s="6">
        <v>675486.52</v>
      </c>
      <c r="Q207" s="2"/>
      <c r="R207" s="7">
        <f t="shared" si="46"/>
        <v>8.4805219114003919E-2</v>
      </c>
      <c r="S207" s="2"/>
      <c r="T207" s="6">
        <v>877118.78</v>
      </c>
      <c r="U207" s="2"/>
      <c r="V207" s="7">
        <f t="shared" si="47"/>
        <v>3.2431294859620693E-2</v>
      </c>
      <c r="W207" s="2"/>
      <c r="X207" s="6">
        <f t="shared" si="48"/>
        <v>-201632.26</v>
      </c>
      <c r="Y207" s="2"/>
      <c r="Z207" s="7">
        <f t="shared" si="49"/>
        <v>-0.22988022215189602</v>
      </c>
    </row>
    <row r="208" spans="1:26" s="23" customFormat="1" hidden="1" outlineLevel="2" x14ac:dyDescent="0.25">
      <c r="A208" s="25"/>
      <c r="B208" s="10" t="str">
        <f>CONCATENATE("          ", "6114", " - ", "STATE UNEMPLOYMENT INSURANCE")</f>
        <v xml:space="preserve">          6114 - STATE UNEMPLOYMENT INSURANCE</v>
      </c>
      <c r="C208" s="10"/>
      <c r="D208" s="6">
        <v>723.36</v>
      </c>
      <c r="E208" s="2"/>
      <c r="F208" s="7">
        <f t="shared" si="42"/>
        <v>8.8890340574388947E-4</v>
      </c>
      <c r="G208" s="2"/>
      <c r="H208" s="6">
        <v>2984.6</v>
      </c>
      <c r="I208" s="2"/>
      <c r="J208" s="7">
        <f t="shared" si="43"/>
        <v>1.6158856491336299E-3</v>
      </c>
      <c r="K208" s="2"/>
      <c r="L208" s="6">
        <f t="shared" si="44"/>
        <v>-2261.2399999999998</v>
      </c>
      <c r="M208" s="2"/>
      <c r="N208" s="7">
        <f t="shared" si="45"/>
        <v>-0.75763586410239225</v>
      </c>
      <c r="O208" s="10"/>
      <c r="P208" s="6">
        <v>7529.95</v>
      </c>
      <c r="Q208" s="2"/>
      <c r="R208" s="7">
        <f t="shared" si="46"/>
        <v>9.453616626835037E-4</v>
      </c>
      <c r="S208" s="2"/>
      <c r="T208" s="6">
        <v>18994.38</v>
      </c>
      <c r="U208" s="2"/>
      <c r="V208" s="7">
        <f t="shared" si="47"/>
        <v>7.0231347509818701E-4</v>
      </c>
      <c r="W208" s="2"/>
      <c r="X208" s="6">
        <f t="shared" si="48"/>
        <v>-11464.43</v>
      </c>
      <c r="Y208" s="2"/>
      <c r="Z208" s="7">
        <f t="shared" si="49"/>
        <v>-0.60356958216061807</v>
      </c>
    </row>
    <row r="209" spans="1:26" s="23" customFormat="1" hidden="1" outlineLevel="2" x14ac:dyDescent="0.25">
      <c r="A209" s="25"/>
      <c r="B209" s="10" t="str">
        <f>CONCATENATE("          ", "6115", " - ", "P.E.R.S.")</f>
        <v xml:space="preserve">          6115 - P.E.R.S.</v>
      </c>
      <c r="C209" s="10"/>
      <c r="D209" s="6">
        <v>13550.15</v>
      </c>
      <c r="E209" s="2"/>
      <c r="F209" s="7">
        <f t="shared" si="42"/>
        <v>1.6651148091324602E-2</v>
      </c>
      <c r="G209" s="2"/>
      <c r="H209" s="6">
        <v>22902.51</v>
      </c>
      <c r="I209" s="2"/>
      <c r="J209" s="7">
        <f t="shared" si="43"/>
        <v>1.2399597010701415E-2</v>
      </c>
      <c r="K209" s="2"/>
      <c r="L209" s="6">
        <f t="shared" si="44"/>
        <v>-9352.3599999999988</v>
      </c>
      <c r="M209" s="2"/>
      <c r="N209" s="7">
        <f t="shared" si="45"/>
        <v>-0.40835524141240409</v>
      </c>
      <c r="O209" s="10"/>
      <c r="P209" s="6">
        <v>142377.24</v>
      </c>
      <c r="Q209" s="2"/>
      <c r="R209" s="7">
        <f t="shared" si="46"/>
        <v>1.7875017010031705E-2</v>
      </c>
      <c r="S209" s="2"/>
      <c r="T209" s="6">
        <v>195895.6</v>
      </c>
      <c r="U209" s="2"/>
      <c r="V209" s="7">
        <f t="shared" si="47"/>
        <v>7.2432013886446628E-3</v>
      </c>
      <c r="W209" s="2"/>
      <c r="X209" s="6">
        <f t="shared" si="48"/>
        <v>-53518.360000000015</v>
      </c>
      <c r="Y209" s="2"/>
      <c r="Z209" s="7">
        <f t="shared" si="49"/>
        <v>-0.27319837709473827</v>
      </c>
    </row>
    <row r="210" spans="1:26" s="23" customFormat="1" hidden="1" outlineLevel="2" x14ac:dyDescent="0.25">
      <c r="A210" s="25"/>
      <c r="B210" s="10" t="str">
        <f>CONCATENATE("          ", "6116", " - ", "EDUCATIONAL BENEFITS")</f>
        <v xml:space="preserve">          6116 - EDUCATIONAL BENEFITS</v>
      </c>
      <c r="C210" s="10"/>
      <c r="D210" s="6"/>
      <c r="E210" s="2"/>
      <c r="F210" s="7">
        <f t="shared" si="42"/>
        <v>0</v>
      </c>
      <c r="G210" s="2"/>
      <c r="H210" s="6"/>
      <c r="I210" s="2"/>
      <c r="J210" s="7">
        <f t="shared" si="43"/>
        <v>0</v>
      </c>
      <c r="K210" s="2"/>
      <c r="L210" s="6">
        <f t="shared" si="44"/>
        <v>0</v>
      </c>
      <c r="M210" s="2"/>
      <c r="N210" s="7">
        <f t="shared" si="45"/>
        <v>0</v>
      </c>
      <c r="O210" s="10"/>
      <c r="P210" s="6">
        <v>0</v>
      </c>
      <c r="Q210" s="2"/>
      <c r="R210" s="7">
        <f t="shared" si="46"/>
        <v>0</v>
      </c>
      <c r="S210" s="2"/>
      <c r="T210" s="6"/>
      <c r="U210" s="2"/>
      <c r="V210" s="7">
        <f t="shared" si="47"/>
        <v>0</v>
      </c>
      <c r="W210" s="2"/>
      <c r="X210" s="6">
        <f t="shared" si="48"/>
        <v>0</v>
      </c>
      <c r="Y210" s="2"/>
      <c r="Z210" s="7">
        <f t="shared" si="49"/>
        <v>0</v>
      </c>
    </row>
    <row r="211" spans="1:26" s="23" customFormat="1" hidden="1" outlineLevel="2" x14ac:dyDescent="0.25">
      <c r="A211" s="25"/>
      <c r="B211" s="10" t="str">
        <f>CONCATENATE("          ", "6117", " - ", "RETIREMENT STAFF HOURLY")</f>
        <v xml:space="preserve">          6117 - RETIREMENT STAFF HOURLY</v>
      </c>
      <c r="C211" s="10"/>
      <c r="D211" s="6">
        <v>3123.28</v>
      </c>
      <c r="E211" s="2"/>
      <c r="F211" s="7">
        <f t="shared" si="42"/>
        <v>3.8380532917105942E-3</v>
      </c>
      <c r="G211" s="2"/>
      <c r="H211" s="6">
        <v>1259.6400000000001</v>
      </c>
      <c r="I211" s="2"/>
      <c r="J211" s="7">
        <f t="shared" si="43"/>
        <v>6.8197889133374181E-4</v>
      </c>
      <c r="K211" s="2"/>
      <c r="L211" s="6">
        <f t="shared" si="44"/>
        <v>1863.64</v>
      </c>
      <c r="M211" s="2"/>
      <c r="N211" s="7">
        <f t="shared" si="45"/>
        <v>1.4795020799593535</v>
      </c>
      <c r="O211" s="10"/>
      <c r="P211" s="6">
        <v>19931</v>
      </c>
      <c r="Q211" s="2"/>
      <c r="R211" s="7">
        <f t="shared" si="46"/>
        <v>2.5022746895988568E-3</v>
      </c>
      <c r="S211" s="2"/>
      <c r="T211" s="6">
        <v>17944.43</v>
      </c>
      <c r="U211" s="2"/>
      <c r="V211" s="7">
        <f t="shared" si="47"/>
        <v>6.6349177977676344E-4</v>
      </c>
      <c r="W211" s="2"/>
      <c r="X211" s="6">
        <f t="shared" si="48"/>
        <v>1986.5699999999997</v>
      </c>
      <c r="Y211" s="2"/>
      <c r="Z211" s="7">
        <f t="shared" si="49"/>
        <v>0.11070677642031537</v>
      </c>
    </row>
    <row r="212" spans="1:26" s="23" customFormat="1" hidden="1" outlineLevel="2" x14ac:dyDescent="0.25">
      <c r="A212" s="25"/>
      <c r="B212" s="10" t="str">
        <f>CONCATENATE("          ", "6118", " - ", "VACATION")</f>
        <v xml:space="preserve">          6118 - VACATION</v>
      </c>
      <c r="C212" s="10"/>
      <c r="D212" s="6">
        <v>14188.83</v>
      </c>
      <c r="E212" s="2"/>
      <c r="F212" s="7">
        <f t="shared" si="42"/>
        <v>1.7435992189948395E-2</v>
      </c>
      <c r="G212" s="2"/>
      <c r="H212" s="6">
        <v>32451.279999999999</v>
      </c>
      <c r="I212" s="2"/>
      <c r="J212" s="7">
        <f t="shared" si="43"/>
        <v>1.7569375342765255E-2</v>
      </c>
      <c r="K212" s="2"/>
      <c r="L212" s="6">
        <f t="shared" si="44"/>
        <v>-18262.449999999997</v>
      </c>
      <c r="M212" s="2"/>
      <c r="N212" s="7">
        <f t="shared" si="45"/>
        <v>-0.56276516673610399</v>
      </c>
      <c r="O212" s="10"/>
      <c r="P212" s="6">
        <v>141135.70000000001</v>
      </c>
      <c r="Q212" s="2"/>
      <c r="R212" s="7">
        <f t="shared" si="46"/>
        <v>1.7719145547580022E-2</v>
      </c>
      <c r="S212" s="2"/>
      <c r="T212" s="6">
        <v>218691.43</v>
      </c>
      <c r="U212" s="2"/>
      <c r="V212" s="7">
        <f t="shared" si="47"/>
        <v>8.0860727319076436E-3</v>
      </c>
      <c r="W212" s="2"/>
      <c r="X212" s="6">
        <f t="shared" si="48"/>
        <v>-77555.729999999981</v>
      </c>
      <c r="Y212" s="2"/>
      <c r="Z212" s="7">
        <f t="shared" si="49"/>
        <v>-0.35463543313059859</v>
      </c>
    </row>
    <row r="213" spans="1:26" s="23" customFormat="1" hidden="1" outlineLevel="2" x14ac:dyDescent="0.25">
      <c r="A213" s="25"/>
      <c r="B213" s="10" t="str">
        <f>CONCATENATE("          ", "6119", " - ", "SICK LEAVE")</f>
        <v xml:space="preserve">          6119 - SICK LEAVE</v>
      </c>
      <c r="C213" s="10"/>
      <c r="D213" s="6">
        <v>9985.3799999999992</v>
      </c>
      <c r="E213" s="2"/>
      <c r="F213" s="7">
        <f t="shared" si="42"/>
        <v>1.2270568305749444E-2</v>
      </c>
      <c r="G213" s="2"/>
      <c r="H213" s="6">
        <v>-33955.980000000003</v>
      </c>
      <c r="I213" s="2"/>
      <c r="J213" s="7">
        <f t="shared" si="43"/>
        <v>-1.8384031623758144E-2</v>
      </c>
      <c r="K213" s="2"/>
      <c r="L213" s="6">
        <f t="shared" si="44"/>
        <v>43941.36</v>
      </c>
      <c r="M213" s="2"/>
      <c r="N213" s="7">
        <f t="shared" si="45"/>
        <v>-1.2940683791190828</v>
      </c>
      <c r="O213" s="10"/>
      <c r="P213" s="6">
        <v>95490.29</v>
      </c>
      <c r="Q213" s="2"/>
      <c r="R213" s="7">
        <f t="shared" si="46"/>
        <v>1.1988507138099184E-2</v>
      </c>
      <c r="S213" s="2"/>
      <c r="T213" s="6">
        <v>125297.27</v>
      </c>
      <c r="U213" s="2"/>
      <c r="V213" s="7">
        <f t="shared" si="47"/>
        <v>4.6328419834717333E-3</v>
      </c>
      <c r="W213" s="2"/>
      <c r="X213" s="6">
        <f t="shared" si="48"/>
        <v>-29806.98000000001</v>
      </c>
      <c r="Y213" s="2"/>
      <c r="Z213" s="7">
        <f t="shared" si="49"/>
        <v>-0.2378900992814928</v>
      </c>
    </row>
    <row r="214" spans="1:26" s="23" customFormat="1" hidden="1" outlineLevel="2" x14ac:dyDescent="0.25">
      <c r="A214" s="25"/>
      <c r="B214" s="10" t="str">
        <f>CONCATENATE("          ", "6156", " - ", "EMPLOYEE MEALS")</f>
        <v xml:space="preserve">          6156 - EMPLOYEE MEALS</v>
      </c>
      <c r="C214" s="10"/>
      <c r="D214" s="6">
        <v>5217.07</v>
      </c>
      <c r="E214" s="2"/>
      <c r="F214" s="7">
        <f t="shared" si="42"/>
        <v>6.4110142819678627E-3</v>
      </c>
      <c r="G214" s="2"/>
      <c r="H214" s="6">
        <v>7335.69</v>
      </c>
      <c r="I214" s="2"/>
      <c r="J214" s="7">
        <f t="shared" si="43"/>
        <v>3.9715996104982502E-3</v>
      </c>
      <c r="K214" s="2"/>
      <c r="L214" s="6">
        <f t="shared" si="44"/>
        <v>-2118.62</v>
      </c>
      <c r="M214" s="2"/>
      <c r="N214" s="7">
        <f t="shared" si="45"/>
        <v>-0.28880991426846009</v>
      </c>
      <c r="O214" s="10"/>
      <c r="P214" s="6">
        <v>42154.61</v>
      </c>
      <c r="Q214" s="2"/>
      <c r="R214" s="7">
        <f t="shared" si="46"/>
        <v>5.2923793915463785E-3</v>
      </c>
      <c r="S214" s="2"/>
      <c r="T214" s="6">
        <v>85343.63</v>
      </c>
      <c r="U214" s="2"/>
      <c r="V214" s="7">
        <f t="shared" si="47"/>
        <v>3.1555639806507972E-3</v>
      </c>
      <c r="W214" s="2"/>
      <c r="X214" s="6">
        <f t="shared" si="48"/>
        <v>-43189.020000000004</v>
      </c>
      <c r="Y214" s="2"/>
      <c r="Z214" s="7">
        <f t="shared" si="49"/>
        <v>-0.50606026483757494</v>
      </c>
    </row>
    <row r="215" spans="1:26" s="26" customFormat="1" outlineLevel="1" collapsed="1" x14ac:dyDescent="0.25">
      <c r="A215" s="27"/>
      <c r="B215" s="12" t="str">
        <f>CONCATENATE("     ","*Payroll                                          ")</f>
        <v xml:space="preserve">     *Payroll                                          </v>
      </c>
      <c r="C215" s="12"/>
      <c r="D215" s="1">
        <f>SUM(OSRRefD22_1x_0)</f>
        <v>271183.71999999997</v>
      </c>
      <c r="E215" s="1"/>
      <c r="F215" s="5">
        <f t="shared" ref="F215:F222" si="50">IF(D$12=0,0,D215/D$12)</f>
        <v>0.33324504021551826</v>
      </c>
      <c r="G215" s="1"/>
      <c r="H215" s="1">
        <f>SUM(OSRRefH22_1x_0)</f>
        <v>903621.22</v>
      </c>
      <c r="I215" s="1"/>
      <c r="J215" s="5">
        <f t="shared" ref="J215:J222" si="51">IF(H$12=0,0,H215/H$12)</f>
        <v>0.48922755533425671</v>
      </c>
      <c r="K215" s="1"/>
      <c r="L215" s="1">
        <f t="shared" ref="L215:L222" si="52">+D215-H215</f>
        <v>-632437.5</v>
      </c>
      <c r="M215" s="1"/>
      <c r="N215" s="5">
        <f t="shared" ref="N215:N222" si="53">IF(H215=0,0,L215/H215)</f>
        <v>-0.69989226237958424</v>
      </c>
      <c r="O215" s="12"/>
      <c r="P215" s="1">
        <f>SUM(OSRRefP22_1x_0)</f>
        <v>2579207.0299999998</v>
      </c>
      <c r="Q215" s="1"/>
      <c r="R215" s="5">
        <f t="shared" ref="R215:R222" si="54">IF(P$12=0,0,P215/P$12)</f>
        <v>0.32381137275623095</v>
      </c>
      <c r="S215" s="1"/>
      <c r="T215" s="1">
        <f>SUM(OSRRefT22_1x_0)</f>
        <v>6821074.7000000002</v>
      </c>
      <c r="U215" s="1"/>
      <c r="V215" s="5">
        <f t="shared" ref="V215:V222" si="55">IF(T$12=0,0,T215/T$12)</f>
        <v>0.2522078992028865</v>
      </c>
      <c r="W215" s="1"/>
      <c r="X215" s="1">
        <f t="shared" ref="X215:X222" si="56">+P215-T215</f>
        <v>-4241867.67</v>
      </c>
      <c r="Y215" s="1"/>
      <c r="Z215" s="5">
        <f t="shared" ref="Z215:Z222" si="57">IF(T215=0,0,X215/T215)</f>
        <v>-0.62187673593429493</v>
      </c>
    </row>
    <row r="216" spans="1:26" s="23" customFormat="1" hidden="1" outlineLevel="2" x14ac:dyDescent="0.25">
      <c r="A216" s="25"/>
      <c r="B216" s="10" t="str">
        <f>CONCATENATE("          ", "6001", " - ", "ADMINISTRATIVE SALARIES")</f>
        <v xml:space="preserve">          6001 - ADMINISTRATIVE SALARIES</v>
      </c>
      <c r="C216" s="10"/>
      <c r="D216" s="6">
        <v>27556.35</v>
      </c>
      <c r="E216" s="2"/>
      <c r="F216" s="7">
        <f t="shared" si="50"/>
        <v>3.3862714782225488E-2</v>
      </c>
      <c r="G216" s="2"/>
      <c r="H216" s="6">
        <v>23408</v>
      </c>
      <c r="I216" s="2"/>
      <c r="J216" s="7">
        <f t="shared" si="51"/>
        <v>1.2673273227541382E-2</v>
      </c>
      <c r="K216" s="2"/>
      <c r="L216" s="6">
        <f t="shared" si="52"/>
        <v>4148.3499999999985</v>
      </c>
      <c r="M216" s="2"/>
      <c r="N216" s="7">
        <f t="shared" si="53"/>
        <v>0.17721932672590562</v>
      </c>
      <c r="O216" s="10"/>
      <c r="P216" s="6">
        <v>257523.53</v>
      </c>
      <c r="Q216" s="2"/>
      <c r="R216" s="7">
        <f t="shared" si="54"/>
        <v>3.2331273448153723E-2</v>
      </c>
      <c r="S216" s="2"/>
      <c r="T216" s="6">
        <v>317582.64</v>
      </c>
      <c r="U216" s="2"/>
      <c r="V216" s="7">
        <f t="shared" si="55"/>
        <v>1.1742555825947279E-2</v>
      </c>
      <c r="W216" s="2"/>
      <c r="X216" s="6">
        <f t="shared" si="56"/>
        <v>-60059.110000000015</v>
      </c>
      <c r="Y216" s="2"/>
      <c r="Z216" s="7">
        <f t="shared" si="57"/>
        <v>-0.18911332810886644</v>
      </c>
    </row>
    <row r="217" spans="1:26" s="23" customFormat="1" hidden="1" outlineLevel="2" x14ac:dyDescent="0.25">
      <c r="A217" s="25"/>
      <c r="B217" s="10" t="str">
        <f>CONCATENATE("          ", "6002", " - ", "STAFF SALARIES")</f>
        <v xml:space="preserve">          6002 - STAFF SALARIES</v>
      </c>
      <c r="C217" s="10"/>
      <c r="D217" s="6">
        <v>106794.62</v>
      </c>
      <c r="E217" s="2"/>
      <c r="F217" s="7">
        <f t="shared" si="50"/>
        <v>0.13123493341230438</v>
      </c>
      <c r="G217" s="2"/>
      <c r="H217" s="6">
        <v>206221.84</v>
      </c>
      <c r="I217" s="2"/>
      <c r="J217" s="7">
        <f t="shared" si="51"/>
        <v>0.11165010781811015</v>
      </c>
      <c r="K217" s="2"/>
      <c r="L217" s="6">
        <f t="shared" si="52"/>
        <v>-99427.22</v>
      </c>
      <c r="M217" s="2"/>
      <c r="N217" s="7">
        <f t="shared" si="53"/>
        <v>-0.4821371974956678</v>
      </c>
      <c r="O217" s="10"/>
      <c r="P217" s="6">
        <v>1011277.69</v>
      </c>
      <c r="Q217" s="2"/>
      <c r="R217" s="7">
        <f t="shared" si="54"/>
        <v>0.12696274987923331</v>
      </c>
      <c r="S217" s="2"/>
      <c r="T217" s="6">
        <v>1690485.27</v>
      </c>
      <c r="U217" s="2"/>
      <c r="V217" s="7">
        <f t="shared" si="55"/>
        <v>6.2505361300342357E-2</v>
      </c>
      <c r="W217" s="2"/>
      <c r="X217" s="6">
        <f t="shared" si="56"/>
        <v>-679207.58000000007</v>
      </c>
      <c r="Y217" s="2"/>
      <c r="Z217" s="7">
        <f t="shared" si="57"/>
        <v>-0.40178260766507601</v>
      </c>
    </row>
    <row r="218" spans="1:26" s="23" customFormat="1" hidden="1" outlineLevel="2" x14ac:dyDescent="0.25">
      <c r="A218" s="25"/>
      <c r="B218" s="10" t="str">
        <f>CONCATENATE("          ", "6004", " - ", "STAFF HOURLY")</f>
        <v xml:space="preserve">          6004 - STAFF HOURLY</v>
      </c>
      <c r="C218" s="10"/>
      <c r="D218" s="6">
        <v>62538.52</v>
      </c>
      <c r="E218" s="2"/>
      <c r="F218" s="7">
        <f t="shared" si="50"/>
        <v>7.6850673825180196E-2</v>
      </c>
      <c r="G218" s="2"/>
      <c r="H218" s="6">
        <v>138779.76</v>
      </c>
      <c r="I218" s="2"/>
      <c r="J218" s="7">
        <f t="shared" si="51"/>
        <v>7.5136441256519929E-2</v>
      </c>
      <c r="K218" s="2"/>
      <c r="L218" s="6">
        <f t="shared" si="52"/>
        <v>-76241.24000000002</v>
      </c>
      <c r="M218" s="2"/>
      <c r="N218" s="7">
        <f t="shared" si="53"/>
        <v>-0.54936858227741581</v>
      </c>
      <c r="O218" s="10"/>
      <c r="P218" s="6">
        <v>590159.57999999996</v>
      </c>
      <c r="Q218" s="2"/>
      <c r="R218" s="7">
        <f t="shared" si="54"/>
        <v>7.4092688769168219E-2</v>
      </c>
      <c r="S218" s="2"/>
      <c r="T218" s="6">
        <v>818169.99</v>
      </c>
      <c r="U218" s="2"/>
      <c r="V218" s="7">
        <f t="shared" si="55"/>
        <v>3.0251674911102595E-2</v>
      </c>
      <c r="W218" s="2"/>
      <c r="X218" s="6">
        <f t="shared" si="56"/>
        <v>-228010.41000000003</v>
      </c>
      <c r="Y218" s="2"/>
      <c r="Z218" s="7">
        <f t="shared" si="57"/>
        <v>-0.27868341883329162</v>
      </c>
    </row>
    <row r="219" spans="1:26" s="23" customFormat="1" hidden="1" outlineLevel="2" x14ac:dyDescent="0.25">
      <c r="A219" s="25"/>
      <c r="B219" s="10" t="str">
        <f>CONCATENATE("          ", "6005", " - ", "TEMPORARY WAGES-HOURLY")</f>
        <v xml:space="preserve">          6005 - TEMPORARY WAGES-HOURLY</v>
      </c>
      <c r="C219" s="10"/>
      <c r="D219" s="6">
        <v>29141.54</v>
      </c>
      <c r="E219" s="2"/>
      <c r="F219" s="7">
        <f t="shared" si="50"/>
        <v>3.5810680925986764E-2</v>
      </c>
      <c r="G219" s="2"/>
      <c r="H219" s="6">
        <v>168081.19</v>
      </c>
      <c r="I219" s="2"/>
      <c r="J219" s="7">
        <f t="shared" si="51"/>
        <v>9.1000463315118602E-2</v>
      </c>
      <c r="K219" s="2"/>
      <c r="L219" s="6">
        <f t="shared" si="52"/>
        <v>-138939.65</v>
      </c>
      <c r="M219" s="2"/>
      <c r="N219" s="7">
        <f t="shared" si="53"/>
        <v>-0.82662224131088069</v>
      </c>
      <c r="O219" s="10"/>
      <c r="P219" s="6">
        <v>288598.49</v>
      </c>
      <c r="Q219" s="2"/>
      <c r="R219" s="7">
        <f t="shared" si="54"/>
        <v>3.6232637448369312E-2</v>
      </c>
      <c r="S219" s="2"/>
      <c r="T219" s="6">
        <v>1161119.1599999999</v>
      </c>
      <c r="U219" s="2"/>
      <c r="V219" s="7">
        <f t="shared" si="55"/>
        <v>4.2932153208616854E-2</v>
      </c>
      <c r="W219" s="2"/>
      <c r="X219" s="6">
        <f t="shared" si="56"/>
        <v>-872520.66999999993</v>
      </c>
      <c r="Y219" s="2"/>
      <c r="Z219" s="7">
        <f t="shared" si="57"/>
        <v>-0.75144799953176211</v>
      </c>
    </row>
    <row r="220" spans="1:26" s="23" customFormat="1" hidden="1" outlineLevel="2" x14ac:dyDescent="0.25">
      <c r="A220" s="25"/>
      <c r="B220" s="10" t="str">
        <f>CONCATENATE("          ", "6006", " - ", "TEMPORARY PART TIME")</f>
        <v xml:space="preserve">          6006 - TEMPORARY PART TIME</v>
      </c>
      <c r="C220" s="10"/>
      <c r="D220" s="6">
        <v>2740.85</v>
      </c>
      <c r="E220" s="2"/>
      <c r="F220" s="7">
        <f t="shared" si="50"/>
        <v>3.3681028804926167E-3</v>
      </c>
      <c r="G220" s="2"/>
      <c r="H220" s="6">
        <v>15102.87</v>
      </c>
      <c r="I220" s="2"/>
      <c r="J220" s="7">
        <f t="shared" si="51"/>
        <v>8.1768112623905476E-3</v>
      </c>
      <c r="K220" s="2"/>
      <c r="L220" s="6">
        <f t="shared" si="52"/>
        <v>-12362.02</v>
      </c>
      <c r="M220" s="2"/>
      <c r="N220" s="7">
        <f t="shared" si="53"/>
        <v>-0.81852124794823766</v>
      </c>
      <c r="O220" s="10"/>
      <c r="P220" s="6">
        <v>15380.25</v>
      </c>
      <c r="Q220" s="2"/>
      <c r="R220" s="7">
        <f t="shared" si="54"/>
        <v>1.9309422655512929E-3</v>
      </c>
      <c r="S220" s="2"/>
      <c r="T220" s="6">
        <v>106598.54</v>
      </c>
      <c r="U220" s="2"/>
      <c r="V220" s="7">
        <f t="shared" si="55"/>
        <v>3.941460109137181E-3</v>
      </c>
      <c r="W220" s="2"/>
      <c r="X220" s="6">
        <f t="shared" si="56"/>
        <v>-91218.29</v>
      </c>
      <c r="Y220" s="2"/>
      <c r="Z220" s="7">
        <f t="shared" si="57"/>
        <v>-0.85571800514341001</v>
      </c>
    </row>
    <row r="221" spans="1:26" s="23" customFormat="1" hidden="1" outlineLevel="2" x14ac:dyDescent="0.25">
      <c r="A221" s="25"/>
      <c r="B221" s="10" t="str">
        <f>CONCATENATE("          ", "6007", " - ", "STUDENT HOURLY")</f>
        <v xml:space="preserve">          6007 - STUDENT HOURLY</v>
      </c>
      <c r="C221" s="10"/>
      <c r="D221" s="6">
        <v>41299.47</v>
      </c>
      <c r="E221" s="2"/>
      <c r="F221" s="7">
        <f t="shared" si="50"/>
        <v>5.0750994716901116E-2</v>
      </c>
      <c r="G221" s="2"/>
      <c r="H221" s="6">
        <v>311863.37</v>
      </c>
      <c r="I221" s="2"/>
      <c r="J221" s="7">
        <f t="shared" si="51"/>
        <v>0.16884525365993813</v>
      </c>
      <c r="K221" s="2"/>
      <c r="L221" s="6">
        <f t="shared" si="52"/>
        <v>-270563.90000000002</v>
      </c>
      <c r="M221" s="2"/>
      <c r="N221" s="7">
        <f t="shared" si="53"/>
        <v>-0.86757191137901202</v>
      </c>
      <c r="O221" s="10"/>
      <c r="P221" s="6">
        <v>393313.11</v>
      </c>
      <c r="Q221" s="2"/>
      <c r="R221" s="7">
        <f t="shared" si="54"/>
        <v>4.9379230356751347E-2</v>
      </c>
      <c r="S221" s="2"/>
      <c r="T221" s="6">
        <v>2486128.56</v>
      </c>
      <c r="U221" s="2"/>
      <c r="V221" s="7">
        <f t="shared" si="55"/>
        <v>9.1924115897147024E-2</v>
      </c>
      <c r="W221" s="2"/>
      <c r="X221" s="6">
        <f t="shared" si="56"/>
        <v>-2092815.4500000002</v>
      </c>
      <c r="Y221" s="2"/>
      <c r="Z221" s="7">
        <f t="shared" si="57"/>
        <v>-0.84179695437793456</v>
      </c>
    </row>
    <row r="222" spans="1:26" s="23" customFormat="1" hidden="1" outlineLevel="2" x14ac:dyDescent="0.25">
      <c r="A222" s="25"/>
      <c r="B222" s="10" t="str">
        <f>CONCATENATE("          ", "6008", " - ", "STUDENT HOURLY-FICA EXEMPT")</f>
        <v xml:space="preserve">          6008 - STUDENT HOURLY-FICA EXEMPT</v>
      </c>
      <c r="C222" s="10"/>
      <c r="D222" s="6">
        <v>1112.3699999999999</v>
      </c>
      <c r="E222" s="2"/>
      <c r="F222" s="7">
        <f t="shared" si="50"/>
        <v>1.3669396724277404E-3</v>
      </c>
      <c r="G222" s="2"/>
      <c r="H222" s="6">
        <v>40164.19</v>
      </c>
      <c r="I222" s="2"/>
      <c r="J222" s="7">
        <f t="shared" si="51"/>
        <v>2.1745204794637957E-2</v>
      </c>
      <c r="K222" s="2"/>
      <c r="L222" s="6">
        <f t="shared" si="52"/>
        <v>-39051.82</v>
      </c>
      <c r="M222" s="2"/>
      <c r="N222" s="7">
        <f t="shared" si="53"/>
        <v>-0.97230443337709527</v>
      </c>
      <c r="O222" s="10"/>
      <c r="P222" s="6">
        <v>22954.38</v>
      </c>
      <c r="Q222" s="2"/>
      <c r="R222" s="7">
        <f t="shared" si="54"/>
        <v>2.8818505890037737E-3</v>
      </c>
      <c r="S222" s="2"/>
      <c r="T222" s="6">
        <v>240990.54</v>
      </c>
      <c r="U222" s="2"/>
      <c r="V222" s="7">
        <f t="shared" si="55"/>
        <v>8.9105779505932094E-3</v>
      </c>
      <c r="W222" s="2"/>
      <c r="X222" s="6">
        <f t="shared" si="56"/>
        <v>-218036.16</v>
      </c>
      <c r="Y222" s="2"/>
      <c r="Z222" s="7">
        <f t="shared" si="57"/>
        <v>-0.90474987109452509</v>
      </c>
    </row>
    <row r="223" spans="1:26" s="26" customFormat="1" outlineLevel="1" collapsed="1" x14ac:dyDescent="0.25">
      <c r="A223" s="27"/>
      <c r="B223" s="12" t="str">
        <f>CONCATENATE("     ","Advertising/Promo                                 ")</f>
        <v xml:space="preserve">     Advertising/Promo                                 </v>
      </c>
      <c r="C223" s="12"/>
      <c r="D223" s="1">
        <f>SUM(OSRRefD22_2x_0)</f>
        <v>228.62</v>
      </c>
      <c r="E223" s="1"/>
      <c r="F223" s="5">
        <f t="shared" ref="F223:F227" si="58">IF(D$12=0,0,D223/D$12)</f>
        <v>2.8094046756963061E-4</v>
      </c>
      <c r="G223" s="1"/>
      <c r="H223" s="1">
        <f>SUM(OSRRefH22_2x_0)</f>
        <v>2675.53</v>
      </c>
      <c r="I223" s="1"/>
      <c r="J223" s="5">
        <f t="shared" ref="J223:J227" si="59">IF(H$12=0,0,H223/H$12)</f>
        <v>1.4485527477137643E-3</v>
      </c>
      <c r="K223" s="1"/>
      <c r="L223" s="1">
        <f t="shared" ref="L223:L227" si="60">+D223-H223</f>
        <v>-2446.9100000000003</v>
      </c>
      <c r="M223" s="1"/>
      <c r="N223" s="5">
        <f t="shared" ref="N223:N227" si="61">IF(H223=0,0,L223/H223)</f>
        <v>-0.9145515094205634</v>
      </c>
      <c r="O223" s="12"/>
      <c r="P223" s="1">
        <f>SUM(OSRRefP22_2x_0)</f>
        <v>18639.34</v>
      </c>
      <c r="Q223" s="1"/>
      <c r="R223" s="5">
        <f t="shared" ref="R223:R227" si="62">IF(P$12=0,0,P223/P$12)</f>
        <v>2.3401108179633514E-3</v>
      </c>
      <c r="S223" s="1"/>
      <c r="T223" s="1">
        <f>SUM(OSRRefT22_2x_0)</f>
        <v>85766.82</v>
      </c>
      <c r="U223" s="1"/>
      <c r="V223" s="5">
        <f t="shared" ref="V223:V227" si="63">IF(T$12=0,0,T223/T$12)</f>
        <v>3.1712113478997834E-3</v>
      </c>
      <c r="W223" s="1"/>
      <c r="X223" s="1">
        <f t="shared" ref="X223:X227" si="64">+P223-T223</f>
        <v>-67127.48000000001</v>
      </c>
      <c r="Y223" s="1"/>
      <c r="Z223" s="5">
        <f t="shared" ref="Z223:Z227" si="65">IF(T223=0,0,X223/T223)</f>
        <v>-0.78267423229635891</v>
      </c>
    </row>
    <row r="224" spans="1:26" s="23" customFormat="1" hidden="1" outlineLevel="2" x14ac:dyDescent="0.25">
      <c r="A224" s="25"/>
      <c r="B224" s="10" t="str">
        <f>CONCATENATE("          ", "6362", " - ", "ADVERTISING EXPENSE")</f>
        <v xml:space="preserve">          6362 - ADVERTISING EXPENSE</v>
      </c>
      <c r="C224" s="10"/>
      <c r="D224" s="6">
        <v>228.62</v>
      </c>
      <c r="E224" s="2"/>
      <c r="F224" s="7">
        <f t="shared" si="58"/>
        <v>2.8094046756963061E-4</v>
      </c>
      <c r="G224" s="2"/>
      <c r="H224" s="6">
        <v>2675.53</v>
      </c>
      <c r="I224" s="2"/>
      <c r="J224" s="7">
        <f t="shared" si="59"/>
        <v>1.4485527477137643E-3</v>
      </c>
      <c r="K224" s="2"/>
      <c r="L224" s="6">
        <f t="shared" si="60"/>
        <v>-2446.9100000000003</v>
      </c>
      <c r="M224" s="2"/>
      <c r="N224" s="7">
        <f t="shared" si="61"/>
        <v>-0.9145515094205634</v>
      </c>
      <c r="O224" s="10"/>
      <c r="P224" s="6">
        <v>18639.34</v>
      </c>
      <c r="Q224" s="2"/>
      <c r="R224" s="7">
        <f t="shared" si="62"/>
        <v>2.3401108179633514E-3</v>
      </c>
      <c r="S224" s="2"/>
      <c r="T224" s="6">
        <v>85766.82</v>
      </c>
      <c r="U224" s="2"/>
      <c r="V224" s="7">
        <f t="shared" si="63"/>
        <v>3.1712113478997834E-3</v>
      </c>
      <c r="W224" s="2"/>
      <c r="X224" s="6">
        <f t="shared" si="64"/>
        <v>-67127.48000000001</v>
      </c>
      <c r="Y224" s="2"/>
      <c r="Z224" s="7">
        <f t="shared" si="65"/>
        <v>-0.78267423229635891</v>
      </c>
    </row>
    <row r="225" spans="1:26" s="26" customFormat="1" outlineLevel="1" collapsed="1" x14ac:dyDescent="0.25">
      <c r="A225" s="27"/>
      <c r="B225" s="12" t="str">
        <f>CONCATENATE("     ","Bad Debts/Over/Short                              ")</f>
        <v xml:space="preserve">     Bad Debts/Over/Short                              </v>
      </c>
      <c r="C225" s="12"/>
      <c r="D225" s="1">
        <f>SUM(OSRRefD22_3x_0)</f>
        <v>-16.899999999999999</v>
      </c>
      <c r="E225" s="1"/>
      <c r="F225" s="5">
        <f t="shared" si="58"/>
        <v>-2.0767622701105577E-5</v>
      </c>
      <c r="G225" s="1"/>
      <c r="H225" s="1">
        <f>SUM(OSRRefH22_3x_0)</f>
        <v>-49.44</v>
      </c>
      <c r="I225" s="1"/>
      <c r="J225" s="5">
        <f t="shared" si="59"/>
        <v>-2.6767200460083984E-5</v>
      </c>
      <c r="K225" s="1"/>
      <c r="L225" s="1">
        <f t="shared" si="60"/>
        <v>32.54</v>
      </c>
      <c r="M225" s="1"/>
      <c r="N225" s="5">
        <f t="shared" si="61"/>
        <v>-0.65817152103559873</v>
      </c>
      <c r="O225" s="12"/>
      <c r="P225" s="1">
        <f>SUM(OSRRefP22_3x_0)</f>
        <v>5249.2</v>
      </c>
      <c r="Q225" s="1"/>
      <c r="R225" s="5">
        <f t="shared" si="62"/>
        <v>6.590206362270995E-4</v>
      </c>
      <c r="S225" s="1"/>
      <c r="T225" s="1">
        <f>SUM(OSRRefT22_3x_0)</f>
        <v>-657.04000000000008</v>
      </c>
      <c r="U225" s="1"/>
      <c r="V225" s="5">
        <f t="shared" si="63"/>
        <v>-2.4293925133566497E-5</v>
      </c>
      <c r="W225" s="1"/>
      <c r="X225" s="1">
        <f t="shared" si="64"/>
        <v>5906.24</v>
      </c>
      <c r="Y225" s="1"/>
      <c r="Z225" s="5">
        <f t="shared" si="65"/>
        <v>-8.9891635212468017</v>
      </c>
    </row>
    <row r="226" spans="1:26" s="23" customFormat="1" hidden="1" outlineLevel="2" x14ac:dyDescent="0.25">
      <c r="A226" s="25"/>
      <c r="B226" s="10" t="str">
        <f>CONCATENATE("          ", "6272", " - ", "CASH (OVER/SHORT)")</f>
        <v xml:space="preserve">          6272 - CASH (OVER/SHORT)</v>
      </c>
      <c r="C226" s="10"/>
      <c r="D226" s="6">
        <v>-16.899999999999999</v>
      </c>
      <c r="E226" s="2"/>
      <c r="F226" s="7">
        <f t="shared" si="58"/>
        <v>-2.0767622701105577E-5</v>
      </c>
      <c r="G226" s="2"/>
      <c r="H226" s="6">
        <v>-49.44</v>
      </c>
      <c r="I226" s="2"/>
      <c r="J226" s="7">
        <f t="shared" si="59"/>
        <v>-2.6767200460083984E-5</v>
      </c>
      <c r="K226" s="2"/>
      <c r="L226" s="6">
        <f t="shared" si="60"/>
        <v>32.54</v>
      </c>
      <c r="M226" s="2"/>
      <c r="N226" s="7">
        <f t="shared" si="61"/>
        <v>-0.65817152103559873</v>
      </c>
      <c r="O226" s="10"/>
      <c r="P226" s="6">
        <v>-100.22</v>
      </c>
      <c r="Q226" s="2"/>
      <c r="R226" s="7">
        <f t="shared" si="62"/>
        <v>-1.2582307430214111E-5</v>
      </c>
      <c r="S226" s="2"/>
      <c r="T226" s="6">
        <v>-701.84</v>
      </c>
      <c r="U226" s="2"/>
      <c r="V226" s="7">
        <f t="shared" si="63"/>
        <v>-2.5950396346862154E-5</v>
      </c>
      <c r="W226" s="2"/>
      <c r="X226" s="6">
        <f t="shared" si="64"/>
        <v>601.62</v>
      </c>
      <c r="Y226" s="2"/>
      <c r="Z226" s="7">
        <f t="shared" si="65"/>
        <v>-0.85720392112162314</v>
      </c>
    </row>
    <row r="227" spans="1:26" s="23" customFormat="1" hidden="1" outlineLevel="2" x14ac:dyDescent="0.25">
      <c r="A227" s="25"/>
      <c r="B227" s="10" t="str">
        <f>CONCATENATE("          ", "6342", " - ", "BAD DEBT")</f>
        <v xml:space="preserve">          6342 - BAD DEBT</v>
      </c>
      <c r="C227" s="10"/>
      <c r="D227" s="6"/>
      <c r="E227" s="2"/>
      <c r="F227" s="7">
        <f t="shared" si="58"/>
        <v>0</v>
      </c>
      <c r="G227" s="2"/>
      <c r="H227" s="6"/>
      <c r="I227" s="2"/>
      <c r="J227" s="7">
        <f t="shared" si="59"/>
        <v>0</v>
      </c>
      <c r="K227" s="2"/>
      <c r="L227" s="6">
        <f t="shared" si="60"/>
        <v>0</v>
      </c>
      <c r="M227" s="2"/>
      <c r="N227" s="7">
        <f t="shared" si="61"/>
        <v>0</v>
      </c>
      <c r="O227" s="10"/>
      <c r="P227" s="6">
        <v>5349.42</v>
      </c>
      <c r="Q227" s="2"/>
      <c r="R227" s="7">
        <f t="shared" si="62"/>
        <v>6.7160294365731362E-4</v>
      </c>
      <c r="S227" s="2"/>
      <c r="T227" s="6">
        <v>44.8</v>
      </c>
      <c r="U227" s="2"/>
      <c r="V227" s="7">
        <f t="shared" si="63"/>
        <v>1.6564712132956577E-6</v>
      </c>
      <c r="W227" s="2"/>
      <c r="X227" s="6">
        <f t="shared" si="64"/>
        <v>5304.62</v>
      </c>
      <c r="Y227" s="2"/>
      <c r="Z227" s="7">
        <f t="shared" si="65"/>
        <v>118.40669642857144</v>
      </c>
    </row>
    <row r="228" spans="1:26" s="26" customFormat="1" outlineLevel="1" collapsed="1" x14ac:dyDescent="0.25">
      <c r="A228" s="27"/>
      <c r="B228" s="12" t="str">
        <f>CONCATENATE("     ","Bank/card Fees                                    ")</f>
        <v xml:space="preserve">     Bank/card Fees                                    </v>
      </c>
      <c r="C228" s="12"/>
      <c r="D228" s="1">
        <f>SUM(OSRRefD22_4x_0)</f>
        <v>4821.8</v>
      </c>
      <c r="E228" s="1"/>
      <c r="F228" s="5">
        <f t="shared" ref="F228:F234" si="66">IF(D$12=0,0,D228/D$12)</f>
        <v>5.9252853929107037E-3</v>
      </c>
      <c r="G228" s="1"/>
      <c r="H228" s="1">
        <f>SUM(OSRRefH22_4x_0)</f>
        <v>29271.83</v>
      </c>
      <c r="I228" s="1"/>
      <c r="J228" s="5">
        <f t="shared" ref="J228:J234" si="67">IF(H$12=0,0,H228/H$12)</f>
        <v>1.5847996388420313E-2</v>
      </c>
      <c r="K228" s="1"/>
      <c r="L228" s="1">
        <f t="shared" ref="L228:L234" si="68">+D228-H228</f>
        <v>-24450.030000000002</v>
      </c>
      <c r="M228" s="1"/>
      <c r="N228" s="5">
        <f t="shared" ref="N228:N234" si="69">IF(H228=0,0,L228/H228)</f>
        <v>-0.83527507504655507</v>
      </c>
      <c r="O228" s="12"/>
      <c r="P228" s="1">
        <f>SUM(OSRRefP22_4x_0)</f>
        <v>77291.31</v>
      </c>
      <c r="Q228" s="1"/>
      <c r="R228" s="5">
        <f t="shared" ref="R228:R234" si="70">IF(P$12=0,0,P228/P$12)</f>
        <v>9.7036821403310939E-3</v>
      </c>
      <c r="S228" s="1"/>
      <c r="T228" s="1">
        <f>SUM(OSRRefT22_4x_0)</f>
        <v>393451.75</v>
      </c>
      <c r="U228" s="1"/>
      <c r="V228" s="5">
        <f t="shared" ref="V228:V234" si="71">IF(T$12=0,0,T228/T$12)</f>
        <v>1.4547801287852675E-2</v>
      </c>
      <c r="W228" s="1"/>
      <c r="X228" s="1">
        <f t="shared" ref="X228:X234" si="72">+P228-T228</f>
        <v>-316160.44</v>
      </c>
      <c r="Y228" s="1"/>
      <c r="Z228" s="5">
        <f t="shared" ref="Z228:Z234" si="73">IF(T228=0,0,X228/T228)</f>
        <v>-0.80355581084592964</v>
      </c>
    </row>
    <row r="229" spans="1:26" s="23" customFormat="1" hidden="1" outlineLevel="2" x14ac:dyDescent="0.25">
      <c r="A229" s="25"/>
      <c r="B229" s="10" t="str">
        <f>CONCATENATE("          ", "6381", " - ", "BANK/CREDIT CARD FEES")</f>
        <v xml:space="preserve">          6381 - BANK/CREDIT CARD FEES</v>
      </c>
      <c r="C229" s="10"/>
      <c r="D229" s="6">
        <v>4821.8</v>
      </c>
      <c r="E229" s="2"/>
      <c r="F229" s="7">
        <f t="shared" si="66"/>
        <v>5.9252853929107037E-3</v>
      </c>
      <c r="G229" s="2"/>
      <c r="H229" s="6">
        <v>29271.83</v>
      </c>
      <c r="I229" s="2"/>
      <c r="J229" s="7">
        <f t="shared" si="67"/>
        <v>1.5847996388420313E-2</v>
      </c>
      <c r="K229" s="2"/>
      <c r="L229" s="6">
        <f t="shared" si="68"/>
        <v>-24450.030000000002</v>
      </c>
      <c r="M229" s="2"/>
      <c r="N229" s="7">
        <f t="shared" si="69"/>
        <v>-0.83527507504655507</v>
      </c>
      <c r="O229" s="10"/>
      <c r="P229" s="6">
        <v>77291.31</v>
      </c>
      <c r="Q229" s="2"/>
      <c r="R229" s="7">
        <f t="shared" si="70"/>
        <v>9.7036821403310939E-3</v>
      </c>
      <c r="S229" s="2"/>
      <c r="T229" s="6">
        <v>393451.75</v>
      </c>
      <c r="U229" s="2"/>
      <c r="V229" s="7">
        <f t="shared" si="71"/>
        <v>1.4547801287852675E-2</v>
      </c>
      <c r="W229" s="2"/>
      <c r="X229" s="6">
        <f t="shared" si="72"/>
        <v>-316160.44</v>
      </c>
      <c r="Y229" s="2"/>
      <c r="Z229" s="7">
        <f t="shared" si="73"/>
        <v>-0.80355581084592964</v>
      </c>
    </row>
    <row r="230" spans="1:26" s="26" customFormat="1" outlineLevel="1" collapsed="1" x14ac:dyDescent="0.25">
      <c r="A230" s="27"/>
      <c r="B230" s="12" t="str">
        <f>CONCATENATE("     ","Depreciation                                      ")</f>
        <v xml:space="preserve">     Depreciation                                      </v>
      </c>
      <c r="C230" s="12"/>
      <c r="D230" s="1">
        <f>SUM(OSRRefD22_5x_0)</f>
        <v>77647.64</v>
      </c>
      <c r="E230" s="1"/>
      <c r="F230" s="5">
        <f t="shared" si="66"/>
        <v>9.5417567523744001E-2</v>
      </c>
      <c r="G230" s="1"/>
      <c r="H230" s="1">
        <f>SUM(OSRRefH22_5x_0)</f>
        <v>83437.95</v>
      </c>
      <c r="I230" s="1"/>
      <c r="J230" s="5">
        <f t="shared" si="67"/>
        <v>4.5173954968213276E-2</v>
      </c>
      <c r="K230" s="1"/>
      <c r="L230" s="1">
        <f t="shared" si="68"/>
        <v>-5790.3099999999977</v>
      </c>
      <c r="M230" s="1"/>
      <c r="N230" s="5">
        <f t="shared" si="69"/>
        <v>-6.9396599508976406E-2</v>
      </c>
      <c r="O230" s="12"/>
      <c r="P230" s="1">
        <f>SUM(OSRRefP22_5x_0)</f>
        <v>701600.61</v>
      </c>
      <c r="Q230" s="1"/>
      <c r="R230" s="5">
        <f t="shared" si="70"/>
        <v>8.8083761407361336E-2</v>
      </c>
      <c r="S230" s="1"/>
      <c r="T230" s="1">
        <f>SUM(OSRRefT22_5x_0)</f>
        <v>711559.56</v>
      </c>
      <c r="U230" s="1"/>
      <c r="V230" s="5">
        <f t="shared" si="71"/>
        <v>2.6309775171547423E-2</v>
      </c>
      <c r="W230" s="1"/>
      <c r="X230" s="1">
        <f t="shared" si="72"/>
        <v>-9958.9500000000698</v>
      </c>
      <c r="Y230" s="1"/>
      <c r="Z230" s="5">
        <f t="shared" si="73"/>
        <v>-1.399594715585027E-2</v>
      </c>
    </row>
    <row r="231" spans="1:26" s="23" customFormat="1" hidden="1" outlineLevel="2" x14ac:dyDescent="0.25">
      <c r="A231" s="25"/>
      <c r="B231" s="10" t="str">
        <f>CONCATENATE("          ", "6321", " - ", "BUILDING DEPRECIATION")</f>
        <v xml:space="preserve">          6321 - BUILDING DEPRECIATION</v>
      </c>
      <c r="C231" s="10"/>
      <c r="D231" s="6">
        <v>45060.52</v>
      </c>
      <c r="E231" s="2"/>
      <c r="F231" s="7">
        <f t="shared" si="66"/>
        <v>5.5372773850628519E-2</v>
      </c>
      <c r="G231" s="2"/>
      <c r="H231" s="6">
        <v>45519.99</v>
      </c>
      <c r="I231" s="2"/>
      <c r="J231" s="7">
        <f t="shared" si="67"/>
        <v>2.464487656292513E-2</v>
      </c>
      <c r="K231" s="2"/>
      <c r="L231" s="6">
        <f t="shared" si="68"/>
        <v>-459.47000000000116</v>
      </c>
      <c r="M231" s="2"/>
      <c r="N231" s="7">
        <f t="shared" si="69"/>
        <v>-1.0093807138358361E-2</v>
      </c>
      <c r="O231" s="10"/>
      <c r="P231" s="6">
        <v>406328.87</v>
      </c>
      <c r="Q231" s="2"/>
      <c r="R231" s="7">
        <f t="shared" si="70"/>
        <v>5.1013318300853157E-2</v>
      </c>
      <c r="S231" s="2"/>
      <c r="T231" s="6">
        <v>409679.91</v>
      </c>
      <c r="U231" s="2"/>
      <c r="V231" s="7">
        <f t="shared" si="71"/>
        <v>1.5147834320994551E-2</v>
      </c>
      <c r="W231" s="2"/>
      <c r="X231" s="6">
        <f t="shared" si="72"/>
        <v>-3351.039999999979</v>
      </c>
      <c r="Y231" s="2"/>
      <c r="Z231" s="7">
        <f t="shared" si="73"/>
        <v>-8.1796542085746382E-3</v>
      </c>
    </row>
    <row r="232" spans="1:26" s="23" customFormat="1" hidden="1" outlineLevel="2" x14ac:dyDescent="0.25">
      <c r="A232" s="25"/>
      <c r="B232" s="10" t="str">
        <f>CONCATENATE("          ", "6322", " - ", "EQUIPMENT DEPRECIATION EXPENSE")</f>
        <v xml:space="preserve">          6322 - EQUIPMENT DEPRECIATION EXPENSE</v>
      </c>
      <c r="C232" s="10"/>
      <c r="D232" s="6">
        <v>32587.119999999999</v>
      </c>
      <c r="E232" s="2"/>
      <c r="F232" s="7">
        <f t="shared" si="66"/>
        <v>4.0044793673115482E-2</v>
      </c>
      <c r="G232" s="2"/>
      <c r="H232" s="6">
        <v>37493.71</v>
      </c>
      <c r="I232" s="2"/>
      <c r="J232" s="7">
        <f t="shared" si="67"/>
        <v>2.0299386156194487E-2</v>
      </c>
      <c r="K232" s="2"/>
      <c r="L232" s="6">
        <f t="shared" si="68"/>
        <v>-4906.59</v>
      </c>
      <c r="M232" s="2"/>
      <c r="N232" s="7">
        <f t="shared" si="69"/>
        <v>-0.13086435031369262</v>
      </c>
      <c r="O232" s="10"/>
      <c r="P232" s="6">
        <v>295271.74</v>
      </c>
      <c r="Q232" s="2"/>
      <c r="R232" s="7">
        <f t="shared" si="70"/>
        <v>3.7070443106508172E-2</v>
      </c>
      <c r="S232" s="2"/>
      <c r="T232" s="6">
        <v>298061.40000000002</v>
      </c>
      <c r="U232" s="2"/>
      <c r="V232" s="7">
        <f t="shared" si="71"/>
        <v>1.102076180568309E-2</v>
      </c>
      <c r="W232" s="2"/>
      <c r="X232" s="6">
        <f t="shared" si="72"/>
        <v>-2789.6600000000326</v>
      </c>
      <c r="Y232" s="2"/>
      <c r="Z232" s="7">
        <f t="shared" si="73"/>
        <v>-9.3593467654652113E-3</v>
      </c>
    </row>
    <row r="233" spans="1:26" s="23" customFormat="1" hidden="1" outlineLevel="2" x14ac:dyDescent="0.25">
      <c r="A233" s="25"/>
      <c r="B233" s="10" t="str">
        <f>CONCATENATE("          ", "6324", " - ", "FURNITURE + FIXT DEPRECIATION")</f>
        <v xml:space="preserve">          6324 - FURNITURE + FIXT DEPRECIATION</v>
      </c>
      <c r="C233" s="10"/>
      <c r="D233" s="6"/>
      <c r="E233" s="2"/>
      <c r="F233" s="7">
        <f t="shared" si="66"/>
        <v>0</v>
      </c>
      <c r="G233" s="2"/>
      <c r="H233" s="6"/>
      <c r="I233" s="2"/>
      <c r="J233" s="7">
        <f t="shared" si="67"/>
        <v>0</v>
      </c>
      <c r="K233" s="2"/>
      <c r="L233" s="6">
        <f t="shared" si="68"/>
        <v>0</v>
      </c>
      <c r="M233" s="2"/>
      <c r="N233" s="7">
        <f t="shared" si="69"/>
        <v>0</v>
      </c>
      <c r="O233" s="10"/>
      <c r="P233" s="6"/>
      <c r="Q233" s="2"/>
      <c r="R233" s="7">
        <f t="shared" si="70"/>
        <v>0</v>
      </c>
      <c r="S233" s="2"/>
      <c r="T233" s="6">
        <v>0</v>
      </c>
      <c r="U233" s="2"/>
      <c r="V233" s="7">
        <f t="shared" si="71"/>
        <v>0</v>
      </c>
      <c r="W233" s="2"/>
      <c r="X233" s="6">
        <f t="shared" si="72"/>
        <v>0</v>
      </c>
      <c r="Y233" s="2"/>
      <c r="Z233" s="7">
        <f t="shared" si="73"/>
        <v>0</v>
      </c>
    </row>
    <row r="234" spans="1:26" s="23" customFormat="1" hidden="1" outlineLevel="2" x14ac:dyDescent="0.25">
      <c r="A234" s="25"/>
      <c r="B234" s="10" t="str">
        <f>CONCATENATE("          ", "6326", " - ", "VEHICLES DEPRECIATION EXPENSE")</f>
        <v xml:space="preserve">          6326 - VEHICLES DEPRECIATION EXPENSE</v>
      </c>
      <c r="C234" s="10"/>
      <c r="D234" s="6"/>
      <c r="E234" s="2"/>
      <c r="F234" s="7">
        <f t="shared" si="66"/>
        <v>0</v>
      </c>
      <c r="G234" s="2"/>
      <c r="H234" s="6">
        <v>424.25</v>
      </c>
      <c r="I234" s="2"/>
      <c r="J234" s="7">
        <f t="shared" si="67"/>
        <v>2.2969224909366161E-4</v>
      </c>
      <c r="K234" s="2"/>
      <c r="L234" s="6">
        <f t="shared" si="68"/>
        <v>-424.25</v>
      </c>
      <c r="M234" s="2"/>
      <c r="N234" s="7">
        <f t="shared" si="69"/>
        <v>-1</v>
      </c>
      <c r="O234" s="10"/>
      <c r="P234" s="6"/>
      <c r="Q234" s="2"/>
      <c r="R234" s="7">
        <f t="shared" si="70"/>
        <v>0</v>
      </c>
      <c r="S234" s="2"/>
      <c r="T234" s="6">
        <v>3818.25</v>
      </c>
      <c r="U234" s="2"/>
      <c r="V234" s="7">
        <f t="shared" si="71"/>
        <v>1.4117904486978002E-4</v>
      </c>
      <c r="W234" s="2"/>
      <c r="X234" s="6">
        <f t="shared" si="72"/>
        <v>-3818.25</v>
      </c>
      <c r="Y234" s="2"/>
      <c r="Z234" s="7">
        <f t="shared" si="73"/>
        <v>-1</v>
      </c>
    </row>
    <row r="235" spans="1:26" s="26" customFormat="1" outlineLevel="1" collapsed="1" x14ac:dyDescent="0.25">
      <c r="A235" s="27"/>
      <c r="B235" s="12" t="str">
        <f>CONCATENATE("     ","Discounts and Markdowns                           ")</f>
        <v xml:space="preserve">     Discounts and Markdowns                           </v>
      </c>
      <c r="C235" s="12"/>
      <c r="D235" s="1">
        <f>SUM(OSRRefD22_6x_0)</f>
        <v>0</v>
      </c>
      <c r="E235" s="1"/>
      <c r="F235" s="5">
        <f t="shared" ref="F235:F237" si="74">IF(D$12=0,0,D235/D$12)</f>
        <v>0</v>
      </c>
      <c r="G235" s="1"/>
      <c r="H235" s="1">
        <f>SUM(OSRRefH22_6x_0)</f>
        <v>18119.05</v>
      </c>
      <c r="I235" s="1"/>
      <c r="J235" s="5">
        <f t="shared" ref="J235:J237" si="75">IF(H$12=0,0,H235/H$12)</f>
        <v>9.8097945690996096E-3</v>
      </c>
      <c r="K235" s="1"/>
      <c r="L235" s="1">
        <f t="shared" ref="L235:L237" si="76">+D235-H235</f>
        <v>-18119.05</v>
      </c>
      <c r="M235" s="1"/>
      <c r="N235" s="5">
        <f t="shared" ref="N235:N237" si="77">IF(H235=0,0,L235/H235)</f>
        <v>-1</v>
      </c>
      <c r="O235" s="12"/>
      <c r="P235" s="1">
        <f>SUM(OSRRefP22_6x_0)</f>
        <v>0</v>
      </c>
      <c r="Q235" s="1"/>
      <c r="R235" s="5">
        <f t="shared" ref="R235:R237" si="78">IF(P$12=0,0,P235/P$12)</f>
        <v>0</v>
      </c>
      <c r="S235" s="1"/>
      <c r="T235" s="1">
        <f>SUM(OSRRefT22_6x_0)</f>
        <v>326893.01</v>
      </c>
      <c r="U235" s="1"/>
      <c r="V235" s="5">
        <f t="shared" ref="V235:V237" si="79">IF(T$12=0,0,T235/T$12)</f>
        <v>1.2086804930637714E-2</v>
      </c>
      <c r="W235" s="1"/>
      <c r="X235" s="1">
        <f t="shared" ref="X235:X237" si="80">+P235-T235</f>
        <v>-326893.01</v>
      </c>
      <c r="Y235" s="1"/>
      <c r="Z235" s="5">
        <f t="shared" ref="Z235:Z237" si="81">IF(T235=0,0,X235/T235)</f>
        <v>-1</v>
      </c>
    </row>
    <row r="236" spans="1:26" s="23" customFormat="1" hidden="1" outlineLevel="2" x14ac:dyDescent="0.25">
      <c r="A236" s="25"/>
      <c r="B236" s="10" t="str">
        <f>CONCATENATE("          ", "6382", " - ", "DISCOUNTS/MARK DOWNS")</f>
        <v xml:space="preserve">          6382 - DISCOUNTS/MARK DOWNS</v>
      </c>
      <c r="C236" s="10"/>
      <c r="D236" s="6">
        <v>0</v>
      </c>
      <c r="E236" s="2"/>
      <c r="F236" s="7">
        <f t="shared" si="74"/>
        <v>0</v>
      </c>
      <c r="G236" s="2"/>
      <c r="H236" s="6">
        <v>18254.759999999998</v>
      </c>
      <c r="I236" s="2"/>
      <c r="J236" s="7">
        <f t="shared" si="75"/>
        <v>9.8832690184207667E-3</v>
      </c>
      <c r="K236" s="2"/>
      <c r="L236" s="6">
        <f t="shared" si="76"/>
        <v>-18254.759999999998</v>
      </c>
      <c r="M236" s="2"/>
      <c r="N236" s="7">
        <f t="shared" si="77"/>
        <v>-1</v>
      </c>
      <c r="O236" s="10"/>
      <c r="P236" s="6">
        <v>0</v>
      </c>
      <c r="Q236" s="2"/>
      <c r="R236" s="7">
        <f t="shared" si="78"/>
        <v>0</v>
      </c>
      <c r="S236" s="2"/>
      <c r="T236" s="6">
        <v>330124.49</v>
      </c>
      <c r="U236" s="2"/>
      <c r="V236" s="7">
        <f t="shared" si="79"/>
        <v>1.2206288269841747E-2</v>
      </c>
      <c r="W236" s="2"/>
      <c r="X236" s="6">
        <f t="shared" si="80"/>
        <v>-330124.49</v>
      </c>
      <c r="Y236" s="2"/>
      <c r="Z236" s="7">
        <f t="shared" si="81"/>
        <v>-1</v>
      </c>
    </row>
    <row r="237" spans="1:26" s="23" customFormat="1" hidden="1" outlineLevel="2" x14ac:dyDescent="0.25">
      <c r="A237" s="25"/>
      <c r="B237" s="10" t="str">
        <f>CONCATENATE("          ", "9175", " - ", "EARNED DISCOUNTS")</f>
        <v xml:space="preserve">          9175 - EARNED DISCOUNTS</v>
      </c>
      <c r="C237" s="10"/>
      <c r="D237" s="6">
        <v>0</v>
      </c>
      <c r="E237" s="2"/>
      <c r="F237" s="7">
        <f t="shared" si="74"/>
        <v>0</v>
      </c>
      <c r="G237" s="2"/>
      <c r="H237" s="6">
        <v>-135.71</v>
      </c>
      <c r="I237" s="2"/>
      <c r="J237" s="7">
        <f t="shared" si="75"/>
        <v>-7.3474449321156909E-5</v>
      </c>
      <c r="K237" s="2"/>
      <c r="L237" s="6">
        <f t="shared" si="76"/>
        <v>135.71</v>
      </c>
      <c r="M237" s="2"/>
      <c r="N237" s="7">
        <f t="shared" si="77"/>
        <v>-1</v>
      </c>
      <c r="O237" s="10"/>
      <c r="P237" s="6">
        <v>0</v>
      </c>
      <c r="Q237" s="2"/>
      <c r="R237" s="7">
        <f t="shared" si="78"/>
        <v>0</v>
      </c>
      <c r="S237" s="2"/>
      <c r="T237" s="6">
        <v>-3231.48</v>
      </c>
      <c r="U237" s="2"/>
      <c r="V237" s="7">
        <f t="shared" si="79"/>
        <v>-1.1948333920403242E-4</v>
      </c>
      <c r="W237" s="2"/>
      <c r="X237" s="6">
        <f t="shared" si="80"/>
        <v>3231.48</v>
      </c>
      <c r="Y237" s="2"/>
      <c r="Z237" s="7">
        <f t="shared" si="81"/>
        <v>-1</v>
      </c>
    </row>
    <row r="238" spans="1:26" s="26" customFormat="1" outlineLevel="1" collapsed="1" x14ac:dyDescent="0.25">
      <c r="A238" s="27"/>
      <c r="B238" s="12" t="str">
        <f>CONCATENATE("     ","Donations                                         ")</f>
        <v xml:space="preserve">     Donations                                         </v>
      </c>
      <c r="C238" s="12"/>
      <c r="D238" s="1">
        <f>SUM(OSRRefD22_7x_0)</f>
        <v>7337.33</v>
      </c>
      <c r="E238" s="1"/>
      <c r="F238" s="5">
        <f t="shared" ref="F238:F246" si="82">IF(D$12=0,0,D238/D$12)</f>
        <v>9.0165030221007695E-3</v>
      </c>
      <c r="G238" s="1"/>
      <c r="H238" s="1">
        <f>SUM(OSRRefH22_7x_0)</f>
        <v>15006.81</v>
      </c>
      <c r="I238" s="1"/>
      <c r="J238" s="5">
        <f t="shared" ref="J238:J246" si="83">IF(H$12=0,0,H238/H$12)</f>
        <v>8.1248036313995332E-3</v>
      </c>
      <c r="K238" s="1"/>
      <c r="L238" s="1">
        <f t="shared" ref="L238:L246" si="84">+D238-H238</f>
        <v>-7669.48</v>
      </c>
      <c r="M238" s="1"/>
      <c r="N238" s="5">
        <f t="shared" ref="N238:N246" si="85">IF(H238=0,0,L238/H238)</f>
        <v>-0.51106664241101207</v>
      </c>
      <c r="O238" s="12"/>
      <c r="P238" s="1">
        <f>SUM(OSRRefP22_7x_0)</f>
        <v>50979.76</v>
      </c>
      <c r="Q238" s="1"/>
      <c r="R238" s="5">
        <f t="shared" ref="R238:R246" si="86">IF(P$12=0,0,P238/P$12)</f>
        <v>6.4003493617893845E-3</v>
      </c>
      <c r="S238" s="1"/>
      <c r="T238" s="1">
        <f>SUM(OSRRefT22_7x_0)</f>
        <v>132751.98000000001</v>
      </c>
      <c r="U238" s="1"/>
      <c r="V238" s="5">
        <f t="shared" ref="V238:V246" si="87">IF(T$12=0,0,T238/T$12)</f>
        <v>4.9084784236160918E-3</v>
      </c>
      <c r="W238" s="1"/>
      <c r="X238" s="1">
        <f t="shared" ref="X238:X246" si="88">+P238-T238</f>
        <v>-81772.22</v>
      </c>
      <c r="Y238" s="1"/>
      <c r="Z238" s="5">
        <f t="shared" ref="Z238:Z246" si="89">IF(T238=0,0,X238/T238)</f>
        <v>-0.61597740387751654</v>
      </c>
    </row>
    <row r="239" spans="1:26" s="23" customFormat="1" hidden="1" outlineLevel="2" x14ac:dyDescent="0.25">
      <c r="A239" s="25"/>
      <c r="B239" s="10" t="str">
        <f>CONCATENATE("          ", "6399", " - ", "DONATION-ON CAMPUS")</f>
        <v xml:space="preserve">          6399 - DONATION-ON CAMPUS</v>
      </c>
      <c r="C239" s="10"/>
      <c r="D239" s="6">
        <v>7337.33</v>
      </c>
      <c r="E239" s="2"/>
      <c r="F239" s="7">
        <f t="shared" si="82"/>
        <v>9.0165030221007695E-3</v>
      </c>
      <c r="G239" s="2"/>
      <c r="H239" s="6">
        <v>15006.81</v>
      </c>
      <c r="I239" s="2"/>
      <c r="J239" s="7">
        <f t="shared" si="83"/>
        <v>8.1248036313995332E-3</v>
      </c>
      <c r="K239" s="2"/>
      <c r="L239" s="6">
        <f t="shared" si="84"/>
        <v>-7669.48</v>
      </c>
      <c r="M239" s="2"/>
      <c r="N239" s="7">
        <f t="shared" si="85"/>
        <v>-0.51106664241101207</v>
      </c>
      <c r="O239" s="10"/>
      <c r="P239" s="6">
        <v>50979.76</v>
      </c>
      <c r="Q239" s="2"/>
      <c r="R239" s="7">
        <f t="shared" si="86"/>
        <v>6.4003493617893845E-3</v>
      </c>
      <c r="S239" s="2"/>
      <c r="T239" s="6">
        <v>132751.98000000001</v>
      </c>
      <c r="U239" s="2"/>
      <c r="V239" s="7">
        <f t="shared" si="87"/>
        <v>4.9084784236160918E-3</v>
      </c>
      <c r="W239" s="2"/>
      <c r="X239" s="6">
        <f t="shared" si="88"/>
        <v>-81772.22</v>
      </c>
      <c r="Y239" s="2"/>
      <c r="Z239" s="7">
        <f t="shared" si="89"/>
        <v>-0.61597740387751654</v>
      </c>
    </row>
    <row r="240" spans="1:26" s="26" customFormat="1" outlineLevel="1" collapsed="1" x14ac:dyDescent="0.25">
      <c r="A240" s="27"/>
      <c r="B240" s="12" t="str">
        <f>CONCATENATE("     ","Employees' Appreciation                           ")</f>
        <v xml:space="preserve">     Employees' Appreciation                           </v>
      </c>
      <c r="C240" s="12"/>
      <c r="D240" s="1">
        <f>SUM(OSRRefD22_8x_0)</f>
        <v>0</v>
      </c>
      <c r="E240" s="1"/>
      <c r="F240" s="5">
        <f t="shared" si="82"/>
        <v>0</v>
      </c>
      <c r="G240" s="1"/>
      <c r="H240" s="1">
        <f>SUM(OSRRefH22_8x_0)</f>
        <v>452.78</v>
      </c>
      <c r="I240" s="1"/>
      <c r="J240" s="5">
        <f t="shared" si="83"/>
        <v>2.4513861295139211E-4</v>
      </c>
      <c r="K240" s="1"/>
      <c r="L240" s="1">
        <f t="shared" si="84"/>
        <v>-452.78</v>
      </c>
      <c r="M240" s="1"/>
      <c r="N240" s="5">
        <f t="shared" si="85"/>
        <v>-1</v>
      </c>
      <c r="O240" s="12"/>
      <c r="P240" s="1">
        <f>SUM(OSRRefP22_8x_0)</f>
        <v>196.03</v>
      </c>
      <c r="Q240" s="1"/>
      <c r="R240" s="5">
        <f t="shared" si="86"/>
        <v>2.4610953158500021E-5</v>
      </c>
      <c r="S240" s="1"/>
      <c r="T240" s="1">
        <f>SUM(OSRRefT22_8x_0)</f>
        <v>5223.4399999999996</v>
      </c>
      <c r="U240" s="1"/>
      <c r="V240" s="5">
        <f t="shared" si="87"/>
        <v>1.931356695173453E-4</v>
      </c>
      <c r="W240" s="1"/>
      <c r="X240" s="1">
        <f t="shared" si="88"/>
        <v>-5027.41</v>
      </c>
      <c r="Y240" s="1"/>
      <c r="Z240" s="5">
        <f t="shared" si="89"/>
        <v>-0.96247109184751811</v>
      </c>
    </row>
    <row r="241" spans="1:26" s="23" customFormat="1" hidden="1" outlineLevel="2" x14ac:dyDescent="0.25">
      <c r="A241" s="25"/>
      <c r="B241" s="10" t="str">
        <f>CONCATENATE("          ", "6277", " - ", "EMPLOYEE APPRECIATION")</f>
        <v xml:space="preserve">          6277 - EMPLOYEE APPRECIATION</v>
      </c>
      <c r="C241" s="10"/>
      <c r="D241" s="6"/>
      <c r="E241" s="2"/>
      <c r="F241" s="7">
        <f t="shared" si="82"/>
        <v>0</v>
      </c>
      <c r="G241" s="2"/>
      <c r="H241" s="6">
        <v>452.78</v>
      </c>
      <c r="I241" s="2"/>
      <c r="J241" s="7">
        <f t="shared" si="83"/>
        <v>2.4513861295139211E-4</v>
      </c>
      <c r="K241" s="2"/>
      <c r="L241" s="6">
        <f t="shared" si="84"/>
        <v>-452.78</v>
      </c>
      <c r="M241" s="2"/>
      <c r="N241" s="7">
        <f t="shared" si="85"/>
        <v>-1</v>
      </c>
      <c r="O241" s="10"/>
      <c r="P241" s="6">
        <v>196.03</v>
      </c>
      <c r="Q241" s="2"/>
      <c r="R241" s="7">
        <f t="shared" si="86"/>
        <v>2.4610953158500021E-5</v>
      </c>
      <c r="S241" s="2"/>
      <c r="T241" s="6">
        <v>5223.4399999999996</v>
      </c>
      <c r="U241" s="2"/>
      <c r="V241" s="7">
        <f t="shared" si="87"/>
        <v>1.931356695173453E-4</v>
      </c>
      <c r="W241" s="2"/>
      <c r="X241" s="6">
        <f t="shared" si="88"/>
        <v>-5027.41</v>
      </c>
      <c r="Y241" s="2"/>
      <c r="Z241" s="7">
        <f t="shared" si="89"/>
        <v>-0.96247109184751811</v>
      </c>
    </row>
    <row r="242" spans="1:26" s="26" customFormat="1" outlineLevel="1" collapsed="1" x14ac:dyDescent="0.25">
      <c r="A242" s="27"/>
      <c r="B242" s="12" t="str">
        <f>CONCATENATE("     ","Equipment Rental                                  ")</f>
        <v xml:space="preserve">     Equipment Rental                                  </v>
      </c>
      <c r="C242" s="12"/>
      <c r="D242" s="1">
        <f>SUM(OSRRefD22_9x_0)</f>
        <v>2177.06</v>
      </c>
      <c r="E242" s="1"/>
      <c r="F242" s="5">
        <f t="shared" si="82"/>
        <v>2.6752876140632492E-3</v>
      </c>
      <c r="G242" s="1"/>
      <c r="H242" s="1">
        <f>SUM(OSRRefH22_9x_0)</f>
        <v>4047.34</v>
      </c>
      <c r="I242" s="1"/>
      <c r="J242" s="5">
        <f t="shared" si="83"/>
        <v>2.1912613493146505E-3</v>
      </c>
      <c r="K242" s="1"/>
      <c r="L242" s="1">
        <f t="shared" si="84"/>
        <v>-1870.2800000000002</v>
      </c>
      <c r="M242" s="1"/>
      <c r="N242" s="5">
        <f t="shared" si="85"/>
        <v>-0.46210103425953841</v>
      </c>
      <c r="O242" s="12"/>
      <c r="P242" s="1">
        <f>SUM(OSRRefP22_9x_0)</f>
        <v>23325.11</v>
      </c>
      <c r="Q242" s="1"/>
      <c r="R242" s="5">
        <f t="shared" si="86"/>
        <v>2.928394580558386E-3</v>
      </c>
      <c r="S242" s="1"/>
      <c r="T242" s="1">
        <f>SUM(OSRRefT22_9x_0)</f>
        <v>44775.73</v>
      </c>
      <c r="U242" s="1"/>
      <c r="V242" s="5">
        <f t="shared" si="87"/>
        <v>1.6555738348057766E-3</v>
      </c>
      <c r="W242" s="1"/>
      <c r="X242" s="1">
        <f t="shared" si="88"/>
        <v>-21450.620000000003</v>
      </c>
      <c r="Y242" s="1"/>
      <c r="Z242" s="5">
        <f t="shared" si="89"/>
        <v>-0.4790680129614861</v>
      </c>
    </row>
    <row r="243" spans="1:26" s="23" customFormat="1" hidden="1" outlineLevel="2" x14ac:dyDescent="0.25">
      <c r="A243" s="25"/>
      <c r="B243" s="10" t="str">
        <f>CONCATENATE("          ", "6351", " - ", "EQUIPMENT RENTAL")</f>
        <v xml:space="preserve">          6351 - EQUIPMENT RENTAL</v>
      </c>
      <c r="C243" s="10"/>
      <c r="D243" s="6">
        <v>2177.06</v>
      </c>
      <c r="E243" s="2"/>
      <c r="F243" s="7">
        <f t="shared" si="82"/>
        <v>2.6752876140632492E-3</v>
      </c>
      <c r="G243" s="2"/>
      <c r="H243" s="6">
        <v>4047.34</v>
      </c>
      <c r="I243" s="2"/>
      <c r="J243" s="7">
        <f t="shared" si="83"/>
        <v>2.1912613493146505E-3</v>
      </c>
      <c r="K243" s="2"/>
      <c r="L243" s="6">
        <f t="shared" si="84"/>
        <v>-1870.2800000000002</v>
      </c>
      <c r="M243" s="2"/>
      <c r="N243" s="7">
        <f t="shared" si="85"/>
        <v>-0.46210103425953841</v>
      </c>
      <c r="O243" s="10"/>
      <c r="P243" s="6">
        <v>23325.11</v>
      </c>
      <c r="Q243" s="2"/>
      <c r="R243" s="7">
        <f t="shared" si="86"/>
        <v>2.928394580558386E-3</v>
      </c>
      <c r="S243" s="2"/>
      <c r="T243" s="6">
        <v>44775.73</v>
      </c>
      <c r="U243" s="2"/>
      <c r="V243" s="7">
        <f t="shared" si="87"/>
        <v>1.6555738348057766E-3</v>
      </c>
      <c r="W243" s="2"/>
      <c r="X243" s="6">
        <f t="shared" si="88"/>
        <v>-21450.620000000003</v>
      </c>
      <c r="Y243" s="2"/>
      <c r="Z243" s="7">
        <f t="shared" si="89"/>
        <v>-0.4790680129614861</v>
      </c>
    </row>
    <row r="244" spans="1:26" s="26" customFormat="1" outlineLevel="1" collapsed="1" x14ac:dyDescent="0.25">
      <c r="A244" s="27"/>
      <c r="B244" s="12" t="str">
        <f>CONCATENATE("     ","Freight out/Postage                               ")</f>
        <v xml:space="preserve">     Freight out/Postage                               </v>
      </c>
      <c r="C244" s="12"/>
      <c r="D244" s="1">
        <f>SUM(OSRRefD22_10x_0)</f>
        <v>-1278.8600000000006</v>
      </c>
      <c r="E244" s="1"/>
      <c r="F244" s="5">
        <f t="shared" si="82"/>
        <v>-1.5715314773689878E-3</v>
      </c>
      <c r="G244" s="1"/>
      <c r="H244" s="1">
        <f>SUM(OSRRefH22_10x_0)</f>
        <v>2165.8700000000003</v>
      </c>
      <c r="I244" s="1"/>
      <c r="J244" s="5">
        <f t="shared" si="83"/>
        <v>1.1726188604466445E-3</v>
      </c>
      <c r="K244" s="1"/>
      <c r="L244" s="1">
        <f t="shared" si="84"/>
        <v>-3444.7300000000009</v>
      </c>
      <c r="M244" s="1"/>
      <c r="N244" s="5">
        <f t="shared" si="85"/>
        <v>-1.5904601845909498</v>
      </c>
      <c r="O244" s="12"/>
      <c r="P244" s="1">
        <f>SUM(OSRRefP22_10x_0)</f>
        <v>-32645.829999999987</v>
      </c>
      <c r="Q244" s="1"/>
      <c r="R244" s="5">
        <f t="shared" si="86"/>
        <v>-4.0985818137548053E-3</v>
      </c>
      <c r="S244" s="1"/>
      <c r="T244" s="1">
        <f>SUM(OSRRefT22_10x_0)</f>
        <v>1232.2200000000012</v>
      </c>
      <c r="U244" s="1"/>
      <c r="V244" s="5">
        <f t="shared" si="87"/>
        <v>4.5561092822481641E-5</v>
      </c>
      <c r="W244" s="1"/>
      <c r="X244" s="1">
        <f t="shared" si="88"/>
        <v>-33878.049999999988</v>
      </c>
      <c r="Y244" s="1"/>
      <c r="Z244" s="5">
        <f t="shared" si="89"/>
        <v>-27.493507652854163</v>
      </c>
    </row>
    <row r="245" spans="1:26" s="23" customFormat="1" hidden="1" outlineLevel="2" x14ac:dyDescent="0.25">
      <c r="A245" s="25"/>
      <c r="B245" s="10" t="str">
        <f>CONCATENATE("          ", "6305", " - ", "FREIGHT OUT")</f>
        <v xml:space="preserve">          6305 - FREIGHT OUT</v>
      </c>
      <c r="C245" s="10"/>
      <c r="D245" s="6">
        <v>18140.46</v>
      </c>
      <c r="E245" s="2"/>
      <c r="F245" s="7">
        <f t="shared" si="82"/>
        <v>2.2291966207366728E-2</v>
      </c>
      <c r="G245" s="2"/>
      <c r="H245" s="6">
        <v>5814.39</v>
      </c>
      <c r="I245" s="2"/>
      <c r="J245" s="7">
        <f t="shared" si="83"/>
        <v>3.1479559604188456E-3</v>
      </c>
      <c r="K245" s="2"/>
      <c r="L245" s="6">
        <f t="shared" si="84"/>
        <v>12326.07</v>
      </c>
      <c r="M245" s="2"/>
      <c r="N245" s="7">
        <f t="shared" si="85"/>
        <v>2.1199248760403067</v>
      </c>
      <c r="O245" s="10"/>
      <c r="P245" s="6">
        <v>181086.92</v>
      </c>
      <c r="Q245" s="2"/>
      <c r="R245" s="7">
        <f t="shared" si="86"/>
        <v>2.2734896218624911E-2</v>
      </c>
      <c r="S245" s="2"/>
      <c r="T245" s="6">
        <v>52103.37</v>
      </c>
      <c r="U245" s="2"/>
      <c r="V245" s="7">
        <f t="shared" si="87"/>
        <v>1.9265118866226023E-3</v>
      </c>
      <c r="W245" s="2"/>
      <c r="X245" s="6">
        <f t="shared" si="88"/>
        <v>128983.55000000002</v>
      </c>
      <c r="Y245" s="2"/>
      <c r="Z245" s="7">
        <f t="shared" si="89"/>
        <v>2.4755318130094084</v>
      </c>
    </row>
    <row r="246" spans="1:26" s="23" customFormat="1" hidden="1" outlineLevel="2" x14ac:dyDescent="0.25">
      <c r="A246" s="25"/>
      <c r="B246" s="10" t="str">
        <f>CONCATENATE("          ", "6307", " - ", "POSTAGE")</f>
        <v xml:space="preserve">          6307 - POSTAGE</v>
      </c>
      <c r="C246" s="10"/>
      <c r="D246" s="6">
        <v>-19419.32</v>
      </c>
      <c r="E246" s="2"/>
      <c r="F246" s="7">
        <f t="shared" si="82"/>
        <v>-2.3863497684735717E-2</v>
      </c>
      <c r="G246" s="2"/>
      <c r="H246" s="6">
        <v>-3648.52</v>
      </c>
      <c r="I246" s="2"/>
      <c r="J246" s="7">
        <f t="shared" si="83"/>
        <v>-1.9753370999722013E-3</v>
      </c>
      <c r="K246" s="2"/>
      <c r="L246" s="6">
        <f t="shared" si="84"/>
        <v>-15770.8</v>
      </c>
      <c r="M246" s="2"/>
      <c r="N246" s="7">
        <f t="shared" si="85"/>
        <v>4.3225198162542622</v>
      </c>
      <c r="O246" s="10"/>
      <c r="P246" s="6">
        <v>-213732.75</v>
      </c>
      <c r="Q246" s="2"/>
      <c r="R246" s="7">
        <f t="shared" si="86"/>
        <v>-2.6833478032379714E-2</v>
      </c>
      <c r="S246" s="2"/>
      <c r="T246" s="6">
        <v>-50871.15</v>
      </c>
      <c r="U246" s="2"/>
      <c r="V246" s="7">
        <f t="shared" si="87"/>
        <v>-1.8809507938001206E-3</v>
      </c>
      <c r="W246" s="2"/>
      <c r="X246" s="6">
        <f t="shared" si="88"/>
        <v>-162861.6</v>
      </c>
      <c r="Y246" s="2"/>
      <c r="Z246" s="7">
        <f t="shared" si="89"/>
        <v>3.2014530829360059</v>
      </c>
    </row>
    <row r="247" spans="1:26" s="26" customFormat="1" outlineLevel="1" collapsed="1" x14ac:dyDescent="0.25">
      <c r="A247" s="27"/>
      <c r="B247" s="12" t="str">
        <f>CONCATENATE("     ","General                                           ")</f>
        <v xml:space="preserve">     General                                           </v>
      </c>
      <c r="C247" s="12"/>
      <c r="D247" s="1">
        <f>SUM(OSRRefD22_11x_0)</f>
        <v>1537.69</v>
      </c>
      <c r="E247" s="1"/>
      <c r="F247" s="5">
        <f t="shared" ref="F247:F249" si="90">IF(D$12=0,0,D247/D$12)</f>
        <v>1.8895956065836119E-3</v>
      </c>
      <c r="G247" s="1"/>
      <c r="H247" s="1">
        <f>SUM(OSRRefH22_11x_0)</f>
        <v>2471.8200000000002</v>
      </c>
      <c r="I247" s="1"/>
      <c r="J247" s="5">
        <f t="shared" ref="J247:J249" si="91">IF(H$12=0,0,H247/H$12)</f>
        <v>1.338262569604466E-3</v>
      </c>
      <c r="K247" s="1"/>
      <c r="L247" s="1">
        <f t="shared" ref="L247:L249" si="92">+D247-H247</f>
        <v>-934.13000000000011</v>
      </c>
      <c r="M247" s="1"/>
      <c r="N247" s="5">
        <f t="shared" ref="N247:N249" si="93">IF(H247=0,0,L247/H247)</f>
        <v>-0.37791182205824053</v>
      </c>
      <c r="O247" s="12"/>
      <c r="P247" s="1">
        <f>SUM(OSRRefP22_11x_0)</f>
        <v>20934.73</v>
      </c>
      <c r="Q247" s="1"/>
      <c r="R247" s="5">
        <f t="shared" ref="R247:R249" si="94">IF(P$12=0,0,P247/P$12)</f>
        <v>2.628289850613912E-3</v>
      </c>
      <c r="S247" s="1"/>
      <c r="T247" s="1">
        <f>SUM(OSRRefT22_11x_0)</f>
        <v>102991.92</v>
      </c>
      <c r="U247" s="1"/>
      <c r="V247" s="5">
        <f t="shared" ref="V247:V249" si="95">IF(T$12=0,0,T247/T$12)</f>
        <v>3.8081060420100295E-3</v>
      </c>
      <c r="W247" s="1"/>
      <c r="X247" s="1">
        <f t="shared" ref="X247:X249" si="96">+P247-T247</f>
        <v>-82057.19</v>
      </c>
      <c r="Y247" s="1"/>
      <c r="Z247" s="5">
        <f t="shared" ref="Z247:Z249" si="97">IF(T247=0,0,X247/T247)</f>
        <v>-0.79673424866727416</v>
      </c>
    </row>
    <row r="248" spans="1:26" s="23" customFormat="1" hidden="1" outlineLevel="2" x14ac:dyDescent="0.25">
      <c r="A248" s="25"/>
      <c r="B248" s="10" t="str">
        <f>CONCATENATE("          ", "6269", " - ", "ENTERTAINMENT")</f>
        <v xml:space="preserve">          6269 - ENTERTAINMENT</v>
      </c>
      <c r="C248" s="10"/>
      <c r="D248" s="6"/>
      <c r="E248" s="2"/>
      <c r="F248" s="7">
        <f t="shared" si="90"/>
        <v>0</v>
      </c>
      <c r="G248" s="2"/>
      <c r="H248" s="6"/>
      <c r="I248" s="2"/>
      <c r="J248" s="7">
        <f t="shared" si="91"/>
        <v>0</v>
      </c>
      <c r="K248" s="2"/>
      <c r="L248" s="6">
        <f t="shared" si="92"/>
        <v>0</v>
      </c>
      <c r="M248" s="2"/>
      <c r="N248" s="7">
        <f t="shared" si="93"/>
        <v>0</v>
      </c>
      <c r="O248" s="10"/>
      <c r="P248" s="6"/>
      <c r="Q248" s="2"/>
      <c r="R248" s="7">
        <f t="shared" si="94"/>
        <v>0</v>
      </c>
      <c r="S248" s="2"/>
      <c r="T248" s="6">
        <v>10050</v>
      </c>
      <c r="U248" s="2"/>
      <c r="V248" s="7">
        <f t="shared" si="95"/>
        <v>3.7159677887547683E-4</v>
      </c>
      <c r="W248" s="2"/>
      <c r="X248" s="6">
        <f t="shared" si="96"/>
        <v>-10050</v>
      </c>
      <c r="Y248" s="2"/>
      <c r="Z248" s="7">
        <f t="shared" si="97"/>
        <v>-1</v>
      </c>
    </row>
    <row r="249" spans="1:26" s="23" customFormat="1" hidden="1" outlineLevel="2" x14ac:dyDescent="0.25">
      <c r="A249" s="25"/>
      <c r="B249" s="10" t="str">
        <f>CONCATENATE("          ", "6279", " - ", "GENERAL EXPENSE")</f>
        <v xml:space="preserve">          6279 - GENERAL EXPENSE</v>
      </c>
      <c r="C249" s="10"/>
      <c r="D249" s="6">
        <v>1537.69</v>
      </c>
      <c r="E249" s="2"/>
      <c r="F249" s="7">
        <f t="shared" si="90"/>
        <v>1.8895956065836119E-3</v>
      </c>
      <c r="G249" s="2"/>
      <c r="H249" s="6">
        <v>2471.8200000000002</v>
      </c>
      <c r="I249" s="2"/>
      <c r="J249" s="7">
        <f t="shared" si="91"/>
        <v>1.338262569604466E-3</v>
      </c>
      <c r="K249" s="2"/>
      <c r="L249" s="6">
        <f t="shared" si="92"/>
        <v>-934.13000000000011</v>
      </c>
      <c r="M249" s="2"/>
      <c r="N249" s="7">
        <f t="shared" si="93"/>
        <v>-0.37791182205824053</v>
      </c>
      <c r="O249" s="10"/>
      <c r="P249" s="6">
        <v>20934.73</v>
      </c>
      <c r="Q249" s="2"/>
      <c r="R249" s="7">
        <f t="shared" si="94"/>
        <v>2.628289850613912E-3</v>
      </c>
      <c r="S249" s="2"/>
      <c r="T249" s="6">
        <v>92941.92</v>
      </c>
      <c r="U249" s="2"/>
      <c r="V249" s="7">
        <f t="shared" si="95"/>
        <v>3.4365092631345527E-3</v>
      </c>
      <c r="W249" s="2"/>
      <c r="X249" s="6">
        <f t="shared" si="96"/>
        <v>-72007.19</v>
      </c>
      <c r="Y249" s="2"/>
      <c r="Z249" s="7">
        <f t="shared" si="97"/>
        <v>-0.77475470702563498</v>
      </c>
    </row>
    <row r="250" spans="1:26" s="26" customFormat="1" outlineLevel="1" collapsed="1" x14ac:dyDescent="0.25">
      <c r="A250" s="27"/>
      <c r="B250" s="12" t="str">
        <f>CONCATENATE("     ","Insurance                                         ")</f>
        <v xml:space="preserve">     Insurance                                         </v>
      </c>
      <c r="C250" s="12"/>
      <c r="D250" s="1">
        <f>SUM(OSRRefD22_12x_0)</f>
        <v>8563.32</v>
      </c>
      <c r="E250" s="1"/>
      <c r="F250" s="5">
        <f t="shared" ref="F250:F257" si="98">IF(D$12=0,0,D250/D$12)</f>
        <v>1.0523065019457481E-2</v>
      </c>
      <c r="G250" s="1"/>
      <c r="H250" s="1">
        <f>SUM(OSRRefH22_12x_0)</f>
        <v>8563.32</v>
      </c>
      <c r="I250" s="1"/>
      <c r="J250" s="5">
        <f t="shared" ref="J250:J257" si="99">IF(H$12=0,0,H250/H$12)</f>
        <v>4.6362480389127506E-3</v>
      </c>
      <c r="K250" s="1"/>
      <c r="L250" s="1">
        <f t="shared" ref="L250:L257" si="100">+D250-H250</f>
        <v>0</v>
      </c>
      <c r="M250" s="1"/>
      <c r="N250" s="5">
        <f t="shared" ref="N250:N257" si="101">IF(H250=0,0,L250/H250)</f>
        <v>0</v>
      </c>
      <c r="O250" s="12"/>
      <c r="P250" s="1">
        <f>SUM(OSRRefP22_12x_0)</f>
        <v>83181.88</v>
      </c>
      <c r="Q250" s="1"/>
      <c r="R250" s="5">
        <f t="shared" ref="R250:R257" si="102">IF(P$12=0,0,P250/P$12)</f>
        <v>1.044322477333046E-2</v>
      </c>
      <c r="S250" s="1"/>
      <c r="T250" s="1">
        <f>SUM(OSRRefT22_12x_0)</f>
        <v>82830.880000000005</v>
      </c>
      <c r="U250" s="1"/>
      <c r="V250" s="5">
        <f t="shared" ref="V250:V257" si="103">IF(T$12=0,0,T250/T$12)</f>
        <v>3.0626555422309607E-3</v>
      </c>
      <c r="W250" s="1"/>
      <c r="X250" s="1">
        <f t="shared" ref="X250:X257" si="104">+P250-T250</f>
        <v>351</v>
      </c>
      <c r="Y250" s="1"/>
      <c r="Z250" s="5">
        <f t="shared" ref="Z250:Z257" si="105">IF(T250=0,0,X250/T250)</f>
        <v>4.237550053796362E-3</v>
      </c>
    </row>
    <row r="251" spans="1:26" s="23" customFormat="1" hidden="1" outlineLevel="2" x14ac:dyDescent="0.25">
      <c r="A251" s="25"/>
      <c r="B251" s="10" t="str">
        <f>CONCATENATE("          ", "6314", " - ", "LIABILITY INSURANCE")</f>
        <v xml:space="preserve">          6314 - LIABILITY INSURANCE</v>
      </c>
      <c r="C251" s="10"/>
      <c r="D251" s="6">
        <v>8563.32</v>
      </c>
      <c r="E251" s="2"/>
      <c r="F251" s="7">
        <f t="shared" si="98"/>
        <v>1.0523065019457481E-2</v>
      </c>
      <c r="G251" s="2"/>
      <c r="H251" s="6">
        <v>8563.32</v>
      </c>
      <c r="I251" s="2"/>
      <c r="J251" s="7">
        <f t="shared" si="99"/>
        <v>4.6362480389127506E-3</v>
      </c>
      <c r="K251" s="2"/>
      <c r="L251" s="6">
        <f t="shared" si="100"/>
        <v>0</v>
      </c>
      <c r="M251" s="2"/>
      <c r="N251" s="7">
        <f t="shared" si="101"/>
        <v>0</v>
      </c>
      <c r="O251" s="10"/>
      <c r="P251" s="6">
        <v>83181.88</v>
      </c>
      <c r="Q251" s="2"/>
      <c r="R251" s="7">
        <f t="shared" si="102"/>
        <v>1.044322477333046E-2</v>
      </c>
      <c r="S251" s="2"/>
      <c r="T251" s="6">
        <v>82830.880000000005</v>
      </c>
      <c r="U251" s="2"/>
      <c r="V251" s="7">
        <f t="shared" si="103"/>
        <v>3.0626555422309607E-3</v>
      </c>
      <c r="W251" s="2"/>
      <c r="X251" s="6">
        <f t="shared" si="104"/>
        <v>351</v>
      </c>
      <c r="Y251" s="2"/>
      <c r="Z251" s="7">
        <f t="shared" si="105"/>
        <v>4.237550053796362E-3</v>
      </c>
    </row>
    <row r="252" spans="1:26" s="26" customFormat="1" outlineLevel="1" collapsed="1" x14ac:dyDescent="0.25">
      <c r="A252" s="27"/>
      <c r="B252" s="12" t="str">
        <f>CONCATENATE("     ","Interest                                          ")</f>
        <v xml:space="preserve">     Interest                                          </v>
      </c>
      <c r="C252" s="12"/>
      <c r="D252" s="1">
        <f>SUM(OSRRefD22_13x_0)</f>
        <v>11554</v>
      </c>
      <c r="E252" s="1"/>
      <c r="F252" s="5">
        <f t="shared" si="98"/>
        <v>1.4198172348436323E-2</v>
      </c>
      <c r="G252" s="1"/>
      <c r="H252" s="1">
        <f>SUM(OSRRefH22_13x_0)</f>
        <v>11929</v>
      </c>
      <c r="I252" s="1"/>
      <c r="J252" s="5">
        <f t="shared" si="99"/>
        <v>6.4584533634373352E-3</v>
      </c>
      <c r="K252" s="1"/>
      <c r="L252" s="1">
        <f t="shared" si="100"/>
        <v>-375</v>
      </c>
      <c r="M252" s="1"/>
      <c r="N252" s="5">
        <f t="shared" si="101"/>
        <v>-3.1435996311509763E-2</v>
      </c>
      <c r="O252" s="12"/>
      <c r="P252" s="1">
        <f>SUM(OSRRefP22_13x_0)</f>
        <v>103237</v>
      </c>
      <c r="Q252" s="1"/>
      <c r="R252" s="5">
        <f t="shared" si="102"/>
        <v>1.2961082340580864E-2</v>
      </c>
      <c r="S252" s="1"/>
      <c r="T252" s="1">
        <f>SUM(OSRRefT22_13x_0)</f>
        <v>106762</v>
      </c>
      <c r="U252" s="1"/>
      <c r="V252" s="5">
        <f t="shared" si="103"/>
        <v>3.9475040105774782E-3</v>
      </c>
      <c r="W252" s="1"/>
      <c r="X252" s="1">
        <f t="shared" si="104"/>
        <v>-3525</v>
      </c>
      <c r="Y252" s="1"/>
      <c r="Z252" s="5">
        <f t="shared" si="105"/>
        <v>-3.3017365729379369E-2</v>
      </c>
    </row>
    <row r="253" spans="1:26" s="23" customFormat="1" hidden="1" outlineLevel="2" x14ac:dyDescent="0.25">
      <c r="A253" s="25"/>
      <c r="B253" s="10" t="str">
        <f>CONCATENATE("          ", "6401", " - ", "INTEREST EXPENSE")</f>
        <v xml:space="preserve">          6401 - INTEREST EXPENSE</v>
      </c>
      <c r="C253" s="10"/>
      <c r="D253" s="6">
        <v>11554</v>
      </c>
      <c r="E253" s="2"/>
      <c r="F253" s="7">
        <f t="shared" si="98"/>
        <v>1.4198172348436323E-2</v>
      </c>
      <c r="G253" s="2"/>
      <c r="H253" s="6">
        <v>11929</v>
      </c>
      <c r="I253" s="2"/>
      <c r="J253" s="7">
        <f t="shared" si="99"/>
        <v>6.4584533634373352E-3</v>
      </c>
      <c r="K253" s="2"/>
      <c r="L253" s="6">
        <f t="shared" si="100"/>
        <v>-375</v>
      </c>
      <c r="M253" s="2"/>
      <c r="N253" s="7">
        <f t="shared" si="101"/>
        <v>-3.1435996311509763E-2</v>
      </c>
      <c r="O253" s="10"/>
      <c r="P253" s="6">
        <v>103237</v>
      </c>
      <c r="Q253" s="2"/>
      <c r="R253" s="7">
        <f t="shared" si="102"/>
        <v>1.2961082340580864E-2</v>
      </c>
      <c r="S253" s="2"/>
      <c r="T253" s="6">
        <v>106762</v>
      </c>
      <c r="U253" s="2"/>
      <c r="V253" s="7">
        <f t="shared" si="103"/>
        <v>3.9475040105774782E-3</v>
      </c>
      <c r="W253" s="2"/>
      <c r="X253" s="6">
        <f t="shared" si="104"/>
        <v>-3525</v>
      </c>
      <c r="Y253" s="2"/>
      <c r="Z253" s="7">
        <f t="shared" si="105"/>
        <v>-3.3017365729379369E-2</v>
      </c>
    </row>
    <row r="254" spans="1:26" s="26" customFormat="1" outlineLevel="1" collapsed="1" x14ac:dyDescent="0.25">
      <c r="A254" s="27"/>
      <c r="B254" s="12" t="str">
        <f>CONCATENATE("     ","Inventory Adjustment                              ")</f>
        <v xml:space="preserve">     Inventory Adjustment                              </v>
      </c>
      <c r="C254" s="12"/>
      <c r="D254" s="1">
        <f>SUM(OSRRefD22_14x_0)</f>
        <v>3350</v>
      </c>
      <c r="E254" s="1"/>
      <c r="F254" s="5">
        <f t="shared" si="98"/>
        <v>4.1166589377931179E-3</v>
      </c>
      <c r="G254" s="1"/>
      <c r="H254" s="1">
        <f>SUM(OSRRefH22_14x_0)</f>
        <v>4550</v>
      </c>
      <c r="I254" s="1"/>
      <c r="J254" s="5">
        <f t="shared" si="99"/>
        <v>2.4634053821476968E-3</v>
      </c>
      <c r="K254" s="1"/>
      <c r="L254" s="1">
        <f t="shared" si="100"/>
        <v>-1200</v>
      </c>
      <c r="M254" s="1"/>
      <c r="N254" s="5">
        <f t="shared" si="101"/>
        <v>-0.26373626373626374</v>
      </c>
      <c r="O254" s="12"/>
      <c r="P254" s="1">
        <f>SUM(OSRRefP22_14x_0)</f>
        <v>35150</v>
      </c>
      <c r="Q254" s="1"/>
      <c r="R254" s="5">
        <f t="shared" si="102"/>
        <v>4.4129725221714825E-3</v>
      </c>
      <c r="S254" s="1"/>
      <c r="T254" s="1">
        <f>SUM(OSRRefT22_14x_0)</f>
        <v>44250</v>
      </c>
      <c r="U254" s="1"/>
      <c r="V254" s="5">
        <f t="shared" si="103"/>
        <v>1.6361350711681442E-3</v>
      </c>
      <c r="W254" s="1"/>
      <c r="X254" s="1">
        <f t="shared" si="104"/>
        <v>-9100</v>
      </c>
      <c r="Y254" s="1"/>
      <c r="Z254" s="5">
        <f t="shared" si="105"/>
        <v>-0.20564971751412428</v>
      </c>
    </row>
    <row r="255" spans="1:26" s="23" customFormat="1" hidden="1" outlineLevel="2" x14ac:dyDescent="0.25">
      <c r="A255" s="25"/>
      <c r="B255" s="10" t="str">
        <f>CONCATENATE("          ", "6408", " - ", "INVENTORY ADJUSTMENT")</f>
        <v xml:space="preserve">          6408 - INVENTORY ADJUSTMENT</v>
      </c>
      <c r="C255" s="10"/>
      <c r="D255" s="6">
        <v>3350</v>
      </c>
      <c r="E255" s="2"/>
      <c r="F255" s="7">
        <f t="shared" si="98"/>
        <v>4.1166589377931179E-3</v>
      </c>
      <c r="G255" s="2"/>
      <c r="H255" s="6">
        <v>4550</v>
      </c>
      <c r="I255" s="2"/>
      <c r="J255" s="7">
        <f t="shared" si="99"/>
        <v>2.4634053821476968E-3</v>
      </c>
      <c r="K255" s="2"/>
      <c r="L255" s="6">
        <f t="shared" si="100"/>
        <v>-1200</v>
      </c>
      <c r="M255" s="2"/>
      <c r="N255" s="7">
        <f t="shared" si="101"/>
        <v>-0.26373626373626374</v>
      </c>
      <c r="O255" s="10"/>
      <c r="P255" s="6">
        <v>35150</v>
      </c>
      <c r="Q255" s="2"/>
      <c r="R255" s="7">
        <f t="shared" si="102"/>
        <v>4.4129725221714825E-3</v>
      </c>
      <c r="S255" s="2"/>
      <c r="T255" s="6">
        <v>44250</v>
      </c>
      <c r="U255" s="2"/>
      <c r="V255" s="7">
        <f t="shared" si="103"/>
        <v>1.6361350711681442E-3</v>
      </c>
      <c r="W255" s="2"/>
      <c r="X255" s="6">
        <f t="shared" si="104"/>
        <v>-9100</v>
      </c>
      <c r="Y255" s="2"/>
      <c r="Z255" s="7">
        <f t="shared" si="105"/>
        <v>-0.20564971751412428</v>
      </c>
    </row>
    <row r="256" spans="1:26" s="23" customFormat="1" hidden="1" outlineLevel="2" x14ac:dyDescent="0.25">
      <c r="A256" s="25"/>
      <c r="B256" s="10" t="str">
        <f>CONCATENATE("          ", "7701", " - ", "INV. SHRINKAGE-NEW TEXT")</f>
        <v xml:space="preserve">          7701 - INV. SHRINKAGE-NEW TEXT</v>
      </c>
      <c r="C256" s="10"/>
      <c r="D256" s="6"/>
      <c r="E256" s="2"/>
      <c r="F256" s="7">
        <f t="shared" si="98"/>
        <v>0</v>
      </c>
      <c r="G256" s="2"/>
      <c r="H256" s="6"/>
      <c r="I256" s="2"/>
      <c r="J256" s="7">
        <f t="shared" si="99"/>
        <v>0</v>
      </c>
      <c r="K256" s="2"/>
      <c r="L256" s="6">
        <f t="shared" si="100"/>
        <v>0</v>
      </c>
      <c r="M256" s="2"/>
      <c r="N256" s="7">
        <f t="shared" si="101"/>
        <v>0</v>
      </c>
      <c r="O256" s="10"/>
      <c r="P256" s="6"/>
      <c r="Q256" s="2"/>
      <c r="R256" s="7">
        <f t="shared" si="102"/>
        <v>0</v>
      </c>
      <c r="S256" s="2"/>
      <c r="T256" s="6">
        <v>0</v>
      </c>
      <c r="U256" s="2"/>
      <c r="V256" s="7">
        <f t="shared" si="103"/>
        <v>0</v>
      </c>
      <c r="W256" s="2"/>
      <c r="X256" s="6">
        <f t="shared" si="104"/>
        <v>0</v>
      </c>
      <c r="Y256" s="2"/>
      <c r="Z256" s="7">
        <f t="shared" si="105"/>
        <v>0</v>
      </c>
    </row>
    <row r="257" spans="1:26" s="23" customFormat="1" hidden="1" outlineLevel="2" x14ac:dyDescent="0.25">
      <c r="A257" s="25"/>
      <c r="B257" s="10" t="str">
        <f>CONCATENATE("          ", "7741", " - ", "INV. SHRINKAGE-LOGO GIFTS")</f>
        <v xml:space="preserve">          7741 - INV. SHRINKAGE-LOGO GIFTS</v>
      </c>
      <c r="C257" s="10"/>
      <c r="D257" s="6"/>
      <c r="E257" s="2"/>
      <c r="F257" s="7">
        <f t="shared" si="98"/>
        <v>0</v>
      </c>
      <c r="G257" s="2"/>
      <c r="H257" s="6"/>
      <c r="I257" s="2"/>
      <c r="J257" s="7">
        <f t="shared" si="99"/>
        <v>0</v>
      </c>
      <c r="K257" s="2"/>
      <c r="L257" s="6">
        <f t="shared" si="100"/>
        <v>0</v>
      </c>
      <c r="M257" s="2"/>
      <c r="N257" s="7">
        <f t="shared" si="101"/>
        <v>0</v>
      </c>
      <c r="O257" s="10"/>
      <c r="P257" s="6">
        <v>0</v>
      </c>
      <c r="Q257" s="2"/>
      <c r="R257" s="7">
        <f t="shared" si="102"/>
        <v>0</v>
      </c>
      <c r="S257" s="2"/>
      <c r="T257" s="6"/>
      <c r="U257" s="2"/>
      <c r="V257" s="7">
        <f t="shared" si="103"/>
        <v>0</v>
      </c>
      <c r="W257" s="2"/>
      <c r="X257" s="6">
        <f t="shared" si="104"/>
        <v>0</v>
      </c>
      <c r="Y257" s="2"/>
      <c r="Z257" s="7">
        <f t="shared" si="105"/>
        <v>0</v>
      </c>
    </row>
    <row r="258" spans="1:26" s="26" customFormat="1" outlineLevel="1" collapsed="1" x14ac:dyDescent="0.25">
      <c r="A258" s="27"/>
      <c r="B258" s="12" t="str">
        <f>CONCATENATE("     ","Professional Services                             ")</f>
        <v xml:space="preserve">     Professional Services                             </v>
      </c>
      <c r="C258" s="12"/>
      <c r="D258" s="1">
        <f>SUM(OSRRefD22_15x_0)</f>
        <v>0</v>
      </c>
      <c r="E258" s="1"/>
      <c r="F258" s="5">
        <f t="shared" ref="F258:F268" si="106">IF(D$12=0,0,D258/D$12)</f>
        <v>0</v>
      </c>
      <c r="G258" s="1"/>
      <c r="H258" s="1">
        <f>SUM(OSRRefH22_15x_0)</f>
        <v>0</v>
      </c>
      <c r="I258" s="1"/>
      <c r="J258" s="5">
        <f t="shared" ref="J258:J268" si="107">IF(H$12=0,0,H258/H$12)</f>
        <v>0</v>
      </c>
      <c r="K258" s="1"/>
      <c r="L258" s="1">
        <f t="shared" ref="L258:L268" si="108">+D258-H258</f>
        <v>0</v>
      </c>
      <c r="M258" s="1"/>
      <c r="N258" s="5">
        <f t="shared" ref="N258:N268" si="109">IF(H258=0,0,L258/H258)</f>
        <v>0</v>
      </c>
      <c r="O258" s="12"/>
      <c r="P258" s="1">
        <f>SUM(OSRRefP22_15x_0)</f>
        <v>0</v>
      </c>
      <c r="Q258" s="1"/>
      <c r="R258" s="5">
        <f t="shared" ref="R258:R268" si="110">IF(P$12=0,0,P258/P$12)</f>
        <v>0</v>
      </c>
      <c r="S258" s="1"/>
      <c r="T258" s="1">
        <f>SUM(OSRRefT22_15x_0)</f>
        <v>6324.56</v>
      </c>
      <c r="U258" s="1"/>
      <c r="V258" s="5">
        <f t="shared" ref="V258:V268" si="111">IF(T$12=0,0,T258/T$12)</f>
        <v>2.3384936555270505E-4</v>
      </c>
      <c r="W258" s="1"/>
      <c r="X258" s="1">
        <f t="shared" ref="X258:X268" si="112">+P258-T258</f>
        <v>-6324.56</v>
      </c>
      <c r="Y258" s="1"/>
      <c r="Z258" s="5">
        <f t="shared" ref="Z258:Z268" si="113">IF(T258=0,0,X258/T258)</f>
        <v>-1</v>
      </c>
    </row>
    <row r="259" spans="1:26" s="23" customFormat="1" hidden="1" outlineLevel="2" x14ac:dyDescent="0.25">
      <c r="A259" s="25"/>
      <c r="B259" s="10" t="str">
        <f>CONCATENATE("          ", "6336", " - ", "PROFESSIONAL SERVICES")</f>
        <v xml:space="preserve">          6336 - PROFESSIONAL SERVICES</v>
      </c>
      <c r="C259" s="10"/>
      <c r="D259" s="6"/>
      <c r="E259" s="2"/>
      <c r="F259" s="7">
        <f t="shared" si="106"/>
        <v>0</v>
      </c>
      <c r="G259" s="2"/>
      <c r="H259" s="6"/>
      <c r="I259" s="2"/>
      <c r="J259" s="7">
        <f t="shared" si="107"/>
        <v>0</v>
      </c>
      <c r="K259" s="2"/>
      <c r="L259" s="6">
        <f t="shared" si="108"/>
        <v>0</v>
      </c>
      <c r="M259" s="2"/>
      <c r="N259" s="7">
        <f t="shared" si="109"/>
        <v>0</v>
      </c>
      <c r="O259" s="10"/>
      <c r="P259" s="6"/>
      <c r="Q259" s="2"/>
      <c r="R259" s="7">
        <f t="shared" si="110"/>
        <v>0</v>
      </c>
      <c r="S259" s="2"/>
      <c r="T259" s="6">
        <v>6324.56</v>
      </c>
      <c r="U259" s="2"/>
      <c r="V259" s="7">
        <f t="shared" si="111"/>
        <v>2.3384936555270505E-4</v>
      </c>
      <c r="W259" s="2"/>
      <c r="X259" s="6">
        <f t="shared" si="112"/>
        <v>-6324.56</v>
      </c>
      <c r="Y259" s="2"/>
      <c r="Z259" s="7">
        <f t="shared" si="113"/>
        <v>-1</v>
      </c>
    </row>
    <row r="260" spans="1:26" s="26" customFormat="1" outlineLevel="1" collapsed="1" x14ac:dyDescent="0.25">
      <c r="A260" s="27"/>
      <c r="B260" s="12" t="str">
        <f>CONCATENATE("     ","R/H Commissions                                   ")</f>
        <v xml:space="preserve">     R/H Commissions                                   </v>
      </c>
      <c r="C260" s="12"/>
      <c r="D260" s="1">
        <f>SUM(OSRRefD22_16x_0)</f>
        <v>6756.75</v>
      </c>
      <c r="E260" s="1"/>
      <c r="F260" s="5">
        <f t="shared" si="106"/>
        <v>8.3030553068458648E-3</v>
      </c>
      <c r="G260" s="1"/>
      <c r="H260" s="1">
        <f>SUM(OSRRefH22_16x_0)</f>
        <v>76497.149999999994</v>
      </c>
      <c r="I260" s="1"/>
      <c r="J260" s="5">
        <f t="shared" si="107"/>
        <v>4.1416151874496633E-2</v>
      </c>
      <c r="K260" s="1"/>
      <c r="L260" s="1">
        <f t="shared" si="108"/>
        <v>-69740.399999999994</v>
      </c>
      <c r="M260" s="1"/>
      <c r="N260" s="5">
        <f t="shared" si="109"/>
        <v>-0.911673179981215</v>
      </c>
      <c r="O260" s="12"/>
      <c r="P260" s="1">
        <f>SUM(OSRRefP22_16x_0)</f>
        <v>59012.6</v>
      </c>
      <c r="Q260" s="1"/>
      <c r="R260" s="5">
        <f t="shared" si="110"/>
        <v>7.408847290523381E-3</v>
      </c>
      <c r="S260" s="1"/>
      <c r="T260" s="1">
        <f>SUM(OSRRefT22_16x_0)</f>
        <v>702548.43</v>
      </c>
      <c r="U260" s="1"/>
      <c r="V260" s="5">
        <f t="shared" si="111"/>
        <v>2.597659040716651E-2</v>
      </c>
      <c r="W260" s="1"/>
      <c r="X260" s="1">
        <f t="shared" si="112"/>
        <v>-643535.83000000007</v>
      </c>
      <c r="Y260" s="1"/>
      <c r="Z260" s="5">
        <f t="shared" si="113"/>
        <v>-0.91600208970647057</v>
      </c>
    </row>
    <row r="261" spans="1:26" s="23" customFormat="1" hidden="1" outlineLevel="2" x14ac:dyDescent="0.25">
      <c r="A261" s="25"/>
      <c r="B261" s="10" t="str">
        <f>CONCATENATE("          ", "6387", " - ", "COMMISSION DUE HOUSING")</f>
        <v xml:space="preserve">          6387 - COMMISSION DUE HOUSING</v>
      </c>
      <c r="C261" s="10"/>
      <c r="D261" s="6">
        <v>6756.75</v>
      </c>
      <c r="E261" s="2"/>
      <c r="F261" s="7">
        <f t="shared" si="106"/>
        <v>8.3030553068458648E-3</v>
      </c>
      <c r="G261" s="2"/>
      <c r="H261" s="6">
        <v>76497.149999999994</v>
      </c>
      <c r="I261" s="2"/>
      <c r="J261" s="7">
        <f t="shared" si="107"/>
        <v>4.1416151874496633E-2</v>
      </c>
      <c r="K261" s="2"/>
      <c r="L261" s="6">
        <f t="shared" si="108"/>
        <v>-69740.399999999994</v>
      </c>
      <c r="M261" s="2"/>
      <c r="N261" s="7">
        <f t="shared" si="109"/>
        <v>-0.911673179981215</v>
      </c>
      <c r="O261" s="10"/>
      <c r="P261" s="6">
        <v>59012.6</v>
      </c>
      <c r="Q261" s="2"/>
      <c r="R261" s="7">
        <f t="shared" si="110"/>
        <v>7.408847290523381E-3</v>
      </c>
      <c r="S261" s="2"/>
      <c r="T261" s="6">
        <v>702548.43</v>
      </c>
      <c r="U261" s="2"/>
      <c r="V261" s="7">
        <f t="shared" si="111"/>
        <v>2.597659040716651E-2</v>
      </c>
      <c r="W261" s="2"/>
      <c r="X261" s="6">
        <f t="shared" si="112"/>
        <v>-643535.83000000007</v>
      </c>
      <c r="Y261" s="2"/>
      <c r="Z261" s="7">
        <f t="shared" si="113"/>
        <v>-0.91600208970647057</v>
      </c>
    </row>
    <row r="262" spans="1:26" s="26" customFormat="1" outlineLevel="1" collapsed="1" x14ac:dyDescent="0.25">
      <c r="A262" s="27"/>
      <c r="B262" s="12" t="str">
        <f>CONCATENATE("     ","Rent                                              ")</f>
        <v xml:space="preserve">     Rent                                              </v>
      </c>
      <c r="C262" s="12"/>
      <c r="D262" s="1">
        <f>SUM(OSRRefD22_17x_0)</f>
        <v>6900</v>
      </c>
      <c r="E262" s="1"/>
      <c r="F262" s="5">
        <f t="shared" si="106"/>
        <v>8.479088558439556E-3</v>
      </c>
      <c r="G262" s="1"/>
      <c r="H262" s="1">
        <f>SUM(OSRRefH22_17x_0)</f>
        <v>9900</v>
      </c>
      <c r="I262" s="1"/>
      <c r="J262" s="5">
        <f t="shared" si="107"/>
        <v>5.3599369853323513E-3</v>
      </c>
      <c r="K262" s="1"/>
      <c r="L262" s="1">
        <f t="shared" si="108"/>
        <v>-3000</v>
      </c>
      <c r="M262" s="1"/>
      <c r="N262" s="5">
        <f t="shared" si="109"/>
        <v>-0.30303030303030304</v>
      </c>
      <c r="O262" s="12"/>
      <c r="P262" s="1">
        <f>SUM(OSRRefP22_17x_0)</f>
        <v>73200</v>
      </c>
      <c r="Q262" s="1"/>
      <c r="R262" s="5">
        <f t="shared" si="110"/>
        <v>9.1900309707810112E-3</v>
      </c>
      <c r="S262" s="1"/>
      <c r="T262" s="1">
        <f>SUM(OSRRefT22_17x_0)</f>
        <v>89100</v>
      </c>
      <c r="U262" s="1"/>
      <c r="V262" s="5">
        <f t="shared" si="111"/>
        <v>3.2944550246572124E-3</v>
      </c>
      <c r="W262" s="1"/>
      <c r="X262" s="1">
        <f t="shared" si="112"/>
        <v>-15900</v>
      </c>
      <c r="Y262" s="1"/>
      <c r="Z262" s="5">
        <f t="shared" si="113"/>
        <v>-0.17845117845117844</v>
      </c>
    </row>
    <row r="263" spans="1:26" s="23" customFormat="1" hidden="1" outlineLevel="2" x14ac:dyDescent="0.25">
      <c r="A263" s="25"/>
      <c r="B263" s="10" t="str">
        <f>CONCATENATE("          ", "6273", " - ", "RENT")</f>
        <v xml:space="preserve">          6273 - RENT</v>
      </c>
      <c r="C263" s="10"/>
      <c r="D263" s="6">
        <v>6900</v>
      </c>
      <c r="E263" s="2"/>
      <c r="F263" s="7">
        <f t="shared" si="106"/>
        <v>8.479088558439556E-3</v>
      </c>
      <c r="G263" s="2"/>
      <c r="H263" s="6">
        <v>9900</v>
      </c>
      <c r="I263" s="2"/>
      <c r="J263" s="7">
        <f t="shared" si="107"/>
        <v>5.3599369853323513E-3</v>
      </c>
      <c r="K263" s="2"/>
      <c r="L263" s="6">
        <f t="shared" si="108"/>
        <v>-3000</v>
      </c>
      <c r="M263" s="2"/>
      <c r="N263" s="7">
        <f t="shared" si="109"/>
        <v>-0.30303030303030304</v>
      </c>
      <c r="O263" s="10"/>
      <c r="P263" s="6">
        <v>73200</v>
      </c>
      <c r="Q263" s="2"/>
      <c r="R263" s="7">
        <f t="shared" si="110"/>
        <v>9.1900309707810112E-3</v>
      </c>
      <c r="S263" s="2"/>
      <c r="T263" s="6">
        <v>89100</v>
      </c>
      <c r="U263" s="2"/>
      <c r="V263" s="7">
        <f t="shared" si="111"/>
        <v>3.2944550246572124E-3</v>
      </c>
      <c r="W263" s="2"/>
      <c r="X263" s="6">
        <f t="shared" si="112"/>
        <v>-15900</v>
      </c>
      <c r="Y263" s="2"/>
      <c r="Z263" s="7">
        <f t="shared" si="113"/>
        <v>-0.17845117845117844</v>
      </c>
    </row>
    <row r="264" spans="1:26" s="26" customFormat="1" outlineLevel="1" collapsed="1" x14ac:dyDescent="0.25">
      <c r="A264" s="27"/>
      <c r="B264" s="12" t="str">
        <f>CONCATENATE("     ","Repair and Maintenance                            ")</f>
        <v xml:space="preserve">     Repair and Maintenance                            </v>
      </c>
      <c r="C264" s="12"/>
      <c r="D264" s="1">
        <f>SUM(OSRRefD22_18x_0)</f>
        <v>46822.47</v>
      </c>
      <c r="E264" s="1"/>
      <c r="F264" s="5">
        <f t="shared" si="106"/>
        <v>5.7537952123895564E-2</v>
      </c>
      <c r="G264" s="1"/>
      <c r="H264" s="1">
        <f>SUM(OSRRefH22_18x_0)</f>
        <v>27737.13</v>
      </c>
      <c r="I264" s="1"/>
      <c r="J264" s="5">
        <f t="shared" si="107"/>
        <v>1.5017097874138538E-2</v>
      </c>
      <c r="K264" s="1"/>
      <c r="L264" s="1">
        <f t="shared" si="108"/>
        <v>19085.34</v>
      </c>
      <c r="M264" s="1"/>
      <c r="N264" s="5">
        <f t="shared" si="109"/>
        <v>0.68807911993778736</v>
      </c>
      <c r="O264" s="12"/>
      <c r="P264" s="1">
        <f>SUM(OSRRefP22_18x_0)</f>
        <v>345157.41000000003</v>
      </c>
      <c r="Q264" s="1"/>
      <c r="R264" s="5">
        <f t="shared" si="110"/>
        <v>4.3333432892002179E-2</v>
      </c>
      <c r="S264" s="1"/>
      <c r="T264" s="1">
        <f>SUM(OSRRefT22_18x_0)</f>
        <v>524440.59</v>
      </c>
      <c r="U264" s="1"/>
      <c r="V264" s="5">
        <f t="shared" si="111"/>
        <v>1.9391087955776574E-2</v>
      </c>
      <c r="W264" s="1"/>
      <c r="X264" s="1">
        <f t="shared" si="112"/>
        <v>-179283.17999999993</v>
      </c>
      <c r="Y264" s="1"/>
      <c r="Z264" s="5">
        <f t="shared" si="113"/>
        <v>-0.34185603368343392</v>
      </c>
    </row>
    <row r="265" spans="1:26" s="23" customFormat="1" hidden="1" outlineLevel="2" x14ac:dyDescent="0.25">
      <c r="A265" s="25"/>
      <c r="B265" s="10" t="str">
        <f>CONCATENATE("          ", "6371", " - ", "COMPUTER SOFTWARE MAINTENANCE")</f>
        <v xml:space="preserve">          6371 - COMPUTER SOFTWARE MAINTENANCE</v>
      </c>
      <c r="C265" s="10"/>
      <c r="D265" s="6">
        <v>5050</v>
      </c>
      <c r="E265" s="2"/>
      <c r="F265" s="7">
        <f t="shared" si="106"/>
        <v>6.2057097420463421E-3</v>
      </c>
      <c r="G265" s="2"/>
      <c r="H265" s="6">
        <v>631.04999999999995</v>
      </c>
      <c r="I265" s="2"/>
      <c r="J265" s="7">
        <f t="shared" si="107"/>
        <v>3.4165537723171517E-4</v>
      </c>
      <c r="K265" s="2"/>
      <c r="L265" s="6">
        <f t="shared" si="108"/>
        <v>4418.95</v>
      </c>
      <c r="M265" s="2"/>
      <c r="N265" s="7">
        <f t="shared" si="109"/>
        <v>7.0025354567783857</v>
      </c>
      <c r="O265" s="10"/>
      <c r="P265" s="6">
        <v>76019.990000000005</v>
      </c>
      <c r="Q265" s="2"/>
      <c r="R265" s="7">
        <f t="shared" si="110"/>
        <v>9.5440718920555018E-3</v>
      </c>
      <c r="S265" s="2"/>
      <c r="T265" s="6">
        <v>91531.31</v>
      </c>
      <c r="U265" s="2"/>
      <c r="V265" s="7">
        <f t="shared" si="111"/>
        <v>3.3843522350500217E-3</v>
      </c>
      <c r="W265" s="2"/>
      <c r="X265" s="6">
        <f t="shared" si="112"/>
        <v>-15511.319999999992</v>
      </c>
      <c r="Y265" s="2"/>
      <c r="Z265" s="7">
        <f t="shared" si="113"/>
        <v>-0.16946463456056723</v>
      </c>
    </row>
    <row r="266" spans="1:26" s="23" customFormat="1" hidden="1" outlineLevel="2" x14ac:dyDescent="0.25">
      <c r="A266" s="25"/>
      <c r="B266" s="10" t="str">
        <f>CONCATENATE("          ", "6372", " - ", "COMPUTER HARDWARE MAINTENANCE")</f>
        <v xml:space="preserve">          6372 - COMPUTER HARDWARE MAINTENANCE</v>
      </c>
      <c r="C266" s="10"/>
      <c r="D266" s="6">
        <v>100</v>
      </c>
      <c r="E266" s="2"/>
      <c r="F266" s="7">
        <f t="shared" si="106"/>
        <v>1.2288534142666023E-4</v>
      </c>
      <c r="G266" s="2"/>
      <c r="H266" s="6"/>
      <c r="I266" s="2"/>
      <c r="J266" s="7">
        <f t="shared" si="107"/>
        <v>0</v>
      </c>
      <c r="K266" s="2"/>
      <c r="L266" s="6">
        <f t="shared" si="108"/>
        <v>100</v>
      </c>
      <c r="M266" s="2"/>
      <c r="N266" s="7">
        <f t="shared" si="109"/>
        <v>0</v>
      </c>
      <c r="O266" s="10"/>
      <c r="P266" s="6">
        <v>98.85</v>
      </c>
      <c r="Q266" s="2"/>
      <c r="R266" s="7">
        <f t="shared" si="110"/>
        <v>1.2410308216689929E-5</v>
      </c>
      <c r="S266" s="2"/>
      <c r="T266" s="6">
        <v>52.31</v>
      </c>
      <c r="U266" s="2"/>
      <c r="V266" s="7">
        <f t="shared" si="111"/>
        <v>1.9341519903458899E-6</v>
      </c>
      <c r="W266" s="2"/>
      <c r="X266" s="6">
        <f t="shared" si="112"/>
        <v>46.539999999999992</v>
      </c>
      <c r="Y266" s="2"/>
      <c r="Z266" s="7">
        <f t="shared" si="113"/>
        <v>0.88969604282164005</v>
      </c>
    </row>
    <row r="267" spans="1:26" s="23" customFormat="1" hidden="1" outlineLevel="2" x14ac:dyDescent="0.25">
      <c r="A267" s="25"/>
      <c r="B267" s="10" t="str">
        <f>CONCATENATE("          ", "6373", " - ", "MAINTENANCE CONTRACTS")</f>
        <v xml:space="preserve">          6373 - MAINTENANCE CONTRACTS</v>
      </c>
      <c r="C267" s="10"/>
      <c r="D267" s="6">
        <v>31589.56</v>
      </c>
      <c r="E267" s="2"/>
      <c r="F267" s="7">
        <f t="shared" si="106"/>
        <v>3.8818938661179692E-2</v>
      </c>
      <c r="G267" s="2"/>
      <c r="H267" s="6">
        <v>20220.400000000001</v>
      </c>
      <c r="I267" s="2"/>
      <c r="J267" s="7">
        <f t="shared" si="107"/>
        <v>1.0947481799819624E-2</v>
      </c>
      <c r="K267" s="2"/>
      <c r="L267" s="6">
        <f t="shared" si="108"/>
        <v>11369.16</v>
      </c>
      <c r="M267" s="2"/>
      <c r="N267" s="7">
        <f t="shared" si="109"/>
        <v>0.5622618741469011</v>
      </c>
      <c r="O267" s="10"/>
      <c r="P267" s="6">
        <v>210332.63</v>
      </c>
      <c r="Q267" s="2"/>
      <c r="R267" s="7">
        <f t="shared" si="110"/>
        <v>2.6406603604724362E-2</v>
      </c>
      <c r="S267" s="2"/>
      <c r="T267" s="6">
        <v>267803.62</v>
      </c>
      <c r="U267" s="2"/>
      <c r="V267" s="7">
        <f t="shared" si="111"/>
        <v>9.9019863246957423E-3</v>
      </c>
      <c r="W267" s="2"/>
      <c r="X267" s="6">
        <f t="shared" si="112"/>
        <v>-57470.989999999991</v>
      </c>
      <c r="Y267" s="2"/>
      <c r="Z267" s="7">
        <f t="shared" si="113"/>
        <v>-0.21460124400110794</v>
      </c>
    </row>
    <row r="268" spans="1:26" s="23" customFormat="1" hidden="1" outlineLevel="2" x14ac:dyDescent="0.25">
      <c r="A268" s="25"/>
      <c r="B268" s="10" t="str">
        <f>CONCATENATE("          ", "6375", " - ", "OUTSIDE REPAIRS &amp; MAINTENANCE")</f>
        <v xml:space="preserve">          6375 - OUTSIDE REPAIRS &amp; MAINTENANCE</v>
      </c>
      <c r="C268" s="10"/>
      <c r="D268" s="6">
        <v>10082.91</v>
      </c>
      <c r="E268" s="2"/>
      <c r="F268" s="7">
        <f t="shared" si="106"/>
        <v>1.2390418379242867E-2</v>
      </c>
      <c r="G268" s="2"/>
      <c r="H268" s="6">
        <v>6885.68</v>
      </c>
      <c r="I268" s="2"/>
      <c r="J268" s="7">
        <f t="shared" si="107"/>
        <v>3.7279606970871985E-3</v>
      </c>
      <c r="K268" s="2"/>
      <c r="L268" s="6">
        <f t="shared" si="108"/>
        <v>3197.2299999999996</v>
      </c>
      <c r="M268" s="2"/>
      <c r="N268" s="7">
        <f t="shared" si="109"/>
        <v>0.46433032031694754</v>
      </c>
      <c r="O268" s="10"/>
      <c r="P268" s="6">
        <v>58705.94</v>
      </c>
      <c r="Q268" s="2"/>
      <c r="R268" s="7">
        <f t="shared" si="110"/>
        <v>7.370347087005626E-3</v>
      </c>
      <c r="S268" s="2"/>
      <c r="T268" s="6">
        <v>165053.35</v>
      </c>
      <c r="U268" s="2"/>
      <c r="V268" s="7">
        <f t="shared" si="111"/>
        <v>6.1028152440404659E-3</v>
      </c>
      <c r="W268" s="2"/>
      <c r="X268" s="6">
        <f t="shared" si="112"/>
        <v>-106347.41</v>
      </c>
      <c r="Y268" s="2"/>
      <c r="Z268" s="7">
        <f t="shared" si="113"/>
        <v>-0.64432142698103367</v>
      </c>
    </row>
    <row r="269" spans="1:26" s="26" customFormat="1" outlineLevel="1" collapsed="1" x14ac:dyDescent="0.25">
      <c r="A269" s="27"/>
      <c r="B269" s="12" t="str">
        <f>CONCATENATE("     ","Royalty &amp; Commissions                             ")</f>
        <v xml:space="preserve">     Royalty &amp; Commissions                             </v>
      </c>
      <c r="C269" s="12"/>
      <c r="D269" s="1">
        <f>SUM(OSRRefD22_19x_0)</f>
        <v>27.21</v>
      </c>
      <c r="E269" s="1"/>
      <c r="F269" s="5">
        <f t="shared" ref="F269:F272" si="114">IF(D$12=0,0,D269/D$12)</f>
        <v>3.343710140219425E-5</v>
      </c>
      <c r="G269" s="1"/>
      <c r="H269" s="1">
        <f>SUM(OSRRefH22_19x_0)</f>
        <v>32890.050000000003</v>
      </c>
      <c r="I269" s="1"/>
      <c r="J269" s="5">
        <f t="shared" ref="J269:J272" si="115">IF(H$12=0,0,H269/H$12)</f>
        <v>1.7806928832770741E-2</v>
      </c>
      <c r="K269" s="1"/>
      <c r="L269" s="1">
        <f t="shared" ref="L269:L272" si="116">+D269-H269</f>
        <v>-32862.840000000004</v>
      </c>
      <c r="M269" s="1"/>
      <c r="N269" s="5">
        <f t="shared" ref="N269:N272" si="117">IF(H269=0,0,L269/H269)</f>
        <v>-0.99917269812602905</v>
      </c>
      <c r="O269" s="12"/>
      <c r="P269" s="1">
        <f>SUM(OSRRefP22_19x_0)</f>
        <v>37046.9</v>
      </c>
      <c r="Q269" s="1"/>
      <c r="R269" s="5">
        <f t="shared" ref="R269:R272" si="118">IF(P$12=0,0,P269/P$12)</f>
        <v>4.6511223821233206E-3</v>
      </c>
      <c r="S269" s="1"/>
      <c r="T269" s="1">
        <f>SUM(OSRRefT22_19x_0)</f>
        <v>361431.56</v>
      </c>
      <c r="U269" s="1"/>
      <c r="V269" s="5">
        <f t="shared" ref="V269:V272" si="119">IF(T$12=0,0,T269/T$12)</f>
        <v>1.3363861042779963E-2</v>
      </c>
      <c r="W269" s="1"/>
      <c r="X269" s="1">
        <f t="shared" ref="X269:X272" si="120">+P269-T269</f>
        <v>-324384.65999999997</v>
      </c>
      <c r="Y269" s="1"/>
      <c r="Z269" s="5">
        <f t="shared" ref="Z269:Z272" si="121">IF(T269=0,0,X269/T269)</f>
        <v>-0.89749954320535807</v>
      </c>
    </row>
    <row r="270" spans="1:26" s="23" customFormat="1" hidden="1" outlineLevel="2" x14ac:dyDescent="0.25">
      <c r="A270" s="25"/>
      <c r="B270" s="10" t="str">
        <f>CONCATENATE("          ", "6253", " - ", "ROYALTY DUE ATHLETICS-LRG")</f>
        <v xml:space="preserve">          6253 - ROYALTY DUE ATHLETICS-LRG</v>
      </c>
      <c r="C270" s="10"/>
      <c r="D270" s="6"/>
      <c r="E270" s="2"/>
      <c r="F270" s="7">
        <f t="shared" si="114"/>
        <v>0</v>
      </c>
      <c r="G270" s="2"/>
      <c r="H270" s="6">
        <v>1669.49</v>
      </c>
      <c r="I270" s="2"/>
      <c r="J270" s="7">
        <f t="shared" si="115"/>
        <v>9.0387486844873809E-4</v>
      </c>
      <c r="K270" s="2"/>
      <c r="L270" s="6">
        <f t="shared" si="116"/>
        <v>-1669.49</v>
      </c>
      <c r="M270" s="2"/>
      <c r="N270" s="7">
        <f t="shared" si="117"/>
        <v>-1</v>
      </c>
      <c r="O270" s="10"/>
      <c r="P270" s="6">
        <v>26197.58</v>
      </c>
      <c r="Q270" s="2"/>
      <c r="R270" s="7">
        <f t="shared" si="118"/>
        <v>3.2890242016326942E-3</v>
      </c>
      <c r="S270" s="2"/>
      <c r="T270" s="6">
        <v>18314.93</v>
      </c>
      <c r="U270" s="2"/>
      <c r="V270" s="7">
        <f t="shared" si="119"/>
        <v>6.7719094460993404E-4</v>
      </c>
      <c r="W270" s="2"/>
      <c r="X270" s="6">
        <f t="shared" si="120"/>
        <v>7882.6500000000015</v>
      </c>
      <c r="Y270" s="2"/>
      <c r="Z270" s="7">
        <f t="shared" si="121"/>
        <v>0.43039476536355864</v>
      </c>
    </row>
    <row r="271" spans="1:26" s="23" customFormat="1" hidden="1" outlineLevel="2" x14ac:dyDescent="0.25">
      <c r="A271" s="25"/>
      <c r="B271" s="10" t="str">
        <f>CONCATENATE("          ", "6254", " - ", "ROYALTY &amp; COMMISSIONS")</f>
        <v xml:space="preserve">          6254 - ROYALTY &amp; COMMISSIONS</v>
      </c>
      <c r="C271" s="10"/>
      <c r="D271" s="6"/>
      <c r="E271" s="2"/>
      <c r="F271" s="7">
        <f t="shared" si="114"/>
        <v>0</v>
      </c>
      <c r="G271" s="2"/>
      <c r="H271" s="6">
        <v>20398.84</v>
      </c>
      <c r="I271" s="2"/>
      <c r="J271" s="7">
        <f t="shared" si="115"/>
        <v>1.1044090603421918E-2</v>
      </c>
      <c r="K271" s="2"/>
      <c r="L271" s="6">
        <f t="shared" si="116"/>
        <v>-20398.84</v>
      </c>
      <c r="M271" s="2"/>
      <c r="N271" s="7">
        <f t="shared" si="117"/>
        <v>-1</v>
      </c>
      <c r="O271" s="10"/>
      <c r="P271" s="6">
        <v>185.7</v>
      </c>
      <c r="Q271" s="2"/>
      <c r="R271" s="7">
        <f t="shared" si="118"/>
        <v>2.3314053979153464E-5</v>
      </c>
      <c r="S271" s="2"/>
      <c r="T271" s="6">
        <v>161620.87</v>
      </c>
      <c r="U271" s="2"/>
      <c r="V271" s="7">
        <f t="shared" si="119"/>
        <v>5.9758999692589238E-3</v>
      </c>
      <c r="W271" s="2"/>
      <c r="X271" s="6">
        <f t="shared" si="120"/>
        <v>-161435.16999999998</v>
      </c>
      <c r="Y271" s="2"/>
      <c r="Z271" s="7">
        <f t="shared" si="121"/>
        <v>-0.99885101472353166</v>
      </c>
    </row>
    <row r="272" spans="1:26" s="23" customFormat="1" hidden="1" outlineLevel="2" x14ac:dyDescent="0.25">
      <c r="A272" s="25"/>
      <c r="B272" s="10" t="str">
        <f>CONCATENATE("          ", "6259", " - ", "ROYALTY &amp; COMMISSIONS")</f>
        <v xml:space="preserve">          6259 - ROYALTY &amp; COMMISSIONS</v>
      </c>
      <c r="C272" s="10"/>
      <c r="D272" s="6">
        <v>27.21</v>
      </c>
      <c r="E272" s="2"/>
      <c r="F272" s="7">
        <f t="shared" si="114"/>
        <v>3.343710140219425E-5</v>
      </c>
      <c r="G272" s="2"/>
      <c r="H272" s="6">
        <v>10821.72</v>
      </c>
      <c r="I272" s="2"/>
      <c r="J272" s="7">
        <f t="shared" si="115"/>
        <v>5.8589633609000815E-3</v>
      </c>
      <c r="K272" s="2"/>
      <c r="L272" s="6">
        <f t="shared" si="116"/>
        <v>-10794.51</v>
      </c>
      <c r="M272" s="2"/>
      <c r="N272" s="7">
        <f t="shared" si="117"/>
        <v>-0.99748561226865973</v>
      </c>
      <c r="O272" s="10"/>
      <c r="P272" s="6">
        <v>10663.62</v>
      </c>
      <c r="Q272" s="2"/>
      <c r="R272" s="7">
        <f t="shared" si="118"/>
        <v>1.3387841265114727E-3</v>
      </c>
      <c r="S272" s="2"/>
      <c r="T272" s="6">
        <v>181495.76</v>
      </c>
      <c r="U272" s="2"/>
      <c r="V272" s="7">
        <f t="shared" si="119"/>
        <v>6.7107701289111053E-3</v>
      </c>
      <c r="W272" s="2"/>
      <c r="X272" s="6">
        <f t="shared" si="120"/>
        <v>-170832.14</v>
      </c>
      <c r="Y272" s="2"/>
      <c r="Z272" s="7">
        <f t="shared" si="121"/>
        <v>-0.94124590017970666</v>
      </c>
    </row>
    <row r="273" spans="1:26" s="26" customFormat="1" outlineLevel="1" collapsed="1" x14ac:dyDescent="0.25">
      <c r="A273" s="27"/>
      <c r="B273" s="12" t="str">
        <f>CONCATENATE("     ","Services                                          ")</f>
        <v xml:space="preserve">     Services                                          </v>
      </c>
      <c r="C273" s="12"/>
      <c r="D273" s="1">
        <f>SUM(OSRRefD22_20x_0)</f>
        <v>17082.769999999997</v>
      </c>
      <c r="E273" s="1"/>
      <c r="F273" s="5">
        <f t="shared" ref="F273:F278" si="122">IF(D$12=0,0,D273/D$12)</f>
        <v>2.0992220239631081E-2</v>
      </c>
      <c r="G273" s="1"/>
      <c r="H273" s="1">
        <f>SUM(OSRRefH22_20x_0)</f>
        <v>53853.68</v>
      </c>
      <c r="I273" s="1"/>
      <c r="J273" s="5">
        <f t="shared" ref="J273:J278" si="123">IF(H$12=0,0,H273/H$12)</f>
        <v>2.9156801134166986E-2</v>
      </c>
      <c r="K273" s="1"/>
      <c r="L273" s="1">
        <f t="shared" ref="L273:L278" si="124">+D273-H273</f>
        <v>-36770.910000000003</v>
      </c>
      <c r="M273" s="1"/>
      <c r="N273" s="5">
        <f t="shared" ref="N273:N278" si="125">IF(H273=0,0,L273/H273)</f>
        <v>-0.68279289363326712</v>
      </c>
      <c r="O273" s="12"/>
      <c r="P273" s="1">
        <f>SUM(OSRRefP22_20x_0)</f>
        <v>186794.88</v>
      </c>
      <c r="Q273" s="1"/>
      <c r="R273" s="5">
        <f t="shared" ref="R273:R278" si="126">IF(P$12=0,0,P273/P$12)</f>
        <v>2.3451512737477084E-2</v>
      </c>
      <c r="S273" s="1"/>
      <c r="T273" s="1">
        <f>SUM(OSRRefT22_20x_0)</f>
        <v>435539.26999999996</v>
      </c>
      <c r="U273" s="1"/>
      <c r="V273" s="5">
        <f t="shared" ref="V273:V278" si="127">IF(T$12=0,0,T273/T$12)</f>
        <v>1.6103979085151897E-2</v>
      </c>
      <c r="W273" s="1"/>
      <c r="X273" s="1">
        <f t="shared" ref="X273:X278" si="128">+P273-T273</f>
        <v>-248744.38999999996</v>
      </c>
      <c r="Y273" s="1"/>
      <c r="Z273" s="5">
        <f t="shared" ref="Z273:Z278" si="129">IF(T273=0,0,X273/T273)</f>
        <v>-0.57111816805864601</v>
      </c>
    </row>
    <row r="274" spans="1:26" s="23" customFormat="1" hidden="1" outlineLevel="2" x14ac:dyDescent="0.25">
      <c r="A274" s="25"/>
      <c r="B274" s="10" t="str">
        <f>CONCATENATE("          ", "6282", " - ", "JANITORIAL/EXTERMINATOR EXPENS")</f>
        <v xml:space="preserve">          6282 - JANITORIAL/EXTERMINATOR EXPENS</v>
      </c>
      <c r="C274" s="10"/>
      <c r="D274" s="6">
        <v>4653.21</v>
      </c>
      <c r="E274" s="2"/>
      <c r="F274" s="7">
        <f t="shared" si="122"/>
        <v>5.7181129957994967E-3</v>
      </c>
      <c r="G274" s="2"/>
      <c r="H274" s="6">
        <v>3406.92</v>
      </c>
      <c r="I274" s="2"/>
      <c r="J274" s="7">
        <f t="shared" si="123"/>
        <v>1.8445329812190399E-3</v>
      </c>
      <c r="K274" s="2"/>
      <c r="L274" s="6">
        <f t="shared" si="124"/>
        <v>1246.29</v>
      </c>
      <c r="M274" s="2"/>
      <c r="N274" s="7">
        <f t="shared" si="125"/>
        <v>0.36581134866683102</v>
      </c>
      <c r="O274" s="10"/>
      <c r="P274" s="6">
        <v>29841.1</v>
      </c>
      <c r="Q274" s="2"/>
      <c r="R274" s="7">
        <f t="shared" si="126"/>
        <v>3.7464567377346065E-3</v>
      </c>
      <c r="S274" s="2"/>
      <c r="T274" s="6">
        <v>36340.58</v>
      </c>
      <c r="U274" s="2"/>
      <c r="V274" s="7">
        <f t="shared" si="127"/>
        <v>1.3436858179568733E-3</v>
      </c>
      <c r="W274" s="2"/>
      <c r="X274" s="6">
        <f t="shared" si="128"/>
        <v>-6499.4800000000032</v>
      </c>
      <c r="Y274" s="2"/>
      <c r="Z274" s="7">
        <f t="shared" si="129"/>
        <v>-0.17884909927139311</v>
      </c>
    </row>
    <row r="275" spans="1:26" s="23" customFormat="1" hidden="1" outlineLevel="2" x14ac:dyDescent="0.25">
      <c r="A275" s="25"/>
      <c r="B275" s="10" t="str">
        <f>CONCATENATE("          ", "6283", " - ", "PLANT SERVICE")</f>
        <v xml:space="preserve">          6283 - PLANT SERVICE</v>
      </c>
      <c r="C275" s="10"/>
      <c r="D275" s="6"/>
      <c r="E275" s="2"/>
      <c r="F275" s="7">
        <f t="shared" si="122"/>
        <v>0</v>
      </c>
      <c r="G275" s="2"/>
      <c r="H275" s="6">
        <v>399.56</v>
      </c>
      <c r="I275" s="2"/>
      <c r="J275" s="7">
        <f t="shared" si="123"/>
        <v>2.1632489109690853E-4</v>
      </c>
      <c r="K275" s="2"/>
      <c r="L275" s="6">
        <f t="shared" si="124"/>
        <v>-399.56</v>
      </c>
      <c r="M275" s="2"/>
      <c r="N275" s="7">
        <f t="shared" si="125"/>
        <v>-1</v>
      </c>
      <c r="O275" s="10"/>
      <c r="P275" s="6">
        <v>171.31</v>
      </c>
      <c r="Q275" s="2"/>
      <c r="R275" s="7">
        <f t="shared" si="126"/>
        <v>2.1507434502793648E-5</v>
      </c>
      <c r="S275" s="2"/>
      <c r="T275" s="6">
        <v>1940.44</v>
      </c>
      <c r="U275" s="2"/>
      <c r="V275" s="7">
        <f t="shared" si="127"/>
        <v>7.1747388418022913E-5</v>
      </c>
      <c r="W275" s="2"/>
      <c r="X275" s="6">
        <f t="shared" si="128"/>
        <v>-1769.13</v>
      </c>
      <c r="Y275" s="2"/>
      <c r="Z275" s="7">
        <f t="shared" si="129"/>
        <v>-0.91171589948671439</v>
      </c>
    </row>
    <row r="276" spans="1:26" s="23" customFormat="1" hidden="1" outlineLevel="2" x14ac:dyDescent="0.25">
      <c r="A276" s="25"/>
      <c r="B276" s="10" t="str">
        <f>CONCATENATE("          ", "6284", " - ", "TRASH REMOVAL EXPENSE")</f>
        <v xml:space="preserve">          6284 - TRASH REMOVAL EXPENSE</v>
      </c>
      <c r="C276" s="10"/>
      <c r="D276" s="6">
        <v>-9101.43</v>
      </c>
      <c r="E276" s="2"/>
      <c r="F276" s="7">
        <f t="shared" si="122"/>
        <v>-1.1184323330208483E-2</v>
      </c>
      <c r="G276" s="2"/>
      <c r="H276" s="6">
        <v>5553.82</v>
      </c>
      <c r="I276" s="2"/>
      <c r="J276" s="7">
        <f t="shared" si="123"/>
        <v>3.0068813361493452E-3</v>
      </c>
      <c r="K276" s="2"/>
      <c r="L276" s="6">
        <f t="shared" si="124"/>
        <v>-14655.25</v>
      </c>
      <c r="M276" s="2"/>
      <c r="N276" s="7">
        <f t="shared" si="125"/>
        <v>-2.6387693515454229</v>
      </c>
      <c r="O276" s="10"/>
      <c r="P276" s="6">
        <v>23098.9</v>
      </c>
      <c r="Q276" s="2"/>
      <c r="R276" s="7">
        <f t="shared" si="126"/>
        <v>2.8999946228275069E-3</v>
      </c>
      <c r="S276" s="2"/>
      <c r="T276" s="6">
        <v>42096.38</v>
      </c>
      <c r="U276" s="2"/>
      <c r="V276" s="7">
        <f t="shared" si="127"/>
        <v>1.5565053940614969E-3</v>
      </c>
      <c r="W276" s="2"/>
      <c r="X276" s="6">
        <f t="shared" si="128"/>
        <v>-18997.479999999996</v>
      </c>
      <c r="Y276" s="2"/>
      <c r="Z276" s="7">
        <f t="shared" si="129"/>
        <v>-0.45128535992881091</v>
      </c>
    </row>
    <row r="277" spans="1:26" s="23" customFormat="1" hidden="1" outlineLevel="2" x14ac:dyDescent="0.25">
      <c r="A277" s="25"/>
      <c r="B277" s="10" t="str">
        <f>CONCATENATE("          ", "6285", " - ", "JANITORIAL SERVICES")</f>
        <v xml:space="preserve">          6285 - JANITORIAL SERVICES</v>
      </c>
      <c r="C277" s="10"/>
      <c r="D277" s="6">
        <v>20652.759999999998</v>
      </c>
      <c r="E277" s="2"/>
      <c r="F277" s="7">
        <f t="shared" si="122"/>
        <v>2.5379214640028711E-2</v>
      </c>
      <c r="G277" s="2"/>
      <c r="H277" s="6">
        <v>38762.51</v>
      </c>
      <c r="I277" s="2"/>
      <c r="J277" s="7">
        <f t="shared" si="123"/>
        <v>2.0986324342759103E-2</v>
      </c>
      <c r="K277" s="2"/>
      <c r="L277" s="6">
        <f t="shared" si="124"/>
        <v>-18109.750000000004</v>
      </c>
      <c r="M277" s="2"/>
      <c r="N277" s="7">
        <f t="shared" si="125"/>
        <v>-0.46719755764010129</v>
      </c>
      <c r="O277" s="10"/>
      <c r="P277" s="6">
        <v>120097.21</v>
      </c>
      <c r="Q277" s="2"/>
      <c r="R277" s="7">
        <f t="shared" si="126"/>
        <v>1.5077828953611899E-2</v>
      </c>
      <c r="S277" s="2"/>
      <c r="T277" s="6">
        <v>281464.40999999997</v>
      </c>
      <c r="U277" s="2"/>
      <c r="V277" s="7">
        <f t="shared" si="127"/>
        <v>1.0407091355630501E-2</v>
      </c>
      <c r="W277" s="2"/>
      <c r="X277" s="6">
        <f t="shared" si="128"/>
        <v>-161367.19999999995</v>
      </c>
      <c r="Y277" s="2"/>
      <c r="Z277" s="7">
        <f t="shared" si="129"/>
        <v>-0.57331298120426655</v>
      </c>
    </row>
    <row r="278" spans="1:26" s="23" customFormat="1" hidden="1" outlineLevel="2" x14ac:dyDescent="0.25">
      <c r="A278" s="25"/>
      <c r="B278" s="10" t="str">
        <f>CONCATENATE("          ", "6286", " - ", "LAUNDRY EXPENSE")</f>
        <v xml:space="preserve">          6286 - LAUNDRY EXPENSE</v>
      </c>
      <c r="C278" s="10"/>
      <c r="D278" s="6">
        <v>878.23</v>
      </c>
      <c r="E278" s="2"/>
      <c r="F278" s="7">
        <f t="shared" si="122"/>
        <v>1.0792159340113582E-3</v>
      </c>
      <c r="G278" s="2"/>
      <c r="H278" s="6">
        <v>5730.87</v>
      </c>
      <c r="I278" s="2"/>
      <c r="J278" s="7">
        <f t="shared" si="123"/>
        <v>3.1027375829425869E-3</v>
      </c>
      <c r="K278" s="2"/>
      <c r="L278" s="6">
        <f t="shared" si="124"/>
        <v>-4852.6399999999994</v>
      </c>
      <c r="M278" s="2"/>
      <c r="N278" s="7">
        <f t="shared" si="125"/>
        <v>-0.84675450673283459</v>
      </c>
      <c r="O278" s="10"/>
      <c r="P278" s="6">
        <v>13586.36</v>
      </c>
      <c r="Q278" s="2"/>
      <c r="R278" s="7">
        <f t="shared" si="126"/>
        <v>1.7057249888002774E-3</v>
      </c>
      <c r="S278" s="2"/>
      <c r="T278" s="6">
        <v>73697.460000000006</v>
      </c>
      <c r="U278" s="2"/>
      <c r="V278" s="7">
        <f t="shared" si="127"/>
        <v>2.7249491290850048E-3</v>
      </c>
      <c r="W278" s="2"/>
      <c r="X278" s="6">
        <f t="shared" si="128"/>
        <v>-60111.100000000006</v>
      </c>
      <c r="Y278" s="2"/>
      <c r="Z278" s="7">
        <f t="shared" si="129"/>
        <v>-0.81564683504696089</v>
      </c>
    </row>
    <row r="279" spans="1:26" s="26" customFormat="1" outlineLevel="1" collapsed="1" x14ac:dyDescent="0.25">
      <c r="A279" s="27"/>
      <c r="B279" s="12" t="str">
        <f>CONCATENATE("     ","Subscriptions &amp; Dues                              ")</f>
        <v xml:space="preserve">     Subscriptions &amp; Dues                              </v>
      </c>
      <c r="C279" s="12"/>
      <c r="D279" s="1">
        <f>SUM(OSRRefD22_21x_0)</f>
        <v>426.86</v>
      </c>
      <c r="E279" s="1"/>
      <c r="F279" s="5">
        <f t="shared" ref="F279:F281" si="130">IF(D$12=0,0,D279/D$12)</f>
        <v>5.2454836841384187E-4</v>
      </c>
      <c r="G279" s="1"/>
      <c r="H279" s="1">
        <f>SUM(OSRRefH22_21x_0)</f>
        <v>778.53</v>
      </c>
      <c r="I279" s="1"/>
      <c r="J279" s="5">
        <f t="shared" ref="J279:J281" si="131">IF(H$12=0,0,H279/H$12)</f>
        <v>4.2150219607987833E-4</v>
      </c>
      <c r="K279" s="1"/>
      <c r="L279" s="1">
        <f t="shared" ref="L279:L281" si="132">+D279-H279</f>
        <v>-351.66999999999996</v>
      </c>
      <c r="M279" s="1"/>
      <c r="N279" s="5">
        <f t="shared" ref="N279:N281" si="133">IF(H279=0,0,L279/H279)</f>
        <v>-0.45171027449167017</v>
      </c>
      <c r="O279" s="12"/>
      <c r="P279" s="1">
        <f>SUM(OSRRefP22_21x_0)</f>
        <v>6045.41</v>
      </c>
      <c r="Q279" s="1"/>
      <c r="R279" s="5">
        <f t="shared" ref="R279:R281" si="134">IF(P$12=0,0,P279/P$12)</f>
        <v>7.5898231053373269E-4</v>
      </c>
      <c r="S279" s="1"/>
      <c r="T279" s="1">
        <f>SUM(OSRRefT22_21x_0)</f>
        <v>9567.77</v>
      </c>
      <c r="U279" s="1"/>
      <c r="V279" s="5">
        <f t="shared" ref="V279:V281" si="135">IF(T$12=0,0,T279/T$12)</f>
        <v>3.5376641920611154E-4</v>
      </c>
      <c r="W279" s="1"/>
      <c r="X279" s="1">
        <f t="shared" ref="X279:X281" si="136">+P279-T279</f>
        <v>-3522.3600000000006</v>
      </c>
      <c r="Y279" s="1"/>
      <c r="Z279" s="5">
        <f t="shared" ref="Z279:Z281" si="137">IF(T279=0,0,X279/T279)</f>
        <v>-0.36814848183014437</v>
      </c>
    </row>
    <row r="280" spans="1:26" s="23" customFormat="1" hidden="1" outlineLevel="2" x14ac:dyDescent="0.25">
      <c r="A280" s="25"/>
      <c r="B280" s="10" t="str">
        <f>CONCATENATE("          ", "6258", " - ", "MEMBERSHIP DUES")</f>
        <v xml:space="preserve">          6258 - MEMBERSHIP DUES</v>
      </c>
      <c r="C280" s="10"/>
      <c r="D280" s="6">
        <v>232.79</v>
      </c>
      <c r="E280" s="2"/>
      <c r="F280" s="7">
        <f t="shared" si="130"/>
        <v>2.8606478630712232E-4</v>
      </c>
      <c r="G280" s="2"/>
      <c r="H280" s="6">
        <v>616.54</v>
      </c>
      <c r="I280" s="2"/>
      <c r="J280" s="7">
        <f t="shared" si="131"/>
        <v>3.3379955039765732E-4</v>
      </c>
      <c r="K280" s="2"/>
      <c r="L280" s="6">
        <f t="shared" si="132"/>
        <v>-383.75</v>
      </c>
      <c r="M280" s="2"/>
      <c r="N280" s="7">
        <f t="shared" si="133"/>
        <v>-0.62242514678690763</v>
      </c>
      <c r="O280" s="10"/>
      <c r="P280" s="6">
        <v>2901.52</v>
      </c>
      <c r="Q280" s="2"/>
      <c r="R280" s="7">
        <f t="shared" si="134"/>
        <v>3.6427675768224753E-4</v>
      </c>
      <c r="S280" s="2"/>
      <c r="T280" s="6">
        <v>3724.91</v>
      </c>
      <c r="U280" s="2"/>
      <c r="V280" s="7">
        <f t="shared" si="135"/>
        <v>1.3772781667672161E-4</v>
      </c>
      <c r="W280" s="2"/>
      <c r="X280" s="6">
        <f t="shared" si="136"/>
        <v>-823.38999999999987</v>
      </c>
      <c r="Y280" s="2"/>
      <c r="Z280" s="7">
        <f t="shared" si="137"/>
        <v>-0.22104963609859027</v>
      </c>
    </row>
    <row r="281" spans="1:26" s="23" customFormat="1" hidden="1" outlineLevel="2" x14ac:dyDescent="0.25">
      <c r="A281" s="25"/>
      <c r="B281" s="10" t="str">
        <f>CONCATENATE("          ", "6275", " - ", "SUBSCRIPTIONS")</f>
        <v xml:space="preserve">          6275 - SUBSCRIPTIONS</v>
      </c>
      <c r="C281" s="10"/>
      <c r="D281" s="6">
        <v>194.07</v>
      </c>
      <c r="E281" s="2"/>
      <c r="F281" s="7">
        <f t="shared" si="130"/>
        <v>2.3848358210671952E-4</v>
      </c>
      <c r="G281" s="2"/>
      <c r="H281" s="6">
        <v>161.99</v>
      </c>
      <c r="I281" s="2"/>
      <c r="J281" s="7">
        <f t="shared" si="131"/>
        <v>8.7702645682220969E-5</v>
      </c>
      <c r="K281" s="2"/>
      <c r="L281" s="6">
        <f t="shared" si="132"/>
        <v>32.079999999999984</v>
      </c>
      <c r="M281" s="2"/>
      <c r="N281" s="7">
        <f t="shared" si="133"/>
        <v>0.19803691585900354</v>
      </c>
      <c r="O281" s="10"/>
      <c r="P281" s="6">
        <v>3143.89</v>
      </c>
      <c r="Q281" s="2"/>
      <c r="R281" s="7">
        <f t="shared" si="134"/>
        <v>3.947055528514851E-4</v>
      </c>
      <c r="S281" s="2"/>
      <c r="T281" s="6">
        <v>5842.86</v>
      </c>
      <c r="U281" s="2"/>
      <c r="V281" s="7">
        <f t="shared" si="135"/>
        <v>2.1603860252938987E-4</v>
      </c>
      <c r="W281" s="2"/>
      <c r="X281" s="6">
        <f t="shared" si="136"/>
        <v>-2698.97</v>
      </c>
      <c r="Y281" s="2"/>
      <c r="Z281" s="7">
        <f t="shared" si="137"/>
        <v>-0.46192617998719804</v>
      </c>
    </row>
    <row r="282" spans="1:26" s="26" customFormat="1" outlineLevel="1" collapsed="1" x14ac:dyDescent="0.25">
      <c r="A282" s="27"/>
      <c r="B282" s="12" t="str">
        <f>CONCATENATE("     ","Supplies                                          ")</f>
        <v xml:space="preserve">     Supplies                                          </v>
      </c>
      <c r="C282" s="12"/>
      <c r="D282" s="1">
        <f>SUM(OSRRefD22_22x_0)</f>
        <v>13419</v>
      </c>
      <c r="E282" s="1"/>
      <c r="F282" s="5">
        <f t="shared" ref="F282:F292" si="138">IF(D$12=0,0,D282/D$12)</f>
        <v>1.6489983966043537E-2</v>
      </c>
      <c r="G282" s="1"/>
      <c r="H282" s="1">
        <f>SUM(OSRRefH22_22x_0)</f>
        <v>42547.090000000004</v>
      </c>
      <c r="I282" s="1"/>
      <c r="J282" s="5">
        <f t="shared" ref="J282:J292" si="139">IF(H$12=0,0,H282/H$12)</f>
        <v>2.3035325384774166E-2</v>
      </c>
      <c r="K282" s="1"/>
      <c r="L282" s="1">
        <f t="shared" ref="L282:L292" si="140">+D282-H282</f>
        <v>-29128.090000000004</v>
      </c>
      <c r="M282" s="1"/>
      <c r="N282" s="5">
        <f t="shared" ref="N282:N292" si="141">IF(H282=0,0,L282/H282)</f>
        <v>-0.68460827755787768</v>
      </c>
      <c r="O282" s="12"/>
      <c r="P282" s="1">
        <f>SUM(OSRRefP22_22x_0)</f>
        <v>248780.97999999998</v>
      </c>
      <c r="Q282" s="1"/>
      <c r="R282" s="5">
        <f t="shared" ref="R282:R292" si="142">IF(P$12=0,0,P282/P$12)</f>
        <v>3.1233673649470644E-2</v>
      </c>
      <c r="S282" s="1"/>
      <c r="T282" s="1">
        <f>SUM(OSRRefT22_22x_0)</f>
        <v>512549.9</v>
      </c>
      <c r="U282" s="1"/>
      <c r="V282" s="5">
        <f t="shared" ref="V282:V292" si="143">IF(T$12=0,0,T282/T$12)</f>
        <v>1.895143202516893E-2</v>
      </c>
      <c r="W282" s="1"/>
      <c r="X282" s="1">
        <f t="shared" ref="X282:X292" si="144">+P282-T282</f>
        <v>-263768.92000000004</v>
      </c>
      <c r="Y282" s="1"/>
      <c r="Z282" s="5">
        <f t="shared" ref="Z282:Z292" si="145">IF(T282=0,0,X282/T282)</f>
        <v>-0.51462095690585452</v>
      </c>
    </row>
    <row r="283" spans="1:26" s="23" customFormat="1" hidden="1" outlineLevel="2" x14ac:dyDescent="0.25">
      <c r="A283" s="25"/>
      <c r="B283" s="10" t="str">
        <f>CONCATENATE("          ", "6234", " - ", "EXPENDABLE SUPPLIES &amp; EQUIPMEN")</f>
        <v xml:space="preserve">          6234 - EXPENDABLE SUPPLIES &amp; EQUIPMEN</v>
      </c>
      <c r="C283" s="10"/>
      <c r="D283" s="6">
        <v>1733.49</v>
      </c>
      <c r="E283" s="2"/>
      <c r="F283" s="7">
        <f t="shared" si="138"/>
        <v>2.1302051050970123E-3</v>
      </c>
      <c r="G283" s="2"/>
      <c r="H283" s="6">
        <v>1113.05</v>
      </c>
      <c r="I283" s="2"/>
      <c r="J283" s="7">
        <f t="shared" si="139"/>
        <v>6.0261392540648213E-4</v>
      </c>
      <c r="K283" s="2"/>
      <c r="L283" s="6">
        <f t="shared" si="140"/>
        <v>620.44000000000005</v>
      </c>
      <c r="M283" s="2"/>
      <c r="N283" s="7">
        <f t="shared" si="141"/>
        <v>0.55742329634787302</v>
      </c>
      <c r="O283" s="10"/>
      <c r="P283" s="6">
        <v>2308.23</v>
      </c>
      <c r="Q283" s="2"/>
      <c r="R283" s="7">
        <f t="shared" si="142"/>
        <v>2.8979105447658271E-4</v>
      </c>
      <c r="S283" s="2"/>
      <c r="T283" s="6">
        <v>19470.189999999999</v>
      </c>
      <c r="U283" s="2"/>
      <c r="V283" s="7">
        <f t="shared" si="143"/>
        <v>7.1990645652671831E-4</v>
      </c>
      <c r="W283" s="2"/>
      <c r="X283" s="6">
        <f t="shared" si="144"/>
        <v>-17161.96</v>
      </c>
      <c r="Y283" s="2"/>
      <c r="Z283" s="7">
        <f t="shared" si="145"/>
        <v>-0.88144799819621689</v>
      </c>
    </row>
    <row r="284" spans="1:26" s="23" customFormat="1" hidden="1" outlineLevel="2" x14ac:dyDescent="0.25">
      <c r="A284" s="25"/>
      <c r="B284" s="10" t="str">
        <f>CONCATENATE("          ", "6235", " - ", "COVID-19 EXPENSES")</f>
        <v xml:space="preserve">          6235 - COVID-19 EXPENSES</v>
      </c>
      <c r="C284" s="10"/>
      <c r="D284" s="6">
        <v>370.83</v>
      </c>
      <c r="E284" s="2"/>
      <c r="F284" s="7">
        <f t="shared" si="138"/>
        <v>4.556957116124841E-4</v>
      </c>
      <c r="G284" s="2"/>
      <c r="H284" s="6"/>
      <c r="I284" s="2"/>
      <c r="J284" s="7">
        <f t="shared" si="139"/>
        <v>0</v>
      </c>
      <c r="K284" s="2"/>
      <c r="L284" s="6">
        <f t="shared" si="140"/>
        <v>370.83</v>
      </c>
      <c r="M284" s="2"/>
      <c r="N284" s="7">
        <f t="shared" si="141"/>
        <v>0</v>
      </c>
      <c r="O284" s="10"/>
      <c r="P284" s="6">
        <v>98988.800000000003</v>
      </c>
      <c r="Q284" s="2"/>
      <c r="R284" s="7">
        <f t="shared" si="142"/>
        <v>1.2427734122410484E-2</v>
      </c>
      <c r="S284" s="2"/>
      <c r="T284" s="6"/>
      <c r="U284" s="2"/>
      <c r="V284" s="7">
        <f t="shared" si="143"/>
        <v>0</v>
      </c>
      <c r="W284" s="2"/>
      <c r="X284" s="6">
        <f t="shared" si="144"/>
        <v>98988.800000000003</v>
      </c>
      <c r="Y284" s="2"/>
      <c r="Z284" s="7">
        <f t="shared" si="145"/>
        <v>0</v>
      </c>
    </row>
    <row r="285" spans="1:26" s="23" customFormat="1" hidden="1" outlineLevel="2" x14ac:dyDescent="0.25">
      <c r="A285" s="25"/>
      <c r="B285" s="10" t="str">
        <f>CONCATENATE("          ", "6237", " - ", "JANITORIAL SUPPLIES")</f>
        <v xml:space="preserve">          6237 - JANITORIAL SUPPLIES</v>
      </c>
      <c r="C285" s="10"/>
      <c r="D285" s="6">
        <v>2592.08</v>
      </c>
      <c r="E285" s="2"/>
      <c r="F285" s="7">
        <f t="shared" si="138"/>
        <v>3.1852863580521746E-3</v>
      </c>
      <c r="G285" s="2"/>
      <c r="H285" s="6">
        <v>12637.04</v>
      </c>
      <c r="I285" s="2"/>
      <c r="J285" s="7">
        <f t="shared" si="139"/>
        <v>6.8417917253660952E-3</v>
      </c>
      <c r="K285" s="2"/>
      <c r="L285" s="6">
        <f t="shared" si="140"/>
        <v>-10044.960000000001</v>
      </c>
      <c r="M285" s="2"/>
      <c r="N285" s="7">
        <f t="shared" si="141"/>
        <v>-0.79488234586580409</v>
      </c>
      <c r="O285" s="10"/>
      <c r="P285" s="6">
        <v>23417.01</v>
      </c>
      <c r="Q285" s="2"/>
      <c r="R285" s="7">
        <f t="shared" si="142"/>
        <v>2.9399323380203362E-3</v>
      </c>
      <c r="S285" s="2"/>
      <c r="T285" s="6">
        <v>129333.96</v>
      </c>
      <c r="U285" s="2"/>
      <c r="V285" s="7">
        <f t="shared" si="143"/>
        <v>4.7820978044984842E-3</v>
      </c>
      <c r="W285" s="2"/>
      <c r="X285" s="6">
        <f t="shared" si="144"/>
        <v>-105916.95000000001</v>
      </c>
      <c r="Y285" s="2"/>
      <c r="Z285" s="7">
        <f t="shared" si="145"/>
        <v>-0.81894152162355505</v>
      </c>
    </row>
    <row r="286" spans="1:26" s="23" customFormat="1" hidden="1" outlineLevel="2" x14ac:dyDescent="0.25">
      <c r="A286" s="25"/>
      <c r="B286" s="10" t="str">
        <f>CONCATENATE("          ", "6239", " - ", "KITCHEN SUPPLIES")</f>
        <v xml:space="preserve">          6239 - KITCHEN SUPPLIES</v>
      </c>
      <c r="C286" s="10"/>
      <c r="D286" s="6">
        <v>39.75</v>
      </c>
      <c r="E286" s="2"/>
      <c r="F286" s="7">
        <f t="shared" si="138"/>
        <v>4.8846923217097442E-5</v>
      </c>
      <c r="G286" s="2"/>
      <c r="H286" s="6">
        <v>1734.97</v>
      </c>
      <c r="I286" s="2"/>
      <c r="J286" s="7">
        <f t="shared" si="139"/>
        <v>9.3932624964061307E-4</v>
      </c>
      <c r="K286" s="2"/>
      <c r="L286" s="6">
        <f t="shared" si="140"/>
        <v>-1695.22</v>
      </c>
      <c r="M286" s="2"/>
      <c r="N286" s="7">
        <f t="shared" si="141"/>
        <v>-0.97708894101915311</v>
      </c>
      <c r="O286" s="10"/>
      <c r="P286" s="6">
        <v>7106.91</v>
      </c>
      <c r="Q286" s="2"/>
      <c r="R286" s="7">
        <f t="shared" si="142"/>
        <v>8.9225031429717588E-4</v>
      </c>
      <c r="S286" s="2"/>
      <c r="T286" s="6">
        <v>72375.039999999994</v>
      </c>
      <c r="U286" s="2"/>
      <c r="V286" s="7">
        <f t="shared" si="143"/>
        <v>2.6760529089536107E-3</v>
      </c>
      <c r="W286" s="2"/>
      <c r="X286" s="6">
        <f t="shared" si="144"/>
        <v>-65268.12999999999</v>
      </c>
      <c r="Y286" s="2"/>
      <c r="Z286" s="7">
        <f t="shared" si="145"/>
        <v>-0.90180440660205496</v>
      </c>
    </row>
    <row r="287" spans="1:26" s="23" customFormat="1" hidden="1" outlineLevel="2" x14ac:dyDescent="0.25">
      <c r="A287" s="25"/>
      <c r="B287" s="10" t="str">
        <f>CONCATENATE("          ", "6241", " - ", "OFFICE EXPENSE")</f>
        <v xml:space="preserve">          6241 - OFFICE EXPENSE</v>
      </c>
      <c r="C287" s="10"/>
      <c r="D287" s="6">
        <v>1907.24</v>
      </c>
      <c r="E287" s="2"/>
      <c r="F287" s="7">
        <f t="shared" si="138"/>
        <v>2.3437183858258347E-3</v>
      </c>
      <c r="G287" s="2"/>
      <c r="H287" s="6">
        <v>4579.8999999999996</v>
      </c>
      <c r="I287" s="2"/>
      <c r="J287" s="7">
        <f t="shared" si="139"/>
        <v>2.4795934746589528E-3</v>
      </c>
      <c r="K287" s="2"/>
      <c r="L287" s="6">
        <f t="shared" si="140"/>
        <v>-2672.66</v>
      </c>
      <c r="M287" s="2"/>
      <c r="N287" s="7">
        <f t="shared" si="141"/>
        <v>-0.58356295988995399</v>
      </c>
      <c r="O287" s="10"/>
      <c r="P287" s="6">
        <v>31695.49</v>
      </c>
      <c r="Q287" s="2"/>
      <c r="R287" s="7">
        <f t="shared" si="142"/>
        <v>3.9792696001923478E-3</v>
      </c>
      <c r="S287" s="2"/>
      <c r="T287" s="6">
        <v>95279.63</v>
      </c>
      <c r="U287" s="2"/>
      <c r="V287" s="7">
        <f t="shared" si="143"/>
        <v>3.5229456318852984E-3</v>
      </c>
      <c r="W287" s="2"/>
      <c r="X287" s="6">
        <f t="shared" si="144"/>
        <v>-63584.14</v>
      </c>
      <c r="Y287" s="2"/>
      <c r="Z287" s="7">
        <f t="shared" si="145"/>
        <v>-0.66734243195528775</v>
      </c>
    </row>
    <row r="288" spans="1:26" s="23" customFormat="1" hidden="1" outlineLevel="2" x14ac:dyDescent="0.25">
      <c r="A288" s="25"/>
      <c r="B288" s="10" t="str">
        <f>CONCATENATE("          ", "6243", " - ", "PAPER SUPPLIES")</f>
        <v xml:space="preserve">          6243 - PAPER SUPPLIES</v>
      </c>
      <c r="C288" s="10"/>
      <c r="D288" s="6">
        <v>4492.2299999999996</v>
      </c>
      <c r="E288" s="2"/>
      <c r="F288" s="7">
        <f t="shared" si="138"/>
        <v>5.5202921731708583E-3</v>
      </c>
      <c r="G288" s="2"/>
      <c r="H288" s="6">
        <v>14147.2</v>
      </c>
      <c r="I288" s="2"/>
      <c r="J288" s="7">
        <f t="shared" si="139"/>
        <v>7.6594040928175599E-3</v>
      </c>
      <c r="K288" s="2"/>
      <c r="L288" s="6">
        <f t="shared" si="140"/>
        <v>-9654.9700000000012</v>
      </c>
      <c r="M288" s="2"/>
      <c r="N288" s="7">
        <f t="shared" si="141"/>
        <v>-0.68246508142954088</v>
      </c>
      <c r="O288" s="10"/>
      <c r="P288" s="6">
        <v>34984.61</v>
      </c>
      <c r="Q288" s="2"/>
      <c r="R288" s="7">
        <f t="shared" si="142"/>
        <v>4.3922083251461078E-3</v>
      </c>
      <c r="S288" s="2"/>
      <c r="T288" s="6">
        <v>108026.43</v>
      </c>
      <c r="U288" s="2"/>
      <c r="V288" s="7">
        <f t="shared" si="143"/>
        <v>3.9942560618325545E-3</v>
      </c>
      <c r="W288" s="2"/>
      <c r="X288" s="6">
        <f t="shared" si="144"/>
        <v>-73041.819999999992</v>
      </c>
      <c r="Y288" s="2"/>
      <c r="Z288" s="7">
        <f t="shared" si="145"/>
        <v>-0.67614767978540069</v>
      </c>
    </row>
    <row r="289" spans="1:26" s="23" customFormat="1" hidden="1" outlineLevel="2" x14ac:dyDescent="0.25">
      <c r="A289" s="25"/>
      <c r="B289" s="10" t="str">
        <f>CONCATENATE("          ", "6245", " - ", "PRINTING")</f>
        <v xml:space="preserve">          6245 - PRINTING</v>
      </c>
      <c r="C289" s="10"/>
      <c r="D289" s="6">
        <v>447.27</v>
      </c>
      <c r="E289" s="2"/>
      <c r="F289" s="7">
        <f t="shared" si="138"/>
        <v>5.4962926659902318E-4</v>
      </c>
      <c r="G289" s="2"/>
      <c r="H289" s="6">
        <v>289.75</v>
      </c>
      <c r="I289" s="2"/>
      <c r="J289" s="7">
        <f t="shared" si="139"/>
        <v>1.5687290318182313E-4</v>
      </c>
      <c r="K289" s="2"/>
      <c r="L289" s="6">
        <f t="shared" si="140"/>
        <v>157.51999999999998</v>
      </c>
      <c r="M289" s="2"/>
      <c r="N289" s="7">
        <f t="shared" si="141"/>
        <v>0.54364106988783423</v>
      </c>
      <c r="O289" s="10"/>
      <c r="P289" s="6">
        <v>1354.21</v>
      </c>
      <c r="Q289" s="2"/>
      <c r="R289" s="7">
        <f t="shared" si="142"/>
        <v>1.7001682842816056E-4</v>
      </c>
      <c r="S289" s="2"/>
      <c r="T289" s="6">
        <v>12244.33</v>
      </c>
      <c r="U289" s="2"/>
      <c r="V289" s="7">
        <f t="shared" si="143"/>
        <v>4.5273170024759873E-4</v>
      </c>
      <c r="W289" s="2"/>
      <c r="X289" s="6">
        <f t="shared" si="144"/>
        <v>-10890.119999999999</v>
      </c>
      <c r="Y289" s="2"/>
      <c r="Z289" s="7">
        <f t="shared" si="145"/>
        <v>-0.88940105338552611</v>
      </c>
    </row>
    <row r="290" spans="1:26" s="23" customFormat="1" hidden="1" outlineLevel="2" x14ac:dyDescent="0.25">
      <c r="A290" s="25"/>
      <c r="B290" s="10" t="str">
        <f>CONCATENATE("          ", "6246", " - ", "REPLACEMENTS")</f>
        <v xml:space="preserve">          6246 - REPLACEMENTS</v>
      </c>
      <c r="C290" s="10"/>
      <c r="D290" s="6"/>
      <c r="E290" s="2"/>
      <c r="F290" s="7">
        <f t="shared" si="138"/>
        <v>0</v>
      </c>
      <c r="G290" s="2"/>
      <c r="H290" s="6"/>
      <c r="I290" s="2"/>
      <c r="J290" s="7">
        <f t="shared" si="139"/>
        <v>0</v>
      </c>
      <c r="K290" s="2"/>
      <c r="L290" s="6">
        <f t="shared" si="140"/>
        <v>0</v>
      </c>
      <c r="M290" s="2"/>
      <c r="N290" s="7">
        <f t="shared" si="141"/>
        <v>0</v>
      </c>
      <c r="O290" s="10"/>
      <c r="P290" s="6"/>
      <c r="Q290" s="2"/>
      <c r="R290" s="7">
        <f t="shared" si="142"/>
        <v>0</v>
      </c>
      <c r="S290" s="2"/>
      <c r="T290" s="6">
        <v>25.87</v>
      </c>
      <c r="U290" s="2"/>
      <c r="V290" s="7">
        <f t="shared" si="143"/>
        <v>9.5653817607050603E-7</v>
      </c>
      <c r="W290" s="2"/>
      <c r="X290" s="6">
        <f t="shared" si="144"/>
        <v>-25.87</v>
      </c>
      <c r="Y290" s="2"/>
      <c r="Z290" s="7">
        <f t="shared" si="145"/>
        <v>-1</v>
      </c>
    </row>
    <row r="291" spans="1:26" s="23" customFormat="1" hidden="1" outlineLevel="2" x14ac:dyDescent="0.25">
      <c r="A291" s="25"/>
      <c r="B291" s="10" t="str">
        <f>CONCATENATE("          ", "6247", " - ", "STORE SUPPLIES")</f>
        <v xml:space="preserve">          6247 - STORE SUPPLIES</v>
      </c>
      <c r="C291" s="10"/>
      <c r="D291" s="6">
        <v>1836.11</v>
      </c>
      <c r="E291" s="2"/>
      <c r="F291" s="7">
        <f t="shared" si="138"/>
        <v>2.2563100424690509E-3</v>
      </c>
      <c r="G291" s="2"/>
      <c r="H291" s="6">
        <v>5939.41</v>
      </c>
      <c r="I291" s="2"/>
      <c r="J291" s="7">
        <f t="shared" si="139"/>
        <v>3.2156427606113958E-3</v>
      </c>
      <c r="K291" s="2"/>
      <c r="L291" s="6">
        <f t="shared" si="140"/>
        <v>-4103.3</v>
      </c>
      <c r="M291" s="2"/>
      <c r="N291" s="7">
        <f t="shared" si="141"/>
        <v>-0.69085986655240172</v>
      </c>
      <c r="O291" s="10"/>
      <c r="P291" s="6">
        <v>44425.13</v>
      </c>
      <c r="Q291" s="2"/>
      <c r="R291" s="7">
        <f t="shared" si="142"/>
        <v>5.5774360735105543E-3</v>
      </c>
      <c r="S291" s="2"/>
      <c r="T291" s="6">
        <v>71044.25</v>
      </c>
      <c r="U291" s="2"/>
      <c r="V291" s="7">
        <f t="shared" si="143"/>
        <v>2.6268472097138403E-3</v>
      </c>
      <c r="W291" s="2"/>
      <c r="X291" s="6">
        <f t="shared" si="144"/>
        <v>-26619.120000000003</v>
      </c>
      <c r="Y291" s="2"/>
      <c r="Z291" s="7">
        <f t="shared" si="145"/>
        <v>-0.37468366546201842</v>
      </c>
    </row>
    <row r="292" spans="1:26" s="23" customFormat="1" hidden="1" outlineLevel="2" x14ac:dyDescent="0.25">
      <c r="A292" s="25"/>
      <c r="B292" s="10" t="str">
        <f>CONCATENATE("          ", "6248", " - ", "UNIFORMS")</f>
        <v xml:space="preserve">          6248 - UNIFORMS</v>
      </c>
      <c r="C292" s="10"/>
      <c r="D292" s="6"/>
      <c r="E292" s="2"/>
      <c r="F292" s="7">
        <f t="shared" si="138"/>
        <v>0</v>
      </c>
      <c r="G292" s="2"/>
      <c r="H292" s="6">
        <v>2105.77</v>
      </c>
      <c r="I292" s="2"/>
      <c r="J292" s="7">
        <f t="shared" si="139"/>
        <v>1.140080253091243E-3</v>
      </c>
      <c r="K292" s="2"/>
      <c r="L292" s="6">
        <f t="shared" si="140"/>
        <v>-2105.77</v>
      </c>
      <c r="M292" s="2"/>
      <c r="N292" s="7">
        <f t="shared" si="141"/>
        <v>-1</v>
      </c>
      <c r="O292" s="10"/>
      <c r="P292" s="6">
        <v>4500.59</v>
      </c>
      <c r="Q292" s="2"/>
      <c r="R292" s="7">
        <f t="shared" si="142"/>
        <v>5.6503499298889766E-4</v>
      </c>
      <c r="S292" s="2"/>
      <c r="T292" s="6">
        <v>4750.2</v>
      </c>
      <c r="U292" s="2"/>
      <c r="V292" s="7">
        <f t="shared" si="143"/>
        <v>1.7563771333475522E-4</v>
      </c>
      <c r="W292" s="2"/>
      <c r="X292" s="6">
        <f t="shared" si="144"/>
        <v>-249.60999999999967</v>
      </c>
      <c r="Y292" s="2"/>
      <c r="Z292" s="7">
        <f t="shared" si="145"/>
        <v>-5.2547261167950755E-2</v>
      </c>
    </row>
    <row r="293" spans="1:26" s="26" customFormat="1" outlineLevel="1" collapsed="1" x14ac:dyDescent="0.25">
      <c r="A293" s="27"/>
      <c r="B293" s="12" t="str">
        <f>CONCATENATE("     ","Telephone/Data Lines                              ")</f>
        <v xml:space="preserve">     Telephone/Data Lines                              </v>
      </c>
      <c r="C293" s="12"/>
      <c r="D293" s="1">
        <f>SUM(OSRRefD22_23x_0)</f>
        <v>2631.37</v>
      </c>
      <c r="E293" s="1"/>
      <c r="F293" s="5">
        <f t="shared" ref="F293:F295" si="146">IF(D$12=0,0,D293/D$12)</f>
        <v>3.2335680086987093E-3</v>
      </c>
      <c r="G293" s="1"/>
      <c r="H293" s="1">
        <f>SUM(OSRRefH22_23x_0)</f>
        <v>5096.2</v>
      </c>
      <c r="I293" s="1"/>
      <c r="J293" s="5">
        <f t="shared" ref="J293:J295" si="147">IF(H$12=0,0,H293/H$12)</f>
        <v>2.7591223095606797E-3</v>
      </c>
      <c r="K293" s="1"/>
      <c r="L293" s="1">
        <f t="shared" ref="L293:L295" si="148">+D293-H293</f>
        <v>-2464.83</v>
      </c>
      <c r="M293" s="1"/>
      <c r="N293" s="5">
        <f t="shared" ref="N293:N295" si="149">IF(H293=0,0,L293/H293)</f>
        <v>-0.48366037439660925</v>
      </c>
      <c r="O293" s="12"/>
      <c r="P293" s="1">
        <f>SUM(OSRRefP22_23x_0)</f>
        <v>37504.370000000003</v>
      </c>
      <c r="Q293" s="1"/>
      <c r="R293" s="5">
        <f t="shared" ref="R293:R295" si="150">IF(P$12=0,0,P293/P$12)</f>
        <v>4.7085563092845659E-3</v>
      </c>
      <c r="S293" s="1"/>
      <c r="T293" s="1">
        <f>SUM(OSRRefT22_23x_0)</f>
        <v>53142.11</v>
      </c>
      <c r="U293" s="1"/>
      <c r="V293" s="5">
        <f t="shared" ref="V293:V295" si="151">IF(T$12=0,0,T293/T$12)</f>
        <v>1.9649190943926633E-3</v>
      </c>
      <c r="W293" s="1"/>
      <c r="X293" s="1">
        <f t="shared" ref="X293:X295" si="152">+P293-T293</f>
        <v>-15637.739999999998</v>
      </c>
      <c r="Y293" s="1"/>
      <c r="Z293" s="5">
        <f t="shared" ref="Z293:Z295" si="153">IF(T293=0,0,X293/T293)</f>
        <v>-0.2942626854673252</v>
      </c>
    </row>
    <row r="294" spans="1:26" s="23" customFormat="1" hidden="1" outlineLevel="2" x14ac:dyDescent="0.25">
      <c r="A294" s="25"/>
      <c r="B294" s="10" t="str">
        <f>CONCATENATE("          ", "6303", " - ", "DATA PHONE LINES")</f>
        <v xml:space="preserve">          6303 - DATA PHONE LINES</v>
      </c>
      <c r="C294" s="10"/>
      <c r="D294" s="6"/>
      <c r="E294" s="2"/>
      <c r="F294" s="7">
        <f t="shared" si="146"/>
        <v>0</v>
      </c>
      <c r="G294" s="2"/>
      <c r="H294" s="6"/>
      <c r="I294" s="2"/>
      <c r="J294" s="7">
        <f t="shared" si="147"/>
        <v>0</v>
      </c>
      <c r="K294" s="2"/>
      <c r="L294" s="6">
        <f t="shared" si="148"/>
        <v>0</v>
      </c>
      <c r="M294" s="2"/>
      <c r="N294" s="7">
        <f t="shared" si="149"/>
        <v>0</v>
      </c>
      <c r="O294" s="10"/>
      <c r="P294" s="6">
        <v>2950</v>
      </c>
      <c r="Q294" s="2"/>
      <c r="R294" s="7">
        <f t="shared" si="150"/>
        <v>3.7036326999732215E-4</v>
      </c>
      <c r="S294" s="2"/>
      <c r="T294" s="6">
        <v>2360</v>
      </c>
      <c r="U294" s="2"/>
      <c r="V294" s="7">
        <f t="shared" si="151"/>
        <v>8.7260537128967689E-5</v>
      </c>
      <c r="W294" s="2"/>
      <c r="X294" s="6">
        <f t="shared" si="152"/>
        <v>590</v>
      </c>
      <c r="Y294" s="2"/>
      <c r="Z294" s="7">
        <f t="shared" si="153"/>
        <v>0.25</v>
      </c>
    </row>
    <row r="295" spans="1:26" s="23" customFormat="1" hidden="1" outlineLevel="2" x14ac:dyDescent="0.25">
      <c r="A295" s="25"/>
      <c r="B295" s="10" t="str">
        <f>CONCATENATE("          ", "6309", " - ", "TELEPHONE")</f>
        <v xml:space="preserve">          6309 - TELEPHONE</v>
      </c>
      <c r="C295" s="10"/>
      <c r="D295" s="6">
        <v>2631.37</v>
      </c>
      <c r="E295" s="2"/>
      <c r="F295" s="7">
        <f t="shared" si="146"/>
        <v>3.2335680086987093E-3</v>
      </c>
      <c r="G295" s="2"/>
      <c r="H295" s="6">
        <v>5096.2</v>
      </c>
      <c r="I295" s="2"/>
      <c r="J295" s="7">
        <f t="shared" si="147"/>
        <v>2.7591223095606797E-3</v>
      </c>
      <c r="K295" s="2"/>
      <c r="L295" s="6">
        <f t="shared" si="148"/>
        <v>-2464.83</v>
      </c>
      <c r="M295" s="2"/>
      <c r="N295" s="7">
        <f t="shared" si="149"/>
        <v>-0.48366037439660925</v>
      </c>
      <c r="O295" s="10"/>
      <c r="P295" s="6">
        <v>34554.370000000003</v>
      </c>
      <c r="Q295" s="2"/>
      <c r="R295" s="7">
        <f t="shared" si="150"/>
        <v>4.3381930392872442E-3</v>
      </c>
      <c r="S295" s="2"/>
      <c r="T295" s="6">
        <v>50782.11</v>
      </c>
      <c r="U295" s="2"/>
      <c r="V295" s="7">
        <f t="shared" si="151"/>
        <v>1.8776585572636956E-3</v>
      </c>
      <c r="W295" s="2"/>
      <c r="X295" s="6">
        <f t="shared" si="152"/>
        <v>-16227.739999999998</v>
      </c>
      <c r="Y295" s="2"/>
      <c r="Z295" s="7">
        <f t="shared" si="153"/>
        <v>-0.31955623742298217</v>
      </c>
    </row>
    <row r="296" spans="1:26" s="26" customFormat="1" outlineLevel="1" collapsed="1" x14ac:dyDescent="0.25">
      <c r="A296" s="27"/>
      <c r="B296" s="12" t="str">
        <f>CONCATENATE("     ","Training                                          ")</f>
        <v xml:space="preserve">     Training                                          </v>
      </c>
      <c r="C296" s="12"/>
      <c r="D296" s="1">
        <f>SUM(OSRRefD22_24x_0)</f>
        <v>51.23</v>
      </c>
      <c r="E296" s="1"/>
      <c r="F296" s="5">
        <f t="shared" ref="F296:F301" si="154">IF(D$12=0,0,D296/D$12)</f>
        <v>6.295416041287803E-5</v>
      </c>
      <c r="G296" s="1"/>
      <c r="H296" s="1">
        <f>SUM(OSRRefH22_24x_0)</f>
        <v>7155.44</v>
      </c>
      <c r="I296" s="1"/>
      <c r="J296" s="5">
        <f t="shared" ref="J296:J301" si="155">IF(H$12=0,0,H296/H$12)</f>
        <v>3.8740108588208606E-3</v>
      </c>
      <c r="K296" s="1"/>
      <c r="L296" s="1">
        <f t="shared" ref="L296:L301" si="156">+D296-H296</f>
        <v>-7104.21</v>
      </c>
      <c r="M296" s="1"/>
      <c r="N296" s="5">
        <f t="shared" ref="N296:N301" si="157">IF(H296=0,0,L296/H296)</f>
        <v>-0.99284041232964015</v>
      </c>
      <c r="O296" s="12"/>
      <c r="P296" s="1">
        <f>SUM(OSRRefP22_24x_0)</f>
        <v>2181.86</v>
      </c>
      <c r="Q296" s="1"/>
      <c r="R296" s="5">
        <f t="shared" ref="R296:R301" si="158">IF(P$12=0,0,P296/P$12)</f>
        <v>2.7392569636486692E-4</v>
      </c>
      <c r="S296" s="1"/>
      <c r="T296" s="1">
        <f>SUM(OSRRefT22_24x_0)</f>
        <v>32765.11</v>
      </c>
      <c r="U296" s="1"/>
      <c r="V296" s="5">
        <f t="shared" ref="V296:V301" si="159">IF(T$12=0,0,T296/T$12)</f>
        <v>1.2114835159702164E-3</v>
      </c>
      <c r="W296" s="1"/>
      <c r="X296" s="1">
        <f t="shared" ref="X296:X301" si="160">+P296-T296</f>
        <v>-30583.25</v>
      </c>
      <c r="Y296" s="1"/>
      <c r="Z296" s="5">
        <f t="shared" ref="Z296:Z301" si="161">IF(T296=0,0,X296/T296)</f>
        <v>-0.93340904394949387</v>
      </c>
    </row>
    <row r="297" spans="1:26" s="23" customFormat="1" hidden="1" outlineLevel="2" x14ac:dyDescent="0.25">
      <c r="A297" s="25"/>
      <c r="B297" s="10" t="str">
        <f>CONCATENATE("          ", "6376", " - ", "TRAINING")</f>
        <v xml:space="preserve">          6376 - TRAINING</v>
      </c>
      <c r="C297" s="10"/>
      <c r="D297" s="6">
        <v>51.23</v>
      </c>
      <c r="E297" s="2"/>
      <c r="F297" s="7">
        <f t="shared" si="154"/>
        <v>6.295416041287803E-5</v>
      </c>
      <c r="G297" s="2"/>
      <c r="H297" s="6">
        <v>7155.44</v>
      </c>
      <c r="I297" s="2"/>
      <c r="J297" s="7">
        <f t="shared" si="155"/>
        <v>3.8740108588208606E-3</v>
      </c>
      <c r="K297" s="2"/>
      <c r="L297" s="6">
        <f t="shared" si="156"/>
        <v>-7104.21</v>
      </c>
      <c r="M297" s="2"/>
      <c r="N297" s="7">
        <f t="shared" si="157"/>
        <v>-0.99284041232964015</v>
      </c>
      <c r="O297" s="10"/>
      <c r="P297" s="6">
        <v>2181.86</v>
      </c>
      <c r="Q297" s="2"/>
      <c r="R297" s="7">
        <f t="shared" si="158"/>
        <v>2.7392569636486692E-4</v>
      </c>
      <c r="S297" s="2"/>
      <c r="T297" s="6">
        <v>32765.11</v>
      </c>
      <c r="U297" s="2"/>
      <c r="V297" s="7">
        <f t="shared" si="159"/>
        <v>1.2114835159702164E-3</v>
      </c>
      <c r="W297" s="2"/>
      <c r="X297" s="6">
        <f t="shared" si="160"/>
        <v>-30583.25</v>
      </c>
      <c r="Y297" s="2"/>
      <c r="Z297" s="7">
        <f t="shared" si="161"/>
        <v>-0.93340904394949387</v>
      </c>
    </row>
    <row r="298" spans="1:26" s="26" customFormat="1" outlineLevel="1" collapsed="1" x14ac:dyDescent="0.25">
      <c r="A298" s="27"/>
      <c r="B298" s="12" t="str">
        <f>CONCATENATE("     ","Travel                                            ")</f>
        <v xml:space="preserve">     Travel                                            </v>
      </c>
      <c r="C298" s="12"/>
      <c r="D298" s="1">
        <f>SUM(OSRRefD22_25x_0)</f>
        <v>93.02</v>
      </c>
      <c r="E298" s="1"/>
      <c r="F298" s="5">
        <f t="shared" si="154"/>
        <v>1.1430794459507935E-4</v>
      </c>
      <c r="G298" s="1"/>
      <c r="H298" s="1">
        <f>SUM(OSRRefH22_25x_0)</f>
        <v>1549.22</v>
      </c>
      <c r="I298" s="1"/>
      <c r="J298" s="5">
        <f t="shared" si="155"/>
        <v>8.3875975519359452E-4</v>
      </c>
      <c r="K298" s="1"/>
      <c r="L298" s="1">
        <f t="shared" si="156"/>
        <v>-1456.2</v>
      </c>
      <c r="M298" s="1"/>
      <c r="N298" s="5">
        <f t="shared" si="157"/>
        <v>-0.93995688152747836</v>
      </c>
      <c r="O298" s="12"/>
      <c r="P298" s="1">
        <f>SUM(OSRRefP22_25x_0)</f>
        <v>1235.54</v>
      </c>
      <c r="Q298" s="1"/>
      <c r="R298" s="5">
        <f t="shared" si="158"/>
        <v>1.5511818122457337E-4</v>
      </c>
      <c r="S298" s="1"/>
      <c r="T298" s="1">
        <f>SUM(OSRRefT22_25x_0)</f>
        <v>7552.43</v>
      </c>
      <c r="U298" s="1"/>
      <c r="V298" s="5">
        <f t="shared" si="159"/>
        <v>2.7924961797835997E-4</v>
      </c>
      <c r="W298" s="1"/>
      <c r="X298" s="1">
        <f t="shared" si="160"/>
        <v>-6316.89</v>
      </c>
      <c r="Y298" s="1"/>
      <c r="Z298" s="5">
        <f t="shared" si="161"/>
        <v>-0.83640497164488781</v>
      </c>
    </row>
    <row r="299" spans="1:26" s="23" customFormat="1" hidden="1" outlineLevel="2" x14ac:dyDescent="0.25">
      <c r="A299" s="25"/>
      <c r="B299" s="10" t="str">
        <f>CONCATENATE("          ", "6292", " - ", "TRAVEL/CONFERENCE")</f>
        <v xml:space="preserve">          6292 - TRAVEL/CONFERENCE</v>
      </c>
      <c r="C299" s="10"/>
      <c r="D299" s="6"/>
      <c r="E299" s="2"/>
      <c r="F299" s="7">
        <f t="shared" si="154"/>
        <v>0</v>
      </c>
      <c r="G299" s="2"/>
      <c r="H299" s="6">
        <v>1303.83</v>
      </c>
      <c r="I299" s="2"/>
      <c r="J299" s="7">
        <f t="shared" si="155"/>
        <v>7.0590370096827065E-4</v>
      </c>
      <c r="K299" s="2"/>
      <c r="L299" s="6">
        <f t="shared" si="156"/>
        <v>-1303.83</v>
      </c>
      <c r="M299" s="2"/>
      <c r="N299" s="7">
        <f t="shared" si="157"/>
        <v>-1</v>
      </c>
      <c r="O299" s="10"/>
      <c r="P299" s="6">
        <v>299.16000000000003</v>
      </c>
      <c r="Q299" s="2"/>
      <c r="R299" s="7">
        <f t="shared" si="158"/>
        <v>3.7558601983864038E-5</v>
      </c>
      <c r="S299" s="2"/>
      <c r="T299" s="6">
        <v>5669.46</v>
      </c>
      <c r="U299" s="2"/>
      <c r="V299" s="7">
        <f t="shared" si="159"/>
        <v>2.0962717153864287E-4</v>
      </c>
      <c r="W299" s="2"/>
      <c r="X299" s="6">
        <f t="shared" si="160"/>
        <v>-5370.3</v>
      </c>
      <c r="Y299" s="2"/>
      <c r="Z299" s="7">
        <f t="shared" si="161"/>
        <v>-0.94723306981617295</v>
      </c>
    </row>
    <row r="300" spans="1:26" s="23" customFormat="1" hidden="1" outlineLevel="2" x14ac:dyDescent="0.25">
      <c r="A300" s="25"/>
      <c r="B300" s="10" t="str">
        <f>CONCATENATE("          ", "6294", " - ", "TRAVEL OPERATIONAL")</f>
        <v xml:space="preserve">          6294 - TRAVEL OPERATIONAL</v>
      </c>
      <c r="C300" s="10"/>
      <c r="D300" s="6">
        <v>93.02</v>
      </c>
      <c r="E300" s="2"/>
      <c r="F300" s="7">
        <f t="shared" si="154"/>
        <v>1.1430794459507935E-4</v>
      </c>
      <c r="G300" s="2"/>
      <c r="H300" s="6">
        <v>25.63</v>
      </c>
      <c r="I300" s="2"/>
      <c r="J300" s="7">
        <f t="shared" si="155"/>
        <v>1.3876281306471531E-5</v>
      </c>
      <c r="K300" s="2"/>
      <c r="L300" s="6">
        <f t="shared" si="156"/>
        <v>67.39</v>
      </c>
      <c r="M300" s="2"/>
      <c r="N300" s="7">
        <f t="shared" si="157"/>
        <v>2.6293406164650803</v>
      </c>
      <c r="O300" s="10"/>
      <c r="P300" s="6">
        <v>544.28</v>
      </c>
      <c r="Q300" s="2"/>
      <c r="R300" s="7">
        <f t="shared" si="158"/>
        <v>6.8332651048861858E-5</v>
      </c>
      <c r="S300" s="2"/>
      <c r="T300" s="6">
        <v>418.6</v>
      </c>
      <c r="U300" s="2"/>
      <c r="V300" s="7">
        <f t="shared" si="159"/>
        <v>1.5477652899231303E-5</v>
      </c>
      <c r="W300" s="2"/>
      <c r="X300" s="6">
        <f t="shared" si="160"/>
        <v>125.67999999999995</v>
      </c>
      <c r="Y300" s="2"/>
      <c r="Z300" s="7">
        <f t="shared" si="161"/>
        <v>0.30023889154323924</v>
      </c>
    </row>
    <row r="301" spans="1:26" s="23" customFormat="1" hidden="1" outlineLevel="2" x14ac:dyDescent="0.25">
      <c r="A301" s="25"/>
      <c r="B301" s="10" t="str">
        <f>CONCATENATE("          ", "6298", " - ", "VEHICLE MILEAGE")</f>
        <v xml:space="preserve">          6298 - VEHICLE MILEAGE</v>
      </c>
      <c r="C301" s="10"/>
      <c r="D301" s="6"/>
      <c r="E301" s="2"/>
      <c r="F301" s="7">
        <f t="shared" si="154"/>
        <v>0</v>
      </c>
      <c r="G301" s="2"/>
      <c r="H301" s="6">
        <v>219.76</v>
      </c>
      <c r="I301" s="2"/>
      <c r="J301" s="7">
        <f t="shared" si="155"/>
        <v>1.1897977291885227E-4</v>
      </c>
      <c r="K301" s="2"/>
      <c r="L301" s="6">
        <f t="shared" si="156"/>
        <v>-219.76</v>
      </c>
      <c r="M301" s="2"/>
      <c r="N301" s="7">
        <f t="shared" si="157"/>
        <v>-1</v>
      </c>
      <c r="O301" s="10"/>
      <c r="P301" s="6">
        <v>392.1</v>
      </c>
      <c r="Q301" s="2"/>
      <c r="R301" s="7">
        <f t="shared" si="158"/>
        <v>4.9226928191847465E-5</v>
      </c>
      <c r="S301" s="2"/>
      <c r="T301" s="6">
        <v>1464.37</v>
      </c>
      <c r="U301" s="2"/>
      <c r="V301" s="7">
        <f t="shared" si="159"/>
        <v>5.4144793540485765E-5</v>
      </c>
      <c r="W301" s="2"/>
      <c r="X301" s="6">
        <f t="shared" si="160"/>
        <v>-1072.27</v>
      </c>
      <c r="Y301" s="2"/>
      <c r="Z301" s="7">
        <f t="shared" si="161"/>
        <v>-0.73223980278208378</v>
      </c>
    </row>
    <row r="302" spans="1:26" s="26" customFormat="1" outlineLevel="1" collapsed="1" x14ac:dyDescent="0.25">
      <c r="A302" s="27"/>
      <c r="B302" s="12" t="str">
        <f>CONCATENATE("     ","Utilities                                         ")</f>
        <v xml:space="preserve">     Utilities                                         </v>
      </c>
      <c r="C302" s="12"/>
      <c r="D302" s="1">
        <f>SUM(OSRRefD22_26x_0)</f>
        <v>-7524.55</v>
      </c>
      <c r="E302" s="1"/>
      <c r="F302" s="5">
        <f t="shared" ref="F302:F303" si="162">IF(D$12=0,0,D302/D$12)</f>
        <v>-9.2465689583197622E-3</v>
      </c>
      <c r="G302" s="1"/>
      <c r="H302" s="1">
        <f>SUM(OSRRefH22_26x_0)</f>
        <v>22850.51</v>
      </c>
      <c r="I302" s="1"/>
      <c r="J302" s="5">
        <f t="shared" ref="J302:J303" si="163">IF(H$12=0,0,H302/H$12)</f>
        <v>1.2371443806334015E-2</v>
      </c>
      <c r="K302" s="1"/>
      <c r="L302" s="1">
        <f t="shared" ref="L302:L303" si="164">+D302-H302</f>
        <v>-30375.059999999998</v>
      </c>
      <c r="M302" s="1"/>
      <c r="N302" s="5">
        <f t="shared" ref="N302:N303" si="165">IF(H302=0,0,L302/H302)</f>
        <v>-1.3292946196824491</v>
      </c>
      <c r="O302" s="12"/>
      <c r="P302" s="1">
        <f>SUM(OSRRefP22_26x_0)</f>
        <v>55705.62</v>
      </c>
      <c r="Q302" s="1"/>
      <c r="R302" s="5">
        <f t="shared" ref="R302:R303" si="166">IF(P$12=0,0,P302/P$12)</f>
        <v>6.9936662984502471E-3</v>
      </c>
      <c r="S302" s="1"/>
      <c r="T302" s="1">
        <f>SUM(OSRRefT22_26x_0)</f>
        <v>205443.42</v>
      </c>
      <c r="U302" s="1"/>
      <c r="V302" s="5">
        <f t="shared" ref="V302:V303" si="167">IF(T$12=0,0,T302/T$12)</f>
        <v>7.5962301605136031E-3</v>
      </c>
      <c r="W302" s="1"/>
      <c r="X302" s="1">
        <f t="shared" ref="X302:X303" si="168">+P302-T302</f>
        <v>-149737.80000000002</v>
      </c>
      <c r="Y302" s="1"/>
      <c r="Z302" s="5">
        <f t="shared" ref="Z302:Z303" si="169">IF(T302=0,0,X302/T302)</f>
        <v>-0.72885176853072253</v>
      </c>
    </row>
    <row r="303" spans="1:26" s="23" customFormat="1" hidden="1" outlineLevel="2" x14ac:dyDescent="0.25">
      <c r="A303" s="25"/>
      <c r="B303" s="10" t="str">
        <f>CONCATENATE("          ", "6274", " - ", "UTILITIES")</f>
        <v xml:space="preserve">          6274 - UTILITIES</v>
      </c>
      <c r="C303" s="10"/>
      <c r="D303" s="6">
        <v>-7524.55</v>
      </c>
      <c r="E303" s="2"/>
      <c r="F303" s="7">
        <f t="shared" si="162"/>
        <v>-9.2465689583197622E-3</v>
      </c>
      <c r="G303" s="2"/>
      <c r="H303" s="6">
        <v>22850.51</v>
      </c>
      <c r="I303" s="2"/>
      <c r="J303" s="7">
        <f t="shared" si="163"/>
        <v>1.2371443806334015E-2</v>
      </c>
      <c r="K303" s="2"/>
      <c r="L303" s="6">
        <f t="shared" si="164"/>
        <v>-30375.059999999998</v>
      </c>
      <c r="M303" s="2"/>
      <c r="N303" s="7">
        <f t="shared" si="165"/>
        <v>-1.3292946196824491</v>
      </c>
      <c r="O303" s="10"/>
      <c r="P303" s="6">
        <v>55705.62</v>
      </c>
      <c r="Q303" s="2"/>
      <c r="R303" s="7">
        <f t="shared" si="166"/>
        <v>6.9936662984502471E-3</v>
      </c>
      <c r="S303" s="2"/>
      <c r="T303" s="6">
        <v>205443.42</v>
      </c>
      <c r="U303" s="2"/>
      <c r="V303" s="7">
        <f t="shared" si="167"/>
        <v>7.5962301605136031E-3</v>
      </c>
      <c r="W303" s="2"/>
      <c r="X303" s="6">
        <f t="shared" si="168"/>
        <v>-149737.80000000002</v>
      </c>
      <c r="Y303" s="2"/>
      <c r="Z303" s="7">
        <f t="shared" si="169"/>
        <v>-0.72885176853072253</v>
      </c>
    </row>
    <row r="304" spans="1:26" s="60" customFormat="1" x14ac:dyDescent="0.25">
      <c r="A304" s="37"/>
      <c r="B304" s="37"/>
      <c r="C304" s="37"/>
      <c r="D304" s="1"/>
      <c r="E304" s="1"/>
      <c r="F304" s="5"/>
      <c r="G304" s="1"/>
      <c r="H304" s="1"/>
      <c r="I304" s="1"/>
      <c r="J304" s="5"/>
      <c r="K304" s="1"/>
      <c r="L304" s="1"/>
      <c r="M304" s="1"/>
      <c r="N304" s="5"/>
      <c r="O304" s="37"/>
      <c r="P304" s="1"/>
      <c r="Q304" s="1"/>
      <c r="R304" s="5"/>
      <c r="S304" s="1"/>
      <c r="T304" s="1"/>
      <c r="U304" s="1"/>
      <c r="V304" s="5"/>
      <c r="W304" s="1"/>
      <c r="X304" s="1"/>
      <c r="Y304" s="1"/>
      <c r="Z304" s="5"/>
    </row>
    <row r="305" spans="1:26" s="24" customFormat="1" collapsed="1" x14ac:dyDescent="0.25">
      <c r="A305" s="11"/>
      <c r="B305" s="28" t="s">
        <v>292</v>
      </c>
      <c r="C305" s="11"/>
      <c r="D305" s="4">
        <f>SUM(OSRRefD25x_0)</f>
        <v>217934.5</v>
      </c>
      <c r="E305" s="4"/>
      <c r="F305" s="13">
        <f t="shared" ref="F305:F318" si="170">IF(D$12=0,0,D305/D$12)</f>
        <v>0.26780955441148485</v>
      </c>
      <c r="G305" s="4"/>
      <c r="H305" s="4">
        <f>SUM(OSRRefH25x_0)</f>
        <v>82593.56</v>
      </c>
      <c r="I305" s="4"/>
      <c r="J305" s="13">
        <f t="shared" ref="J305:J318" si="171">IF(H$12=0,0,H305/H$12)</f>
        <v>4.4716795655986533E-2</v>
      </c>
      <c r="K305" s="4"/>
      <c r="L305" s="4">
        <f t="shared" ref="L305:L318" si="172">+D305-H305</f>
        <v>135340.94</v>
      </c>
      <c r="M305" s="4"/>
      <c r="N305" s="13">
        <f t="shared" ref="N305:N318" si="173">IF(H305=0,0,L305/H305)</f>
        <v>1.638637927702838</v>
      </c>
      <c r="O305" s="11"/>
      <c r="P305" s="4">
        <f>SUM(OSRRefP25x_0)</f>
        <v>1011946.45</v>
      </c>
      <c r="Q305" s="4"/>
      <c r="R305" s="13">
        <f t="shared" ref="R305:R318" si="174">IF(P$12=0,0,P305/P$12)</f>
        <v>0.12704671060480735</v>
      </c>
      <c r="S305" s="4"/>
      <c r="T305" s="4">
        <f>SUM(OSRRefT25x_0)</f>
        <v>1360162.03</v>
      </c>
      <c r="U305" s="4"/>
      <c r="V305" s="13">
        <f t="shared" ref="V305:V318" si="175">IF(T$12=0,0,T305/T$12)</f>
        <v>5.0291724288231809E-2</v>
      </c>
      <c r="W305" s="4"/>
      <c r="X305" s="4">
        <f t="shared" ref="X305:X318" si="176">+P305-T305</f>
        <v>-348215.58000000007</v>
      </c>
      <c r="Y305" s="4"/>
      <c r="Z305" s="13">
        <f t="shared" ref="Z305:Z318" si="177">IF(T305=0,0,X305/T305)</f>
        <v>-0.25601036664727367</v>
      </c>
    </row>
    <row r="306" spans="1:26" s="23" customFormat="1" hidden="1" outlineLevel="1" x14ac:dyDescent="0.25">
      <c r="A306" s="44"/>
      <c r="B306" s="10" t="str">
        <f>CONCATENATE("          ", "4098", " - ", "TAXABLE SALES-GRAD RENTALS")</f>
        <v xml:space="preserve">          4098 - TAXABLE SALES-GRAD RENTALS</v>
      </c>
      <c r="C306" s="10"/>
      <c r="D306" s="2">
        <f>0</f>
        <v>0</v>
      </c>
      <c r="E306" s="2"/>
      <c r="F306" s="19">
        <f t="shared" si="170"/>
        <v>0</v>
      </c>
      <c r="G306" s="2"/>
      <c r="H306" s="2">
        <f>--42</f>
        <v>42</v>
      </c>
      <c r="I306" s="2"/>
      <c r="J306" s="19">
        <f t="shared" si="171"/>
        <v>2.273912660444028E-5</v>
      </c>
      <c r="K306" s="2"/>
      <c r="L306" s="2">
        <f t="shared" si="172"/>
        <v>-42</v>
      </c>
      <c r="M306" s="2"/>
      <c r="N306" s="19">
        <f t="shared" si="173"/>
        <v>-1</v>
      </c>
      <c r="O306" s="10"/>
      <c r="P306" s="2">
        <f>0</f>
        <v>0</v>
      </c>
      <c r="Q306" s="2"/>
      <c r="R306" s="19">
        <f t="shared" si="174"/>
        <v>0</v>
      </c>
      <c r="S306" s="2"/>
      <c r="T306" s="2">
        <f>--2098.85</f>
        <v>2098.85</v>
      </c>
      <c r="U306" s="2"/>
      <c r="V306" s="19">
        <f t="shared" si="175"/>
        <v>7.7604567098785518E-5</v>
      </c>
      <c r="W306" s="2"/>
      <c r="X306" s="2">
        <f t="shared" si="176"/>
        <v>-2098.85</v>
      </c>
      <c r="Y306" s="2"/>
      <c r="Z306" s="19">
        <f t="shared" si="177"/>
        <v>-1</v>
      </c>
    </row>
    <row r="307" spans="1:26" s="23" customFormat="1" hidden="1" outlineLevel="1" x14ac:dyDescent="0.25">
      <c r="A307" s="44"/>
      <c r="B307" s="10" t="str">
        <f>CONCATENATE("          ", "4187", " - ", "NON-TAXABLE SALES-COMPUTER REP")</f>
        <v xml:space="preserve">          4187 - NON-TAXABLE SALES-COMPUTER REP</v>
      </c>
      <c r="C307" s="10"/>
      <c r="D307" s="2">
        <f>--160.46</f>
        <v>160.46</v>
      </c>
      <c r="E307" s="2"/>
      <c r="F307" s="19">
        <f t="shared" si="170"/>
        <v>1.9718181885321903E-4</v>
      </c>
      <c r="G307" s="2"/>
      <c r="H307" s="2">
        <f>-213.35</f>
        <v>-213.35</v>
      </c>
      <c r="I307" s="2"/>
      <c r="J307" s="19">
        <f t="shared" si="171"/>
        <v>-1.1550934907279366E-4</v>
      </c>
      <c r="K307" s="2"/>
      <c r="L307" s="2">
        <f t="shared" si="172"/>
        <v>373.81</v>
      </c>
      <c r="M307" s="2"/>
      <c r="N307" s="19">
        <f t="shared" si="173"/>
        <v>-1.7520974923834076</v>
      </c>
      <c r="O307" s="10"/>
      <c r="P307" s="2">
        <f>--1614.97</f>
        <v>1614.97</v>
      </c>
      <c r="Q307" s="2"/>
      <c r="R307" s="19">
        <f t="shared" si="174"/>
        <v>2.0275443055850013E-4</v>
      </c>
      <c r="S307" s="2"/>
      <c r="T307" s="2">
        <f>--15579.51</f>
        <v>15579.51</v>
      </c>
      <c r="U307" s="2"/>
      <c r="V307" s="19">
        <f t="shared" si="175"/>
        <v>5.7604932661276421E-4</v>
      </c>
      <c r="W307" s="2"/>
      <c r="X307" s="2">
        <f t="shared" si="176"/>
        <v>-13964.54</v>
      </c>
      <c r="Y307" s="2"/>
      <c r="Z307" s="19">
        <f t="shared" si="177"/>
        <v>-0.89634012879737557</v>
      </c>
    </row>
    <row r="308" spans="1:26" s="23" customFormat="1" hidden="1" outlineLevel="1" x14ac:dyDescent="0.25">
      <c r="A308" s="44"/>
      <c r="B308" s="10" t="str">
        <f>CONCATENATE("          ", "4197", " - ", "NON-TAXABLE SALES-RETURNED CHE")</f>
        <v xml:space="preserve">          4197 - NON-TAXABLE SALES-RETURNED CHE</v>
      </c>
      <c r="C308" s="10"/>
      <c r="D308" s="2">
        <f t="shared" ref="D308:D311" si="178">0</f>
        <v>0</v>
      </c>
      <c r="E308" s="2"/>
      <c r="F308" s="19">
        <f t="shared" si="170"/>
        <v>0</v>
      </c>
      <c r="G308" s="2"/>
      <c r="H308" s="2">
        <f t="shared" ref="H308:H310" si="179">0</f>
        <v>0</v>
      </c>
      <c r="I308" s="2"/>
      <c r="J308" s="19">
        <f t="shared" si="171"/>
        <v>0</v>
      </c>
      <c r="K308" s="2"/>
      <c r="L308" s="2">
        <f t="shared" si="172"/>
        <v>0</v>
      </c>
      <c r="M308" s="2"/>
      <c r="N308" s="19">
        <f t="shared" si="173"/>
        <v>0</v>
      </c>
      <c r="O308" s="10"/>
      <c r="P308" s="2">
        <f t="shared" ref="P308:P311" si="180">0</f>
        <v>0</v>
      </c>
      <c r="Q308" s="2"/>
      <c r="R308" s="19">
        <f t="shared" si="174"/>
        <v>0</v>
      </c>
      <c r="S308" s="2"/>
      <c r="T308" s="2">
        <f>--30</f>
        <v>30</v>
      </c>
      <c r="U308" s="2"/>
      <c r="V308" s="19">
        <f t="shared" si="175"/>
        <v>1.1092441160461993E-6</v>
      </c>
      <c r="W308" s="2"/>
      <c r="X308" s="2">
        <f t="shared" si="176"/>
        <v>-30</v>
      </c>
      <c r="Y308" s="2"/>
      <c r="Z308" s="19">
        <f t="shared" si="177"/>
        <v>-1</v>
      </c>
    </row>
    <row r="309" spans="1:26" s="23" customFormat="1" hidden="1" outlineLevel="1" x14ac:dyDescent="0.25">
      <c r="A309" s="44"/>
      <c r="B309" s="10" t="str">
        <f>CONCATENATE("          ", "4198", " - ", "NON-TAXABLE SALES-GRAD RENTALS")</f>
        <v xml:space="preserve">          4198 - NON-TAXABLE SALES-GRAD RENTALS</v>
      </c>
      <c r="C309" s="10"/>
      <c r="D309" s="2">
        <f t="shared" si="178"/>
        <v>0</v>
      </c>
      <c r="E309" s="2"/>
      <c r="F309" s="19">
        <f t="shared" si="170"/>
        <v>0</v>
      </c>
      <c r="G309" s="2"/>
      <c r="H309" s="2">
        <f t="shared" si="179"/>
        <v>0</v>
      </c>
      <c r="I309" s="2"/>
      <c r="J309" s="19">
        <f t="shared" si="171"/>
        <v>0</v>
      </c>
      <c r="K309" s="2"/>
      <c r="L309" s="2">
        <f t="shared" si="172"/>
        <v>0</v>
      </c>
      <c r="M309" s="2"/>
      <c r="N309" s="19">
        <f t="shared" si="173"/>
        <v>0</v>
      </c>
      <c r="O309" s="10"/>
      <c r="P309" s="2">
        <f t="shared" si="180"/>
        <v>0</v>
      </c>
      <c r="Q309" s="2"/>
      <c r="R309" s="19">
        <f t="shared" si="174"/>
        <v>0</v>
      </c>
      <c r="S309" s="2"/>
      <c r="T309" s="2">
        <f>--3732.1</f>
        <v>3732.1</v>
      </c>
      <c r="U309" s="2"/>
      <c r="V309" s="19">
        <f t="shared" si="175"/>
        <v>1.3799366551653402E-4</v>
      </c>
      <c r="W309" s="2"/>
      <c r="X309" s="2">
        <f t="shared" si="176"/>
        <v>-3732.1</v>
      </c>
      <c r="Y309" s="2"/>
      <c r="Z309" s="19">
        <f t="shared" si="177"/>
        <v>-1</v>
      </c>
    </row>
    <row r="310" spans="1:26" s="23" customFormat="1" hidden="1" outlineLevel="1" x14ac:dyDescent="0.25">
      <c r="A310" s="44"/>
      <c r="B310" s="10" t="str">
        <f>CONCATENATE("          ", "4387", " - ", "SALES RETURN NON TAXABLE-COMPU")</f>
        <v xml:space="preserve">          4387 - SALES RETURN NON TAXABLE-COMPU</v>
      </c>
      <c r="C310" s="10"/>
      <c r="D310" s="2">
        <f t="shared" si="178"/>
        <v>0</v>
      </c>
      <c r="E310" s="2"/>
      <c r="F310" s="19">
        <f t="shared" si="170"/>
        <v>0</v>
      </c>
      <c r="G310" s="2"/>
      <c r="H310" s="2">
        <f t="shared" si="179"/>
        <v>0</v>
      </c>
      <c r="I310" s="2"/>
      <c r="J310" s="19">
        <f t="shared" si="171"/>
        <v>0</v>
      </c>
      <c r="K310" s="2"/>
      <c r="L310" s="2">
        <f t="shared" si="172"/>
        <v>0</v>
      </c>
      <c r="M310" s="2"/>
      <c r="N310" s="19">
        <f t="shared" si="173"/>
        <v>0</v>
      </c>
      <c r="O310" s="10"/>
      <c r="P310" s="2">
        <f t="shared" si="180"/>
        <v>0</v>
      </c>
      <c r="Q310" s="2"/>
      <c r="R310" s="19">
        <f t="shared" si="174"/>
        <v>0</v>
      </c>
      <c r="S310" s="2"/>
      <c r="T310" s="2">
        <f>-7889</f>
        <v>-7889</v>
      </c>
      <c r="U310" s="2"/>
      <c r="V310" s="19">
        <f t="shared" si="175"/>
        <v>-2.9169422771628225E-4</v>
      </c>
      <c r="W310" s="2"/>
      <c r="X310" s="2">
        <f t="shared" si="176"/>
        <v>7889</v>
      </c>
      <c r="Y310" s="2"/>
      <c r="Z310" s="19">
        <f t="shared" si="177"/>
        <v>-1</v>
      </c>
    </row>
    <row r="311" spans="1:26" s="23" customFormat="1" hidden="1" outlineLevel="1" x14ac:dyDescent="0.25">
      <c r="A311" s="44"/>
      <c r="B311" s="10" t="str">
        <f>CONCATENATE("          ", "5087", " - ", "PURCHASES @ COST-COMPUTER REPA")</f>
        <v xml:space="preserve">          5087 - PURCHASES @ COST-COMPUTER REPA</v>
      </c>
      <c r="C311" s="10"/>
      <c r="D311" s="2">
        <f t="shared" si="178"/>
        <v>0</v>
      </c>
      <c r="E311" s="2"/>
      <c r="F311" s="19">
        <f t="shared" si="170"/>
        <v>0</v>
      </c>
      <c r="G311" s="2"/>
      <c r="H311" s="2">
        <f>-48.04</f>
        <v>-48.04</v>
      </c>
      <c r="I311" s="2"/>
      <c r="J311" s="19">
        <f t="shared" si="171"/>
        <v>-2.6009229573269308E-5</v>
      </c>
      <c r="K311" s="2"/>
      <c r="L311" s="2">
        <f t="shared" si="172"/>
        <v>48.04</v>
      </c>
      <c r="M311" s="2"/>
      <c r="N311" s="19">
        <f t="shared" si="173"/>
        <v>-1</v>
      </c>
      <c r="O311" s="10"/>
      <c r="P311" s="2">
        <f t="shared" si="180"/>
        <v>0</v>
      </c>
      <c r="Q311" s="2"/>
      <c r="R311" s="19">
        <f t="shared" si="174"/>
        <v>0</v>
      </c>
      <c r="S311" s="2"/>
      <c r="T311" s="2">
        <f>-104.76</f>
        <v>-104.76</v>
      </c>
      <c r="U311" s="2"/>
      <c r="V311" s="19">
        <f t="shared" si="175"/>
        <v>-3.8734804532333283E-6</v>
      </c>
      <c r="W311" s="2"/>
      <c r="X311" s="2">
        <f t="shared" si="176"/>
        <v>104.76</v>
      </c>
      <c r="Y311" s="2"/>
      <c r="Z311" s="19">
        <f t="shared" si="177"/>
        <v>-1</v>
      </c>
    </row>
    <row r="312" spans="1:26" s="23" customFormat="1" hidden="1" outlineLevel="1" x14ac:dyDescent="0.25">
      <c r="A312" s="44"/>
      <c r="B312" s="10" t="str">
        <f>CONCATENATE("          ", "9150", " - ", "MISC. INCOME")</f>
        <v xml:space="preserve">          9150 - MISC. INCOME</v>
      </c>
      <c r="C312" s="10"/>
      <c r="D312" s="2">
        <f>--44644.47</f>
        <v>44644.47</v>
      </c>
      <c r="E312" s="2"/>
      <c r="F312" s="19">
        <f t="shared" si="170"/>
        <v>5.4861509387622902E-2</v>
      </c>
      <c r="G312" s="2"/>
      <c r="H312" s="2">
        <f>--65445.73</f>
        <v>65445.73</v>
      </c>
      <c r="I312" s="2"/>
      <c r="J312" s="19">
        <f t="shared" si="171"/>
        <v>3.5432827147381316E-2</v>
      </c>
      <c r="K312" s="2"/>
      <c r="L312" s="2">
        <f t="shared" si="172"/>
        <v>-20801.260000000002</v>
      </c>
      <c r="M312" s="2"/>
      <c r="N312" s="19">
        <f t="shared" si="173"/>
        <v>-0.31783983462328252</v>
      </c>
      <c r="O312" s="10"/>
      <c r="P312" s="2">
        <f>--348536.83</f>
        <v>348536.83</v>
      </c>
      <c r="Q312" s="2"/>
      <c r="R312" s="19">
        <f t="shared" si="174"/>
        <v>4.3757708499423995E-2</v>
      </c>
      <c r="S312" s="2"/>
      <c r="T312" s="2">
        <f>--702301.29</f>
        <v>702301.29</v>
      </c>
      <c r="U312" s="2"/>
      <c r="V312" s="19">
        <f t="shared" si="175"/>
        <v>2.596745245413852E-2</v>
      </c>
      <c r="W312" s="2"/>
      <c r="X312" s="2">
        <f t="shared" si="176"/>
        <v>-353764.46</v>
      </c>
      <c r="Y312" s="2"/>
      <c r="Z312" s="19">
        <f t="shared" si="177"/>
        <v>-0.50372178584493277</v>
      </c>
    </row>
    <row r="313" spans="1:26" s="23" customFormat="1" hidden="1" outlineLevel="1" x14ac:dyDescent="0.25">
      <c r="A313" s="44"/>
      <c r="B313" s="10" t="str">
        <f>CONCATENATE("          ", "9151", " - ", "MISC. INCOME")</f>
        <v xml:space="preserve">          9151 - MISC. INCOME</v>
      </c>
      <c r="C313" s="10"/>
      <c r="D313" s="2">
        <f>-2282.24</f>
        <v>-2282.2399999999998</v>
      </c>
      <c r="E313" s="2"/>
      <c r="F313" s="19">
        <f t="shared" si="170"/>
        <v>-2.80453841617581E-3</v>
      </c>
      <c r="G313" s="2"/>
      <c r="H313" s="2">
        <f>--13315.04</f>
        <v>13315.04</v>
      </c>
      <c r="I313" s="2"/>
      <c r="J313" s="19">
        <f t="shared" si="171"/>
        <v>7.2088661976949164E-3</v>
      </c>
      <c r="K313" s="2"/>
      <c r="L313" s="2">
        <f t="shared" si="172"/>
        <v>-15597.28</v>
      </c>
      <c r="M313" s="2"/>
      <c r="N313" s="19">
        <f t="shared" si="173"/>
        <v>-1.1714031651425756</v>
      </c>
      <c r="O313" s="10"/>
      <c r="P313" s="2">
        <f>--295628.46</f>
        <v>295628.46000000002</v>
      </c>
      <c r="Q313" s="2"/>
      <c r="R313" s="19">
        <f t="shared" si="174"/>
        <v>3.7115228186397481E-2</v>
      </c>
      <c r="S313" s="2"/>
      <c r="T313" s="2">
        <f>--169392.7</f>
        <v>169392.7</v>
      </c>
      <c r="U313" s="2"/>
      <c r="V313" s="19">
        <f t="shared" si="175"/>
        <v>6.2632618592059685E-3</v>
      </c>
      <c r="W313" s="2"/>
      <c r="X313" s="2">
        <f t="shared" si="176"/>
        <v>126235.76000000001</v>
      </c>
      <c r="Y313" s="2"/>
      <c r="Z313" s="19">
        <f t="shared" si="177"/>
        <v>0.7452255026338207</v>
      </c>
    </row>
    <row r="314" spans="1:26" s="23" customFormat="1" hidden="1" outlineLevel="1" x14ac:dyDescent="0.25">
      <c r="A314" s="44"/>
      <c r="B314" s="10" t="str">
        <f>CONCATENATE("          ", "9152", " - ", "MISC. INCOME")</f>
        <v xml:space="preserve">          9152 - MISC. INCOME</v>
      </c>
      <c r="C314" s="10"/>
      <c r="D314" s="2">
        <f>--397.11</f>
        <v>397.11</v>
      </c>
      <c r="E314" s="2"/>
      <c r="F314" s="19">
        <f t="shared" si="170"/>
        <v>4.8798997933941049E-4</v>
      </c>
      <c r="G314" s="2"/>
      <c r="H314" s="2">
        <f t="shared" ref="H314:H317" si="181">0</f>
        <v>0</v>
      </c>
      <c r="I314" s="2"/>
      <c r="J314" s="19">
        <f t="shared" si="171"/>
        <v>0</v>
      </c>
      <c r="K314" s="2"/>
      <c r="L314" s="2">
        <f t="shared" si="172"/>
        <v>397.11</v>
      </c>
      <c r="M314" s="2"/>
      <c r="N314" s="19">
        <f t="shared" si="173"/>
        <v>0</v>
      </c>
      <c r="O314" s="10"/>
      <c r="P314" s="2">
        <f>--3710.56</f>
        <v>3710.56</v>
      </c>
      <c r="Q314" s="2"/>
      <c r="R314" s="19">
        <f t="shared" si="174"/>
        <v>4.6584919834619109E-4</v>
      </c>
      <c r="S314" s="2"/>
      <c r="T314" s="2">
        <f>--4699.86</f>
        <v>4699.8599999999997</v>
      </c>
      <c r="U314" s="2"/>
      <c r="V314" s="19">
        <f t="shared" si="175"/>
        <v>1.7377640170802969E-4</v>
      </c>
      <c r="W314" s="2"/>
      <c r="X314" s="2">
        <f t="shared" si="176"/>
        <v>-989.29999999999973</v>
      </c>
      <c r="Y314" s="2"/>
      <c r="Z314" s="19">
        <f t="shared" si="177"/>
        <v>-0.21049563178477654</v>
      </c>
    </row>
    <row r="315" spans="1:26" s="23" customFormat="1" hidden="1" outlineLevel="1" x14ac:dyDescent="0.25">
      <c r="A315" s="44"/>
      <c r="B315" s="10" t="str">
        <f>CONCATENATE("          ", "9153", " - ", "MISC. INCOME")</f>
        <v xml:space="preserve">          9153 - MISC. INCOME</v>
      </c>
      <c r="C315" s="10"/>
      <c r="D315" s="2">
        <f t="shared" ref="D315:D316" si="182">0</f>
        <v>0</v>
      </c>
      <c r="E315" s="2"/>
      <c r="F315" s="19">
        <f t="shared" si="170"/>
        <v>0</v>
      </c>
      <c r="G315" s="2"/>
      <c r="H315" s="2">
        <f t="shared" si="181"/>
        <v>0</v>
      </c>
      <c r="I315" s="2"/>
      <c r="J315" s="19">
        <f t="shared" si="171"/>
        <v>0</v>
      </c>
      <c r="K315" s="2"/>
      <c r="L315" s="2">
        <f t="shared" si="172"/>
        <v>0</v>
      </c>
      <c r="M315" s="2"/>
      <c r="N315" s="19">
        <f t="shared" si="173"/>
        <v>0</v>
      </c>
      <c r="O315" s="10"/>
      <c r="P315" s="2">
        <f>0</f>
        <v>0</v>
      </c>
      <c r="Q315" s="2"/>
      <c r="R315" s="19">
        <f t="shared" si="174"/>
        <v>0</v>
      </c>
      <c r="S315" s="2"/>
      <c r="T315" s="2">
        <f>--450</f>
        <v>450</v>
      </c>
      <c r="U315" s="2"/>
      <c r="V315" s="19">
        <f t="shared" si="175"/>
        <v>1.6638661740692993E-5</v>
      </c>
      <c r="W315" s="2"/>
      <c r="X315" s="2">
        <f t="shared" si="176"/>
        <v>-450</v>
      </c>
      <c r="Y315" s="2"/>
      <c r="Z315" s="19">
        <f t="shared" si="177"/>
        <v>-1</v>
      </c>
    </row>
    <row r="316" spans="1:26" s="23" customFormat="1" hidden="1" outlineLevel="1" x14ac:dyDescent="0.25">
      <c r="A316" s="44"/>
      <c r="B316" s="10" t="str">
        <f>CONCATENATE("          ", "9160", " - ", "MISC. INCOME")</f>
        <v xml:space="preserve">          9160 - MISC. INCOME</v>
      </c>
      <c r="C316" s="10"/>
      <c r="D316" s="2">
        <f t="shared" si="182"/>
        <v>0</v>
      </c>
      <c r="E316" s="2"/>
      <c r="F316" s="19">
        <f t="shared" si="170"/>
        <v>0</v>
      </c>
      <c r="G316" s="2"/>
      <c r="H316" s="2">
        <f t="shared" si="181"/>
        <v>0</v>
      </c>
      <c r="I316" s="2"/>
      <c r="J316" s="19">
        <f t="shared" si="171"/>
        <v>0</v>
      </c>
      <c r="K316" s="2"/>
      <c r="L316" s="2">
        <f t="shared" si="172"/>
        <v>0</v>
      </c>
      <c r="M316" s="2"/>
      <c r="N316" s="19">
        <f t="shared" si="173"/>
        <v>0</v>
      </c>
      <c r="O316" s="10"/>
      <c r="P316" s="2">
        <f>--12882.96</f>
        <v>12882.96</v>
      </c>
      <c r="Q316" s="2"/>
      <c r="R316" s="19">
        <f t="shared" si="174"/>
        <v>1.6174153196083733E-3</v>
      </c>
      <c r="S316" s="2"/>
      <c r="T316" s="2">
        <f>--152564.32</f>
        <v>152564.32</v>
      </c>
      <c r="U316" s="2"/>
      <c r="V316" s="19">
        <f t="shared" si="175"/>
        <v>5.6410358092863168E-3</v>
      </c>
      <c r="W316" s="2"/>
      <c r="X316" s="2">
        <f t="shared" si="176"/>
        <v>-139681.36000000002</v>
      </c>
      <c r="Y316" s="2"/>
      <c r="Z316" s="19">
        <f t="shared" si="177"/>
        <v>-0.91555718925630847</v>
      </c>
    </row>
    <row r="317" spans="1:26" s="23" customFormat="1" hidden="1" outlineLevel="1" x14ac:dyDescent="0.25">
      <c r="A317" s="44"/>
      <c r="B317" s="10" t="str">
        <f>CONCATENATE("          ", "9163", " - ", "MISC. INCOME")</f>
        <v xml:space="preserve">          9163 - MISC. INCOME</v>
      </c>
      <c r="C317" s="10"/>
      <c r="D317" s="2">
        <f>--175014.7</f>
        <v>175014.7</v>
      </c>
      <c r="E317" s="2"/>
      <c r="F317" s="19">
        <f t="shared" si="170"/>
        <v>0.21506741164184515</v>
      </c>
      <c r="G317" s="2"/>
      <c r="H317" s="2">
        <f t="shared" si="181"/>
        <v>0</v>
      </c>
      <c r="I317" s="2"/>
      <c r="J317" s="19">
        <f t="shared" si="171"/>
        <v>0</v>
      </c>
      <c r="K317" s="2"/>
      <c r="L317" s="2">
        <f t="shared" si="172"/>
        <v>175014.7</v>
      </c>
      <c r="M317" s="2"/>
      <c r="N317" s="19">
        <f t="shared" si="173"/>
        <v>0</v>
      </c>
      <c r="O317" s="10"/>
      <c r="P317" s="2">
        <f>--346434.46</f>
        <v>346434.46</v>
      </c>
      <c r="Q317" s="2"/>
      <c r="R317" s="19">
        <f t="shared" si="174"/>
        <v>4.3493762523849663E-2</v>
      </c>
      <c r="S317" s="2"/>
      <c r="T317" s="2">
        <f>--84439.88</f>
        <v>84439.88</v>
      </c>
      <c r="U317" s="2"/>
      <c r="V317" s="19">
        <f t="shared" si="175"/>
        <v>3.1221480016549053E-3</v>
      </c>
      <c r="W317" s="2"/>
      <c r="X317" s="2">
        <f t="shared" si="176"/>
        <v>261994.58000000002</v>
      </c>
      <c r="Y317" s="2"/>
      <c r="Z317" s="19">
        <f t="shared" si="177"/>
        <v>3.1027351057343995</v>
      </c>
    </row>
    <row r="318" spans="1:26" s="23" customFormat="1" hidden="1" outlineLevel="1" x14ac:dyDescent="0.25">
      <c r="A318" s="44"/>
      <c r="B318" s="10" t="str">
        <f>CONCATENATE("          ", "9165", " - ", "OTHER INCOME")</f>
        <v xml:space="preserve">          9165 - OTHER INCOME</v>
      </c>
      <c r="C318" s="10"/>
      <c r="D318" s="2">
        <f>0</f>
        <v>0</v>
      </c>
      <c r="E318" s="2"/>
      <c r="F318" s="19">
        <f t="shared" si="170"/>
        <v>0</v>
      </c>
      <c r="G318" s="2"/>
      <c r="H318" s="2">
        <f>--4052.18</f>
        <v>4052.18</v>
      </c>
      <c r="I318" s="2"/>
      <c r="J318" s="19">
        <f t="shared" si="171"/>
        <v>2.1938817629519238E-3</v>
      </c>
      <c r="K318" s="2"/>
      <c r="L318" s="2">
        <f t="shared" si="172"/>
        <v>-4052.18</v>
      </c>
      <c r="M318" s="2"/>
      <c r="N318" s="19">
        <f t="shared" si="173"/>
        <v>-1</v>
      </c>
      <c r="O318" s="10"/>
      <c r="P318" s="2">
        <f>--3138.21</f>
        <v>3138.21</v>
      </c>
      <c r="Q318" s="2"/>
      <c r="R318" s="19">
        <f t="shared" si="174"/>
        <v>3.939924466231513E-4</v>
      </c>
      <c r="S318" s="2"/>
      <c r="T318" s="2">
        <f>--232867.28</f>
        <v>232867.28</v>
      </c>
      <c r="U318" s="2"/>
      <c r="V318" s="19">
        <f t="shared" si="175"/>
        <v>8.6102220053227603E-3</v>
      </c>
      <c r="W318" s="2"/>
      <c r="X318" s="2">
        <f t="shared" si="176"/>
        <v>-229729.07</v>
      </c>
      <c r="Y318" s="2"/>
      <c r="Z318" s="19">
        <f t="shared" si="177"/>
        <v>-0.9865236112175142</v>
      </c>
    </row>
    <row r="319" spans="1:26" x14ac:dyDescent="0.25">
      <c r="A319" s="9"/>
      <c r="B319" s="11"/>
      <c r="C319" s="11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O319" s="11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4" customFormat="1" x14ac:dyDescent="0.25">
      <c r="A320" s="11"/>
      <c r="B320" s="29" t="s">
        <v>276</v>
      </c>
      <c r="C320" s="29"/>
      <c r="D320" s="22">
        <f>+D201-D203+D305</f>
        <v>-81603.829999999783</v>
      </c>
      <c r="E320" s="14"/>
      <c r="F320" s="20">
        <f>IF(D$12=0,0,D320/D$12)</f>
        <v>-0.10027914511273113</v>
      </c>
      <c r="G320" s="14"/>
      <c r="H320" s="22">
        <f>+H201-H203+H305</f>
        <v>-275236.39999999927</v>
      </c>
      <c r="I320" s="14"/>
      <c r="J320" s="20">
        <f>IF(H$12=0,0,H320/H$12)</f>
        <v>-0.14901512727977023</v>
      </c>
      <c r="K320" s="15"/>
      <c r="L320" s="22">
        <f>+D320-H320</f>
        <v>193632.56999999948</v>
      </c>
      <c r="M320" s="15"/>
      <c r="N320" s="20">
        <f>IF(H320=0,0,L320/H320)</f>
        <v>-0.70351367043021928</v>
      </c>
      <c r="O320" s="28"/>
      <c r="P320" s="22">
        <f>+P201-P203+P305</f>
        <v>-2121477.4799999995</v>
      </c>
      <c r="Q320" s="14"/>
      <c r="R320" s="20">
        <f>IF(P$12=0,0,P320/P$12)</f>
        <v>-0.26634485990456896</v>
      </c>
      <c r="S320" s="14"/>
      <c r="T320" s="22">
        <f>+T201-T203+T305</f>
        <v>2881142.890000009</v>
      </c>
      <c r="U320" s="14"/>
      <c r="V320" s="20">
        <f>IF(T$12=0,0,T320/T$12)</f>
        <v>0.10652969327402841</v>
      </c>
      <c r="W320" s="15"/>
      <c r="X320" s="22">
        <f>+P320-T320</f>
        <v>-5002620.3700000085</v>
      </c>
      <c r="Y320" s="15"/>
      <c r="Z320" s="20">
        <f>IF(T320=0,0,X320/T320)</f>
        <v>-1.7363319213924835</v>
      </c>
    </row>
    <row r="321" spans="1:26" x14ac:dyDescent="0.25">
      <c r="A321" s="9"/>
      <c r="B321" s="11"/>
      <c r="C321" s="9"/>
      <c r="D321" s="3"/>
      <c r="E321" s="3"/>
      <c r="F321" s="8"/>
      <c r="G321" s="3"/>
      <c r="H321" s="3"/>
      <c r="I321" s="3"/>
      <c r="J321" s="8"/>
      <c r="K321" s="3"/>
      <c r="L321" s="3"/>
      <c r="M321" s="3"/>
      <c r="N321" s="8"/>
      <c r="P321" s="3"/>
      <c r="Q321" s="3"/>
      <c r="R321" s="8"/>
      <c r="S321" s="3"/>
      <c r="T321" s="3"/>
      <c r="U321" s="3"/>
      <c r="V321" s="8"/>
      <c r="W321" s="3"/>
      <c r="X321" s="3"/>
      <c r="Y321" s="3"/>
      <c r="Z321" s="8"/>
    </row>
    <row r="322" spans="1:26" s="24" customFormat="1" x14ac:dyDescent="0.25">
      <c r="A322" s="51"/>
      <c r="B322" s="11" t="s">
        <v>127</v>
      </c>
      <c r="C322" s="11"/>
      <c r="D322" s="4">
        <v>225320.12</v>
      </c>
      <c r="E322" s="4"/>
      <c r="F322" s="13">
        <f>IF(D$12=0,0,D322/D$12)</f>
        <v>0.27688539876496054</v>
      </c>
      <c r="G322" s="4"/>
      <c r="H322" s="4">
        <v>329768.88</v>
      </c>
      <c r="I322" s="4"/>
      <c r="J322" s="13">
        <f>IF(H$12=0,0,H322/H$12)</f>
        <v>0.17853943601248748</v>
      </c>
      <c r="K322" s="4"/>
      <c r="L322" s="4">
        <f>+D322-H322</f>
        <v>-104448.76000000001</v>
      </c>
      <c r="M322" s="4"/>
      <c r="N322" s="13">
        <f>IF(H322=0,0,L322/H322)</f>
        <v>-0.31673322237077073</v>
      </c>
      <c r="O322" s="11"/>
      <c r="P322" s="4">
        <v>1641550.35</v>
      </c>
      <c r="Q322" s="4"/>
      <c r="R322" s="13">
        <f>IF(P$12=0,0,P322/P$12)</f>
        <v>0.20609151033601653</v>
      </c>
      <c r="S322" s="4"/>
      <c r="T322" s="4">
        <v>2897984.9</v>
      </c>
      <c r="U322" s="4"/>
      <c r="V322" s="13">
        <f>IF(T$12=0,0,T322/T$12)</f>
        <v>0.10715242329052445</v>
      </c>
      <c r="W322" s="4"/>
      <c r="X322" s="4">
        <f>+P322-T322</f>
        <v>-1256434.5499999998</v>
      </c>
      <c r="Y322" s="4"/>
      <c r="Z322" s="13">
        <f>IF(T322=0,0,X322/T322)</f>
        <v>-0.43355455371765389</v>
      </c>
    </row>
    <row r="323" spans="1:26" x14ac:dyDescent="0.25">
      <c r="A323" s="9"/>
      <c r="B323" s="11"/>
      <c r="C323" s="11"/>
      <c r="D323" s="3"/>
      <c r="E323" s="3"/>
      <c r="F323" s="8"/>
      <c r="G323" s="3"/>
      <c r="H323" s="3"/>
      <c r="I323" s="3"/>
      <c r="J323" s="8"/>
      <c r="K323" s="3"/>
      <c r="L323" s="3"/>
      <c r="M323" s="3"/>
      <c r="N323" s="8"/>
      <c r="O323" s="11"/>
      <c r="P323" s="3"/>
      <c r="Q323" s="3"/>
      <c r="R323" s="8"/>
      <c r="S323" s="3"/>
      <c r="T323" s="3"/>
      <c r="U323" s="3"/>
      <c r="V323" s="8"/>
      <c r="W323" s="3"/>
      <c r="X323" s="3"/>
      <c r="Y323" s="3"/>
      <c r="Z323" s="8"/>
    </row>
    <row r="324" spans="1:26" s="24" customFormat="1" ht="15.75" thickBot="1" x14ac:dyDescent="0.3">
      <c r="A324" s="11"/>
      <c r="B324" s="29" t="s">
        <v>125</v>
      </c>
      <c r="C324" s="29"/>
      <c r="D324" s="30">
        <f>+D320-D322</f>
        <v>-306923.94999999978</v>
      </c>
      <c r="E324" s="14"/>
      <c r="F324" s="36">
        <f>IF(D$12=0,0,D324/D$12)</f>
        <v>-0.37716454387769166</v>
      </c>
      <c r="G324" s="14"/>
      <c r="H324" s="30">
        <f>+H320-H322</f>
        <v>-605005.27999999933</v>
      </c>
      <c r="I324" s="14"/>
      <c r="J324" s="36">
        <f>IF(H$12=0,0,H324/H$12)</f>
        <v>-0.32755456329225774</v>
      </c>
      <c r="K324" s="15"/>
      <c r="L324" s="30">
        <f>D324-H324</f>
        <v>298081.32999999955</v>
      </c>
      <c r="M324" s="15"/>
      <c r="N324" s="36">
        <f>IF(H324=0,0,L324/H324)</f>
        <v>-0.49269211336469637</v>
      </c>
      <c r="O324" s="28"/>
      <c r="P324" s="30">
        <f>+P320-P322</f>
        <v>-3763027.8299999996</v>
      </c>
      <c r="Q324" s="14"/>
      <c r="R324" s="36">
        <f>IF(P$12=0,0,P324/P$12)</f>
        <v>-0.47243637024058549</v>
      </c>
      <c r="S324" s="14"/>
      <c r="T324" s="30">
        <f>+T320-T322</f>
        <v>-16842.009999990929</v>
      </c>
      <c r="U324" s="14"/>
      <c r="V324" s="36">
        <f>IF(T$12=0,0,T324/T$12)</f>
        <v>-6.2273001649603961E-4</v>
      </c>
      <c r="W324" s="15"/>
      <c r="X324" s="30">
        <f>P324-T324</f>
        <v>-3746185.8200000087</v>
      </c>
      <c r="Y324" s="15"/>
      <c r="Z324" s="36">
        <f>IF(T324=0,0,X324/T324)</f>
        <v>222.43104118819704</v>
      </c>
    </row>
    <row r="325" spans="1:26" ht="15.75" thickTop="1" x14ac:dyDescent="0.25">
      <c r="A325" s="9"/>
      <c r="B325" s="9"/>
      <c r="C325" s="9"/>
      <c r="D325" s="3"/>
      <c r="E325" s="3"/>
      <c r="F325" s="8"/>
      <c r="G325" s="3"/>
      <c r="H325" s="3"/>
      <c r="I325" s="3"/>
      <c r="J325" s="8"/>
      <c r="K325" s="3"/>
      <c r="L325" s="3"/>
      <c r="M325" s="3"/>
      <c r="N325" s="8"/>
      <c r="P325" s="3"/>
      <c r="Q325" s="3"/>
      <c r="R325" s="8"/>
      <c r="S325" s="3"/>
      <c r="T325" s="3"/>
      <c r="U325" s="3"/>
      <c r="V325" s="8"/>
      <c r="W325" s="3"/>
      <c r="X325" s="3"/>
      <c r="Y325" s="3"/>
      <c r="Z325" s="8"/>
    </row>
    <row r="326" spans="1:26" s="24" customFormat="1" x14ac:dyDescent="0.25">
      <c r="A326" s="51"/>
      <c r="B326" s="11" t="s">
        <v>183</v>
      </c>
      <c r="C326" s="11"/>
      <c r="D326" s="4">
        <f>--105259.22</f>
        <v>105259.22</v>
      </c>
      <c r="E326" s="4"/>
      <c r="F326" s="13">
        <f t="shared" ref="F326:F327" si="183">IF(D$12=0,0,D326/D$12)</f>
        <v>0.12934815188003942</v>
      </c>
      <c r="G326" s="4"/>
      <c r="H326" s="4">
        <f>-1331706.58</f>
        <v>-1331706.58</v>
      </c>
      <c r="I326" s="4"/>
      <c r="J326" s="13">
        <f t="shared" ref="J326:J327" si="184">IF(H$12=0,0,H326/H$12)</f>
        <v>-0.72099629815681376</v>
      </c>
      <c r="K326" s="4"/>
      <c r="L326" s="4">
        <f t="shared" ref="L326:L327" si="185">+D326-H326</f>
        <v>1436965.8</v>
      </c>
      <c r="M326" s="4"/>
      <c r="N326" s="13">
        <f t="shared" ref="N326:N327" si="186">IF(H326=0,0,L326/H326)</f>
        <v>-1.0790408499746242</v>
      </c>
      <c r="O326" s="11"/>
      <c r="P326" s="4">
        <f>--2296813.19</f>
        <v>2296813.19</v>
      </c>
      <c r="Q326" s="4"/>
      <c r="R326" s="13">
        <f t="shared" ref="R326:R327" si="187">IF(P$12=0,0,P326/P$12)</f>
        <v>0.28835770970216296</v>
      </c>
      <c r="S326" s="4"/>
      <c r="T326" s="4">
        <f>-1466541.45</f>
        <v>-1466541.45</v>
      </c>
      <c r="U326" s="4"/>
      <c r="V326" s="13">
        <f t="shared" ref="V326:V327" si="188">IF(T$12=0,0,T326/T$12)</f>
        <v>-5.4225082478345385E-2</v>
      </c>
      <c r="W326" s="4"/>
      <c r="X326" s="4">
        <f t="shared" ref="X326:X327" si="189">+P326-T326</f>
        <v>3763354.6399999997</v>
      </c>
      <c r="Y326" s="4"/>
      <c r="Z326" s="13">
        <f t="shared" ref="Z326:Z327" si="190">IF(T326=0,0,X326/T326)</f>
        <v>-2.5661427026150538</v>
      </c>
    </row>
    <row r="327" spans="1:26" s="24" customFormat="1" x14ac:dyDescent="0.25">
      <c r="A327" s="51"/>
      <c r="B327" s="11" t="s">
        <v>81</v>
      </c>
      <c r="C327" s="11"/>
      <c r="D327" s="4">
        <f>--15480.93</f>
        <v>15480.93</v>
      </c>
      <c r="E327" s="4"/>
      <c r="F327" s="13">
        <f t="shared" si="183"/>
        <v>1.9023793686522274E-2</v>
      </c>
      <c r="G327" s="4"/>
      <c r="H327" s="4">
        <f>--22571.86</f>
        <v>22571.86</v>
      </c>
      <c r="I327" s="4"/>
      <c r="J327" s="13">
        <f t="shared" si="184"/>
        <v>1.222058052946908E-2</v>
      </c>
      <c r="K327" s="4"/>
      <c r="L327" s="4">
        <f t="shared" si="185"/>
        <v>-7090.93</v>
      </c>
      <c r="M327" s="4"/>
      <c r="N327" s="13">
        <f t="shared" si="186"/>
        <v>-0.31414912195982075</v>
      </c>
      <c r="O327" s="11"/>
      <c r="P327" s="4">
        <f>--82536.19</f>
        <v>82536.19</v>
      </c>
      <c r="Q327" s="4"/>
      <c r="R327" s="13">
        <f t="shared" si="187"/>
        <v>1.0362160414074673E-2</v>
      </c>
      <c r="S327" s="4"/>
      <c r="T327" s="4">
        <f>--229561.13</f>
        <v>229561.13</v>
      </c>
      <c r="U327" s="4"/>
      <c r="V327" s="13">
        <f t="shared" si="188"/>
        <v>8.4879777575138891E-3</v>
      </c>
      <c r="W327" s="4"/>
      <c r="X327" s="4">
        <f t="shared" si="189"/>
        <v>-147024.94</v>
      </c>
      <c r="Y327" s="4"/>
      <c r="Z327" s="13">
        <f t="shared" si="190"/>
        <v>-0.64046095260116553</v>
      </c>
    </row>
    <row r="328" spans="1:26" x14ac:dyDescent="0.25">
      <c r="A328" s="9"/>
      <c r="B328" s="9"/>
      <c r="C328" s="9"/>
      <c r="D328" s="3"/>
      <c r="E328" s="3"/>
      <c r="F328" s="8"/>
      <c r="G328" s="3"/>
      <c r="H328" s="3"/>
      <c r="I328" s="3"/>
      <c r="J328" s="8"/>
      <c r="K328" s="3"/>
      <c r="L328" s="3"/>
      <c r="M328" s="3"/>
      <c r="N328" s="8"/>
      <c r="P328" s="3"/>
      <c r="Q328" s="3"/>
      <c r="R328" s="8"/>
      <c r="S328" s="3"/>
      <c r="T328" s="3"/>
      <c r="U328" s="3"/>
      <c r="V328" s="8"/>
      <c r="W328" s="3"/>
      <c r="X328" s="3"/>
      <c r="Y328" s="3"/>
      <c r="Z328" s="8"/>
    </row>
    <row r="329" spans="1:26" s="24" customFormat="1" ht="15.75" thickBot="1" x14ac:dyDescent="0.3">
      <c r="A329" s="11"/>
      <c r="B329" s="29" t="s">
        <v>293</v>
      </c>
      <c r="C329" s="29"/>
      <c r="D329" s="35">
        <f>SUM(D324:D328)</f>
        <v>-186183.79999999978</v>
      </c>
      <c r="E329" s="14"/>
      <c r="F329" s="34">
        <f>IF(D$12=0,0,D329/D$12)</f>
        <v>-0.22879259831112997</v>
      </c>
      <c r="G329" s="14"/>
      <c r="H329" s="35">
        <f>SUM(H324:H328)</f>
        <v>-1914139.9999999993</v>
      </c>
      <c r="I329" s="14"/>
      <c r="J329" s="34">
        <f>IF(H$12=0,0,H329/H$12)</f>
        <v>-1.0363302809196024</v>
      </c>
      <c r="K329" s="15"/>
      <c r="L329" s="35">
        <f>+D329-H329</f>
        <v>1727956.1999999995</v>
      </c>
      <c r="M329" s="15"/>
      <c r="N329" s="34">
        <f>IF(H329=0,0,L329/H329)</f>
        <v>-0.90273240201866123</v>
      </c>
      <c r="O329" s="28"/>
      <c r="P329" s="35">
        <f>SUM(P324:P328)</f>
        <v>-1383678.4499999997</v>
      </c>
      <c r="Q329" s="14"/>
      <c r="R329" s="34">
        <f>IF(P$12=0,0,P329/P$12)</f>
        <v>-0.17371650012434783</v>
      </c>
      <c r="S329" s="14"/>
      <c r="T329" s="35">
        <f>SUM(T324:T328)</f>
        <v>-1253822.3299999908</v>
      </c>
      <c r="U329" s="14"/>
      <c r="V329" s="34">
        <f>IF(T$12=0,0,T329/T$12)</f>
        <v>-4.6359834737327528E-2</v>
      </c>
      <c r="W329" s="15"/>
      <c r="X329" s="35">
        <f>+P329-T329</f>
        <v>-129856.12000000896</v>
      </c>
      <c r="Y329" s="15"/>
      <c r="Z329" s="34">
        <f>IF(T329=0,0,X329/T329)</f>
        <v>0.10356819853416546</v>
      </c>
    </row>
    <row r="330" spans="1:26" ht="15.75" thickTop="1" x14ac:dyDescent="0.25">
      <c r="A330" s="9"/>
      <c r="C330" s="9"/>
      <c r="D330" s="18"/>
      <c r="E330" s="18"/>
      <c r="G330" s="18"/>
      <c r="H330" s="18"/>
      <c r="I330" s="18"/>
      <c r="J330" s="43"/>
      <c r="K330" s="18"/>
      <c r="L330" s="18"/>
      <c r="M330" s="18"/>
      <c r="P330" s="18"/>
      <c r="Q330" s="18"/>
      <c r="R330" s="43"/>
      <c r="S330" s="18"/>
      <c r="T330" s="18"/>
      <c r="U330" s="18"/>
      <c r="V330" s="43"/>
      <c r="W330" s="18"/>
      <c r="X330" s="18"/>
    </row>
    <row r="331" spans="1:26" x14ac:dyDescent="0.25">
      <c r="A331" s="9"/>
      <c r="B331" s="54">
        <v>44295.963175497687</v>
      </c>
      <c r="D331" s="18"/>
      <c r="E331" s="18"/>
      <c r="G331" s="18"/>
      <c r="H331" s="18"/>
      <c r="I331" s="18"/>
      <c r="J331" s="43"/>
      <c r="K331" s="18"/>
      <c r="L331" s="18"/>
      <c r="M331" s="18"/>
      <c r="P331" s="18"/>
      <c r="Q331" s="18"/>
      <c r="R331" s="43"/>
      <c r="S331" s="18"/>
      <c r="T331" s="18"/>
      <c r="U331" s="18"/>
      <c r="V331" s="43"/>
      <c r="W331" s="18"/>
      <c r="X331" s="18"/>
    </row>
    <row r="332" spans="1:26" x14ac:dyDescent="0.25">
      <c r="A332" s="9"/>
      <c r="B332" s="58" t="s">
        <v>56</v>
      </c>
      <c r="D332" s="18"/>
      <c r="E332" s="18"/>
      <c r="G332" s="18"/>
      <c r="H332" s="18"/>
      <c r="I332" s="18"/>
      <c r="J332" s="43"/>
      <c r="K332" s="18"/>
      <c r="L332" s="18"/>
      <c r="M332" s="18"/>
      <c r="P332" s="18"/>
      <c r="Q332" s="18"/>
      <c r="R332" s="43"/>
      <c r="S332" s="18"/>
      <c r="T332" s="18"/>
      <c r="U332" s="18"/>
      <c r="V332" s="43"/>
      <c r="W332" s="18"/>
      <c r="X332" s="18"/>
    </row>
    <row r="333" spans="1:26" x14ac:dyDescent="0.25">
      <c r="A333" s="9"/>
      <c r="B333" s="62"/>
      <c r="D333" s="18"/>
      <c r="E333" s="18"/>
      <c r="G333" s="18"/>
      <c r="H333" s="18"/>
      <c r="I333" s="18"/>
      <c r="J333" s="43"/>
      <c r="K333" s="18"/>
      <c r="L333" s="18"/>
      <c r="M333" s="18"/>
      <c r="P333" s="18"/>
      <c r="Q333" s="18"/>
      <c r="R333" s="43"/>
      <c r="S333" s="18"/>
      <c r="T333" s="18"/>
      <c r="U333" s="18"/>
      <c r="V333" s="43"/>
      <c r="W333" s="18"/>
      <c r="X333" s="18"/>
    </row>
    <row r="334" spans="1:26" x14ac:dyDescent="0.25">
      <c r="D334" s="18"/>
      <c r="E334" s="18"/>
      <c r="G334" s="18"/>
      <c r="H334" s="18"/>
      <c r="I334" s="18"/>
      <c r="J334" s="43"/>
      <c r="K334" s="18"/>
      <c r="L334" s="18"/>
      <c r="M334" s="18"/>
      <c r="P334" s="18"/>
      <c r="Q334" s="18"/>
      <c r="R334" s="43"/>
      <c r="S334" s="18"/>
      <c r="T334" s="18"/>
      <c r="U334" s="18"/>
      <c r="V334" s="43"/>
      <c r="W334" s="18"/>
      <c r="X334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105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105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182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182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104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104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218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218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","100", " - ", "Corporate")</f>
        <v>Department 100 - Corporate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SUM(0)</f>
        <v>0</v>
      </c>
      <c r="E18" s="21"/>
      <c r="F18" s="31">
        <f>IF(D$12=0,0,D18/D$12)</f>
        <v>0</v>
      </c>
      <c r="G18" s="21"/>
      <c r="H18" s="21">
        <f>SUM(0)</f>
        <v>0</v>
      </c>
      <c r="I18" s="21"/>
      <c r="J18" s="31">
        <f>IF(H$12=0,0,H18/H$12)</f>
        <v>0</v>
      </c>
      <c r="K18" s="4"/>
      <c r="L18" s="21">
        <f>+D18-H18</f>
        <v>0</v>
      </c>
      <c r="M18" s="4"/>
      <c r="N18" s="31">
        <f>IF(H18=0,0,L18/H18)</f>
        <v>0</v>
      </c>
      <c r="O18" s="11"/>
      <c r="P18" s="21">
        <f>SUM(0)</f>
        <v>0</v>
      </c>
      <c r="Q18" s="21"/>
      <c r="R18" s="31">
        <f>IF(P$12=0,0,P18/P$12)</f>
        <v>0</v>
      </c>
      <c r="S18" s="21"/>
      <c r="T18" s="21">
        <f>SUM(0)</f>
        <v>0</v>
      </c>
      <c r="U18" s="21"/>
      <c r="V18" s="31">
        <f>IF(T$12=0,0,T18/T$12)</f>
        <v>0</v>
      </c>
      <c r="W18" s="4"/>
      <c r="X18" s="21">
        <f>+P18-T18</f>
        <v>0</v>
      </c>
      <c r="Y18" s="4"/>
      <c r="Z18" s="31">
        <f>IF(T18=0,0,X18/T18)</f>
        <v>0</v>
      </c>
    </row>
    <row r="19" spans="1:26" s="60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292</v>
      </c>
      <c r="C20" s="11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1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1"/>
      <c r="C21" s="11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1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4" customFormat="1" x14ac:dyDescent="0.25">
      <c r="A22" s="11"/>
      <c r="B22" s="29" t="s">
        <v>276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51"/>
      <c r="B24" s="11" t="s">
        <v>127</v>
      </c>
      <c r="C24" s="11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1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1"/>
      <c r="C25" s="11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1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4" customFormat="1" ht="15.75" thickBot="1" x14ac:dyDescent="0.3">
      <c r="A26" s="11"/>
      <c r="B26" s="29" t="s">
        <v>125</v>
      </c>
      <c r="C26" s="29"/>
      <c r="D26" s="30">
        <f>+D22-D24</f>
        <v>0</v>
      </c>
      <c r="E26" s="14"/>
      <c r="F26" s="36">
        <f>IF(D$12=0,0,D26/D$12)</f>
        <v>0</v>
      </c>
      <c r="G26" s="14"/>
      <c r="H26" s="30">
        <f>+H22-H24</f>
        <v>0</v>
      </c>
      <c r="I26" s="14"/>
      <c r="J26" s="36">
        <f>IF(H$12=0,0,H26/H$12)</f>
        <v>0</v>
      </c>
      <c r="K26" s="15"/>
      <c r="L26" s="30">
        <f>D26-H26</f>
        <v>0</v>
      </c>
      <c r="M26" s="15"/>
      <c r="N26" s="36">
        <f>IF(H26=0,0,L26/H26)</f>
        <v>0</v>
      </c>
      <c r="O26" s="28"/>
      <c r="P26" s="30">
        <f>+P22-P24</f>
        <v>0</v>
      </c>
      <c r="Q26" s="14"/>
      <c r="R26" s="36">
        <f>IF(P$12=0,0,P26/P$12)</f>
        <v>0</v>
      </c>
      <c r="S26" s="14"/>
      <c r="T26" s="30">
        <f>+T22-T24</f>
        <v>0</v>
      </c>
      <c r="U26" s="14"/>
      <c r="V26" s="36">
        <f>IF(T$12=0,0,T26/T$12)</f>
        <v>0</v>
      </c>
      <c r="W26" s="15"/>
      <c r="X26" s="30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51"/>
      <c r="B28" s="11" t="s">
        <v>183</v>
      </c>
      <c r="C28" s="11"/>
      <c r="D28" s="4">
        <f>--105259.22</f>
        <v>105259.22</v>
      </c>
      <c r="E28" s="4"/>
      <c r="F28" s="13">
        <f t="shared" ref="F28:F29" si="0">IF(D$12=0,0,D28/D$12)</f>
        <v>0</v>
      </c>
      <c r="G28" s="4"/>
      <c r="H28" s="4">
        <f>-1331706.58</f>
        <v>-1331706.58</v>
      </c>
      <c r="I28" s="4"/>
      <c r="J28" s="13">
        <f t="shared" ref="J28:J29" si="1">IF(H$12=0,0,H28/H$12)</f>
        <v>0</v>
      </c>
      <c r="K28" s="4"/>
      <c r="L28" s="4">
        <f t="shared" ref="L28:L29" si="2">+D28-H28</f>
        <v>1436965.8</v>
      </c>
      <c r="M28" s="4"/>
      <c r="N28" s="13">
        <f t="shared" ref="N28:N29" si="3">IF(H28=0,0,L28/H28)</f>
        <v>-1.0790408499746242</v>
      </c>
      <c r="O28" s="11"/>
      <c r="P28" s="4">
        <f>--2296813.19</f>
        <v>2296813.19</v>
      </c>
      <c r="Q28" s="4"/>
      <c r="R28" s="13">
        <f t="shared" ref="R28:R29" si="4">IF(P$12=0,0,P28/P$12)</f>
        <v>0</v>
      </c>
      <c r="S28" s="4"/>
      <c r="T28" s="4">
        <f>-1466541.45</f>
        <v>-1466541.45</v>
      </c>
      <c r="U28" s="4"/>
      <c r="V28" s="13">
        <f t="shared" ref="V28:V29" si="5">IF(T$12=0,0,T28/T$12)</f>
        <v>0</v>
      </c>
      <c r="W28" s="4"/>
      <c r="X28" s="4">
        <f t="shared" ref="X28:X29" si="6">+P28-T28</f>
        <v>3763354.6399999997</v>
      </c>
      <c r="Y28" s="4"/>
      <c r="Z28" s="13">
        <f t="shared" ref="Z28:Z29" si="7">IF(T28=0,0,X28/T28)</f>
        <v>-2.5661427026150538</v>
      </c>
    </row>
    <row r="29" spans="1:26" s="24" customFormat="1" x14ac:dyDescent="0.25">
      <c r="A29" s="51"/>
      <c r="B29" s="11" t="s">
        <v>81</v>
      </c>
      <c r="C29" s="11"/>
      <c r="D29" s="4">
        <f>--15480.93</f>
        <v>15480.93</v>
      </c>
      <c r="E29" s="4"/>
      <c r="F29" s="13">
        <f t="shared" si="0"/>
        <v>0</v>
      </c>
      <c r="G29" s="4"/>
      <c r="H29" s="4">
        <f>--22571.86</f>
        <v>22571.86</v>
      </c>
      <c r="I29" s="4"/>
      <c r="J29" s="13">
        <f t="shared" si="1"/>
        <v>0</v>
      </c>
      <c r="K29" s="4"/>
      <c r="L29" s="4">
        <f t="shared" si="2"/>
        <v>-7090.93</v>
      </c>
      <c r="M29" s="4"/>
      <c r="N29" s="13">
        <f t="shared" si="3"/>
        <v>-0.31414912195982075</v>
      </c>
      <c r="O29" s="11"/>
      <c r="P29" s="4">
        <f>--82536.19</f>
        <v>82536.19</v>
      </c>
      <c r="Q29" s="4"/>
      <c r="R29" s="13">
        <f t="shared" si="4"/>
        <v>0</v>
      </c>
      <c r="S29" s="4"/>
      <c r="T29" s="4">
        <f>--229561.13</f>
        <v>229561.13</v>
      </c>
      <c r="U29" s="4"/>
      <c r="V29" s="13">
        <f t="shared" si="5"/>
        <v>0</v>
      </c>
      <c r="W29" s="4"/>
      <c r="X29" s="4">
        <f t="shared" si="6"/>
        <v>-147024.94</v>
      </c>
      <c r="Y29" s="4"/>
      <c r="Z29" s="13">
        <f t="shared" si="7"/>
        <v>-0.64046095260116553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293</v>
      </c>
      <c r="C31" s="29"/>
      <c r="D31" s="35">
        <f>SUM(D26:D30)</f>
        <v>120740.15</v>
      </c>
      <c r="E31" s="14"/>
      <c r="F31" s="34">
        <f>IF(D$12=0,0,D31/D$12)</f>
        <v>0</v>
      </c>
      <c r="G31" s="14"/>
      <c r="H31" s="35">
        <f>SUM(H26:H30)</f>
        <v>-1309134.72</v>
      </c>
      <c r="I31" s="14"/>
      <c r="J31" s="34">
        <f>IF(H$12=0,0,H31/H$12)</f>
        <v>0</v>
      </c>
      <c r="K31" s="15"/>
      <c r="L31" s="35">
        <f>+D31-H31</f>
        <v>1429874.8699999999</v>
      </c>
      <c r="M31" s="15"/>
      <c r="N31" s="34">
        <f>IF(H31=0,0,L31/H31)</f>
        <v>-1.0922289724315004</v>
      </c>
      <c r="O31" s="28"/>
      <c r="P31" s="35">
        <f>SUM(P26:P30)</f>
        <v>2379349.38</v>
      </c>
      <c r="Q31" s="14"/>
      <c r="R31" s="34">
        <f>IF(P$12=0,0,P31/P$12)</f>
        <v>0</v>
      </c>
      <c r="S31" s="14"/>
      <c r="T31" s="35">
        <f>SUM(T26:T30)</f>
        <v>-1236980.3199999998</v>
      </c>
      <c r="U31" s="14"/>
      <c r="V31" s="34">
        <f>IF(T$12=0,0,T31/T$12)</f>
        <v>0</v>
      </c>
      <c r="W31" s="15"/>
      <c r="X31" s="35">
        <f>+P31-T31</f>
        <v>3616329.6999999997</v>
      </c>
      <c r="Y31" s="15"/>
      <c r="Z31" s="34">
        <f>IF(T31=0,0,X31/T31)</f>
        <v>-2.9235143369136223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4">
        <v>44295.963243634258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8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2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312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138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225320.12000000008</v>
      </c>
      <c r="E18" s="21"/>
      <c r="F18" s="31">
        <f t="shared" ref="F18:F30" si="0">IF(D$12=0,0,D18/D$12)</f>
        <v>0</v>
      </c>
      <c r="G18" s="21"/>
      <c r="H18" s="21">
        <f>SUM(OSRRefH22x_0)</f>
        <v>329768.88000000006</v>
      </c>
      <c r="I18" s="21"/>
      <c r="J18" s="31">
        <f t="shared" ref="J18:J30" si="1">IF(H$12=0,0,H18/H$12)</f>
        <v>0</v>
      </c>
      <c r="K18" s="4"/>
      <c r="L18" s="21">
        <f t="shared" ref="L18:L30" si="2">+D18-H18</f>
        <v>-104448.75999999998</v>
      </c>
      <c r="M18" s="4"/>
      <c r="N18" s="31">
        <f t="shared" ref="N18:N30" si="3">IF(H18=0,0,L18/H18)</f>
        <v>-0.31673322237077056</v>
      </c>
      <c r="O18" s="11"/>
      <c r="P18" s="21">
        <f>SUM(OSRRefP22x_0)</f>
        <v>1641550.3499999999</v>
      </c>
      <c r="Q18" s="21"/>
      <c r="R18" s="31">
        <f t="shared" ref="R18:R30" si="4">IF(P$12=0,0,P18/P$12)</f>
        <v>0</v>
      </c>
      <c r="S18" s="21"/>
      <c r="T18" s="21">
        <f>SUM(OSRRefT22x_0)</f>
        <v>2897984.8999999994</v>
      </c>
      <c r="U18" s="21"/>
      <c r="V18" s="31">
        <f t="shared" ref="V18:V30" si="5">IF(T$12=0,0,T18/T$12)</f>
        <v>0</v>
      </c>
      <c r="W18" s="4"/>
      <c r="X18" s="21">
        <f t="shared" ref="X18:X30" si="6">+P18-T18</f>
        <v>-1256434.5499999996</v>
      </c>
      <c r="Y18" s="4"/>
      <c r="Z18" s="31">
        <f t="shared" ref="Z18:Z30" si="7">IF(T18=0,0,X18/T18)</f>
        <v>-0.43355455371765389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77919.67</v>
      </c>
      <c r="E19" s="1"/>
      <c r="F19" s="5">
        <f t="shared" si="0"/>
        <v>0</v>
      </c>
      <c r="G19" s="1"/>
      <c r="H19" s="1">
        <f>SUM(OSRRefH22_0x_0)</f>
        <v>93231.59</v>
      </c>
      <c r="I19" s="1"/>
      <c r="J19" s="5">
        <f t="shared" si="1"/>
        <v>0</v>
      </c>
      <c r="K19" s="1"/>
      <c r="L19" s="1">
        <f t="shared" si="2"/>
        <v>-15311.919999999998</v>
      </c>
      <c r="M19" s="1"/>
      <c r="N19" s="5">
        <f t="shared" si="3"/>
        <v>-0.1642353198095195</v>
      </c>
      <c r="O19" s="12"/>
      <c r="P19" s="1">
        <f>SUM(OSRRefP22_0x_0)</f>
        <v>339910.97999999992</v>
      </c>
      <c r="Q19" s="1"/>
      <c r="R19" s="5">
        <f t="shared" si="4"/>
        <v>0</v>
      </c>
      <c r="S19" s="1"/>
      <c r="T19" s="1">
        <f>SUM(OSRRefT22_0x_0)</f>
        <v>825743.90999999992</v>
      </c>
      <c r="U19" s="1"/>
      <c r="V19" s="5">
        <f t="shared" si="5"/>
        <v>0</v>
      </c>
      <c r="W19" s="1"/>
      <c r="X19" s="1">
        <f t="shared" si="6"/>
        <v>-485832.93</v>
      </c>
      <c r="Y19" s="1"/>
      <c r="Z19" s="5">
        <f t="shared" si="7"/>
        <v>-0.58835787235778714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6995.86</v>
      </c>
      <c r="E20" s="2"/>
      <c r="F20" s="7">
        <f t="shared" si="0"/>
        <v>0</v>
      </c>
      <c r="G20" s="2"/>
      <c r="H20" s="6">
        <v>11224.17</v>
      </c>
      <c r="I20" s="2"/>
      <c r="J20" s="7">
        <f t="shared" si="1"/>
        <v>0</v>
      </c>
      <c r="K20" s="2"/>
      <c r="L20" s="6">
        <f t="shared" si="2"/>
        <v>-4228.3100000000004</v>
      </c>
      <c r="M20" s="2"/>
      <c r="N20" s="7">
        <f t="shared" si="3"/>
        <v>-0.37671471476287338</v>
      </c>
      <c r="O20" s="10"/>
      <c r="P20" s="6">
        <v>68910.179999999993</v>
      </c>
      <c r="Q20" s="2"/>
      <c r="R20" s="7">
        <f t="shared" si="4"/>
        <v>0</v>
      </c>
      <c r="S20" s="2"/>
      <c r="T20" s="6">
        <v>87450.5</v>
      </c>
      <c r="U20" s="2"/>
      <c r="V20" s="7">
        <f t="shared" si="5"/>
        <v>0</v>
      </c>
      <c r="W20" s="2"/>
      <c r="X20" s="6">
        <f t="shared" si="6"/>
        <v>-18540.320000000007</v>
      </c>
      <c r="Y20" s="2"/>
      <c r="Z20" s="7">
        <f t="shared" si="7"/>
        <v>-0.21200930812288102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584.14</v>
      </c>
      <c r="E21" s="2"/>
      <c r="F21" s="7">
        <f t="shared" si="0"/>
        <v>0</v>
      </c>
      <c r="G21" s="2"/>
      <c r="H21" s="6">
        <v>829.8</v>
      </c>
      <c r="I21" s="2"/>
      <c r="J21" s="7">
        <f t="shared" si="1"/>
        <v>0</v>
      </c>
      <c r="K21" s="2"/>
      <c r="L21" s="6">
        <f t="shared" si="2"/>
        <v>-245.65999999999997</v>
      </c>
      <c r="M21" s="2"/>
      <c r="N21" s="7">
        <f t="shared" si="3"/>
        <v>-0.2960472402988672</v>
      </c>
      <c r="O21" s="10"/>
      <c r="P21" s="6">
        <v>5886.92</v>
      </c>
      <c r="Q21" s="2"/>
      <c r="R21" s="7">
        <f t="shared" si="4"/>
        <v>0</v>
      </c>
      <c r="S21" s="2"/>
      <c r="T21" s="6">
        <v>6170.42</v>
      </c>
      <c r="U21" s="2"/>
      <c r="V21" s="7">
        <f t="shared" si="5"/>
        <v>0</v>
      </c>
      <c r="W21" s="2"/>
      <c r="X21" s="6">
        <f t="shared" si="6"/>
        <v>-283.5</v>
      </c>
      <c r="Y21" s="2"/>
      <c r="Z21" s="7">
        <f t="shared" si="7"/>
        <v>-4.5945008605573039E-2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22431.15</v>
      </c>
      <c r="E22" s="2"/>
      <c r="F22" s="7">
        <f t="shared" si="0"/>
        <v>0</v>
      </c>
      <c r="G22" s="2"/>
      <c r="H22" s="6">
        <v>26013.06</v>
      </c>
      <c r="I22" s="2"/>
      <c r="J22" s="7">
        <f t="shared" si="1"/>
        <v>0</v>
      </c>
      <c r="K22" s="2"/>
      <c r="L22" s="6">
        <f t="shared" si="2"/>
        <v>-3581.91</v>
      </c>
      <c r="M22" s="2"/>
      <c r="N22" s="7">
        <f t="shared" si="3"/>
        <v>-0.13769660316779339</v>
      </c>
      <c r="O22" s="10"/>
      <c r="P22" s="6">
        <v>205261.23</v>
      </c>
      <c r="Q22" s="2"/>
      <c r="R22" s="7">
        <f t="shared" si="4"/>
        <v>0</v>
      </c>
      <c r="S22" s="2"/>
      <c r="T22" s="6">
        <v>207982.7</v>
      </c>
      <c r="U22" s="2"/>
      <c r="V22" s="7">
        <f t="shared" si="5"/>
        <v>0</v>
      </c>
      <c r="W22" s="2"/>
      <c r="X22" s="6">
        <f t="shared" si="6"/>
        <v>-2721.4700000000012</v>
      </c>
      <c r="Y22" s="2"/>
      <c r="Z22" s="7">
        <f t="shared" si="7"/>
        <v>-1.3085078710873553E-2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240.46</v>
      </c>
      <c r="E23" s="2"/>
      <c r="F23" s="7">
        <f t="shared" si="0"/>
        <v>0</v>
      </c>
      <c r="G23" s="2"/>
      <c r="H23" s="6">
        <v>431.54</v>
      </c>
      <c r="I23" s="2"/>
      <c r="J23" s="7">
        <f t="shared" si="1"/>
        <v>0</v>
      </c>
      <c r="K23" s="2"/>
      <c r="L23" s="6">
        <f t="shared" si="2"/>
        <v>-191.08</v>
      </c>
      <c r="M23" s="2"/>
      <c r="N23" s="7">
        <f t="shared" si="3"/>
        <v>-0.4427863002270937</v>
      </c>
      <c r="O23" s="10"/>
      <c r="P23" s="6">
        <v>2541.8200000000002</v>
      </c>
      <c r="Q23" s="2"/>
      <c r="R23" s="7">
        <f t="shared" si="4"/>
        <v>0</v>
      </c>
      <c r="S23" s="2"/>
      <c r="T23" s="6">
        <v>3606.67</v>
      </c>
      <c r="U23" s="2"/>
      <c r="V23" s="7">
        <f t="shared" si="5"/>
        <v>0</v>
      </c>
      <c r="W23" s="2"/>
      <c r="X23" s="6">
        <f t="shared" si="6"/>
        <v>-1064.8499999999999</v>
      </c>
      <c r="Y23" s="2"/>
      <c r="Z23" s="7">
        <f t="shared" si="7"/>
        <v>-0.2952446439513457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7812.41</v>
      </c>
      <c r="E24" s="2"/>
      <c r="F24" s="7">
        <f t="shared" si="0"/>
        <v>0</v>
      </c>
      <c r="G24" s="2"/>
      <c r="H24" s="6">
        <v>7724.88</v>
      </c>
      <c r="I24" s="2"/>
      <c r="J24" s="7">
        <f t="shared" si="1"/>
        <v>0</v>
      </c>
      <c r="K24" s="2"/>
      <c r="L24" s="6">
        <f t="shared" si="2"/>
        <v>87.529999999999745</v>
      </c>
      <c r="M24" s="2"/>
      <c r="N24" s="7">
        <f t="shared" si="3"/>
        <v>1.1330920350866259E-2</v>
      </c>
      <c r="O24" s="10"/>
      <c r="P24" s="6">
        <v>82375.56</v>
      </c>
      <c r="Q24" s="2"/>
      <c r="R24" s="7">
        <f t="shared" si="4"/>
        <v>0</v>
      </c>
      <c r="S24" s="2"/>
      <c r="T24" s="6">
        <v>79285.36</v>
      </c>
      <c r="U24" s="2"/>
      <c r="V24" s="7">
        <f t="shared" si="5"/>
        <v>0</v>
      </c>
      <c r="W24" s="2"/>
      <c r="X24" s="6">
        <f t="shared" si="6"/>
        <v>3090.1999999999971</v>
      </c>
      <c r="Y24" s="2"/>
      <c r="Z24" s="7">
        <f t="shared" si="7"/>
        <v>3.8975669657046359E-2</v>
      </c>
    </row>
    <row r="25" spans="1:26" s="23" customFormat="1" hidden="1" outlineLevel="2" x14ac:dyDescent="0.25">
      <c r="A25" s="25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5070.88</v>
      </c>
      <c r="U25" s="2"/>
      <c r="V25" s="7">
        <f t="shared" si="5"/>
        <v>0</v>
      </c>
      <c r="W25" s="2"/>
      <c r="X25" s="6">
        <f t="shared" si="6"/>
        <v>-5070.88</v>
      </c>
      <c r="Y25" s="2"/>
      <c r="Z25" s="7">
        <f t="shared" si="7"/>
        <v>-1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>
        <v>775.13</v>
      </c>
      <c r="E26" s="2"/>
      <c r="F26" s="7">
        <f t="shared" si="0"/>
        <v>0</v>
      </c>
      <c r="G26" s="2"/>
      <c r="H26" s="6">
        <v>455.86</v>
      </c>
      <c r="I26" s="2"/>
      <c r="J26" s="7">
        <f t="shared" si="1"/>
        <v>0</v>
      </c>
      <c r="K26" s="2"/>
      <c r="L26" s="6">
        <f t="shared" si="2"/>
        <v>319.27</v>
      </c>
      <c r="M26" s="2"/>
      <c r="N26" s="7">
        <f t="shared" si="3"/>
        <v>0.70036853419909617</v>
      </c>
      <c r="O26" s="10"/>
      <c r="P26" s="6">
        <v>6551.99</v>
      </c>
      <c r="Q26" s="2"/>
      <c r="R26" s="7">
        <f t="shared" si="4"/>
        <v>0</v>
      </c>
      <c r="S26" s="2"/>
      <c r="T26" s="6">
        <v>7341.44</v>
      </c>
      <c r="U26" s="2"/>
      <c r="V26" s="7">
        <f t="shared" si="5"/>
        <v>0</v>
      </c>
      <c r="W26" s="2"/>
      <c r="X26" s="6">
        <f t="shared" si="6"/>
        <v>-789.44999999999982</v>
      </c>
      <c r="Y26" s="2"/>
      <c r="Z26" s="7">
        <f t="shared" si="7"/>
        <v>-0.1075333994420713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6386.63</v>
      </c>
      <c r="E27" s="2"/>
      <c r="F27" s="7">
        <f t="shared" si="0"/>
        <v>0</v>
      </c>
      <c r="G27" s="2"/>
      <c r="H27" s="6">
        <v>9592.32</v>
      </c>
      <c r="I27" s="2"/>
      <c r="J27" s="7">
        <f t="shared" si="1"/>
        <v>0</v>
      </c>
      <c r="K27" s="2"/>
      <c r="L27" s="6">
        <f t="shared" si="2"/>
        <v>-3205.6899999999996</v>
      </c>
      <c r="M27" s="2"/>
      <c r="N27" s="7">
        <f t="shared" si="3"/>
        <v>-0.33419339638377366</v>
      </c>
      <c r="O27" s="10"/>
      <c r="P27" s="6">
        <v>56962.53</v>
      </c>
      <c r="Q27" s="2"/>
      <c r="R27" s="7">
        <f t="shared" si="4"/>
        <v>0</v>
      </c>
      <c r="S27" s="2"/>
      <c r="T27" s="6">
        <v>78489.31</v>
      </c>
      <c r="U27" s="2"/>
      <c r="V27" s="7">
        <f t="shared" si="5"/>
        <v>0</v>
      </c>
      <c r="W27" s="2"/>
      <c r="X27" s="6">
        <f t="shared" si="6"/>
        <v>-21526.78</v>
      </c>
      <c r="Y27" s="2"/>
      <c r="Z27" s="7">
        <f t="shared" si="7"/>
        <v>-0.27426384561158712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4114.22</v>
      </c>
      <c r="E28" s="2"/>
      <c r="F28" s="7">
        <f t="shared" si="0"/>
        <v>0</v>
      </c>
      <c r="G28" s="2"/>
      <c r="H28" s="6">
        <v>5911.53</v>
      </c>
      <c r="I28" s="2"/>
      <c r="J28" s="7">
        <f t="shared" si="1"/>
        <v>0</v>
      </c>
      <c r="K28" s="2"/>
      <c r="L28" s="6">
        <f t="shared" si="2"/>
        <v>-1797.3099999999995</v>
      </c>
      <c r="M28" s="2"/>
      <c r="N28" s="7">
        <f t="shared" si="3"/>
        <v>-0.3040346576943701</v>
      </c>
      <c r="O28" s="10"/>
      <c r="P28" s="6">
        <v>38919.040000000001</v>
      </c>
      <c r="Q28" s="2"/>
      <c r="R28" s="7">
        <f t="shared" si="4"/>
        <v>0</v>
      </c>
      <c r="S28" s="2"/>
      <c r="T28" s="6">
        <v>63532.26</v>
      </c>
      <c r="U28" s="2"/>
      <c r="V28" s="7">
        <f t="shared" si="5"/>
        <v>0</v>
      </c>
      <c r="W28" s="2"/>
      <c r="X28" s="6">
        <f t="shared" si="6"/>
        <v>-24613.22</v>
      </c>
      <c r="Y28" s="2"/>
      <c r="Z28" s="7">
        <f t="shared" si="7"/>
        <v>-0.38741294580107805</v>
      </c>
    </row>
    <row r="29" spans="1:26" s="23" customFormat="1" hidden="1" outlineLevel="2" x14ac:dyDescent="0.25">
      <c r="A29" s="25"/>
      <c r="B29" s="10" t="str">
        <f>CONCATENATE("          ", "6120", " - ", "RETIREES HEALTH INSURANCE")</f>
        <v xml:space="preserve">          6120 - RETIREES HEALTH INSURANCE</v>
      </c>
      <c r="C29" s="10"/>
      <c r="D29" s="6">
        <v>28050.7</v>
      </c>
      <c r="E29" s="2"/>
      <c r="F29" s="7">
        <f t="shared" si="0"/>
        <v>0</v>
      </c>
      <c r="G29" s="2"/>
      <c r="H29" s="6">
        <v>29545</v>
      </c>
      <c r="I29" s="2"/>
      <c r="J29" s="7">
        <f t="shared" si="1"/>
        <v>0</v>
      </c>
      <c r="K29" s="2"/>
      <c r="L29" s="6">
        <f t="shared" si="2"/>
        <v>-1494.2999999999993</v>
      </c>
      <c r="M29" s="2"/>
      <c r="N29" s="7">
        <f t="shared" si="3"/>
        <v>-5.0577085801319997E-2</v>
      </c>
      <c r="O29" s="10"/>
      <c r="P29" s="6">
        <v>-133017.22</v>
      </c>
      <c r="Q29" s="2"/>
      <c r="R29" s="7">
        <f t="shared" si="4"/>
        <v>0</v>
      </c>
      <c r="S29" s="2"/>
      <c r="T29" s="6">
        <v>265062.99</v>
      </c>
      <c r="U29" s="2"/>
      <c r="V29" s="7">
        <f t="shared" si="5"/>
        <v>0</v>
      </c>
      <c r="W29" s="2"/>
      <c r="X29" s="6">
        <f t="shared" si="6"/>
        <v>-398080.20999999996</v>
      </c>
      <c r="Y29" s="2"/>
      <c r="Z29" s="7">
        <f t="shared" si="7"/>
        <v>-1.5018324889491361</v>
      </c>
    </row>
    <row r="30" spans="1:26" s="23" customFormat="1" hidden="1" outlineLevel="2" x14ac:dyDescent="0.25">
      <c r="A30" s="25"/>
      <c r="B30" s="10" t="str">
        <f>CONCATENATE("          ", "6156", " - ", "EMPLOYEE MEALS")</f>
        <v xml:space="preserve">          6156 - EMPLOYEE MEALS</v>
      </c>
      <c r="C30" s="10"/>
      <c r="D30" s="6">
        <v>528.97</v>
      </c>
      <c r="E30" s="2"/>
      <c r="F30" s="7">
        <f t="shared" si="0"/>
        <v>0</v>
      </c>
      <c r="G30" s="2"/>
      <c r="H30" s="6">
        <v>1503.43</v>
      </c>
      <c r="I30" s="2"/>
      <c r="J30" s="7">
        <f t="shared" si="1"/>
        <v>0</v>
      </c>
      <c r="K30" s="2"/>
      <c r="L30" s="6">
        <f t="shared" si="2"/>
        <v>-974.46</v>
      </c>
      <c r="M30" s="2"/>
      <c r="N30" s="7">
        <f t="shared" si="3"/>
        <v>-0.64815787898339128</v>
      </c>
      <c r="O30" s="10"/>
      <c r="P30" s="6">
        <v>5518.93</v>
      </c>
      <c r="Q30" s="2"/>
      <c r="R30" s="7">
        <f t="shared" si="4"/>
        <v>0</v>
      </c>
      <c r="S30" s="2"/>
      <c r="T30" s="6">
        <v>21751.38</v>
      </c>
      <c r="U30" s="2"/>
      <c r="V30" s="7">
        <f t="shared" si="5"/>
        <v>0</v>
      </c>
      <c r="W30" s="2"/>
      <c r="X30" s="6">
        <f t="shared" si="6"/>
        <v>-16232.45</v>
      </c>
      <c r="Y30" s="2"/>
      <c r="Z30" s="7">
        <f t="shared" si="7"/>
        <v>-0.74627219054607108</v>
      </c>
    </row>
    <row r="31" spans="1:26" s="26" customFormat="1" outlineLevel="1" collapsed="1" x14ac:dyDescent="0.25">
      <c r="A31" s="27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91072.549999999988</v>
      </c>
      <c r="E31" s="1"/>
      <c r="F31" s="5">
        <f t="shared" ref="F31:F38" si="8">IF(D$12=0,0,D31/D$12)</f>
        <v>0</v>
      </c>
      <c r="G31" s="1"/>
      <c r="H31" s="1">
        <f>SUM(OSRRefH22_1x_0)</f>
        <v>139645.62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-48573.070000000007</v>
      </c>
      <c r="M31" s="1"/>
      <c r="N31" s="5">
        <f t="shared" ref="N31:N38" si="11">IF(H31=0,0,L31/H31)</f>
        <v>-0.34783095953886711</v>
      </c>
      <c r="O31" s="12"/>
      <c r="P31" s="1">
        <f>SUM(OSRRefP22_1x_0)</f>
        <v>836243.42</v>
      </c>
      <c r="Q31" s="1"/>
      <c r="R31" s="5">
        <f t="shared" ref="R31:R38" si="12">IF(P$12=0,0,P31/P$12)</f>
        <v>0</v>
      </c>
      <c r="S31" s="1"/>
      <c r="T31" s="1">
        <f>SUM(OSRRefT22_1x_0)</f>
        <v>1057420.73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-221177.30999999994</v>
      </c>
      <c r="Y31" s="1"/>
      <c r="Z31" s="5">
        <f t="shared" ref="Z31:Z38" si="15">IF(T31=0,0,X31/T31)</f>
        <v>-0.20916679967112045</v>
      </c>
    </row>
    <row r="32" spans="1:26" s="23" customFormat="1" hidden="1" outlineLevel="2" x14ac:dyDescent="0.25">
      <c r="A32" s="25"/>
      <c r="B32" s="10" t="str">
        <f>CONCATENATE("          ", "6001", " - ", "ADMINISTRATIVE SALARIES")</f>
        <v xml:space="preserve">          6001 - ADMINISTRATIVE SALARIES</v>
      </c>
      <c r="C32" s="10"/>
      <c r="D32" s="6">
        <v>23690.23</v>
      </c>
      <c r="E32" s="2"/>
      <c r="F32" s="7">
        <f t="shared" si="8"/>
        <v>0</v>
      </c>
      <c r="G32" s="2"/>
      <c r="H32" s="6">
        <v>24034.959999999999</v>
      </c>
      <c r="I32" s="2"/>
      <c r="J32" s="7">
        <f t="shared" si="9"/>
        <v>0</v>
      </c>
      <c r="K32" s="2"/>
      <c r="L32" s="6">
        <f t="shared" si="10"/>
        <v>-344.72999999999956</v>
      </c>
      <c r="M32" s="2"/>
      <c r="N32" s="7">
        <f t="shared" si="11"/>
        <v>-1.4342857237956691E-2</v>
      </c>
      <c r="O32" s="10"/>
      <c r="P32" s="6">
        <v>224941.23</v>
      </c>
      <c r="Q32" s="2"/>
      <c r="R32" s="7">
        <f t="shared" si="12"/>
        <v>0</v>
      </c>
      <c r="S32" s="2"/>
      <c r="T32" s="6">
        <v>222295.69</v>
      </c>
      <c r="U32" s="2"/>
      <c r="V32" s="7">
        <f t="shared" si="13"/>
        <v>0</v>
      </c>
      <c r="W32" s="2"/>
      <c r="X32" s="6">
        <f t="shared" si="14"/>
        <v>2645.5400000000081</v>
      </c>
      <c r="Y32" s="2"/>
      <c r="Z32" s="7">
        <f t="shared" si="15"/>
        <v>1.1900995471392216E-2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>
        <v>46843.35</v>
      </c>
      <c r="E33" s="2"/>
      <c r="F33" s="7">
        <f t="shared" si="8"/>
        <v>0</v>
      </c>
      <c r="G33" s="2"/>
      <c r="H33" s="6">
        <v>62361.57</v>
      </c>
      <c r="I33" s="2"/>
      <c r="J33" s="7">
        <f t="shared" si="9"/>
        <v>0</v>
      </c>
      <c r="K33" s="2"/>
      <c r="L33" s="6">
        <f t="shared" si="10"/>
        <v>-15518.220000000001</v>
      </c>
      <c r="M33" s="2"/>
      <c r="N33" s="7">
        <f t="shared" si="11"/>
        <v>-0.24884267666769777</v>
      </c>
      <c r="O33" s="10"/>
      <c r="P33" s="6">
        <v>437076.21</v>
      </c>
      <c r="Q33" s="2"/>
      <c r="R33" s="7">
        <f t="shared" si="12"/>
        <v>0</v>
      </c>
      <c r="S33" s="2"/>
      <c r="T33" s="6">
        <v>450584.35</v>
      </c>
      <c r="U33" s="2"/>
      <c r="V33" s="7">
        <f t="shared" si="13"/>
        <v>0</v>
      </c>
      <c r="W33" s="2"/>
      <c r="X33" s="6">
        <f t="shared" si="14"/>
        <v>-13508.139999999956</v>
      </c>
      <c r="Y33" s="2"/>
      <c r="Z33" s="7">
        <f t="shared" si="15"/>
        <v>-2.9979159285048306E-2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>
        <v>14154.51</v>
      </c>
      <c r="E34" s="2"/>
      <c r="F34" s="7">
        <f t="shared" si="8"/>
        <v>0</v>
      </c>
      <c r="G34" s="2"/>
      <c r="H34" s="6">
        <v>23980.04</v>
      </c>
      <c r="I34" s="2"/>
      <c r="J34" s="7">
        <f t="shared" si="9"/>
        <v>0</v>
      </c>
      <c r="K34" s="2"/>
      <c r="L34" s="6">
        <f t="shared" si="10"/>
        <v>-9825.5300000000007</v>
      </c>
      <c r="M34" s="2"/>
      <c r="N34" s="7">
        <f t="shared" si="11"/>
        <v>-0.40973784864412238</v>
      </c>
      <c r="O34" s="10"/>
      <c r="P34" s="6">
        <v>154224.81</v>
      </c>
      <c r="Q34" s="2"/>
      <c r="R34" s="7">
        <f t="shared" si="12"/>
        <v>0</v>
      </c>
      <c r="S34" s="2"/>
      <c r="T34" s="6">
        <v>206333.35</v>
      </c>
      <c r="U34" s="2"/>
      <c r="V34" s="7">
        <f t="shared" si="13"/>
        <v>0</v>
      </c>
      <c r="W34" s="2"/>
      <c r="X34" s="6">
        <f t="shared" si="14"/>
        <v>-52108.540000000008</v>
      </c>
      <c r="Y34" s="2"/>
      <c r="Z34" s="7">
        <f t="shared" si="15"/>
        <v>-0.25254540771038714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>
        <v>3704.26</v>
      </c>
      <c r="E35" s="2"/>
      <c r="F35" s="7">
        <f t="shared" si="8"/>
        <v>0</v>
      </c>
      <c r="G35" s="2"/>
      <c r="H35" s="6">
        <v>12449.22</v>
      </c>
      <c r="I35" s="2"/>
      <c r="J35" s="7">
        <f t="shared" si="9"/>
        <v>0</v>
      </c>
      <c r="K35" s="2"/>
      <c r="L35" s="6">
        <f t="shared" si="10"/>
        <v>-8744.9599999999991</v>
      </c>
      <c r="M35" s="2"/>
      <c r="N35" s="7">
        <f t="shared" si="11"/>
        <v>-0.70245043464570467</v>
      </c>
      <c r="O35" s="10"/>
      <c r="P35" s="6">
        <v>47940.67</v>
      </c>
      <c r="Q35" s="2"/>
      <c r="R35" s="7">
        <f t="shared" si="12"/>
        <v>0</v>
      </c>
      <c r="S35" s="2"/>
      <c r="T35" s="6">
        <v>91035.4</v>
      </c>
      <c r="U35" s="2"/>
      <c r="V35" s="7">
        <f t="shared" si="13"/>
        <v>0</v>
      </c>
      <c r="W35" s="2"/>
      <c r="X35" s="6">
        <f t="shared" si="14"/>
        <v>-43094.729999999996</v>
      </c>
      <c r="Y35" s="2"/>
      <c r="Z35" s="7">
        <f t="shared" si="15"/>
        <v>-0.47338430983990842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0"/>
      <c r="P36" s="6"/>
      <c r="Q36" s="2"/>
      <c r="R36" s="7">
        <f t="shared" si="12"/>
        <v>0</v>
      </c>
      <c r="S36" s="2"/>
      <c r="T36" s="6">
        <v>2361.4299999999998</v>
      </c>
      <c r="U36" s="2"/>
      <c r="V36" s="7">
        <f t="shared" si="13"/>
        <v>0</v>
      </c>
      <c r="W36" s="2"/>
      <c r="X36" s="6">
        <f t="shared" si="14"/>
        <v>-2361.4299999999998</v>
      </c>
      <c r="Y36" s="2"/>
      <c r="Z36" s="7">
        <f t="shared" si="15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>
        <v>1517</v>
      </c>
      <c r="E37" s="2"/>
      <c r="F37" s="7">
        <f t="shared" si="8"/>
        <v>0</v>
      </c>
      <c r="G37" s="2"/>
      <c r="H37" s="6">
        <v>14778.93</v>
      </c>
      <c r="I37" s="2"/>
      <c r="J37" s="7">
        <f t="shared" si="9"/>
        <v>0</v>
      </c>
      <c r="K37" s="2"/>
      <c r="L37" s="6">
        <f t="shared" si="10"/>
        <v>-13261.93</v>
      </c>
      <c r="M37" s="2"/>
      <c r="N37" s="7">
        <f t="shared" si="11"/>
        <v>-0.89735386797285055</v>
      </c>
      <c r="O37" s="10"/>
      <c r="P37" s="6">
        <v>-39854.01</v>
      </c>
      <c r="Q37" s="2"/>
      <c r="R37" s="7">
        <f t="shared" si="12"/>
        <v>0</v>
      </c>
      <c r="S37" s="2"/>
      <c r="T37" s="6">
        <v>69065.009999999995</v>
      </c>
      <c r="U37" s="2"/>
      <c r="V37" s="7">
        <f t="shared" si="13"/>
        <v>0</v>
      </c>
      <c r="W37" s="2"/>
      <c r="X37" s="6">
        <f t="shared" si="14"/>
        <v>-108919.01999999999</v>
      </c>
      <c r="Y37" s="2"/>
      <c r="Z37" s="7">
        <f t="shared" si="15"/>
        <v>-1.5770506657423202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>
        <v>1163.2</v>
      </c>
      <c r="E38" s="2"/>
      <c r="F38" s="7">
        <f t="shared" si="8"/>
        <v>0</v>
      </c>
      <c r="G38" s="2"/>
      <c r="H38" s="6">
        <v>2040.9</v>
      </c>
      <c r="I38" s="2"/>
      <c r="J38" s="7">
        <f t="shared" si="9"/>
        <v>0</v>
      </c>
      <c r="K38" s="2"/>
      <c r="L38" s="6">
        <f t="shared" si="10"/>
        <v>-877.7</v>
      </c>
      <c r="M38" s="2"/>
      <c r="N38" s="7">
        <f t="shared" si="11"/>
        <v>-0.43005536772992309</v>
      </c>
      <c r="O38" s="10"/>
      <c r="P38" s="6">
        <v>11914.51</v>
      </c>
      <c r="Q38" s="2"/>
      <c r="R38" s="7">
        <f t="shared" si="12"/>
        <v>0</v>
      </c>
      <c r="S38" s="2"/>
      <c r="T38" s="6">
        <v>15745.5</v>
      </c>
      <c r="U38" s="2"/>
      <c r="V38" s="7">
        <f t="shared" si="13"/>
        <v>0</v>
      </c>
      <c r="W38" s="2"/>
      <c r="X38" s="6">
        <f t="shared" si="14"/>
        <v>-3830.99</v>
      </c>
      <c r="Y38" s="2"/>
      <c r="Z38" s="7">
        <f t="shared" si="15"/>
        <v>-0.24330697659648787</v>
      </c>
    </row>
    <row r="39" spans="1:26" s="26" customFormat="1" outlineLevel="1" collapsed="1" x14ac:dyDescent="0.25">
      <c r="A39" s="27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173.21</v>
      </c>
      <c r="E39" s="1"/>
      <c r="F39" s="5">
        <f t="shared" ref="F39:F55" si="16">IF(D$12=0,0,D39/D$12)</f>
        <v>0</v>
      </c>
      <c r="G39" s="1"/>
      <c r="H39" s="1">
        <f>SUM(OSRRefH22_2x_0)</f>
        <v>44.39</v>
      </c>
      <c r="I39" s="1"/>
      <c r="J39" s="5">
        <f t="shared" ref="J39:J55" si="17">IF(H$12=0,0,H39/H$12)</f>
        <v>0</v>
      </c>
      <c r="K39" s="1"/>
      <c r="L39" s="1">
        <f t="shared" ref="L39:L55" si="18">+D39-H39</f>
        <v>128.82</v>
      </c>
      <c r="M39" s="1"/>
      <c r="N39" s="5">
        <f t="shared" ref="N39:N55" si="19">IF(H39=0,0,L39/H39)</f>
        <v>2.9020049560711869</v>
      </c>
      <c r="O39" s="12"/>
      <c r="P39" s="1">
        <f>SUM(OSRRefP22_2x_0)</f>
        <v>1625.69</v>
      </c>
      <c r="Q39" s="1"/>
      <c r="R39" s="5">
        <f t="shared" ref="R39:R55" si="20">IF(P$12=0,0,P39/P$12)</f>
        <v>0</v>
      </c>
      <c r="S39" s="1"/>
      <c r="T39" s="1">
        <f>SUM(OSRRefT22_2x_0)</f>
        <v>-33516.550000000003</v>
      </c>
      <c r="U39" s="1"/>
      <c r="V39" s="5">
        <f t="shared" ref="V39:V55" si="21">IF(T$12=0,0,T39/T$12)</f>
        <v>0</v>
      </c>
      <c r="W39" s="1"/>
      <c r="X39" s="1">
        <f t="shared" ref="X39:X55" si="22">+P39-T39</f>
        <v>35142.240000000005</v>
      </c>
      <c r="Y39" s="1"/>
      <c r="Z39" s="5">
        <f t="shared" ref="Z39:Z55" si="23">IF(T39=0,0,X39/T39)</f>
        <v>-1.0485040972295776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>
        <v>173.21</v>
      </c>
      <c r="E40" s="2"/>
      <c r="F40" s="7">
        <f t="shared" si="16"/>
        <v>0</v>
      </c>
      <c r="G40" s="2"/>
      <c r="H40" s="6">
        <v>44.39</v>
      </c>
      <c r="I40" s="2"/>
      <c r="J40" s="7">
        <f t="shared" si="17"/>
        <v>0</v>
      </c>
      <c r="K40" s="2"/>
      <c r="L40" s="6">
        <f t="shared" si="18"/>
        <v>128.82</v>
      </c>
      <c r="M40" s="2"/>
      <c r="N40" s="7">
        <f t="shared" si="19"/>
        <v>2.9020049560711869</v>
      </c>
      <c r="O40" s="10"/>
      <c r="P40" s="6">
        <v>1625.69</v>
      </c>
      <c r="Q40" s="2"/>
      <c r="R40" s="7">
        <f t="shared" si="20"/>
        <v>0</v>
      </c>
      <c r="S40" s="2"/>
      <c r="T40" s="6">
        <v>-33516.550000000003</v>
      </c>
      <c r="U40" s="2"/>
      <c r="V40" s="7">
        <f t="shared" si="21"/>
        <v>0</v>
      </c>
      <c r="W40" s="2"/>
      <c r="X40" s="6">
        <f t="shared" si="22"/>
        <v>35142.240000000005</v>
      </c>
      <c r="Y40" s="2"/>
      <c r="Z40" s="7">
        <f t="shared" si="23"/>
        <v>-1.0485040972295776</v>
      </c>
    </row>
    <row r="41" spans="1:26" s="26" customFormat="1" outlineLevel="1" collapsed="1" x14ac:dyDescent="0.25">
      <c r="A41" s="27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SUM(OSRRefD22_3x_0)</f>
        <v>7</v>
      </c>
      <c r="E41" s="1"/>
      <c r="F41" s="5">
        <f t="shared" si="16"/>
        <v>0</v>
      </c>
      <c r="G41" s="1"/>
      <c r="H41" s="1">
        <f>SUM(OSRRefH22_3x_0)</f>
        <v>1512.97</v>
      </c>
      <c r="I41" s="1"/>
      <c r="J41" s="5">
        <f t="shared" si="17"/>
        <v>0</v>
      </c>
      <c r="K41" s="1"/>
      <c r="L41" s="1">
        <f t="shared" si="18"/>
        <v>-1505.97</v>
      </c>
      <c r="M41" s="1"/>
      <c r="N41" s="5">
        <f t="shared" si="19"/>
        <v>-0.99537333853281951</v>
      </c>
      <c r="O41" s="12"/>
      <c r="P41" s="1">
        <f>SUM(OSRRefP22_3x_0)</f>
        <v>5125.54</v>
      </c>
      <c r="Q41" s="1"/>
      <c r="R41" s="5">
        <f t="shared" si="20"/>
        <v>0</v>
      </c>
      <c r="S41" s="1"/>
      <c r="T41" s="1">
        <f>SUM(OSRRefT22_3x_0)</f>
        <v>41075.360000000001</v>
      </c>
      <c r="U41" s="1"/>
      <c r="V41" s="5">
        <f t="shared" si="21"/>
        <v>0</v>
      </c>
      <c r="W41" s="1"/>
      <c r="X41" s="1">
        <f t="shared" si="22"/>
        <v>-35949.82</v>
      </c>
      <c r="Y41" s="1"/>
      <c r="Z41" s="5">
        <f t="shared" si="23"/>
        <v>-0.8752161880017606</v>
      </c>
    </row>
    <row r="42" spans="1:26" s="23" customFormat="1" hidden="1" outlineLevel="2" x14ac:dyDescent="0.25">
      <c r="A42" s="25"/>
      <c r="B42" s="10" t="str">
        <f>CONCATENATE("          ", "6381", " - ", "BANK/CREDIT CARD FEES")</f>
        <v xml:space="preserve">          6381 - BANK/CREDIT CARD FEES</v>
      </c>
      <c r="C42" s="10"/>
      <c r="D42" s="6">
        <v>7</v>
      </c>
      <c r="E42" s="2"/>
      <c r="F42" s="7">
        <f t="shared" si="16"/>
        <v>0</v>
      </c>
      <c r="G42" s="2"/>
      <c r="H42" s="6">
        <v>1512.97</v>
      </c>
      <c r="I42" s="2"/>
      <c r="J42" s="7">
        <f t="shared" si="17"/>
        <v>0</v>
      </c>
      <c r="K42" s="2"/>
      <c r="L42" s="6">
        <f t="shared" si="18"/>
        <v>-1505.97</v>
      </c>
      <c r="M42" s="2"/>
      <c r="N42" s="7">
        <f t="shared" si="19"/>
        <v>-0.99537333853281951</v>
      </c>
      <c r="O42" s="10"/>
      <c r="P42" s="6">
        <v>5125.54</v>
      </c>
      <c r="Q42" s="2"/>
      <c r="R42" s="7">
        <f t="shared" si="20"/>
        <v>0</v>
      </c>
      <c r="S42" s="2"/>
      <c r="T42" s="6">
        <v>41075.360000000001</v>
      </c>
      <c r="U42" s="2"/>
      <c r="V42" s="7">
        <f t="shared" si="21"/>
        <v>0</v>
      </c>
      <c r="W42" s="2"/>
      <c r="X42" s="6">
        <f t="shared" si="22"/>
        <v>-35949.82</v>
      </c>
      <c r="Y42" s="2"/>
      <c r="Z42" s="7">
        <f t="shared" si="23"/>
        <v>-0.8752161880017606</v>
      </c>
    </row>
    <row r="43" spans="1:26" s="26" customFormat="1" outlineLevel="1" collapsed="1" x14ac:dyDescent="0.25">
      <c r="A43" s="27"/>
      <c r="B43" s="12" t="str">
        <f>CONCATENATE("     ","Board                                             ")</f>
        <v xml:space="preserve">     Board                                             </v>
      </c>
      <c r="C43" s="12"/>
      <c r="D43" s="1">
        <f>SUM(OSRRefD22_4x_0)</f>
        <v>685.41</v>
      </c>
      <c r="E43" s="1"/>
      <c r="F43" s="5">
        <f t="shared" si="16"/>
        <v>0</v>
      </c>
      <c r="G43" s="1"/>
      <c r="H43" s="1">
        <f>SUM(OSRRefH22_4x_0)</f>
        <v>2136.86</v>
      </c>
      <c r="I43" s="1"/>
      <c r="J43" s="5">
        <f t="shared" si="17"/>
        <v>0</v>
      </c>
      <c r="K43" s="1"/>
      <c r="L43" s="1">
        <f t="shared" si="18"/>
        <v>-1451.4500000000003</v>
      </c>
      <c r="M43" s="1"/>
      <c r="N43" s="5">
        <f t="shared" si="19"/>
        <v>-0.67924431174714306</v>
      </c>
      <c r="O43" s="12"/>
      <c r="P43" s="1">
        <f>SUM(OSRRefP22_4x_0)</f>
        <v>10832.16</v>
      </c>
      <c r="Q43" s="1"/>
      <c r="R43" s="5">
        <f t="shared" si="20"/>
        <v>0</v>
      </c>
      <c r="S43" s="1"/>
      <c r="T43" s="1">
        <f>SUM(OSRRefT22_4x_0)</f>
        <v>38502.71</v>
      </c>
      <c r="U43" s="1"/>
      <c r="V43" s="5">
        <f t="shared" si="21"/>
        <v>0</v>
      </c>
      <c r="W43" s="1"/>
      <c r="X43" s="1">
        <f t="shared" si="22"/>
        <v>-27670.55</v>
      </c>
      <c r="Y43" s="1"/>
      <c r="Z43" s="5">
        <f t="shared" si="23"/>
        <v>-0.71866499786638394</v>
      </c>
    </row>
    <row r="44" spans="1:26" s="23" customFormat="1" hidden="1" outlineLevel="2" x14ac:dyDescent="0.25">
      <c r="A44" s="25"/>
      <c r="B44" s="10" t="str">
        <f>CONCATENATE("          ", "6397", " - ", "BOARD EXPENSES")</f>
        <v xml:space="preserve">          6397 - BOARD EXPENSES</v>
      </c>
      <c r="C44" s="10"/>
      <c r="D44" s="6">
        <v>685.41</v>
      </c>
      <c r="E44" s="2"/>
      <c r="F44" s="7">
        <f t="shared" si="16"/>
        <v>0</v>
      </c>
      <c r="G44" s="2"/>
      <c r="H44" s="6">
        <v>2136.86</v>
      </c>
      <c r="I44" s="2"/>
      <c r="J44" s="7">
        <f t="shared" si="17"/>
        <v>0</v>
      </c>
      <c r="K44" s="2"/>
      <c r="L44" s="6">
        <f t="shared" si="18"/>
        <v>-1451.4500000000003</v>
      </c>
      <c r="M44" s="2"/>
      <c r="N44" s="7">
        <f t="shared" si="19"/>
        <v>-0.67924431174714306</v>
      </c>
      <c r="O44" s="10"/>
      <c r="P44" s="6">
        <v>10832.16</v>
      </c>
      <c r="Q44" s="2"/>
      <c r="R44" s="7">
        <f t="shared" si="20"/>
        <v>0</v>
      </c>
      <c r="S44" s="2"/>
      <c r="T44" s="6">
        <v>38502.71</v>
      </c>
      <c r="U44" s="2"/>
      <c r="V44" s="7">
        <f t="shared" si="21"/>
        <v>0</v>
      </c>
      <c r="W44" s="2"/>
      <c r="X44" s="6">
        <f t="shared" si="22"/>
        <v>-27670.55</v>
      </c>
      <c r="Y44" s="2"/>
      <c r="Z44" s="7">
        <f t="shared" si="23"/>
        <v>-0.71866499786638394</v>
      </c>
    </row>
    <row r="45" spans="1:26" s="26" customFormat="1" outlineLevel="1" collapsed="1" x14ac:dyDescent="0.25">
      <c r="A45" s="27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6867.78</v>
      </c>
      <c r="E45" s="1"/>
      <c r="F45" s="5">
        <f t="shared" si="16"/>
        <v>0</v>
      </c>
      <c r="G45" s="1"/>
      <c r="H45" s="1">
        <f>SUM(OSRRefH22_5x_0)</f>
        <v>8599.85</v>
      </c>
      <c r="I45" s="1"/>
      <c r="J45" s="5">
        <f t="shared" si="17"/>
        <v>0</v>
      </c>
      <c r="K45" s="1"/>
      <c r="L45" s="1">
        <f t="shared" si="18"/>
        <v>-1732.0700000000006</v>
      </c>
      <c r="M45" s="1"/>
      <c r="N45" s="5">
        <f t="shared" si="19"/>
        <v>-0.20140700128490618</v>
      </c>
      <c r="O45" s="12"/>
      <c r="P45" s="1">
        <f>SUM(OSRRefP22_5x_0)</f>
        <v>65279.48</v>
      </c>
      <c r="Q45" s="1"/>
      <c r="R45" s="5">
        <f t="shared" si="20"/>
        <v>0</v>
      </c>
      <c r="S45" s="1"/>
      <c r="T45" s="1">
        <f>SUM(OSRRefT22_5x_0)</f>
        <v>77399.289999999994</v>
      </c>
      <c r="U45" s="1"/>
      <c r="V45" s="5">
        <f t="shared" si="21"/>
        <v>0</v>
      </c>
      <c r="W45" s="1"/>
      <c r="X45" s="1">
        <f t="shared" si="22"/>
        <v>-12119.80999999999</v>
      </c>
      <c r="Y45" s="1"/>
      <c r="Z45" s="5">
        <f t="shared" si="23"/>
        <v>-0.15658812890919271</v>
      </c>
    </row>
    <row r="46" spans="1:26" s="23" customFormat="1" hidden="1" outlineLevel="2" x14ac:dyDescent="0.25">
      <c r="A46" s="25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6867.78</v>
      </c>
      <c r="E46" s="2"/>
      <c r="F46" s="7">
        <f t="shared" si="16"/>
        <v>0</v>
      </c>
      <c r="G46" s="2"/>
      <c r="H46" s="6">
        <v>8599.85</v>
      </c>
      <c r="I46" s="2"/>
      <c r="J46" s="7">
        <f t="shared" si="17"/>
        <v>0</v>
      </c>
      <c r="K46" s="2"/>
      <c r="L46" s="6">
        <f t="shared" si="18"/>
        <v>-1732.0700000000006</v>
      </c>
      <c r="M46" s="2"/>
      <c r="N46" s="7">
        <f t="shared" si="19"/>
        <v>-0.20140700128490618</v>
      </c>
      <c r="O46" s="10"/>
      <c r="P46" s="6">
        <v>65279.48</v>
      </c>
      <c r="Q46" s="2"/>
      <c r="R46" s="7">
        <f t="shared" si="20"/>
        <v>0</v>
      </c>
      <c r="S46" s="2"/>
      <c r="T46" s="6">
        <v>77399.289999999994</v>
      </c>
      <c r="U46" s="2"/>
      <c r="V46" s="7">
        <f t="shared" si="21"/>
        <v>0</v>
      </c>
      <c r="W46" s="2"/>
      <c r="X46" s="6">
        <f t="shared" si="22"/>
        <v>-12119.80999999999</v>
      </c>
      <c r="Y46" s="2"/>
      <c r="Z46" s="7">
        <f t="shared" si="23"/>
        <v>-0.15658812890919271</v>
      </c>
    </row>
    <row r="47" spans="1:26" s="26" customFormat="1" outlineLevel="1" collapsed="1" x14ac:dyDescent="0.25">
      <c r="A47" s="27"/>
      <c r="B47" s="12" t="str">
        <f>CONCATENATE("     ","Donations                                         ")</f>
        <v xml:space="preserve">     Donations                                         </v>
      </c>
      <c r="C47" s="12"/>
      <c r="D47" s="1">
        <f>SUM(OSRRefD22_6x_0)</f>
        <v>0</v>
      </c>
      <c r="E47" s="1"/>
      <c r="F47" s="5">
        <f t="shared" si="16"/>
        <v>0</v>
      </c>
      <c r="G47" s="1"/>
      <c r="H47" s="1">
        <f>SUM(OSRRefH22_6x_0)</f>
        <v>0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2"/>
      <c r="P47" s="1">
        <f>SUM(OSRRefP22_6x_0)</f>
        <v>25000</v>
      </c>
      <c r="Q47" s="1"/>
      <c r="R47" s="5">
        <f t="shared" si="20"/>
        <v>0</v>
      </c>
      <c r="S47" s="1"/>
      <c r="T47" s="1">
        <f>SUM(OSRRefT22_6x_0)</f>
        <v>248773.19</v>
      </c>
      <c r="U47" s="1"/>
      <c r="V47" s="5">
        <f t="shared" si="21"/>
        <v>0</v>
      </c>
      <c r="W47" s="1"/>
      <c r="X47" s="1">
        <f t="shared" si="22"/>
        <v>-223773.19</v>
      </c>
      <c r="Y47" s="1"/>
      <c r="Z47" s="5">
        <f t="shared" si="23"/>
        <v>-0.89950685602415603</v>
      </c>
    </row>
    <row r="48" spans="1:26" s="23" customFormat="1" hidden="1" outlineLevel="2" x14ac:dyDescent="0.25">
      <c r="A48" s="25"/>
      <c r="B48" s="10" t="str">
        <f>CONCATENATE("          ", "6399", " - ", "DONATION-ON CAMPUS")</f>
        <v xml:space="preserve">          6399 - DONATION-ON CAMPUS</v>
      </c>
      <c r="C48" s="10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0"/>
      <c r="P48" s="6">
        <v>25000</v>
      </c>
      <c r="Q48" s="2"/>
      <c r="R48" s="7">
        <f t="shared" si="20"/>
        <v>0</v>
      </c>
      <c r="S48" s="2"/>
      <c r="T48" s="6">
        <v>248773.19</v>
      </c>
      <c r="U48" s="2"/>
      <c r="V48" s="7">
        <f t="shared" si="21"/>
        <v>0</v>
      </c>
      <c r="W48" s="2"/>
      <c r="X48" s="6">
        <f t="shared" si="22"/>
        <v>-223773.19</v>
      </c>
      <c r="Y48" s="2"/>
      <c r="Z48" s="7">
        <f t="shared" si="23"/>
        <v>-0.89950685602415603</v>
      </c>
    </row>
    <row r="49" spans="1:26" s="26" customFormat="1" outlineLevel="1" collapsed="1" x14ac:dyDescent="0.25">
      <c r="A49" s="27"/>
      <c r="B49" s="12" t="str">
        <f>CONCATENATE("     ","Employees' Appreciation                           ")</f>
        <v xml:space="preserve">     Employees' Appreciation                           </v>
      </c>
      <c r="C49" s="12"/>
      <c r="D49" s="1">
        <f>SUM(OSRRefD22_7x_0)</f>
        <v>0</v>
      </c>
      <c r="E49" s="1"/>
      <c r="F49" s="5">
        <f t="shared" si="16"/>
        <v>0</v>
      </c>
      <c r="G49" s="1"/>
      <c r="H49" s="1">
        <f>SUM(OSRRefH22_7x_0)</f>
        <v>877.46</v>
      </c>
      <c r="I49" s="1"/>
      <c r="J49" s="5">
        <f t="shared" si="17"/>
        <v>0</v>
      </c>
      <c r="K49" s="1"/>
      <c r="L49" s="1">
        <f t="shared" si="18"/>
        <v>-877.46</v>
      </c>
      <c r="M49" s="1"/>
      <c r="N49" s="5">
        <f t="shared" si="19"/>
        <v>-1</v>
      </c>
      <c r="O49" s="12"/>
      <c r="P49" s="1">
        <f>SUM(OSRRefP22_7x_0)</f>
        <v>81.56</v>
      </c>
      <c r="Q49" s="1"/>
      <c r="R49" s="5">
        <f t="shared" si="20"/>
        <v>0</v>
      </c>
      <c r="S49" s="1"/>
      <c r="T49" s="1">
        <f>SUM(OSRRefT22_7x_0)</f>
        <v>29396.68</v>
      </c>
      <c r="U49" s="1"/>
      <c r="V49" s="5">
        <f t="shared" si="21"/>
        <v>0</v>
      </c>
      <c r="W49" s="1"/>
      <c r="X49" s="1">
        <f t="shared" si="22"/>
        <v>-29315.119999999999</v>
      </c>
      <c r="Y49" s="1"/>
      <c r="Z49" s="5">
        <f t="shared" si="23"/>
        <v>-0.99722553703343364</v>
      </c>
    </row>
    <row r="50" spans="1:26" s="23" customFormat="1" hidden="1" outlineLevel="2" x14ac:dyDescent="0.25">
      <c r="A50" s="25"/>
      <c r="B50" s="10" t="str">
        <f>CONCATENATE("          ", "6277", " - ", "EMPLOYEE APPRECIATION")</f>
        <v xml:space="preserve">          6277 - EMPLOYEE APPRECIATION</v>
      </c>
      <c r="C50" s="10"/>
      <c r="D50" s="6"/>
      <c r="E50" s="2"/>
      <c r="F50" s="7">
        <f t="shared" si="16"/>
        <v>0</v>
      </c>
      <c r="G50" s="2"/>
      <c r="H50" s="6">
        <v>877.46</v>
      </c>
      <c r="I50" s="2"/>
      <c r="J50" s="7">
        <f t="shared" si="17"/>
        <v>0</v>
      </c>
      <c r="K50" s="2"/>
      <c r="L50" s="6">
        <f t="shared" si="18"/>
        <v>-877.46</v>
      </c>
      <c r="M50" s="2"/>
      <c r="N50" s="7">
        <f t="shared" si="19"/>
        <v>-1</v>
      </c>
      <c r="O50" s="10"/>
      <c r="P50" s="6">
        <v>81.56</v>
      </c>
      <c r="Q50" s="2"/>
      <c r="R50" s="7">
        <f t="shared" si="20"/>
        <v>0</v>
      </c>
      <c r="S50" s="2"/>
      <c r="T50" s="6">
        <v>29396.68</v>
      </c>
      <c r="U50" s="2"/>
      <c r="V50" s="7">
        <f t="shared" si="21"/>
        <v>0</v>
      </c>
      <c r="W50" s="2"/>
      <c r="X50" s="6">
        <f t="shared" si="22"/>
        <v>-29315.119999999999</v>
      </c>
      <c r="Y50" s="2"/>
      <c r="Z50" s="7">
        <f t="shared" si="23"/>
        <v>-0.99722553703343364</v>
      </c>
    </row>
    <row r="51" spans="1:26" s="26" customFormat="1" outlineLevel="1" collapsed="1" x14ac:dyDescent="0.25">
      <c r="A51" s="27"/>
      <c r="B51" s="12" t="str">
        <f>CONCATENATE("     ","Equipment Rental                                  ")</f>
        <v xml:space="preserve">     Equipment Rental                                  </v>
      </c>
      <c r="C51" s="12"/>
      <c r="D51" s="1">
        <f>SUM(OSRRefD22_8x_0)</f>
        <v>300.23</v>
      </c>
      <c r="E51" s="1"/>
      <c r="F51" s="5">
        <f t="shared" si="16"/>
        <v>0</v>
      </c>
      <c r="G51" s="1"/>
      <c r="H51" s="1">
        <f>SUM(OSRRefH22_8x_0)</f>
        <v>208.98</v>
      </c>
      <c r="I51" s="1"/>
      <c r="J51" s="5">
        <f t="shared" si="17"/>
        <v>0</v>
      </c>
      <c r="K51" s="1"/>
      <c r="L51" s="1">
        <f t="shared" si="18"/>
        <v>91.250000000000028</v>
      </c>
      <c r="M51" s="1"/>
      <c r="N51" s="5">
        <f t="shared" si="19"/>
        <v>0.43664465499090838</v>
      </c>
      <c r="O51" s="12"/>
      <c r="P51" s="1">
        <f>SUM(OSRRefP22_8x_0)</f>
        <v>1971.99</v>
      </c>
      <c r="Q51" s="1"/>
      <c r="R51" s="5">
        <f t="shared" si="20"/>
        <v>0</v>
      </c>
      <c r="S51" s="1"/>
      <c r="T51" s="1">
        <f>SUM(OSRRefT22_8x_0)</f>
        <v>2154.6</v>
      </c>
      <c r="U51" s="1"/>
      <c r="V51" s="5">
        <f t="shared" si="21"/>
        <v>0</v>
      </c>
      <c r="W51" s="1"/>
      <c r="X51" s="1">
        <f t="shared" si="22"/>
        <v>-182.6099999999999</v>
      </c>
      <c r="Y51" s="1"/>
      <c r="Z51" s="5">
        <f t="shared" si="23"/>
        <v>-8.4753550543024178E-2</v>
      </c>
    </row>
    <row r="52" spans="1:26" s="23" customFormat="1" hidden="1" outlineLevel="2" x14ac:dyDescent="0.25">
      <c r="A52" s="25"/>
      <c r="B52" s="10" t="str">
        <f>CONCATENATE("          ", "6351", " - ", "EQUIPMENT RENTAL")</f>
        <v xml:space="preserve">          6351 - EQUIPMENT RENTAL</v>
      </c>
      <c r="C52" s="10"/>
      <c r="D52" s="6">
        <v>300.23</v>
      </c>
      <c r="E52" s="2"/>
      <c r="F52" s="7">
        <f t="shared" si="16"/>
        <v>0</v>
      </c>
      <c r="G52" s="2"/>
      <c r="H52" s="6">
        <v>208.98</v>
      </c>
      <c r="I52" s="2"/>
      <c r="J52" s="7">
        <f t="shared" si="17"/>
        <v>0</v>
      </c>
      <c r="K52" s="2"/>
      <c r="L52" s="6">
        <f t="shared" si="18"/>
        <v>91.250000000000028</v>
      </c>
      <c r="M52" s="2"/>
      <c r="N52" s="7">
        <f t="shared" si="19"/>
        <v>0.43664465499090838</v>
      </c>
      <c r="O52" s="10"/>
      <c r="P52" s="6">
        <v>1971.99</v>
      </c>
      <c r="Q52" s="2"/>
      <c r="R52" s="7">
        <f t="shared" si="20"/>
        <v>0</v>
      </c>
      <c r="S52" s="2"/>
      <c r="T52" s="6">
        <v>2154.6</v>
      </c>
      <c r="U52" s="2"/>
      <c r="V52" s="7">
        <f t="shared" si="21"/>
        <v>0</v>
      </c>
      <c r="W52" s="2"/>
      <c r="X52" s="6">
        <f t="shared" si="22"/>
        <v>-182.6099999999999</v>
      </c>
      <c r="Y52" s="2"/>
      <c r="Z52" s="7">
        <f t="shared" si="23"/>
        <v>-8.4753550543024178E-2</v>
      </c>
    </row>
    <row r="53" spans="1:26" s="26" customFormat="1" outlineLevel="1" collapsed="1" x14ac:dyDescent="0.25">
      <c r="A53" s="27"/>
      <c r="B53" s="12" t="str">
        <f>CONCATENATE("     ","Freight out/Postage                               ")</f>
        <v xml:space="preserve">     Freight out/Postage                               </v>
      </c>
      <c r="C53" s="12"/>
      <c r="D53" s="1">
        <f>SUM(OSRRefD22_9x_0)</f>
        <v>91.82</v>
      </c>
      <c r="E53" s="1"/>
      <c r="F53" s="5">
        <f t="shared" si="16"/>
        <v>0</v>
      </c>
      <c r="G53" s="1"/>
      <c r="H53" s="1">
        <f>SUM(OSRRefH22_9x_0)</f>
        <v>193.73</v>
      </c>
      <c r="I53" s="1"/>
      <c r="J53" s="5">
        <f t="shared" si="17"/>
        <v>0</v>
      </c>
      <c r="K53" s="1"/>
      <c r="L53" s="1">
        <f t="shared" si="18"/>
        <v>-101.91</v>
      </c>
      <c r="M53" s="1"/>
      <c r="N53" s="5">
        <f t="shared" si="19"/>
        <v>-0.52604139782171067</v>
      </c>
      <c r="O53" s="12"/>
      <c r="P53" s="1">
        <f>SUM(OSRRefP22_9x_0)</f>
        <v>1004.1</v>
      </c>
      <c r="Q53" s="1"/>
      <c r="R53" s="5">
        <f t="shared" si="20"/>
        <v>0</v>
      </c>
      <c r="S53" s="1"/>
      <c r="T53" s="1">
        <f>SUM(OSRRefT22_9x_0)</f>
        <v>2356.21</v>
      </c>
      <c r="U53" s="1"/>
      <c r="V53" s="5">
        <f t="shared" si="21"/>
        <v>0</v>
      </c>
      <c r="W53" s="1"/>
      <c r="X53" s="1">
        <f t="shared" si="22"/>
        <v>-1352.1100000000001</v>
      </c>
      <c r="Y53" s="1"/>
      <c r="Z53" s="5">
        <f t="shared" si="23"/>
        <v>-0.57384952954108515</v>
      </c>
    </row>
    <row r="54" spans="1:26" s="23" customFormat="1" hidden="1" outlineLevel="2" x14ac:dyDescent="0.25">
      <c r="A54" s="25"/>
      <c r="B54" s="10" t="str">
        <f>CONCATENATE("          ", "6305", " - ", "FREIGHT OUT")</f>
        <v xml:space="preserve">          6305 - FREIGHT OUT</v>
      </c>
      <c r="C54" s="10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0"/>
      <c r="P54" s="6">
        <v>5.41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5.41</v>
      </c>
      <c r="Y54" s="2"/>
      <c r="Z54" s="7">
        <f t="shared" si="23"/>
        <v>0</v>
      </c>
    </row>
    <row r="55" spans="1:26" s="23" customFormat="1" hidden="1" outlineLevel="2" x14ac:dyDescent="0.25">
      <c r="A55" s="25"/>
      <c r="B55" s="10" t="str">
        <f>CONCATENATE("          ", "6307", " - ", "POSTAGE")</f>
        <v xml:space="preserve">          6307 - POSTAGE</v>
      </c>
      <c r="C55" s="10"/>
      <c r="D55" s="6">
        <v>91.82</v>
      </c>
      <c r="E55" s="2"/>
      <c r="F55" s="7">
        <f t="shared" si="16"/>
        <v>0</v>
      </c>
      <c r="G55" s="2"/>
      <c r="H55" s="6">
        <v>193.73</v>
      </c>
      <c r="I55" s="2"/>
      <c r="J55" s="7">
        <f t="shared" si="17"/>
        <v>0</v>
      </c>
      <c r="K55" s="2"/>
      <c r="L55" s="6">
        <f t="shared" si="18"/>
        <v>-101.91</v>
      </c>
      <c r="M55" s="2"/>
      <c r="N55" s="7">
        <f t="shared" si="19"/>
        <v>-0.52604139782171067</v>
      </c>
      <c r="O55" s="10"/>
      <c r="P55" s="6">
        <v>998.69</v>
      </c>
      <c r="Q55" s="2"/>
      <c r="R55" s="7">
        <f t="shared" si="20"/>
        <v>0</v>
      </c>
      <c r="S55" s="2"/>
      <c r="T55" s="6">
        <v>2356.21</v>
      </c>
      <c r="U55" s="2"/>
      <c r="V55" s="7">
        <f t="shared" si="21"/>
        <v>0</v>
      </c>
      <c r="W55" s="2"/>
      <c r="X55" s="6">
        <f t="shared" si="22"/>
        <v>-1357.52</v>
      </c>
      <c r="Y55" s="2"/>
      <c r="Z55" s="7">
        <f t="shared" si="23"/>
        <v>-0.5761455897394544</v>
      </c>
    </row>
    <row r="56" spans="1:26" s="26" customFormat="1" outlineLevel="1" collapsed="1" x14ac:dyDescent="0.25">
      <c r="A56" s="27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SUM(OSRRefD22_10x_0)</f>
        <v>52</v>
      </c>
      <c r="E56" s="1"/>
      <c r="F56" s="5">
        <f t="shared" ref="F56:F64" si="24">IF(D$12=0,0,D56/D$12)</f>
        <v>0</v>
      </c>
      <c r="G56" s="1"/>
      <c r="H56" s="1">
        <f>SUM(OSRRefH22_10x_0)</f>
        <v>1703.67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-1651.67</v>
      </c>
      <c r="M56" s="1"/>
      <c r="N56" s="5">
        <f t="shared" ref="N56:N64" si="27">IF(H56=0,0,L56/H56)</f>
        <v>-0.96947765705799838</v>
      </c>
      <c r="O56" s="12"/>
      <c r="P56" s="1">
        <f>SUM(OSRRefP22_10x_0)</f>
        <v>-9.66</v>
      </c>
      <c r="Q56" s="1"/>
      <c r="R56" s="5">
        <f t="shared" ref="R56:R64" si="28">IF(P$12=0,0,P56/P$12)</f>
        <v>0</v>
      </c>
      <c r="S56" s="1"/>
      <c r="T56" s="1">
        <f>SUM(OSRRefT22_10x_0)</f>
        <v>14594.69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-14604.35</v>
      </c>
      <c r="Y56" s="1"/>
      <c r="Z56" s="5">
        <f t="shared" ref="Z56:Z64" si="31">IF(T56=0,0,X56/T56)</f>
        <v>-1.0006618845621249</v>
      </c>
    </row>
    <row r="57" spans="1:26" s="23" customFormat="1" hidden="1" outlineLevel="2" x14ac:dyDescent="0.25">
      <c r="A57" s="25"/>
      <c r="B57" s="10" t="str">
        <f>CONCATENATE("          ", "6279", " - ", "GENERAL EXPENSE")</f>
        <v xml:space="preserve">          6279 - GENERAL EXPENSE</v>
      </c>
      <c r="C57" s="10"/>
      <c r="D57" s="6">
        <v>52</v>
      </c>
      <c r="E57" s="2"/>
      <c r="F57" s="7">
        <f t="shared" si="24"/>
        <v>0</v>
      </c>
      <c r="G57" s="2"/>
      <c r="H57" s="6">
        <v>1703.67</v>
      </c>
      <c r="I57" s="2"/>
      <c r="J57" s="7">
        <f t="shared" si="25"/>
        <v>0</v>
      </c>
      <c r="K57" s="2"/>
      <c r="L57" s="6">
        <f t="shared" si="26"/>
        <v>-1651.67</v>
      </c>
      <c r="M57" s="2"/>
      <c r="N57" s="7">
        <f t="shared" si="27"/>
        <v>-0.96947765705799838</v>
      </c>
      <c r="O57" s="10"/>
      <c r="P57" s="6">
        <v>-9.66</v>
      </c>
      <c r="Q57" s="2"/>
      <c r="R57" s="7">
        <f t="shared" si="28"/>
        <v>0</v>
      </c>
      <c r="S57" s="2"/>
      <c r="T57" s="6">
        <v>14594.69</v>
      </c>
      <c r="U57" s="2"/>
      <c r="V57" s="7">
        <f t="shared" si="29"/>
        <v>0</v>
      </c>
      <c r="W57" s="2"/>
      <c r="X57" s="6">
        <f t="shared" si="30"/>
        <v>-14604.35</v>
      </c>
      <c r="Y57" s="2"/>
      <c r="Z57" s="7">
        <f t="shared" si="31"/>
        <v>-1.0006618845621249</v>
      </c>
    </row>
    <row r="58" spans="1:26" s="26" customFormat="1" outlineLevel="1" collapsed="1" x14ac:dyDescent="0.25">
      <c r="A58" s="27"/>
      <c r="B58" s="12" t="str">
        <f>CONCATENATE("     ","Insurance                                         ")</f>
        <v xml:space="preserve">     Insurance                                         </v>
      </c>
      <c r="C58" s="12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393.67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2"/>
      <c r="P58" s="1">
        <f>SUM(OSRRefP22_11x_0)</f>
        <v>3543.03</v>
      </c>
      <c r="Q58" s="1"/>
      <c r="R58" s="5">
        <f t="shared" si="28"/>
        <v>0</v>
      </c>
      <c r="S58" s="1"/>
      <c r="T58" s="1">
        <f>SUM(OSRRefT22_11x_0)</f>
        <v>3543.03</v>
      </c>
      <c r="U58" s="1"/>
      <c r="V58" s="5">
        <f t="shared" si="29"/>
        <v>0</v>
      </c>
      <c r="W58" s="1"/>
      <c r="X58" s="1">
        <f t="shared" si="30"/>
        <v>0</v>
      </c>
      <c r="Y58" s="1"/>
      <c r="Z58" s="5">
        <f t="shared" si="31"/>
        <v>0</v>
      </c>
    </row>
    <row r="59" spans="1:26" s="23" customFormat="1" hidden="1" outlineLevel="2" x14ac:dyDescent="0.25">
      <c r="A59" s="25"/>
      <c r="B59" s="10" t="str">
        <f>CONCATENATE("          ", "6314", " - ", "LIABILITY INSURANCE")</f>
        <v xml:space="preserve">          6314 - LIABILITY INSURANCE</v>
      </c>
      <c r="C59" s="10"/>
      <c r="D59" s="6">
        <v>393.67</v>
      </c>
      <c r="E59" s="2"/>
      <c r="F59" s="7">
        <f t="shared" si="24"/>
        <v>0</v>
      </c>
      <c r="G59" s="2"/>
      <c r="H59" s="6">
        <v>393.67</v>
      </c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0"/>
      <c r="P59" s="6">
        <v>3543.03</v>
      </c>
      <c r="Q59" s="2"/>
      <c r="R59" s="7">
        <f t="shared" si="28"/>
        <v>0</v>
      </c>
      <c r="S59" s="2"/>
      <c r="T59" s="6">
        <v>3543.03</v>
      </c>
      <c r="U59" s="2"/>
      <c r="V59" s="7">
        <f t="shared" si="29"/>
        <v>0</v>
      </c>
      <c r="W59" s="2"/>
      <c r="X59" s="6">
        <f t="shared" si="30"/>
        <v>0</v>
      </c>
      <c r="Y59" s="2"/>
      <c r="Z59" s="7">
        <f t="shared" si="31"/>
        <v>0</v>
      </c>
    </row>
    <row r="60" spans="1:26" s="26" customFormat="1" outlineLevel="1" collapsed="1" x14ac:dyDescent="0.25">
      <c r="A60" s="27"/>
      <c r="B60" s="12" t="str">
        <f>CONCATENATE("     ","Professional Services                             ")</f>
        <v xml:space="preserve">     Professional Services                             </v>
      </c>
      <c r="C60" s="12"/>
      <c r="D60" s="1">
        <f>SUM(OSRRefD22_12x_0)</f>
        <v>0</v>
      </c>
      <c r="E60" s="1"/>
      <c r="F60" s="5">
        <f t="shared" si="24"/>
        <v>0</v>
      </c>
      <c r="G60" s="1"/>
      <c r="H60" s="1">
        <f>SUM(OSRRefH22_12x_0)</f>
        <v>27350</v>
      </c>
      <c r="I60" s="1"/>
      <c r="J60" s="5">
        <f t="shared" si="25"/>
        <v>0</v>
      </c>
      <c r="K60" s="1"/>
      <c r="L60" s="1">
        <f t="shared" si="26"/>
        <v>-27350</v>
      </c>
      <c r="M60" s="1"/>
      <c r="N60" s="5">
        <f t="shared" si="27"/>
        <v>-1</v>
      </c>
      <c r="O60" s="12"/>
      <c r="P60" s="1">
        <f>SUM(OSRRefP22_12x_0)</f>
        <v>94181.37000000001</v>
      </c>
      <c r="Q60" s="1"/>
      <c r="R60" s="5">
        <f t="shared" si="28"/>
        <v>0</v>
      </c>
      <c r="S60" s="1"/>
      <c r="T60" s="1">
        <f>SUM(OSRRefT22_12x_0)</f>
        <v>186349.25999999998</v>
      </c>
      <c r="U60" s="1"/>
      <c r="V60" s="5">
        <f t="shared" si="29"/>
        <v>0</v>
      </c>
      <c r="W60" s="1"/>
      <c r="X60" s="1">
        <f t="shared" si="30"/>
        <v>-92167.88999999997</v>
      </c>
      <c r="Y60" s="1"/>
      <c r="Z60" s="5">
        <f t="shared" si="31"/>
        <v>-0.49459756373596536</v>
      </c>
    </row>
    <row r="61" spans="1:26" s="23" customFormat="1" hidden="1" outlineLevel="2" x14ac:dyDescent="0.25">
      <c r="A61" s="25"/>
      <c r="B61" s="10" t="str">
        <f>CONCATENATE("          ", "6331", " - ", "INDIRECT COSTS-AUXILIARY ORGAN")</f>
        <v xml:space="preserve">          6331 - INDIRECT COSTS-AUXILIARY ORGAN</v>
      </c>
      <c r="C61" s="10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0"/>
      <c r="P61" s="6">
        <v>80832.25</v>
      </c>
      <c r="Q61" s="2"/>
      <c r="R61" s="7">
        <f t="shared" si="28"/>
        <v>0</v>
      </c>
      <c r="S61" s="2"/>
      <c r="T61" s="6">
        <v>80236</v>
      </c>
      <c r="U61" s="2"/>
      <c r="V61" s="7">
        <f t="shared" si="29"/>
        <v>0</v>
      </c>
      <c r="W61" s="2"/>
      <c r="X61" s="6">
        <f t="shared" si="30"/>
        <v>596.25</v>
      </c>
      <c r="Y61" s="2"/>
      <c r="Z61" s="7">
        <f t="shared" si="31"/>
        <v>7.4312029512936841E-3</v>
      </c>
    </row>
    <row r="62" spans="1:26" s="23" customFormat="1" hidden="1" outlineLevel="2" x14ac:dyDescent="0.25">
      <c r="A62" s="25"/>
      <c r="B62" s="10" t="str">
        <f>CONCATENATE("          ", "6332", " - ", "CONSULTANT FEES")</f>
        <v xml:space="preserve">          6332 - CONSULTANT FEES</v>
      </c>
      <c r="C62" s="10"/>
      <c r="D62" s="6"/>
      <c r="E62" s="2"/>
      <c r="F62" s="7">
        <f t="shared" si="24"/>
        <v>0</v>
      </c>
      <c r="G62" s="2"/>
      <c r="H62" s="6">
        <v>21750</v>
      </c>
      <c r="I62" s="2"/>
      <c r="J62" s="7">
        <f t="shared" si="25"/>
        <v>0</v>
      </c>
      <c r="K62" s="2"/>
      <c r="L62" s="6">
        <f t="shared" si="26"/>
        <v>-21750</v>
      </c>
      <c r="M62" s="2"/>
      <c r="N62" s="7">
        <f t="shared" si="27"/>
        <v>-1</v>
      </c>
      <c r="O62" s="10"/>
      <c r="P62" s="6"/>
      <c r="Q62" s="2"/>
      <c r="R62" s="7">
        <f t="shared" si="28"/>
        <v>0</v>
      </c>
      <c r="S62" s="2"/>
      <c r="T62" s="6">
        <v>36894.74</v>
      </c>
      <c r="U62" s="2"/>
      <c r="V62" s="7">
        <f t="shared" si="29"/>
        <v>0</v>
      </c>
      <c r="W62" s="2"/>
      <c r="X62" s="6">
        <f t="shared" si="30"/>
        <v>-36894.74</v>
      </c>
      <c r="Y62" s="2"/>
      <c r="Z62" s="7">
        <f t="shared" si="31"/>
        <v>-1</v>
      </c>
    </row>
    <row r="63" spans="1:26" s="23" customFormat="1" hidden="1" outlineLevel="2" x14ac:dyDescent="0.25">
      <c r="A63" s="25"/>
      <c r="B63" s="10" t="str">
        <f>CONCATENATE("          ", "6334", " - ", "LEGAL COUNCIL EXPENSE")</f>
        <v xml:space="preserve">          6334 - LEGAL COUNCIL EXPENSE</v>
      </c>
      <c r="C63" s="10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0"/>
      <c r="P63" s="6">
        <v>6979.24</v>
      </c>
      <c r="Q63" s="2"/>
      <c r="R63" s="7">
        <f t="shared" si="28"/>
        <v>0</v>
      </c>
      <c r="S63" s="2"/>
      <c r="T63" s="6">
        <v>39175</v>
      </c>
      <c r="U63" s="2"/>
      <c r="V63" s="7">
        <f t="shared" si="29"/>
        <v>0</v>
      </c>
      <c r="W63" s="2"/>
      <c r="X63" s="6">
        <f t="shared" si="30"/>
        <v>-32195.760000000002</v>
      </c>
      <c r="Y63" s="2"/>
      <c r="Z63" s="7">
        <f t="shared" si="31"/>
        <v>-0.82184454371410343</v>
      </c>
    </row>
    <row r="64" spans="1:26" s="23" customFormat="1" hidden="1" outlineLevel="2" x14ac:dyDescent="0.25">
      <c r="A64" s="25"/>
      <c r="B64" s="10" t="str">
        <f>CONCATENATE("          ", "6336", " - ", "PROFESSIONAL SERVICES")</f>
        <v xml:space="preserve">          6336 - PROFESSIONAL SERVICES</v>
      </c>
      <c r="C64" s="10"/>
      <c r="D64" s="6"/>
      <c r="E64" s="2"/>
      <c r="F64" s="7">
        <f t="shared" si="24"/>
        <v>0</v>
      </c>
      <c r="G64" s="2"/>
      <c r="H64" s="6">
        <v>5600</v>
      </c>
      <c r="I64" s="2"/>
      <c r="J64" s="7">
        <f t="shared" si="25"/>
        <v>0</v>
      </c>
      <c r="K64" s="2"/>
      <c r="L64" s="6">
        <f t="shared" si="26"/>
        <v>-5600</v>
      </c>
      <c r="M64" s="2"/>
      <c r="N64" s="7">
        <f t="shared" si="27"/>
        <v>-1</v>
      </c>
      <c r="O64" s="10"/>
      <c r="P64" s="6">
        <v>6369.88</v>
      </c>
      <c r="Q64" s="2"/>
      <c r="R64" s="7">
        <f t="shared" si="28"/>
        <v>0</v>
      </c>
      <c r="S64" s="2"/>
      <c r="T64" s="6">
        <v>30043.52</v>
      </c>
      <c r="U64" s="2"/>
      <c r="V64" s="7">
        <f t="shared" si="29"/>
        <v>0</v>
      </c>
      <c r="W64" s="2"/>
      <c r="X64" s="6">
        <f t="shared" si="30"/>
        <v>-23673.64</v>
      </c>
      <c r="Y64" s="2"/>
      <c r="Z64" s="7">
        <f t="shared" si="31"/>
        <v>-0.78797823956713453</v>
      </c>
    </row>
    <row r="65" spans="1:26" s="26" customFormat="1" outlineLevel="1" collapsed="1" x14ac:dyDescent="0.25">
      <c r="A65" s="27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SUM(OSRRefD22_13x_0)</f>
        <v>43851.63</v>
      </c>
      <c r="E65" s="1"/>
      <c r="F65" s="5">
        <f t="shared" ref="F65:F68" si="32">IF(D$12=0,0,D65/D$12)</f>
        <v>0</v>
      </c>
      <c r="G65" s="1"/>
      <c r="H65" s="1">
        <f>SUM(OSRRefH22_13x_0)</f>
        <v>43554.270000000004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297.35999999999331</v>
      </c>
      <c r="M65" s="1"/>
      <c r="N65" s="5">
        <f t="shared" ref="N65:N68" si="35">IF(H65=0,0,L65/H65)</f>
        <v>6.8273443683017363E-3</v>
      </c>
      <c r="O65" s="12"/>
      <c r="P65" s="1">
        <f>SUM(OSRRefP22_13x_0)</f>
        <v>222598.12</v>
      </c>
      <c r="Q65" s="1"/>
      <c r="R65" s="5">
        <f t="shared" ref="R65:R68" si="36">IF(P$12=0,0,P65/P$12)</f>
        <v>0</v>
      </c>
      <c r="S65" s="1"/>
      <c r="T65" s="1">
        <f>SUM(OSRRefT22_13x_0)</f>
        <v>279563.57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-56965.450000000012</v>
      </c>
      <c r="Y65" s="1"/>
      <c r="Z65" s="5">
        <f t="shared" ref="Z65:Z68" si="39">IF(T65=0,0,X65/T65)</f>
        <v>-0.20376564085227561</v>
      </c>
    </row>
    <row r="66" spans="1:26" s="23" customFormat="1" hidden="1" outlineLevel="2" x14ac:dyDescent="0.25">
      <c r="A66" s="25"/>
      <c r="B66" s="10" t="str">
        <f>CONCATENATE("          ", "6371", " - ", "COMPUTER SOFTWARE MAINTENANCE")</f>
        <v xml:space="preserve">          6371 - COMPUTER SOFTWARE MAINTENANCE</v>
      </c>
      <c r="C66" s="10"/>
      <c r="D66" s="6">
        <v>28902.76</v>
      </c>
      <c r="E66" s="2"/>
      <c r="F66" s="7">
        <f t="shared" si="32"/>
        <v>0</v>
      </c>
      <c r="G66" s="2"/>
      <c r="H66" s="6">
        <v>28469.59</v>
      </c>
      <c r="I66" s="2"/>
      <c r="J66" s="7">
        <f t="shared" si="33"/>
        <v>0</v>
      </c>
      <c r="K66" s="2"/>
      <c r="L66" s="6">
        <f t="shared" si="34"/>
        <v>433.16999999999825</v>
      </c>
      <c r="M66" s="2"/>
      <c r="N66" s="7">
        <f t="shared" si="35"/>
        <v>1.5215182234798542E-2</v>
      </c>
      <c r="O66" s="10"/>
      <c r="P66" s="6">
        <v>81288.509999999995</v>
      </c>
      <c r="Q66" s="2"/>
      <c r="R66" s="7">
        <f t="shared" si="36"/>
        <v>0</v>
      </c>
      <c r="S66" s="2"/>
      <c r="T66" s="6">
        <v>146771.84</v>
      </c>
      <c r="U66" s="2"/>
      <c r="V66" s="7">
        <f t="shared" si="37"/>
        <v>0</v>
      </c>
      <c r="W66" s="2"/>
      <c r="X66" s="6">
        <f t="shared" si="38"/>
        <v>-65483.33</v>
      </c>
      <c r="Y66" s="2"/>
      <c r="Z66" s="7">
        <f t="shared" si="39"/>
        <v>-0.44615731464564323</v>
      </c>
    </row>
    <row r="67" spans="1:26" s="23" customFormat="1" hidden="1" outlineLevel="2" x14ac:dyDescent="0.25">
      <c r="A67" s="25"/>
      <c r="B67" s="10" t="str">
        <f>CONCATENATE("          ", "6373", " - ", "MAINTENANCE CONTRACTS")</f>
        <v xml:space="preserve">          6373 - MAINTENANCE CONTRACTS</v>
      </c>
      <c r="C67" s="10"/>
      <c r="D67" s="6">
        <v>14948.87</v>
      </c>
      <c r="E67" s="2"/>
      <c r="F67" s="7">
        <f t="shared" si="32"/>
        <v>0</v>
      </c>
      <c r="G67" s="2"/>
      <c r="H67" s="6">
        <v>13623.57</v>
      </c>
      <c r="I67" s="2"/>
      <c r="J67" s="7">
        <f t="shared" si="33"/>
        <v>0</v>
      </c>
      <c r="K67" s="2"/>
      <c r="L67" s="6">
        <f t="shared" si="34"/>
        <v>1325.3000000000011</v>
      </c>
      <c r="M67" s="2"/>
      <c r="N67" s="7">
        <f t="shared" si="35"/>
        <v>9.72799347014036E-2</v>
      </c>
      <c r="O67" s="10"/>
      <c r="P67" s="6">
        <v>139012.29999999999</v>
      </c>
      <c r="Q67" s="2"/>
      <c r="R67" s="7">
        <f t="shared" si="36"/>
        <v>0</v>
      </c>
      <c r="S67" s="2"/>
      <c r="T67" s="6">
        <v>129621.54</v>
      </c>
      <c r="U67" s="2"/>
      <c r="V67" s="7">
        <f t="shared" si="37"/>
        <v>0</v>
      </c>
      <c r="W67" s="2"/>
      <c r="X67" s="6">
        <f t="shared" si="38"/>
        <v>9390.7599999999948</v>
      </c>
      <c r="Y67" s="2"/>
      <c r="Z67" s="7">
        <f t="shared" si="39"/>
        <v>7.2447526853947231E-2</v>
      </c>
    </row>
    <row r="68" spans="1:26" s="23" customFormat="1" hidden="1" outlineLevel="2" x14ac:dyDescent="0.25">
      <c r="A68" s="25"/>
      <c r="B68" s="10" t="str">
        <f>CONCATENATE("          ", "6375", " - ", "OUTSIDE REPAIRS &amp; MAINTENANCE")</f>
        <v xml:space="preserve">          6375 - OUTSIDE REPAIRS &amp; MAINTENANCE</v>
      </c>
      <c r="C68" s="10"/>
      <c r="D68" s="6"/>
      <c r="E68" s="2"/>
      <c r="F68" s="7">
        <f t="shared" si="32"/>
        <v>0</v>
      </c>
      <c r="G68" s="2"/>
      <c r="H68" s="6">
        <v>1461.11</v>
      </c>
      <c r="I68" s="2"/>
      <c r="J68" s="7">
        <f t="shared" si="33"/>
        <v>0</v>
      </c>
      <c r="K68" s="2"/>
      <c r="L68" s="6">
        <f t="shared" si="34"/>
        <v>-1461.11</v>
      </c>
      <c r="M68" s="2"/>
      <c r="N68" s="7">
        <f t="shared" si="35"/>
        <v>-1</v>
      </c>
      <c r="O68" s="10"/>
      <c r="P68" s="6">
        <v>2297.31</v>
      </c>
      <c r="Q68" s="2"/>
      <c r="R68" s="7">
        <f t="shared" si="36"/>
        <v>0</v>
      </c>
      <c r="S68" s="2"/>
      <c r="T68" s="6">
        <v>3170.19</v>
      </c>
      <c r="U68" s="2"/>
      <c r="V68" s="7">
        <f t="shared" si="37"/>
        <v>0</v>
      </c>
      <c r="W68" s="2"/>
      <c r="X68" s="6">
        <f t="shared" si="38"/>
        <v>-872.88000000000011</v>
      </c>
      <c r="Y68" s="2"/>
      <c r="Z68" s="7">
        <f t="shared" si="39"/>
        <v>-0.27533996385074716</v>
      </c>
    </row>
    <row r="69" spans="1:26" s="26" customFormat="1" outlineLevel="1" collapsed="1" x14ac:dyDescent="0.25">
      <c r="A69" s="27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SUM(OSRRefD22_14x_0)</f>
        <v>1251.32</v>
      </c>
      <c r="E69" s="1"/>
      <c r="F69" s="5">
        <f t="shared" ref="F69:F71" si="40">IF(D$12=0,0,D69/D$12)</f>
        <v>0</v>
      </c>
      <c r="G69" s="1"/>
      <c r="H69" s="1">
        <f>SUM(OSRRefH22_14x_0)</f>
        <v>13.26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1238.06</v>
      </c>
      <c r="M69" s="1"/>
      <c r="N69" s="5">
        <f t="shared" ref="N69:N71" si="43">IF(H69=0,0,L69/H69)</f>
        <v>93.368024132730014</v>
      </c>
      <c r="O69" s="12"/>
      <c r="P69" s="1">
        <f>SUM(OSRRefP22_14x_0)</f>
        <v>5580.34</v>
      </c>
      <c r="Q69" s="1"/>
      <c r="R69" s="5">
        <f t="shared" ref="R69:R71" si="44">IF(P$12=0,0,P69/P$12)</f>
        <v>0</v>
      </c>
      <c r="S69" s="1"/>
      <c r="T69" s="1">
        <f>SUM(OSRRefT22_14x_0)</f>
        <v>9513.9499999999989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-3933.6099999999988</v>
      </c>
      <c r="Y69" s="1"/>
      <c r="Z69" s="5">
        <f t="shared" ref="Z69:Z71" si="47">IF(T69=0,0,X69/T69)</f>
        <v>-0.41345708144356436</v>
      </c>
    </row>
    <row r="70" spans="1:26" s="23" customFormat="1" hidden="1" outlineLevel="2" x14ac:dyDescent="0.25">
      <c r="A70" s="25"/>
      <c r="B70" s="10" t="str">
        <f>CONCATENATE("          ", "6281", " - ", "STORAGE FEE")</f>
        <v xml:space="preserve">          6281 - STORAGE FEE</v>
      </c>
      <c r="C70" s="10"/>
      <c r="D70" s="6">
        <v>1251.32</v>
      </c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1251.32</v>
      </c>
      <c r="M70" s="2"/>
      <c r="N70" s="7">
        <f t="shared" si="43"/>
        <v>0</v>
      </c>
      <c r="O70" s="10"/>
      <c r="P70" s="6">
        <v>5580.34</v>
      </c>
      <c r="Q70" s="2"/>
      <c r="R70" s="7">
        <f t="shared" si="44"/>
        <v>0</v>
      </c>
      <c r="S70" s="2"/>
      <c r="T70" s="6">
        <v>9429.9699999999993</v>
      </c>
      <c r="U70" s="2"/>
      <c r="V70" s="7">
        <f t="shared" si="45"/>
        <v>0</v>
      </c>
      <c r="W70" s="2"/>
      <c r="X70" s="6">
        <f t="shared" si="46"/>
        <v>-3849.6299999999992</v>
      </c>
      <c r="Y70" s="2"/>
      <c r="Z70" s="7">
        <f t="shared" si="47"/>
        <v>-0.40823353626787778</v>
      </c>
    </row>
    <row r="71" spans="1:26" s="23" customFormat="1" hidden="1" outlineLevel="2" x14ac:dyDescent="0.25">
      <c r="A71" s="25"/>
      <c r="B71" s="10" t="str">
        <f>CONCATENATE("          ", "6286", " - ", "LAUNDRY EXPENSE")</f>
        <v xml:space="preserve">          6286 - LAUNDRY EXPENSE</v>
      </c>
      <c r="C71" s="10"/>
      <c r="D71" s="6"/>
      <c r="E71" s="2"/>
      <c r="F71" s="7">
        <f t="shared" si="40"/>
        <v>0</v>
      </c>
      <c r="G71" s="2"/>
      <c r="H71" s="6">
        <v>13.26</v>
      </c>
      <c r="I71" s="2"/>
      <c r="J71" s="7">
        <f t="shared" si="41"/>
        <v>0</v>
      </c>
      <c r="K71" s="2"/>
      <c r="L71" s="6">
        <f t="shared" si="42"/>
        <v>-13.26</v>
      </c>
      <c r="M71" s="2"/>
      <c r="N71" s="7">
        <f t="shared" si="43"/>
        <v>-1</v>
      </c>
      <c r="O71" s="10"/>
      <c r="P71" s="6"/>
      <c r="Q71" s="2"/>
      <c r="R71" s="7">
        <f t="shared" si="44"/>
        <v>0</v>
      </c>
      <c r="S71" s="2"/>
      <c r="T71" s="6">
        <v>83.98</v>
      </c>
      <c r="U71" s="2"/>
      <c r="V71" s="7">
        <f t="shared" si="45"/>
        <v>0</v>
      </c>
      <c r="W71" s="2"/>
      <c r="X71" s="6">
        <f t="shared" si="46"/>
        <v>-83.98</v>
      </c>
      <c r="Y71" s="2"/>
      <c r="Z71" s="7">
        <f t="shared" si="47"/>
        <v>-1</v>
      </c>
    </row>
    <row r="72" spans="1:26" s="26" customFormat="1" outlineLevel="1" collapsed="1" x14ac:dyDescent="0.25">
      <c r="A72" s="27"/>
      <c r="B72" s="12" t="str">
        <f>CONCATENATE("     ","Subscriptions &amp; Dues                              ")</f>
        <v xml:space="preserve">     Subscriptions &amp; Dues                              </v>
      </c>
      <c r="C72" s="12"/>
      <c r="D72" s="1">
        <f>SUM(OSRRefD22_15x_0)</f>
        <v>0</v>
      </c>
      <c r="E72" s="1"/>
      <c r="F72" s="5">
        <f t="shared" ref="F72:F79" si="48">IF(D$12=0,0,D72/D$12)</f>
        <v>0</v>
      </c>
      <c r="G72" s="1"/>
      <c r="H72" s="1">
        <f>SUM(OSRRefH22_15x_0)</f>
        <v>0</v>
      </c>
      <c r="I72" s="1"/>
      <c r="J72" s="5">
        <f t="shared" ref="J72:J79" si="49">IF(H$12=0,0,H72/H$12)</f>
        <v>0</v>
      </c>
      <c r="K72" s="1"/>
      <c r="L72" s="1">
        <f t="shared" ref="L72:L79" si="50">+D72-H72</f>
        <v>0</v>
      </c>
      <c r="M72" s="1"/>
      <c r="N72" s="5">
        <f t="shared" ref="N72:N79" si="51">IF(H72=0,0,L72/H72)</f>
        <v>0</v>
      </c>
      <c r="O72" s="12"/>
      <c r="P72" s="1">
        <f>SUM(OSRRefP22_15x_0)</f>
        <v>3054.99</v>
      </c>
      <c r="Q72" s="1"/>
      <c r="R72" s="5">
        <f t="shared" ref="R72:R79" si="52">IF(P$12=0,0,P72/P$12)</f>
        <v>0</v>
      </c>
      <c r="S72" s="1"/>
      <c r="T72" s="1">
        <f>SUM(OSRRefT22_15x_0)</f>
        <v>2421</v>
      </c>
      <c r="U72" s="1"/>
      <c r="V72" s="5">
        <f t="shared" ref="V72:V79" si="53">IF(T$12=0,0,T72/T$12)</f>
        <v>0</v>
      </c>
      <c r="W72" s="1"/>
      <c r="X72" s="1">
        <f t="shared" ref="X72:X79" si="54">+P72-T72</f>
        <v>633.98999999999978</v>
      </c>
      <c r="Y72" s="1"/>
      <c r="Z72" s="5">
        <f t="shared" ref="Z72:Z79" si="55">IF(T72=0,0,X72/T72)</f>
        <v>0.26187112763320936</v>
      </c>
    </row>
    <row r="73" spans="1:26" s="23" customFormat="1" hidden="1" outlineLevel="2" x14ac:dyDescent="0.25">
      <c r="A73" s="25"/>
      <c r="B73" s="10" t="str">
        <f>CONCATENATE("          ", "6258", " - ", "MEMBERSHIP DUES")</f>
        <v xml:space="preserve">          6258 - MEMBERSHIP DUES</v>
      </c>
      <c r="C73" s="10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0"/>
      <c r="P73" s="6">
        <v>3054.99</v>
      </c>
      <c r="Q73" s="2"/>
      <c r="R73" s="7">
        <f t="shared" si="52"/>
        <v>0</v>
      </c>
      <c r="S73" s="2"/>
      <c r="T73" s="6">
        <v>2421</v>
      </c>
      <c r="U73" s="2"/>
      <c r="V73" s="7">
        <f t="shared" si="53"/>
        <v>0</v>
      </c>
      <c r="W73" s="2"/>
      <c r="X73" s="6">
        <f t="shared" si="54"/>
        <v>633.98999999999978</v>
      </c>
      <c r="Y73" s="2"/>
      <c r="Z73" s="7">
        <f t="shared" si="55"/>
        <v>0.26187112763320936</v>
      </c>
    </row>
    <row r="74" spans="1:26" s="26" customFormat="1" outlineLevel="1" collapsed="1" x14ac:dyDescent="0.25">
      <c r="A74" s="27"/>
      <c r="B74" s="12" t="str">
        <f>CONCATENATE("     ","Supplies                                          ")</f>
        <v xml:space="preserve">     Supplies                                          </v>
      </c>
      <c r="C74" s="12"/>
      <c r="D74" s="1">
        <f>SUM(OSRRefD22_16x_0)</f>
        <v>446.47</v>
      </c>
      <c r="E74" s="1"/>
      <c r="F74" s="5">
        <f t="shared" si="48"/>
        <v>0</v>
      </c>
      <c r="G74" s="1"/>
      <c r="H74" s="1">
        <f>SUM(OSRRefH22_16x_0)</f>
        <v>4225.63</v>
      </c>
      <c r="I74" s="1"/>
      <c r="J74" s="5">
        <f t="shared" si="49"/>
        <v>0</v>
      </c>
      <c r="K74" s="1"/>
      <c r="L74" s="1">
        <f t="shared" si="50"/>
        <v>-3779.16</v>
      </c>
      <c r="M74" s="1"/>
      <c r="N74" s="5">
        <f t="shared" si="51"/>
        <v>-0.89434238208267169</v>
      </c>
      <c r="O74" s="12"/>
      <c r="P74" s="1">
        <f>SUM(OSRRefP22_16x_0)</f>
        <v>3354.54</v>
      </c>
      <c r="Q74" s="1"/>
      <c r="R74" s="5">
        <f t="shared" si="52"/>
        <v>0</v>
      </c>
      <c r="S74" s="1"/>
      <c r="T74" s="1">
        <f>SUM(OSRRefT22_16x_0)</f>
        <v>55342.249999999993</v>
      </c>
      <c r="U74" s="1"/>
      <c r="V74" s="5">
        <f t="shared" si="53"/>
        <v>0</v>
      </c>
      <c r="W74" s="1"/>
      <c r="X74" s="1">
        <f t="shared" si="54"/>
        <v>-51987.709999999992</v>
      </c>
      <c r="Y74" s="1"/>
      <c r="Z74" s="5">
        <f t="shared" si="55"/>
        <v>-0.93938555082238251</v>
      </c>
    </row>
    <row r="75" spans="1:26" s="23" customFormat="1" hidden="1" outlineLevel="2" x14ac:dyDescent="0.25">
      <c r="A75" s="25"/>
      <c r="B75" s="10" t="str">
        <f>CONCATENATE("          ", "6234", " - ", "EXPENDABLE SUPPLIES &amp; EQUIPMEN")</f>
        <v xml:space="preserve">          6234 - EXPENDABLE SUPPLIES &amp; EQUIPMEN</v>
      </c>
      <c r="C75" s="10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0"/>
      <c r="P75" s="6"/>
      <c r="Q75" s="2"/>
      <c r="R75" s="7">
        <f t="shared" si="52"/>
        <v>0</v>
      </c>
      <c r="S75" s="2"/>
      <c r="T75" s="6">
        <v>1223.6099999999999</v>
      </c>
      <c r="U75" s="2"/>
      <c r="V75" s="7">
        <f t="shared" si="53"/>
        <v>0</v>
      </c>
      <c r="W75" s="2"/>
      <c r="X75" s="6">
        <f t="shared" si="54"/>
        <v>-1223.6099999999999</v>
      </c>
      <c r="Y75" s="2"/>
      <c r="Z75" s="7">
        <f t="shared" si="55"/>
        <v>-1</v>
      </c>
    </row>
    <row r="76" spans="1:26" s="23" customFormat="1" hidden="1" outlineLevel="2" x14ac:dyDescent="0.25">
      <c r="A76" s="25"/>
      <c r="B76" s="10" t="str">
        <f>CONCATENATE("          ", "6235", " - ", "COVID-19 EXPENSES")</f>
        <v xml:space="preserve">          6235 - COVID-19 EXPENSES</v>
      </c>
      <c r="C76" s="10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0"/>
      <c r="P76" s="6">
        <v>810.3</v>
      </c>
      <c r="Q76" s="2"/>
      <c r="R76" s="7">
        <f t="shared" si="52"/>
        <v>0</v>
      </c>
      <c r="S76" s="2"/>
      <c r="T76" s="6"/>
      <c r="U76" s="2"/>
      <c r="V76" s="7">
        <f t="shared" si="53"/>
        <v>0</v>
      </c>
      <c r="W76" s="2"/>
      <c r="X76" s="6">
        <f t="shared" si="54"/>
        <v>810.3</v>
      </c>
      <c r="Y76" s="2"/>
      <c r="Z76" s="7">
        <f t="shared" si="55"/>
        <v>0</v>
      </c>
    </row>
    <row r="77" spans="1:26" s="23" customFormat="1" hidden="1" outlineLevel="2" x14ac:dyDescent="0.25">
      <c r="A77" s="25"/>
      <c r="B77" s="10" t="str">
        <f>CONCATENATE("          ", "6241", " - ", "OFFICE EXPENSE")</f>
        <v xml:space="preserve">          6241 - OFFICE EXPENSE</v>
      </c>
      <c r="C77" s="10"/>
      <c r="D77" s="6">
        <v>446.47</v>
      </c>
      <c r="E77" s="2"/>
      <c r="F77" s="7">
        <f t="shared" si="48"/>
        <v>0</v>
      </c>
      <c r="G77" s="2"/>
      <c r="H77" s="6">
        <v>4122.55</v>
      </c>
      <c r="I77" s="2"/>
      <c r="J77" s="7">
        <f t="shared" si="49"/>
        <v>0</v>
      </c>
      <c r="K77" s="2"/>
      <c r="L77" s="6">
        <f t="shared" si="50"/>
        <v>-3676.08</v>
      </c>
      <c r="M77" s="2"/>
      <c r="N77" s="7">
        <f t="shared" si="51"/>
        <v>-0.89170052516039822</v>
      </c>
      <c r="O77" s="10"/>
      <c r="P77" s="6">
        <v>2321.5300000000002</v>
      </c>
      <c r="Q77" s="2"/>
      <c r="R77" s="7">
        <f t="shared" si="52"/>
        <v>0</v>
      </c>
      <c r="S77" s="2"/>
      <c r="T77" s="6">
        <v>48763.38</v>
      </c>
      <c r="U77" s="2"/>
      <c r="V77" s="7">
        <f t="shared" si="53"/>
        <v>0</v>
      </c>
      <c r="W77" s="2"/>
      <c r="X77" s="6">
        <f t="shared" si="54"/>
        <v>-46441.85</v>
      </c>
      <c r="Y77" s="2"/>
      <c r="Z77" s="7">
        <f t="shared" si="55"/>
        <v>-0.9523919383767081</v>
      </c>
    </row>
    <row r="78" spans="1:26" s="23" customFormat="1" hidden="1" outlineLevel="2" x14ac:dyDescent="0.25">
      <c r="A78" s="25"/>
      <c r="B78" s="10" t="str">
        <f>CONCATENATE("          ", "6244", " - ", "SAFETY SUPPLY EXPENSE")</f>
        <v xml:space="preserve">          6244 - SAFETY SUPPLY EXPENSE</v>
      </c>
      <c r="C78" s="10"/>
      <c r="D78" s="6"/>
      <c r="E78" s="2"/>
      <c r="F78" s="7">
        <f t="shared" si="48"/>
        <v>0</v>
      </c>
      <c r="G78" s="2"/>
      <c r="H78" s="6">
        <v>103.08</v>
      </c>
      <c r="I78" s="2"/>
      <c r="J78" s="7">
        <f t="shared" si="49"/>
        <v>0</v>
      </c>
      <c r="K78" s="2"/>
      <c r="L78" s="6">
        <f t="shared" si="50"/>
        <v>-103.08</v>
      </c>
      <c r="M78" s="2"/>
      <c r="N78" s="7">
        <f t="shared" si="51"/>
        <v>-1</v>
      </c>
      <c r="O78" s="10"/>
      <c r="P78" s="6">
        <v>222.71</v>
      </c>
      <c r="Q78" s="2"/>
      <c r="R78" s="7">
        <f t="shared" si="52"/>
        <v>0</v>
      </c>
      <c r="S78" s="2"/>
      <c r="T78" s="6">
        <v>2110.41</v>
      </c>
      <c r="U78" s="2"/>
      <c r="V78" s="7">
        <f t="shared" si="53"/>
        <v>0</v>
      </c>
      <c r="W78" s="2"/>
      <c r="X78" s="6">
        <f t="shared" si="54"/>
        <v>-1887.6999999999998</v>
      </c>
      <c r="Y78" s="2"/>
      <c r="Z78" s="7">
        <f t="shared" si="55"/>
        <v>-0.89447074265190174</v>
      </c>
    </row>
    <row r="79" spans="1:26" s="23" customFormat="1" hidden="1" outlineLevel="2" x14ac:dyDescent="0.25">
      <c r="A79" s="25"/>
      <c r="B79" s="10" t="str">
        <f>CONCATENATE("          ", "6245", " - ", "PRINTING")</f>
        <v xml:space="preserve">          6245 - PRINTING</v>
      </c>
      <c r="C79" s="10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0"/>
      <c r="P79" s="6"/>
      <c r="Q79" s="2"/>
      <c r="R79" s="7">
        <f t="shared" si="52"/>
        <v>0</v>
      </c>
      <c r="S79" s="2"/>
      <c r="T79" s="6">
        <v>3244.85</v>
      </c>
      <c r="U79" s="2"/>
      <c r="V79" s="7">
        <f t="shared" si="53"/>
        <v>0</v>
      </c>
      <c r="W79" s="2"/>
      <c r="X79" s="6">
        <f t="shared" si="54"/>
        <v>-3244.85</v>
      </c>
      <c r="Y79" s="2"/>
      <c r="Z79" s="7">
        <f t="shared" si="55"/>
        <v>-1</v>
      </c>
    </row>
    <row r="80" spans="1:26" s="26" customFormat="1" outlineLevel="1" collapsed="1" x14ac:dyDescent="0.25">
      <c r="A80" s="27"/>
      <c r="B80" s="12" t="str">
        <f>CONCATENATE("     ","Telephone/Data Lines                              ")</f>
        <v xml:space="preserve">     Telephone/Data Lines                              </v>
      </c>
      <c r="C80" s="12"/>
      <c r="D80" s="1">
        <f>SUM(OSRRefD22_17x_0)</f>
        <v>1800.76</v>
      </c>
      <c r="E80" s="1"/>
      <c r="F80" s="5">
        <f t="shared" ref="F80:F82" si="56">IF(D$12=0,0,D80/D$12)</f>
        <v>0</v>
      </c>
      <c r="G80" s="1"/>
      <c r="H80" s="1">
        <f>SUM(OSRRefH22_17x_0)</f>
        <v>1742.54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58.220000000000027</v>
      </c>
      <c r="M80" s="1"/>
      <c r="N80" s="5">
        <f t="shared" ref="N80:N82" si="59">IF(H80=0,0,L80/H80)</f>
        <v>3.3410997738932836E-2</v>
      </c>
      <c r="O80" s="12"/>
      <c r="P80" s="1">
        <f>SUM(OSRRefP22_17x_0)</f>
        <v>19151.78</v>
      </c>
      <c r="Q80" s="1"/>
      <c r="R80" s="5">
        <f t="shared" ref="R80:R82" si="60">IF(P$12=0,0,P80/P$12)</f>
        <v>0</v>
      </c>
      <c r="S80" s="1"/>
      <c r="T80" s="1">
        <f>SUM(OSRRefT22_17x_0)</f>
        <v>22620.149999999998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-3468.369999999999</v>
      </c>
      <c r="Y80" s="1"/>
      <c r="Z80" s="5">
        <f t="shared" ref="Z80:Z82" si="63">IF(T80=0,0,X80/T80)</f>
        <v>-0.15333099028963112</v>
      </c>
    </row>
    <row r="81" spans="1:26" s="23" customFormat="1" hidden="1" outlineLevel="2" x14ac:dyDescent="0.25">
      <c r="A81" s="25"/>
      <c r="B81" s="10" t="str">
        <f>CONCATENATE("          ", "6303", " - ", "DATA PHONE LINES")</f>
        <v xml:space="preserve">          6303 - DATA PHONE LINES</v>
      </c>
      <c r="C81" s="10"/>
      <c r="D81" s="6">
        <v>238.97</v>
      </c>
      <c r="E81" s="2"/>
      <c r="F81" s="7">
        <f t="shared" si="56"/>
        <v>0</v>
      </c>
      <c r="G81" s="2"/>
      <c r="H81" s="6">
        <v>78.989999999999995</v>
      </c>
      <c r="I81" s="2"/>
      <c r="J81" s="7">
        <f t="shared" si="57"/>
        <v>0</v>
      </c>
      <c r="K81" s="2"/>
      <c r="L81" s="6">
        <f t="shared" si="58"/>
        <v>159.98000000000002</v>
      </c>
      <c r="M81" s="2"/>
      <c r="N81" s="7">
        <f t="shared" si="59"/>
        <v>2.0253196607165469</v>
      </c>
      <c r="O81" s="10"/>
      <c r="P81" s="6">
        <v>1241.8399999999999</v>
      </c>
      <c r="Q81" s="2"/>
      <c r="R81" s="7">
        <f t="shared" si="60"/>
        <v>0</v>
      </c>
      <c r="S81" s="2"/>
      <c r="T81" s="6">
        <v>1328.03</v>
      </c>
      <c r="U81" s="2"/>
      <c r="V81" s="7">
        <f t="shared" si="61"/>
        <v>0</v>
      </c>
      <c r="W81" s="2"/>
      <c r="X81" s="6">
        <f t="shared" si="62"/>
        <v>-86.190000000000055</v>
      </c>
      <c r="Y81" s="2"/>
      <c r="Z81" s="7">
        <f t="shared" si="63"/>
        <v>-6.4900642304767248E-2</v>
      </c>
    </row>
    <row r="82" spans="1:26" s="23" customFormat="1" hidden="1" outlineLevel="2" x14ac:dyDescent="0.25">
      <c r="A82" s="25"/>
      <c r="B82" s="10" t="str">
        <f>CONCATENATE("          ", "6309", " - ", "TELEPHONE")</f>
        <v xml:space="preserve">          6309 - TELEPHONE</v>
      </c>
      <c r="C82" s="10"/>
      <c r="D82" s="6">
        <v>1561.79</v>
      </c>
      <c r="E82" s="2"/>
      <c r="F82" s="7">
        <f t="shared" si="56"/>
        <v>0</v>
      </c>
      <c r="G82" s="2"/>
      <c r="H82" s="6">
        <v>1663.55</v>
      </c>
      <c r="I82" s="2"/>
      <c r="J82" s="7">
        <f t="shared" si="57"/>
        <v>0</v>
      </c>
      <c r="K82" s="2"/>
      <c r="L82" s="6">
        <f t="shared" si="58"/>
        <v>-101.75999999999999</v>
      </c>
      <c r="M82" s="2"/>
      <c r="N82" s="7">
        <f t="shared" si="59"/>
        <v>-6.1170388626731985E-2</v>
      </c>
      <c r="O82" s="10"/>
      <c r="P82" s="6">
        <v>17909.939999999999</v>
      </c>
      <c r="Q82" s="2"/>
      <c r="R82" s="7">
        <f t="shared" si="60"/>
        <v>0</v>
      </c>
      <c r="S82" s="2"/>
      <c r="T82" s="6">
        <v>21292.12</v>
      </c>
      <c r="U82" s="2"/>
      <c r="V82" s="7">
        <f t="shared" si="61"/>
        <v>0</v>
      </c>
      <c r="W82" s="2"/>
      <c r="X82" s="6">
        <f t="shared" si="62"/>
        <v>-3382.1800000000003</v>
      </c>
      <c r="Y82" s="2"/>
      <c r="Z82" s="7">
        <f t="shared" si="63"/>
        <v>-0.15884655919654786</v>
      </c>
    </row>
    <row r="83" spans="1:26" s="26" customFormat="1" outlineLevel="1" collapsed="1" x14ac:dyDescent="0.25">
      <c r="A83" s="27"/>
      <c r="B83" s="12" t="str">
        <f>CONCATENATE("     ","Training                                          ")</f>
        <v xml:space="preserve">     Training                                          </v>
      </c>
      <c r="C83" s="12"/>
      <c r="D83" s="1">
        <f>SUM(OSRRefD22_18x_0)</f>
        <v>399</v>
      </c>
      <c r="E83" s="1"/>
      <c r="F83" s="5">
        <f t="shared" ref="F83:F87" si="64">IF(D$12=0,0,D83/D$12)</f>
        <v>0</v>
      </c>
      <c r="G83" s="1"/>
      <c r="H83" s="1">
        <f>SUM(OSRRefH22_18x_0)</f>
        <v>4334.3900000000003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-3935.3900000000003</v>
      </c>
      <c r="M83" s="1"/>
      <c r="N83" s="5">
        <f t="shared" ref="N83:N87" si="67">IF(H83=0,0,L83/H83)</f>
        <v>-0.9079455240529809</v>
      </c>
      <c r="O83" s="12"/>
      <c r="P83" s="1">
        <f>SUM(OSRRefP22_18x_0)</f>
        <v>2225.5</v>
      </c>
      <c r="Q83" s="1"/>
      <c r="R83" s="5">
        <f t="shared" ref="R83:R87" si="68">IF(P$12=0,0,P83/P$12)</f>
        <v>0</v>
      </c>
      <c r="S83" s="1"/>
      <c r="T83" s="1">
        <f>SUM(OSRRefT22_18x_0)</f>
        <v>21870.42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-19644.919999999998</v>
      </c>
      <c r="Y83" s="1"/>
      <c r="Z83" s="5">
        <f t="shared" ref="Z83:Z87" si="71">IF(T83=0,0,X83/T83)</f>
        <v>-0.89824155183119481</v>
      </c>
    </row>
    <row r="84" spans="1:26" s="23" customFormat="1" hidden="1" outlineLevel="2" x14ac:dyDescent="0.25">
      <c r="A84" s="25"/>
      <c r="B84" s="10" t="str">
        <f>CONCATENATE("          ", "6376", " - ", "TRAINING")</f>
        <v xml:space="preserve">          6376 - TRAINING</v>
      </c>
      <c r="C84" s="10"/>
      <c r="D84" s="6">
        <v>399</v>
      </c>
      <c r="E84" s="2"/>
      <c r="F84" s="7">
        <f t="shared" si="64"/>
        <v>0</v>
      </c>
      <c r="G84" s="2"/>
      <c r="H84" s="6">
        <v>4334.3900000000003</v>
      </c>
      <c r="I84" s="2"/>
      <c r="J84" s="7">
        <f t="shared" si="65"/>
        <v>0</v>
      </c>
      <c r="K84" s="2"/>
      <c r="L84" s="6">
        <f t="shared" si="66"/>
        <v>-3935.3900000000003</v>
      </c>
      <c r="M84" s="2"/>
      <c r="N84" s="7">
        <f t="shared" si="67"/>
        <v>-0.9079455240529809</v>
      </c>
      <c r="O84" s="10"/>
      <c r="P84" s="6">
        <v>2225.5</v>
      </c>
      <c r="Q84" s="2"/>
      <c r="R84" s="7">
        <f t="shared" si="68"/>
        <v>0</v>
      </c>
      <c r="S84" s="2"/>
      <c r="T84" s="6">
        <v>21870.42</v>
      </c>
      <c r="U84" s="2"/>
      <c r="V84" s="7">
        <f t="shared" si="69"/>
        <v>0</v>
      </c>
      <c r="W84" s="2"/>
      <c r="X84" s="6">
        <f t="shared" si="70"/>
        <v>-19644.919999999998</v>
      </c>
      <c r="Y84" s="2"/>
      <c r="Z84" s="7">
        <f t="shared" si="71"/>
        <v>-0.89824155183119481</v>
      </c>
    </row>
    <row r="85" spans="1:26" s="26" customFormat="1" outlineLevel="1" collapsed="1" x14ac:dyDescent="0.25">
      <c r="A85" s="27"/>
      <c r="B85" s="12" t="str">
        <f>CONCATENATE("     ","Travel                                            ")</f>
        <v xml:space="preserve">     Travel                                            </v>
      </c>
      <c r="C85" s="12"/>
      <c r="D85" s="1">
        <f>SUM(OSRRefD22_19x_0)</f>
        <v>7.6</v>
      </c>
      <c r="E85" s="1"/>
      <c r="F85" s="5">
        <f t="shared" si="64"/>
        <v>0</v>
      </c>
      <c r="G85" s="1"/>
      <c r="H85" s="1">
        <f>SUM(OSRRefH22_19x_0)</f>
        <v>0</v>
      </c>
      <c r="I85" s="1"/>
      <c r="J85" s="5">
        <f t="shared" si="65"/>
        <v>0</v>
      </c>
      <c r="K85" s="1"/>
      <c r="L85" s="1">
        <f t="shared" si="66"/>
        <v>7.6</v>
      </c>
      <c r="M85" s="1"/>
      <c r="N85" s="5">
        <f t="shared" si="67"/>
        <v>0</v>
      </c>
      <c r="O85" s="12"/>
      <c r="P85" s="1">
        <f>SUM(OSRRefP22_19x_0)</f>
        <v>795.42</v>
      </c>
      <c r="Q85" s="1"/>
      <c r="R85" s="5">
        <f t="shared" si="68"/>
        <v>0</v>
      </c>
      <c r="S85" s="1"/>
      <c r="T85" s="1">
        <f>SUM(OSRRefT22_19x_0)</f>
        <v>12860.449999999999</v>
      </c>
      <c r="U85" s="1"/>
      <c r="V85" s="5">
        <f t="shared" si="69"/>
        <v>0</v>
      </c>
      <c r="W85" s="1"/>
      <c r="X85" s="1">
        <f t="shared" si="70"/>
        <v>-12065.029999999999</v>
      </c>
      <c r="Y85" s="1"/>
      <c r="Z85" s="5">
        <f t="shared" si="71"/>
        <v>-0.93814990921779562</v>
      </c>
    </row>
    <row r="86" spans="1:26" s="23" customFormat="1" hidden="1" outlineLevel="2" x14ac:dyDescent="0.25">
      <c r="A86" s="25"/>
      <c r="B86" s="10" t="str">
        <f>CONCATENATE("          ", "6292", " - ", "TRAVEL/CONFERENCE")</f>
        <v xml:space="preserve">          6292 - TRAVEL/CONFERENCE</v>
      </c>
      <c r="C86" s="10"/>
      <c r="D86" s="6"/>
      <c r="E86" s="2"/>
      <c r="F86" s="7">
        <f t="shared" si="64"/>
        <v>0</v>
      </c>
      <c r="G86" s="2"/>
      <c r="H86" s="6"/>
      <c r="I86" s="2"/>
      <c r="J86" s="7">
        <f t="shared" si="65"/>
        <v>0</v>
      </c>
      <c r="K86" s="2"/>
      <c r="L86" s="6">
        <f t="shared" si="66"/>
        <v>0</v>
      </c>
      <c r="M86" s="2"/>
      <c r="N86" s="7">
        <f t="shared" si="67"/>
        <v>0</v>
      </c>
      <c r="O86" s="10"/>
      <c r="P86" s="6">
        <v>720</v>
      </c>
      <c r="Q86" s="2"/>
      <c r="R86" s="7">
        <f t="shared" si="68"/>
        <v>0</v>
      </c>
      <c r="S86" s="2"/>
      <c r="T86" s="6">
        <v>12836.55</v>
      </c>
      <c r="U86" s="2"/>
      <c r="V86" s="7">
        <f t="shared" si="69"/>
        <v>0</v>
      </c>
      <c r="W86" s="2"/>
      <c r="X86" s="6">
        <f t="shared" si="70"/>
        <v>-12116.55</v>
      </c>
      <c r="Y86" s="2"/>
      <c r="Z86" s="7">
        <f t="shared" si="71"/>
        <v>-0.94391016277738182</v>
      </c>
    </row>
    <row r="87" spans="1:26" s="23" customFormat="1" hidden="1" outlineLevel="2" x14ac:dyDescent="0.25">
      <c r="A87" s="25"/>
      <c r="B87" s="10" t="str">
        <f>CONCATENATE("          ", "6294", " - ", "TRAVEL OPERATIONAL")</f>
        <v xml:space="preserve">          6294 - TRAVEL OPERATIONAL</v>
      </c>
      <c r="C87" s="10"/>
      <c r="D87" s="6">
        <v>7.6</v>
      </c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7.6</v>
      </c>
      <c r="M87" s="2"/>
      <c r="N87" s="7">
        <f t="shared" si="67"/>
        <v>0</v>
      </c>
      <c r="O87" s="10"/>
      <c r="P87" s="6">
        <v>75.42</v>
      </c>
      <c r="Q87" s="2"/>
      <c r="R87" s="7">
        <f t="shared" si="68"/>
        <v>0</v>
      </c>
      <c r="S87" s="2"/>
      <c r="T87" s="6">
        <v>23.9</v>
      </c>
      <c r="U87" s="2"/>
      <c r="V87" s="7">
        <f t="shared" si="69"/>
        <v>0</v>
      </c>
      <c r="W87" s="2"/>
      <c r="X87" s="6">
        <f t="shared" si="70"/>
        <v>51.52</v>
      </c>
      <c r="Y87" s="2"/>
      <c r="Z87" s="7">
        <f t="shared" si="71"/>
        <v>2.155648535564854</v>
      </c>
    </row>
    <row r="88" spans="1:26" s="60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4" customFormat="1" x14ac:dyDescent="0.25">
      <c r="A89" s="11"/>
      <c r="B89" s="28" t="s">
        <v>292</v>
      </c>
      <c r="C89" s="11"/>
      <c r="D89" s="4">
        <f>SUM(0)</f>
        <v>0</v>
      </c>
      <c r="E89" s="4"/>
      <c r="F89" s="13">
        <f>IF(D$12=0,0,D89/D$12)</f>
        <v>0</v>
      </c>
      <c r="G89" s="4"/>
      <c r="H89" s="4">
        <f>SUM(0)</f>
        <v>0</v>
      </c>
      <c r="I89" s="4"/>
      <c r="J89" s="13">
        <f>IF(H$12=0,0,H89/H$12)</f>
        <v>0</v>
      </c>
      <c r="K89" s="4"/>
      <c r="L89" s="4">
        <f>+D89-H89</f>
        <v>0</v>
      </c>
      <c r="M89" s="4"/>
      <c r="N89" s="13">
        <f>IF(H89=0,0,L89/H89)</f>
        <v>0</v>
      </c>
      <c r="O89" s="11"/>
      <c r="P89" s="4">
        <f>SUM(0)</f>
        <v>0</v>
      </c>
      <c r="Q89" s="4"/>
      <c r="R89" s="13">
        <f>IF(P$12=0,0,P89/P$12)</f>
        <v>0</v>
      </c>
      <c r="S89" s="4"/>
      <c r="T89" s="4">
        <f>SUM(0)</f>
        <v>0</v>
      </c>
      <c r="U89" s="4"/>
      <c r="V89" s="13">
        <f>IF(T$12=0,0,T89/T$12)</f>
        <v>0</v>
      </c>
      <c r="W89" s="4"/>
      <c r="X89" s="4">
        <f>+P89-T89</f>
        <v>0</v>
      </c>
      <c r="Y89" s="4"/>
      <c r="Z89" s="13">
        <f>IF(T89=0,0,X89/T89)</f>
        <v>0</v>
      </c>
    </row>
    <row r="90" spans="1:26" x14ac:dyDescent="0.25">
      <c r="A90" s="9"/>
      <c r="B90" s="11"/>
      <c r="C90" s="11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1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x14ac:dyDescent="0.25">
      <c r="A91" s="11"/>
      <c r="B91" s="29" t="s">
        <v>276</v>
      </c>
      <c r="C91" s="29"/>
      <c r="D91" s="22">
        <f>+D16-D18+D89</f>
        <v>-225320.12000000008</v>
      </c>
      <c r="E91" s="14"/>
      <c r="F91" s="20">
        <f>IF(D$12=0,0,D91/D$12)</f>
        <v>0</v>
      </c>
      <c r="G91" s="14"/>
      <c r="H91" s="22">
        <f>+H16-H18+H89</f>
        <v>-329768.88000000006</v>
      </c>
      <c r="I91" s="14"/>
      <c r="J91" s="20">
        <f>IF(H$12=0,0,H91/H$12)</f>
        <v>0</v>
      </c>
      <c r="K91" s="15"/>
      <c r="L91" s="22">
        <f>+D91-H91</f>
        <v>104448.75999999998</v>
      </c>
      <c r="M91" s="15"/>
      <c r="N91" s="20">
        <f>IF(H91=0,0,L91/H91)</f>
        <v>-0.31673322237077056</v>
      </c>
      <c r="O91" s="28"/>
      <c r="P91" s="22">
        <f>+P16-P18+P89</f>
        <v>-1641550.3499999999</v>
      </c>
      <c r="Q91" s="14"/>
      <c r="R91" s="20">
        <f>IF(P$12=0,0,P91/P$12)</f>
        <v>0</v>
      </c>
      <c r="S91" s="14"/>
      <c r="T91" s="22">
        <f>+T16-T18+T89</f>
        <v>-2897984.8999999994</v>
      </c>
      <c r="U91" s="14"/>
      <c r="V91" s="20">
        <f>IF(T$12=0,0,T91/T$12)</f>
        <v>0</v>
      </c>
      <c r="W91" s="15"/>
      <c r="X91" s="22">
        <f>+P91-T91</f>
        <v>1256434.5499999996</v>
      </c>
      <c r="Y91" s="15"/>
      <c r="Z91" s="20">
        <f>IF(T91=0,0,X91/T91)</f>
        <v>-0.43355455371765389</v>
      </c>
    </row>
    <row r="92" spans="1:26" x14ac:dyDescent="0.25">
      <c r="A92" s="9"/>
      <c r="B92" s="11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4" customFormat="1" x14ac:dyDescent="0.25">
      <c r="A93" s="51"/>
      <c r="B93" s="11" t="s">
        <v>127</v>
      </c>
      <c r="C93" s="11"/>
      <c r="D93" s="4"/>
      <c r="E93" s="4"/>
      <c r="F93" s="13">
        <f>IF(D$12=0,0,D93/D$12)</f>
        <v>0</v>
      </c>
      <c r="G93" s="4"/>
      <c r="H93" s="4"/>
      <c r="I93" s="4"/>
      <c r="J93" s="13">
        <f>IF(H$12=0,0,H93/H$12)</f>
        <v>0</v>
      </c>
      <c r="K93" s="4"/>
      <c r="L93" s="4">
        <f>+D93-H93</f>
        <v>0</v>
      </c>
      <c r="M93" s="4"/>
      <c r="N93" s="13">
        <f>IF(H93=0,0,L93/H93)</f>
        <v>0</v>
      </c>
      <c r="O93" s="11"/>
      <c r="P93" s="4"/>
      <c r="Q93" s="4"/>
      <c r="R93" s="13">
        <f>IF(P$12=0,0,P93/P$12)</f>
        <v>0</v>
      </c>
      <c r="S93" s="4"/>
      <c r="T93" s="4"/>
      <c r="U93" s="4"/>
      <c r="V93" s="13">
        <f>IF(T$12=0,0,T93/T$12)</f>
        <v>0</v>
      </c>
      <c r="W93" s="4"/>
      <c r="X93" s="4">
        <f>+P93-T93</f>
        <v>0</v>
      </c>
      <c r="Y93" s="4"/>
      <c r="Z93" s="13">
        <f>IF(T93=0,0,X93/T93)</f>
        <v>0</v>
      </c>
    </row>
    <row r="94" spans="1:26" x14ac:dyDescent="0.25">
      <c r="A94" s="9"/>
      <c r="B94" s="11"/>
      <c r="C94" s="11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1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4" customFormat="1" ht="15.75" thickBot="1" x14ac:dyDescent="0.3">
      <c r="A95" s="11"/>
      <c r="B95" s="29" t="s">
        <v>125</v>
      </c>
      <c r="C95" s="29"/>
      <c r="D95" s="30">
        <f>+D91-D93</f>
        <v>-225320.12000000008</v>
      </c>
      <c r="E95" s="14"/>
      <c r="F95" s="36">
        <f>IF(D$12=0,0,D95/D$12)</f>
        <v>0</v>
      </c>
      <c r="G95" s="14"/>
      <c r="H95" s="30">
        <f>+H91-H93</f>
        <v>-329768.88000000006</v>
      </c>
      <c r="I95" s="14"/>
      <c r="J95" s="36">
        <f>IF(H$12=0,0,H95/H$12)</f>
        <v>0</v>
      </c>
      <c r="K95" s="15"/>
      <c r="L95" s="30">
        <f>D95-H95</f>
        <v>104448.75999999998</v>
      </c>
      <c r="M95" s="15"/>
      <c r="N95" s="36">
        <f>IF(H95=0,0,L95/H95)</f>
        <v>-0.31673322237077056</v>
      </c>
      <c r="O95" s="28"/>
      <c r="P95" s="30">
        <f>+P91-P93</f>
        <v>-1641550.3499999999</v>
      </c>
      <c r="Q95" s="14"/>
      <c r="R95" s="36">
        <f>IF(P$12=0,0,P95/P$12)</f>
        <v>0</v>
      </c>
      <c r="S95" s="14"/>
      <c r="T95" s="30">
        <f>+T91-T93</f>
        <v>-2897984.8999999994</v>
      </c>
      <c r="U95" s="14"/>
      <c r="V95" s="36">
        <f>IF(T$12=0,0,T95/T$12)</f>
        <v>0</v>
      </c>
      <c r="W95" s="15"/>
      <c r="X95" s="30">
        <f>P95-T95</f>
        <v>1256434.5499999996</v>
      </c>
      <c r="Y95" s="15"/>
      <c r="Z95" s="36">
        <f>IF(T95=0,0,X95/T95)</f>
        <v>-0.43355455371765389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4" customFormat="1" ht="15.75" thickBot="1" x14ac:dyDescent="0.3">
      <c r="A98" s="11"/>
      <c r="B98" s="29" t="s">
        <v>293</v>
      </c>
      <c r="C98" s="29"/>
      <c r="D98" s="35">
        <f>SUM(D95:D97)</f>
        <v>-225320.12000000008</v>
      </c>
      <c r="E98" s="14"/>
      <c r="F98" s="34">
        <f>IF(D$12=0,0,D98/D$12)</f>
        <v>0</v>
      </c>
      <c r="G98" s="14"/>
      <c r="H98" s="35">
        <f>SUM(H95:H97)</f>
        <v>-329768.88000000006</v>
      </c>
      <c r="I98" s="14"/>
      <c r="J98" s="34">
        <f>IF(H$12=0,0,H98/H$12)</f>
        <v>0</v>
      </c>
      <c r="K98" s="15"/>
      <c r="L98" s="35">
        <f>+D98-H98</f>
        <v>104448.75999999998</v>
      </c>
      <c r="M98" s="15"/>
      <c r="N98" s="34">
        <f>IF(H98=0,0,L98/H98)</f>
        <v>-0.31673322237077056</v>
      </c>
      <c r="O98" s="28"/>
      <c r="P98" s="35">
        <f>SUM(P95:P97)</f>
        <v>-1641550.3499999999</v>
      </c>
      <c r="Q98" s="14"/>
      <c r="R98" s="34">
        <f>IF(P$12=0,0,P98/P$12)</f>
        <v>0</v>
      </c>
      <c r="S98" s="14"/>
      <c r="T98" s="35">
        <f>SUM(T95:T97)</f>
        <v>-2897984.8999999994</v>
      </c>
      <c r="U98" s="14"/>
      <c r="V98" s="34">
        <f>IF(T$12=0,0,T98/T$12)</f>
        <v>0</v>
      </c>
      <c r="W98" s="15"/>
      <c r="X98" s="35">
        <f>+P98-T98</f>
        <v>1256434.5499999996</v>
      </c>
      <c r="Y98" s="15"/>
      <c r="Z98" s="34">
        <f>IF(T98=0,0,X98/T98)</f>
        <v>-0.43355455371765389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4">
        <v>44295.96317314815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8" t="s">
        <v>56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2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","200", " - ", "Corporate Expense")</f>
        <v>Department 200 - Corporate Expense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28743.11</v>
      </c>
      <c r="E18" s="21"/>
      <c r="F18" s="31">
        <f t="shared" ref="F18:F29" si="0">IF(D$12=0,0,D18/D$12)</f>
        <v>0</v>
      </c>
      <c r="G18" s="21"/>
      <c r="H18" s="21">
        <f>SUM(OSRRefH22x_0)</f>
        <v>33194.83</v>
      </c>
      <c r="I18" s="21"/>
      <c r="J18" s="31">
        <f t="shared" ref="J18:J29" si="1">IF(H$12=0,0,H18/H$12)</f>
        <v>0</v>
      </c>
      <c r="K18" s="4"/>
      <c r="L18" s="21">
        <f t="shared" ref="L18:L29" si="2">+D18-H18</f>
        <v>-4451.7200000000012</v>
      </c>
      <c r="M18" s="4"/>
      <c r="N18" s="31">
        <f t="shared" ref="N18:N29" si="3">IF(H18=0,0,L18/H18)</f>
        <v>-0.13410883562289672</v>
      </c>
      <c r="O18" s="11"/>
      <c r="P18" s="21">
        <f>SUM(OSRRefP22x_0)</f>
        <v>-82077.27</v>
      </c>
      <c r="Q18" s="21"/>
      <c r="R18" s="31">
        <f t="shared" ref="R18:R29" si="4">IF(P$12=0,0,P18/P$12)</f>
        <v>0</v>
      </c>
      <c r="S18" s="21"/>
      <c r="T18" s="21">
        <f>SUM(OSRRefT22x_0)</f>
        <v>497517.49</v>
      </c>
      <c r="U18" s="21"/>
      <c r="V18" s="31">
        <f t="shared" ref="V18:V29" si="5">IF(T$12=0,0,T18/T$12)</f>
        <v>0</v>
      </c>
      <c r="W18" s="4"/>
      <c r="X18" s="21">
        <f t="shared" ref="X18:X29" si="6">+P18-T18</f>
        <v>-579594.76</v>
      </c>
      <c r="Y18" s="4"/>
      <c r="Z18" s="31">
        <f t="shared" ref="Z18:Z29" si="7">IF(T18=0,0,X18/T18)</f>
        <v>-1.1649736374092095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28050.7</v>
      </c>
      <c r="E19" s="1"/>
      <c r="F19" s="5">
        <f t="shared" si="0"/>
        <v>0</v>
      </c>
      <c r="G19" s="1"/>
      <c r="H19" s="1">
        <f>SUM(OSRRefH22_0x_0)</f>
        <v>29545</v>
      </c>
      <c r="I19" s="1"/>
      <c r="J19" s="5">
        <f t="shared" si="1"/>
        <v>0</v>
      </c>
      <c r="K19" s="1"/>
      <c r="L19" s="1">
        <f t="shared" si="2"/>
        <v>-1494.2999999999993</v>
      </c>
      <c r="M19" s="1"/>
      <c r="N19" s="5">
        <f t="shared" si="3"/>
        <v>-5.0577085801319997E-2</v>
      </c>
      <c r="O19" s="12"/>
      <c r="P19" s="1">
        <f>SUM(OSRRefP22_0x_0)</f>
        <v>-133017.22</v>
      </c>
      <c r="Q19" s="1"/>
      <c r="R19" s="5">
        <f t="shared" si="4"/>
        <v>0</v>
      </c>
      <c r="S19" s="1"/>
      <c r="T19" s="1">
        <f>SUM(OSRRefT22_0x_0)</f>
        <v>265062.99</v>
      </c>
      <c r="U19" s="1"/>
      <c r="V19" s="5">
        <f t="shared" si="5"/>
        <v>0</v>
      </c>
      <c r="W19" s="1"/>
      <c r="X19" s="1">
        <f t="shared" si="6"/>
        <v>-398080.20999999996</v>
      </c>
      <c r="Y19" s="1"/>
      <c r="Z19" s="5">
        <f t="shared" si="7"/>
        <v>-1.5018324889491361</v>
      </c>
    </row>
    <row r="20" spans="1:26" s="23" customFormat="1" hidden="1" outlineLevel="2" x14ac:dyDescent="0.25">
      <c r="A20" s="25"/>
      <c r="B20" s="10" t="str">
        <f>CONCATENATE("          ", "6120", " - ", "RETIREES HEALTH INSURANCE")</f>
        <v xml:space="preserve">          6120 - RETIREES HEALTH INSURANCE</v>
      </c>
      <c r="C20" s="10"/>
      <c r="D20" s="6">
        <v>28050.7</v>
      </c>
      <c r="E20" s="2"/>
      <c r="F20" s="7">
        <f t="shared" si="0"/>
        <v>0</v>
      </c>
      <c r="G20" s="2"/>
      <c r="H20" s="6">
        <v>29545</v>
      </c>
      <c r="I20" s="2"/>
      <c r="J20" s="7">
        <f t="shared" si="1"/>
        <v>0</v>
      </c>
      <c r="K20" s="2"/>
      <c r="L20" s="6">
        <f t="shared" si="2"/>
        <v>-1494.2999999999993</v>
      </c>
      <c r="M20" s="2"/>
      <c r="N20" s="7">
        <f t="shared" si="3"/>
        <v>-5.0577085801319997E-2</v>
      </c>
      <c r="O20" s="10"/>
      <c r="P20" s="6">
        <v>-133017.22</v>
      </c>
      <c r="Q20" s="2"/>
      <c r="R20" s="7">
        <f t="shared" si="4"/>
        <v>0</v>
      </c>
      <c r="S20" s="2"/>
      <c r="T20" s="6">
        <v>265062.99</v>
      </c>
      <c r="U20" s="2"/>
      <c r="V20" s="7">
        <f t="shared" si="5"/>
        <v>0</v>
      </c>
      <c r="W20" s="2"/>
      <c r="X20" s="6">
        <f t="shared" si="6"/>
        <v>-398080.20999999996</v>
      </c>
      <c r="Y20" s="2"/>
      <c r="Z20" s="7">
        <f t="shared" si="7"/>
        <v>-1.5018324889491361</v>
      </c>
    </row>
    <row r="21" spans="1:26" s="26" customFormat="1" outlineLevel="1" collapsed="1" x14ac:dyDescent="0.25">
      <c r="A21" s="27"/>
      <c r="B21" s="12" t="str">
        <f>CONCATENATE("     ","Bank/card Fees                                    ")</f>
        <v xml:space="preserve">     Bank/card Fees                                    </v>
      </c>
      <c r="C21" s="12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1512.97</v>
      </c>
      <c r="I21" s="1"/>
      <c r="J21" s="5">
        <f t="shared" si="1"/>
        <v>0</v>
      </c>
      <c r="K21" s="1"/>
      <c r="L21" s="1">
        <f t="shared" si="2"/>
        <v>-1505.97</v>
      </c>
      <c r="M21" s="1"/>
      <c r="N21" s="5">
        <f t="shared" si="3"/>
        <v>-0.99537333853281951</v>
      </c>
      <c r="O21" s="12"/>
      <c r="P21" s="1">
        <f>SUM(OSRRefP22_1x_0)</f>
        <v>5125.54</v>
      </c>
      <c r="Q21" s="1"/>
      <c r="R21" s="5">
        <f t="shared" si="4"/>
        <v>0</v>
      </c>
      <c r="S21" s="1"/>
      <c r="T21" s="1">
        <f>SUM(OSRRefT22_1x_0)</f>
        <v>41075.360000000001</v>
      </c>
      <c r="U21" s="1"/>
      <c r="V21" s="5">
        <f t="shared" si="5"/>
        <v>0</v>
      </c>
      <c r="W21" s="1"/>
      <c r="X21" s="1">
        <f t="shared" si="6"/>
        <v>-35949.82</v>
      </c>
      <c r="Y21" s="1"/>
      <c r="Z21" s="5">
        <f t="shared" si="7"/>
        <v>-0.8752161880017606</v>
      </c>
    </row>
    <row r="22" spans="1:26" s="23" customFormat="1" hidden="1" outlineLevel="2" x14ac:dyDescent="0.25">
      <c r="A22" s="25"/>
      <c r="B22" s="10" t="str">
        <f>CONCATENATE("          ", "6381", " - ", "BANK/CREDIT CARD FEES")</f>
        <v xml:space="preserve">          6381 - BANK/CREDIT CARD FEES</v>
      </c>
      <c r="C22" s="10"/>
      <c r="D22" s="6">
        <v>7</v>
      </c>
      <c r="E22" s="2"/>
      <c r="F22" s="7">
        <f t="shared" si="0"/>
        <v>0</v>
      </c>
      <c r="G22" s="2"/>
      <c r="H22" s="6">
        <v>1512.97</v>
      </c>
      <c r="I22" s="2"/>
      <c r="J22" s="7">
        <f t="shared" si="1"/>
        <v>0</v>
      </c>
      <c r="K22" s="2"/>
      <c r="L22" s="6">
        <f t="shared" si="2"/>
        <v>-1505.97</v>
      </c>
      <c r="M22" s="2"/>
      <c r="N22" s="7">
        <f t="shared" si="3"/>
        <v>-0.99537333853281951</v>
      </c>
      <c r="O22" s="10"/>
      <c r="P22" s="6">
        <v>5125.54</v>
      </c>
      <c r="Q22" s="2"/>
      <c r="R22" s="7">
        <f t="shared" si="4"/>
        <v>0</v>
      </c>
      <c r="S22" s="2"/>
      <c r="T22" s="6">
        <v>41075.360000000001</v>
      </c>
      <c r="U22" s="2"/>
      <c r="V22" s="7">
        <f t="shared" si="5"/>
        <v>0</v>
      </c>
      <c r="W22" s="2"/>
      <c r="X22" s="6">
        <f t="shared" si="6"/>
        <v>-35949.82</v>
      </c>
      <c r="Y22" s="2"/>
      <c r="Z22" s="7">
        <f t="shared" si="7"/>
        <v>-0.8752161880017606</v>
      </c>
    </row>
    <row r="23" spans="1:26" s="26" customFormat="1" outlineLevel="1" collapsed="1" x14ac:dyDescent="0.25">
      <c r="A23" s="27"/>
      <c r="B23" s="12" t="str">
        <f>CONCATENATE("     ","Board                                             ")</f>
        <v xml:space="preserve">     Board                                             </v>
      </c>
      <c r="C23" s="12"/>
      <c r="D23" s="1">
        <f>SUM(OSRRefD22_2x_0)</f>
        <v>685.41</v>
      </c>
      <c r="E23" s="1"/>
      <c r="F23" s="5">
        <f t="shared" si="0"/>
        <v>0</v>
      </c>
      <c r="G23" s="1"/>
      <c r="H23" s="1">
        <f>SUM(OSRRefH22_2x_0)</f>
        <v>2136.86</v>
      </c>
      <c r="I23" s="1"/>
      <c r="J23" s="5">
        <f t="shared" si="1"/>
        <v>0</v>
      </c>
      <c r="K23" s="1"/>
      <c r="L23" s="1">
        <f t="shared" si="2"/>
        <v>-1451.4500000000003</v>
      </c>
      <c r="M23" s="1"/>
      <c r="N23" s="5">
        <f t="shared" si="3"/>
        <v>-0.67924431174714306</v>
      </c>
      <c r="O23" s="12"/>
      <c r="P23" s="1">
        <f>SUM(OSRRefP22_2x_0)</f>
        <v>10832.16</v>
      </c>
      <c r="Q23" s="1"/>
      <c r="R23" s="5">
        <f t="shared" si="4"/>
        <v>0</v>
      </c>
      <c r="S23" s="1"/>
      <c r="T23" s="1">
        <f>SUM(OSRRefT22_2x_0)</f>
        <v>38502.71</v>
      </c>
      <c r="U23" s="1"/>
      <c r="V23" s="5">
        <f t="shared" si="5"/>
        <v>0</v>
      </c>
      <c r="W23" s="1"/>
      <c r="X23" s="1">
        <f t="shared" si="6"/>
        <v>-27670.55</v>
      </c>
      <c r="Y23" s="1"/>
      <c r="Z23" s="5">
        <f t="shared" si="7"/>
        <v>-0.71866499786638394</v>
      </c>
    </row>
    <row r="24" spans="1:26" s="23" customFormat="1" hidden="1" outlineLevel="2" x14ac:dyDescent="0.25">
      <c r="A24" s="25"/>
      <c r="B24" s="10" t="str">
        <f>CONCATENATE("          ", "6397", " - ", "BOARD EXPENSES")</f>
        <v xml:space="preserve">          6397 - BOARD EXPENSES</v>
      </c>
      <c r="C24" s="10"/>
      <c r="D24" s="6">
        <v>685.41</v>
      </c>
      <c r="E24" s="2"/>
      <c r="F24" s="7">
        <f t="shared" si="0"/>
        <v>0</v>
      </c>
      <c r="G24" s="2"/>
      <c r="H24" s="6">
        <v>2136.86</v>
      </c>
      <c r="I24" s="2"/>
      <c r="J24" s="7">
        <f t="shared" si="1"/>
        <v>0</v>
      </c>
      <c r="K24" s="2"/>
      <c r="L24" s="6">
        <f t="shared" si="2"/>
        <v>-1451.4500000000003</v>
      </c>
      <c r="M24" s="2"/>
      <c r="N24" s="7">
        <f t="shared" si="3"/>
        <v>-0.67924431174714306</v>
      </c>
      <c r="O24" s="10"/>
      <c r="P24" s="6">
        <v>10832.16</v>
      </c>
      <c r="Q24" s="2"/>
      <c r="R24" s="7">
        <f t="shared" si="4"/>
        <v>0</v>
      </c>
      <c r="S24" s="2"/>
      <c r="T24" s="6">
        <v>38502.71</v>
      </c>
      <c r="U24" s="2"/>
      <c r="V24" s="7">
        <f t="shared" si="5"/>
        <v>0</v>
      </c>
      <c r="W24" s="2"/>
      <c r="X24" s="6">
        <f t="shared" si="6"/>
        <v>-27670.55</v>
      </c>
      <c r="Y24" s="2"/>
      <c r="Z24" s="7">
        <f t="shared" si="7"/>
        <v>-0.71866499786638394</v>
      </c>
    </row>
    <row r="25" spans="1:26" s="26" customFormat="1" outlineLevel="1" collapsed="1" x14ac:dyDescent="0.25">
      <c r="A25" s="27"/>
      <c r="B25" s="12" t="str">
        <f>CONCATENATE("     ","Donations                                         ")</f>
        <v xml:space="preserve">     Donations                                         </v>
      </c>
      <c r="C25" s="12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2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103128.19</v>
      </c>
      <c r="U25" s="1"/>
      <c r="V25" s="5">
        <f t="shared" si="5"/>
        <v>0</v>
      </c>
      <c r="W25" s="1"/>
      <c r="X25" s="1">
        <f t="shared" si="6"/>
        <v>-103128.19</v>
      </c>
      <c r="Y25" s="1"/>
      <c r="Z25" s="5">
        <f t="shared" si="7"/>
        <v>-1</v>
      </c>
    </row>
    <row r="26" spans="1:26" s="23" customFormat="1" hidden="1" outlineLevel="2" x14ac:dyDescent="0.25">
      <c r="A26" s="25"/>
      <c r="B26" s="10" t="str">
        <f>CONCATENATE("          ", "6399", " - ", "DONATION-ON CAMPUS")</f>
        <v xml:space="preserve">          6399 - DONATION-ON CAMPUS</v>
      </c>
      <c r="C26" s="10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/>
      <c r="Q26" s="2"/>
      <c r="R26" s="7">
        <f t="shared" si="4"/>
        <v>0</v>
      </c>
      <c r="S26" s="2"/>
      <c r="T26" s="6">
        <v>103128.19</v>
      </c>
      <c r="U26" s="2"/>
      <c r="V26" s="7">
        <f t="shared" si="5"/>
        <v>0</v>
      </c>
      <c r="W26" s="2"/>
      <c r="X26" s="6">
        <f t="shared" si="6"/>
        <v>-103128.19</v>
      </c>
      <c r="Y26" s="2"/>
      <c r="Z26" s="7">
        <f t="shared" si="7"/>
        <v>-1</v>
      </c>
    </row>
    <row r="27" spans="1:26" s="26" customFormat="1" outlineLevel="1" collapsed="1" x14ac:dyDescent="0.25">
      <c r="A27" s="27"/>
      <c r="B27" s="12" t="str">
        <f>CONCATENATE("     ","Professional Services                             ")</f>
        <v xml:space="preserve">     Professional Services                             </v>
      </c>
      <c r="C27" s="12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2"/>
      <c r="P27" s="1">
        <f>SUM(OSRRefP22_4x_0)</f>
        <v>34982.25</v>
      </c>
      <c r="Q27" s="1"/>
      <c r="R27" s="5">
        <f t="shared" si="4"/>
        <v>0</v>
      </c>
      <c r="S27" s="1"/>
      <c r="T27" s="1">
        <f>SUM(OSRRefT22_4x_0)</f>
        <v>49748.24</v>
      </c>
      <c r="U27" s="1"/>
      <c r="V27" s="5">
        <f t="shared" si="5"/>
        <v>0</v>
      </c>
      <c r="W27" s="1"/>
      <c r="X27" s="1">
        <f t="shared" si="6"/>
        <v>-14765.989999999998</v>
      </c>
      <c r="Y27" s="1"/>
      <c r="Z27" s="5">
        <f t="shared" si="7"/>
        <v>-0.29681431946135178</v>
      </c>
    </row>
    <row r="28" spans="1:26" s="23" customFormat="1" hidden="1" outlineLevel="2" x14ac:dyDescent="0.25">
      <c r="A28" s="25"/>
      <c r="B28" s="10" t="str">
        <f>CONCATENATE("          ", "6331", " - ", "INDIRECT COSTS-AUXILIARY ORGAN")</f>
        <v xml:space="preserve">          6331 - INDIRECT COSTS-AUXILIARY ORGAN</v>
      </c>
      <c r="C28" s="10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0"/>
      <c r="P28" s="6">
        <v>34982.25</v>
      </c>
      <c r="Q28" s="2"/>
      <c r="R28" s="7">
        <f t="shared" si="4"/>
        <v>0</v>
      </c>
      <c r="S28" s="2"/>
      <c r="T28" s="6">
        <v>34686</v>
      </c>
      <c r="U28" s="2"/>
      <c r="V28" s="7">
        <f t="shared" si="5"/>
        <v>0</v>
      </c>
      <c r="W28" s="2"/>
      <c r="X28" s="6">
        <f t="shared" si="6"/>
        <v>296.25</v>
      </c>
      <c r="Y28" s="2"/>
      <c r="Z28" s="7">
        <f t="shared" si="7"/>
        <v>8.5409098771838787E-3</v>
      </c>
    </row>
    <row r="29" spans="1:26" s="23" customFormat="1" hidden="1" outlineLevel="2" x14ac:dyDescent="0.25">
      <c r="A29" s="25"/>
      <c r="B29" s="10" t="str">
        <f>CONCATENATE("          ", "6332", " - ", "CONSULTANT FEES")</f>
        <v xml:space="preserve">          6332 - CONSULTANT FEES</v>
      </c>
      <c r="C29" s="10"/>
      <c r="D29" s="6"/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0"/>
      <c r="P29" s="6"/>
      <c r="Q29" s="2"/>
      <c r="R29" s="7">
        <f t="shared" si="4"/>
        <v>0</v>
      </c>
      <c r="S29" s="2"/>
      <c r="T29" s="6">
        <v>15062.24</v>
      </c>
      <c r="U29" s="2"/>
      <c r="V29" s="7">
        <f t="shared" si="5"/>
        <v>0</v>
      </c>
      <c r="W29" s="2"/>
      <c r="X29" s="6">
        <f t="shared" si="6"/>
        <v>-15062.24</v>
      </c>
      <c r="Y29" s="2"/>
      <c r="Z29" s="7">
        <f t="shared" si="7"/>
        <v>-1</v>
      </c>
    </row>
    <row r="30" spans="1:26" s="60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4" customFormat="1" x14ac:dyDescent="0.25">
      <c r="A31" s="11"/>
      <c r="B31" s="28" t="s">
        <v>292</v>
      </c>
      <c r="C31" s="11"/>
      <c r="D31" s="4">
        <f>SUM(0)</f>
        <v>0</v>
      </c>
      <c r="E31" s="4"/>
      <c r="F31" s="13">
        <f>IF(D$12=0,0,D31/D$12)</f>
        <v>0</v>
      </c>
      <c r="G31" s="4"/>
      <c r="H31" s="4">
        <f>SUM(0)</f>
        <v>0</v>
      </c>
      <c r="I31" s="4"/>
      <c r="J31" s="13">
        <f>IF(H$12=0,0,H31/H$12)</f>
        <v>0</v>
      </c>
      <c r="K31" s="4"/>
      <c r="L31" s="4">
        <f>+D31-H31</f>
        <v>0</v>
      </c>
      <c r="M31" s="4"/>
      <c r="N31" s="13">
        <f>IF(H31=0,0,L31/H31)</f>
        <v>0</v>
      </c>
      <c r="O31" s="11"/>
      <c r="P31" s="4">
        <f>SUM(0)</f>
        <v>0</v>
      </c>
      <c r="Q31" s="4"/>
      <c r="R31" s="13">
        <f>IF(P$12=0,0,P31/P$12)</f>
        <v>0</v>
      </c>
      <c r="S31" s="4"/>
      <c r="T31" s="4">
        <f>SUM(0)</f>
        <v>0</v>
      </c>
      <c r="U31" s="4"/>
      <c r="V31" s="13">
        <f>IF(T$12=0,0,T31/T$12)</f>
        <v>0</v>
      </c>
      <c r="W31" s="4"/>
      <c r="X31" s="4">
        <f>+P31-T31</f>
        <v>0</v>
      </c>
      <c r="Y31" s="4"/>
      <c r="Z31" s="13">
        <f>IF(T31=0,0,X31/T31)</f>
        <v>0</v>
      </c>
    </row>
    <row r="32" spans="1:26" x14ac:dyDescent="0.25">
      <c r="A32" s="9"/>
      <c r="B32" s="11"/>
      <c r="C32" s="11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1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11"/>
      <c r="B33" s="29" t="s">
        <v>276</v>
      </c>
      <c r="C33" s="29"/>
      <c r="D33" s="22">
        <f>+D16-D18+D31</f>
        <v>-28743.11</v>
      </c>
      <c r="E33" s="14"/>
      <c r="F33" s="20">
        <f>IF(D$12=0,0,D33/D$12)</f>
        <v>0</v>
      </c>
      <c r="G33" s="14"/>
      <c r="H33" s="22">
        <f>+H16-H18+H31</f>
        <v>-33194.83</v>
      </c>
      <c r="I33" s="14"/>
      <c r="J33" s="20">
        <f>IF(H$12=0,0,H33/H$12)</f>
        <v>0</v>
      </c>
      <c r="K33" s="15"/>
      <c r="L33" s="22">
        <f>+D33-H33</f>
        <v>4451.7200000000012</v>
      </c>
      <c r="M33" s="15"/>
      <c r="N33" s="20">
        <f>IF(H33=0,0,L33/H33)</f>
        <v>-0.13410883562289672</v>
      </c>
      <c r="O33" s="28"/>
      <c r="P33" s="22">
        <f>+P16-P18+P31</f>
        <v>82077.27</v>
      </c>
      <c r="Q33" s="14"/>
      <c r="R33" s="20">
        <f>IF(P$12=0,0,P33/P$12)</f>
        <v>0</v>
      </c>
      <c r="S33" s="14"/>
      <c r="T33" s="22">
        <f>+T16-T18+T31</f>
        <v>-497517.49</v>
      </c>
      <c r="U33" s="14"/>
      <c r="V33" s="20">
        <f>IF(T$12=0,0,T33/T$12)</f>
        <v>0</v>
      </c>
      <c r="W33" s="15"/>
      <c r="X33" s="22">
        <f>+P33-T33</f>
        <v>579594.76</v>
      </c>
      <c r="Y33" s="15"/>
      <c r="Z33" s="20">
        <f>IF(T33=0,0,X33/T33)</f>
        <v>-1.1649736374092095</v>
      </c>
    </row>
    <row r="34" spans="1:26" x14ac:dyDescent="0.25">
      <c r="A34" s="9"/>
      <c r="B34" s="11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4" customFormat="1" x14ac:dyDescent="0.25">
      <c r="A35" s="51"/>
      <c r="B35" s="11" t="s">
        <v>127</v>
      </c>
      <c r="C35" s="11"/>
      <c r="D35" s="4"/>
      <c r="E35" s="4"/>
      <c r="F35" s="13">
        <f>IF(D$12=0,0,D35/D$12)</f>
        <v>0</v>
      </c>
      <c r="G35" s="4"/>
      <c r="H35" s="4"/>
      <c r="I35" s="4"/>
      <c r="J35" s="13">
        <f>IF(H$12=0,0,H35/H$12)</f>
        <v>0</v>
      </c>
      <c r="K35" s="4"/>
      <c r="L35" s="4">
        <f>+D35-H35</f>
        <v>0</v>
      </c>
      <c r="M35" s="4"/>
      <c r="N35" s="13">
        <f>IF(H35=0,0,L35/H35)</f>
        <v>0</v>
      </c>
      <c r="O35" s="11"/>
      <c r="P35" s="4"/>
      <c r="Q35" s="4"/>
      <c r="R35" s="13">
        <f>IF(P$12=0,0,P35/P$12)</f>
        <v>0</v>
      </c>
      <c r="S35" s="4"/>
      <c r="T35" s="4"/>
      <c r="U35" s="4"/>
      <c r="V35" s="13">
        <f>IF(T$12=0,0,T35/T$12)</f>
        <v>0</v>
      </c>
      <c r="W35" s="4"/>
      <c r="X35" s="4">
        <f>+P35-T35</f>
        <v>0</v>
      </c>
      <c r="Y35" s="4"/>
      <c r="Z35" s="13">
        <f>IF(T35=0,0,X35/T35)</f>
        <v>0</v>
      </c>
    </row>
    <row r="36" spans="1:26" x14ac:dyDescent="0.25">
      <c r="A36" s="9"/>
      <c r="B36" s="11"/>
      <c r="C36" s="11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1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4" customFormat="1" ht="15.75" thickBot="1" x14ac:dyDescent="0.3">
      <c r="A37" s="11"/>
      <c r="B37" s="29" t="s">
        <v>125</v>
      </c>
      <c r="C37" s="29"/>
      <c r="D37" s="30">
        <f>+D33-D35</f>
        <v>-28743.11</v>
      </c>
      <c r="E37" s="14"/>
      <c r="F37" s="36">
        <f>IF(D$12=0,0,D37/D$12)</f>
        <v>0</v>
      </c>
      <c r="G37" s="14"/>
      <c r="H37" s="30">
        <f>+H33-H35</f>
        <v>-33194.83</v>
      </c>
      <c r="I37" s="14"/>
      <c r="J37" s="36">
        <f>IF(H$12=0,0,H37/H$12)</f>
        <v>0</v>
      </c>
      <c r="K37" s="15"/>
      <c r="L37" s="30">
        <f>D37-H37</f>
        <v>4451.7200000000012</v>
      </c>
      <c r="M37" s="15"/>
      <c r="N37" s="36">
        <f>IF(H37=0,0,L37/H37)</f>
        <v>-0.13410883562289672</v>
      </c>
      <c r="O37" s="28"/>
      <c r="P37" s="30">
        <f>+P33-P35</f>
        <v>82077.27</v>
      </c>
      <c r="Q37" s="14"/>
      <c r="R37" s="36">
        <f>IF(P$12=0,0,P37/P$12)</f>
        <v>0</v>
      </c>
      <c r="S37" s="14"/>
      <c r="T37" s="30">
        <f>+T33-T35</f>
        <v>-497517.49</v>
      </c>
      <c r="U37" s="14"/>
      <c r="V37" s="36">
        <f>IF(T$12=0,0,T37/T$12)</f>
        <v>0</v>
      </c>
      <c r="W37" s="15"/>
      <c r="X37" s="30">
        <f>P37-T37</f>
        <v>579594.76</v>
      </c>
      <c r="Y37" s="15"/>
      <c r="Z37" s="36">
        <f>IF(T37=0,0,X37/T37)</f>
        <v>-1.1649736374092095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ht="15.75" thickBot="1" x14ac:dyDescent="0.3">
      <c r="A40" s="11"/>
      <c r="B40" s="29" t="s">
        <v>293</v>
      </c>
      <c r="C40" s="29"/>
      <c r="D40" s="35">
        <f>SUM(D37:D39)</f>
        <v>-28743.11</v>
      </c>
      <c r="E40" s="14"/>
      <c r="F40" s="34">
        <f>IF(D$12=0,0,D40/D$12)</f>
        <v>0</v>
      </c>
      <c r="G40" s="14"/>
      <c r="H40" s="35">
        <f>SUM(H37:H39)</f>
        <v>-33194.83</v>
      </c>
      <c r="I40" s="14"/>
      <c r="J40" s="34">
        <f>IF(H$12=0,0,H40/H$12)</f>
        <v>0</v>
      </c>
      <c r="K40" s="15"/>
      <c r="L40" s="35">
        <f>+D40-H40</f>
        <v>4451.7200000000012</v>
      </c>
      <c r="M40" s="15"/>
      <c r="N40" s="34">
        <f>IF(H40=0,0,L40/H40)</f>
        <v>-0.13410883562289672</v>
      </c>
      <c r="O40" s="28"/>
      <c r="P40" s="35">
        <f>SUM(P37:P39)</f>
        <v>82077.27</v>
      </c>
      <c r="Q40" s="14"/>
      <c r="R40" s="34">
        <f>IF(P$12=0,0,P40/P$12)</f>
        <v>0</v>
      </c>
      <c r="S40" s="14"/>
      <c r="T40" s="35">
        <f>SUM(T37:T39)</f>
        <v>-497517.49</v>
      </c>
      <c r="U40" s="14"/>
      <c r="V40" s="34">
        <f>IF(T$12=0,0,T40/T$12)</f>
        <v>0</v>
      </c>
      <c r="W40" s="15"/>
      <c r="X40" s="35">
        <f>+P40-T40</f>
        <v>579594.76</v>
      </c>
      <c r="Y40" s="15"/>
      <c r="Z40" s="34">
        <f>IF(T40=0,0,X40/T40)</f>
        <v>-1.1649736374092095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4">
        <v>44295.963243634258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58" t="s">
        <v>56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62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","201", " - ", "General Manager")</f>
        <v>Department 201 - General Manager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33993.58</v>
      </c>
      <c r="E18" s="21"/>
      <c r="F18" s="31">
        <f t="shared" ref="F18:F27" si="0">IF(D$12=0,0,D18/D$12)</f>
        <v>0</v>
      </c>
      <c r="G18" s="21"/>
      <c r="H18" s="21">
        <f>SUM(OSRRefH22x_0)</f>
        <v>38606.709999999992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-4613.1299999999901</v>
      </c>
      <c r="M18" s="4"/>
      <c r="N18" s="31">
        <f t="shared" ref="N18:N27" si="3">IF(H18=0,0,L18/H18)</f>
        <v>-0.11949036838414853</v>
      </c>
      <c r="O18" s="11"/>
      <c r="P18" s="21">
        <f>SUM(OSRRefP22x_0)</f>
        <v>333115.45999999996</v>
      </c>
      <c r="Q18" s="21"/>
      <c r="R18" s="31">
        <f t="shared" ref="R18:R27" si="4">IF(P$12=0,0,P18/P$12)</f>
        <v>0</v>
      </c>
      <c r="S18" s="21"/>
      <c r="T18" s="21">
        <f>SUM(OSRRefT22x_0)</f>
        <v>552368.17999999982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-219252.71999999986</v>
      </c>
      <c r="Y18" s="4"/>
      <c r="Z18" s="31">
        <f t="shared" ref="Z18:Z27" si="7">IF(T18=0,0,X18/T18)</f>
        <v>-0.39693220561691284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10085.009999999998</v>
      </c>
      <c r="E19" s="1"/>
      <c r="F19" s="5">
        <f t="shared" si="0"/>
        <v>0</v>
      </c>
      <c r="G19" s="1"/>
      <c r="H19" s="1">
        <f>SUM(OSRRefH22_0x_0)</f>
        <v>10102.949999999999</v>
      </c>
      <c r="I19" s="1"/>
      <c r="J19" s="5">
        <f t="shared" si="1"/>
        <v>0</v>
      </c>
      <c r="K19" s="1"/>
      <c r="L19" s="1">
        <f t="shared" si="2"/>
        <v>-17.940000000000509</v>
      </c>
      <c r="M19" s="1"/>
      <c r="N19" s="5">
        <f t="shared" si="3"/>
        <v>-1.7757189731712531E-3</v>
      </c>
      <c r="O19" s="12"/>
      <c r="P19" s="1">
        <f>SUM(OSRRefP22_0x_0)</f>
        <v>96335.540000000008</v>
      </c>
      <c r="Q19" s="1"/>
      <c r="R19" s="5">
        <f t="shared" si="4"/>
        <v>0</v>
      </c>
      <c r="S19" s="1"/>
      <c r="T19" s="1">
        <f>SUM(OSRRefT22_0x_0)</f>
        <v>129643.74000000002</v>
      </c>
      <c r="U19" s="1"/>
      <c r="V19" s="5">
        <f t="shared" si="5"/>
        <v>0</v>
      </c>
      <c r="W19" s="1"/>
      <c r="X19" s="1">
        <f t="shared" si="6"/>
        <v>-33308.200000000012</v>
      </c>
      <c r="Y19" s="1"/>
      <c r="Z19" s="5">
        <f t="shared" si="7"/>
        <v>-0.25692100521012434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1454.4</v>
      </c>
      <c r="E20" s="2"/>
      <c r="F20" s="7">
        <f t="shared" si="0"/>
        <v>0</v>
      </c>
      <c r="G20" s="2"/>
      <c r="H20" s="6">
        <v>1472.79</v>
      </c>
      <c r="I20" s="2"/>
      <c r="J20" s="7">
        <f t="shared" si="1"/>
        <v>0</v>
      </c>
      <c r="K20" s="2"/>
      <c r="L20" s="6">
        <f t="shared" si="2"/>
        <v>-18.389999999999873</v>
      </c>
      <c r="M20" s="2"/>
      <c r="N20" s="7">
        <f t="shared" si="3"/>
        <v>-1.2486505204407874E-2</v>
      </c>
      <c r="O20" s="10"/>
      <c r="P20" s="6">
        <v>11196.91</v>
      </c>
      <c r="Q20" s="2"/>
      <c r="R20" s="7">
        <f t="shared" si="4"/>
        <v>0</v>
      </c>
      <c r="S20" s="2"/>
      <c r="T20" s="6">
        <v>17280.11</v>
      </c>
      <c r="U20" s="2"/>
      <c r="V20" s="7">
        <f t="shared" si="5"/>
        <v>0</v>
      </c>
      <c r="W20" s="2"/>
      <c r="X20" s="6">
        <f t="shared" si="6"/>
        <v>-6083.2000000000007</v>
      </c>
      <c r="Y20" s="2"/>
      <c r="Z20" s="7">
        <f t="shared" si="7"/>
        <v>-0.35203479607479354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62.74</v>
      </c>
      <c r="E21" s="2"/>
      <c r="F21" s="7">
        <f t="shared" si="0"/>
        <v>0</v>
      </c>
      <c r="G21" s="2"/>
      <c r="H21" s="6">
        <v>70.53</v>
      </c>
      <c r="I21" s="2"/>
      <c r="J21" s="7">
        <f t="shared" si="1"/>
        <v>0</v>
      </c>
      <c r="K21" s="2"/>
      <c r="L21" s="6">
        <f t="shared" si="2"/>
        <v>-7.7899999999999991</v>
      </c>
      <c r="M21" s="2"/>
      <c r="N21" s="7">
        <f t="shared" si="3"/>
        <v>-0.11044945413299304</v>
      </c>
      <c r="O21" s="10"/>
      <c r="P21" s="6">
        <v>694.07</v>
      </c>
      <c r="Q21" s="2"/>
      <c r="R21" s="7">
        <f t="shared" si="4"/>
        <v>0</v>
      </c>
      <c r="S21" s="2"/>
      <c r="T21" s="6">
        <v>1058.23</v>
      </c>
      <c r="U21" s="2"/>
      <c r="V21" s="7">
        <f t="shared" si="5"/>
        <v>0</v>
      </c>
      <c r="W21" s="2"/>
      <c r="X21" s="6">
        <f t="shared" si="6"/>
        <v>-364.15999999999997</v>
      </c>
      <c r="Y21" s="2"/>
      <c r="Z21" s="7">
        <f t="shared" si="7"/>
        <v>-0.34412178826909079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3917.15</v>
      </c>
      <c r="E22" s="2"/>
      <c r="F22" s="7">
        <f t="shared" si="0"/>
        <v>0</v>
      </c>
      <c r="G22" s="2"/>
      <c r="H22" s="6">
        <v>3965.44</v>
      </c>
      <c r="I22" s="2"/>
      <c r="J22" s="7">
        <f t="shared" si="1"/>
        <v>0</v>
      </c>
      <c r="K22" s="2"/>
      <c r="L22" s="6">
        <f t="shared" si="2"/>
        <v>-48.289999999999964</v>
      </c>
      <c r="M22" s="2"/>
      <c r="N22" s="7">
        <f t="shared" si="3"/>
        <v>-1.2177715461588112E-2</v>
      </c>
      <c r="O22" s="10"/>
      <c r="P22" s="6">
        <v>35965.370000000003</v>
      </c>
      <c r="Q22" s="2"/>
      <c r="R22" s="7">
        <f t="shared" si="4"/>
        <v>0</v>
      </c>
      <c r="S22" s="2"/>
      <c r="T22" s="6">
        <v>37036.18</v>
      </c>
      <c r="U22" s="2"/>
      <c r="V22" s="7">
        <f t="shared" si="5"/>
        <v>0</v>
      </c>
      <c r="W22" s="2"/>
      <c r="X22" s="6">
        <f t="shared" si="6"/>
        <v>-1070.8099999999977</v>
      </c>
      <c r="Y22" s="2"/>
      <c r="Z22" s="7">
        <f t="shared" si="7"/>
        <v>-2.8912539036153234E-2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49.43</v>
      </c>
      <c r="E23" s="2"/>
      <c r="F23" s="7">
        <f t="shared" si="0"/>
        <v>0</v>
      </c>
      <c r="G23" s="2"/>
      <c r="H23" s="6">
        <v>53.94</v>
      </c>
      <c r="I23" s="2"/>
      <c r="J23" s="7">
        <f t="shared" si="1"/>
        <v>0</v>
      </c>
      <c r="K23" s="2"/>
      <c r="L23" s="6">
        <f t="shared" si="2"/>
        <v>-4.509999999999998</v>
      </c>
      <c r="M23" s="2"/>
      <c r="N23" s="7">
        <f t="shared" si="3"/>
        <v>-8.3611420096403377E-2</v>
      </c>
      <c r="O23" s="10"/>
      <c r="P23" s="6">
        <v>546.85</v>
      </c>
      <c r="Q23" s="2"/>
      <c r="R23" s="7">
        <f t="shared" si="4"/>
        <v>0</v>
      </c>
      <c r="S23" s="2"/>
      <c r="T23" s="6">
        <v>965.92</v>
      </c>
      <c r="U23" s="2"/>
      <c r="V23" s="7">
        <f t="shared" si="5"/>
        <v>0</v>
      </c>
      <c r="W23" s="2"/>
      <c r="X23" s="6">
        <f t="shared" si="6"/>
        <v>-419.06999999999994</v>
      </c>
      <c r="Y23" s="2"/>
      <c r="Z23" s="7">
        <f t="shared" si="7"/>
        <v>-0.43385580586383959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2049.0300000000002</v>
      </c>
      <c r="E24" s="2"/>
      <c r="F24" s="7">
        <f t="shared" si="0"/>
        <v>0</v>
      </c>
      <c r="G24" s="2"/>
      <c r="H24" s="6">
        <v>1898.57</v>
      </c>
      <c r="I24" s="2"/>
      <c r="J24" s="7">
        <f t="shared" si="1"/>
        <v>0</v>
      </c>
      <c r="K24" s="2"/>
      <c r="L24" s="6">
        <f t="shared" si="2"/>
        <v>150.46000000000026</v>
      </c>
      <c r="M24" s="2"/>
      <c r="N24" s="7">
        <f t="shared" si="3"/>
        <v>7.9249119073829394E-2</v>
      </c>
      <c r="O24" s="10"/>
      <c r="P24" s="6">
        <v>23665.62</v>
      </c>
      <c r="Q24" s="2"/>
      <c r="R24" s="7">
        <f t="shared" si="4"/>
        <v>0</v>
      </c>
      <c r="S24" s="2"/>
      <c r="T24" s="6">
        <v>26353.57</v>
      </c>
      <c r="U24" s="2"/>
      <c r="V24" s="7">
        <f t="shared" si="5"/>
        <v>0</v>
      </c>
      <c r="W24" s="2"/>
      <c r="X24" s="6">
        <f t="shared" si="6"/>
        <v>-2687.9500000000007</v>
      </c>
      <c r="Y24" s="2"/>
      <c r="Z24" s="7">
        <f t="shared" si="7"/>
        <v>-0.10199566889798994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>
        <v>1658.98</v>
      </c>
      <c r="E25" s="2"/>
      <c r="F25" s="7">
        <f t="shared" si="0"/>
        <v>0</v>
      </c>
      <c r="G25" s="2"/>
      <c r="H25" s="6">
        <v>1621.64</v>
      </c>
      <c r="I25" s="2"/>
      <c r="J25" s="7">
        <f t="shared" si="1"/>
        <v>0</v>
      </c>
      <c r="K25" s="2"/>
      <c r="L25" s="6">
        <f t="shared" si="2"/>
        <v>37.339999999999918</v>
      </c>
      <c r="M25" s="2"/>
      <c r="N25" s="7">
        <f t="shared" si="3"/>
        <v>2.3026072371179741E-2</v>
      </c>
      <c r="O25" s="10"/>
      <c r="P25" s="6">
        <v>15760.31</v>
      </c>
      <c r="Q25" s="2"/>
      <c r="R25" s="7">
        <f t="shared" si="4"/>
        <v>0</v>
      </c>
      <c r="S25" s="2"/>
      <c r="T25" s="6">
        <v>21374.1</v>
      </c>
      <c r="U25" s="2"/>
      <c r="V25" s="7">
        <f t="shared" si="5"/>
        <v>0</v>
      </c>
      <c r="W25" s="2"/>
      <c r="X25" s="6">
        <f t="shared" si="6"/>
        <v>-5613.7899999999991</v>
      </c>
      <c r="Y25" s="2"/>
      <c r="Z25" s="7">
        <f t="shared" si="7"/>
        <v>-0.2626445090085664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>
        <v>856.8</v>
      </c>
      <c r="E26" s="2"/>
      <c r="F26" s="7">
        <f t="shared" si="0"/>
        <v>0</v>
      </c>
      <c r="G26" s="2"/>
      <c r="H26" s="6">
        <v>856.8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8139.6</v>
      </c>
      <c r="Q26" s="2"/>
      <c r="R26" s="7">
        <f t="shared" si="4"/>
        <v>0</v>
      </c>
      <c r="S26" s="2"/>
      <c r="T26" s="6">
        <v>22970</v>
      </c>
      <c r="U26" s="2"/>
      <c r="V26" s="7">
        <f t="shared" si="5"/>
        <v>0</v>
      </c>
      <c r="W26" s="2"/>
      <c r="X26" s="6">
        <f t="shared" si="6"/>
        <v>-14830.4</v>
      </c>
      <c r="Y26" s="2"/>
      <c r="Z26" s="7">
        <f t="shared" si="7"/>
        <v>-0.64564214192424896</v>
      </c>
    </row>
    <row r="27" spans="1:26" s="23" customFormat="1" hidden="1" outlineLevel="2" x14ac:dyDescent="0.25">
      <c r="A27" s="25"/>
      <c r="B27" s="10" t="str">
        <f>CONCATENATE("          ", "6156", " - ", "EMPLOYEE MEALS")</f>
        <v xml:space="preserve">          6156 - EMPLOYEE MEALS</v>
      </c>
      <c r="C27" s="10"/>
      <c r="D27" s="6">
        <v>36.479999999999997</v>
      </c>
      <c r="E27" s="2"/>
      <c r="F27" s="7">
        <f t="shared" si="0"/>
        <v>0</v>
      </c>
      <c r="G27" s="2"/>
      <c r="H27" s="6">
        <v>163.24</v>
      </c>
      <c r="I27" s="2"/>
      <c r="J27" s="7">
        <f t="shared" si="1"/>
        <v>0</v>
      </c>
      <c r="K27" s="2"/>
      <c r="L27" s="6">
        <f t="shared" si="2"/>
        <v>-126.76000000000002</v>
      </c>
      <c r="M27" s="2"/>
      <c r="N27" s="7">
        <f t="shared" si="3"/>
        <v>-0.77652536143102191</v>
      </c>
      <c r="O27" s="10"/>
      <c r="P27" s="6">
        <v>366.81</v>
      </c>
      <c r="Q27" s="2"/>
      <c r="R27" s="7">
        <f t="shared" si="4"/>
        <v>0</v>
      </c>
      <c r="S27" s="2"/>
      <c r="T27" s="6">
        <v>2605.63</v>
      </c>
      <c r="U27" s="2"/>
      <c r="V27" s="7">
        <f t="shared" si="5"/>
        <v>0</v>
      </c>
      <c r="W27" s="2"/>
      <c r="X27" s="6">
        <f t="shared" si="6"/>
        <v>-2238.8200000000002</v>
      </c>
      <c r="Y27" s="2"/>
      <c r="Z27" s="7">
        <f t="shared" si="7"/>
        <v>-0.8592240648135</v>
      </c>
    </row>
    <row r="28" spans="1:26" s="26" customFormat="1" outlineLevel="1" collapsed="1" x14ac:dyDescent="0.25">
      <c r="A28" s="27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18866.940000000002</v>
      </c>
      <c r="E28" s="1"/>
      <c r="F28" s="5">
        <f t="shared" ref="F28:F31" si="8">IF(D$12=0,0,D28/D$12)</f>
        <v>0</v>
      </c>
      <c r="G28" s="1"/>
      <c r="H28" s="1">
        <f>SUM(OSRRefH22_1x_0)</f>
        <v>20849.920000000002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-1982.9799999999996</v>
      </c>
      <c r="M28" s="1"/>
      <c r="N28" s="5">
        <f t="shared" ref="N28:N31" si="11">IF(H28=0,0,L28/H28)</f>
        <v>-9.5107319356621006E-2</v>
      </c>
      <c r="O28" s="12"/>
      <c r="P28" s="1">
        <f>SUM(OSRRefP22_1x_0)</f>
        <v>128965.41</v>
      </c>
      <c r="Q28" s="1"/>
      <c r="R28" s="5">
        <f t="shared" ref="R28:R31" si="12">IF(P$12=0,0,P28/P$12)</f>
        <v>0</v>
      </c>
      <c r="S28" s="1"/>
      <c r="T28" s="1">
        <f>SUM(OSRRefT22_1x_0)</f>
        <v>145488.78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-16523.369999999995</v>
      </c>
      <c r="Y28" s="1"/>
      <c r="Z28" s="5">
        <f t="shared" ref="Z28:Z31" si="15">IF(T28=0,0,X28/T28)</f>
        <v>-0.11357143829235489</v>
      </c>
    </row>
    <row r="29" spans="1:26" s="23" customFormat="1" hidden="1" outlineLevel="2" x14ac:dyDescent="0.25">
      <c r="A29" s="25"/>
      <c r="B29" s="10" t="str">
        <f>CONCATENATE("          ", "6001", " - ", "ADMINISTRATIVE SALARIES")</f>
        <v xml:space="preserve">          6001 - ADMINISTRATIVE SALARIES</v>
      </c>
      <c r="C29" s="10"/>
      <c r="D29" s="6">
        <v>14215.28</v>
      </c>
      <c r="E29" s="2"/>
      <c r="F29" s="7">
        <f t="shared" si="8"/>
        <v>0</v>
      </c>
      <c r="G29" s="2"/>
      <c r="H29" s="6">
        <v>14140.28</v>
      </c>
      <c r="I29" s="2"/>
      <c r="J29" s="7">
        <f t="shared" si="9"/>
        <v>0</v>
      </c>
      <c r="K29" s="2"/>
      <c r="L29" s="6">
        <f t="shared" si="10"/>
        <v>75</v>
      </c>
      <c r="M29" s="2"/>
      <c r="N29" s="7">
        <f t="shared" si="11"/>
        <v>5.3039968091155194E-3</v>
      </c>
      <c r="O29" s="10"/>
      <c r="P29" s="6">
        <v>133190.09</v>
      </c>
      <c r="Q29" s="2"/>
      <c r="R29" s="7">
        <f t="shared" si="12"/>
        <v>0</v>
      </c>
      <c r="S29" s="2"/>
      <c r="T29" s="6">
        <v>141114.04</v>
      </c>
      <c r="U29" s="2"/>
      <c r="V29" s="7">
        <f t="shared" si="13"/>
        <v>0</v>
      </c>
      <c r="W29" s="2"/>
      <c r="X29" s="6">
        <f t="shared" si="14"/>
        <v>-7923.9500000000116</v>
      </c>
      <c r="Y29" s="2"/>
      <c r="Z29" s="7">
        <f t="shared" si="15"/>
        <v>-5.6152810875516081E-2</v>
      </c>
    </row>
    <row r="30" spans="1:26" s="23" customFormat="1" hidden="1" outlineLevel="2" x14ac:dyDescent="0.25">
      <c r="A30" s="25"/>
      <c r="B30" s="10" t="str">
        <f>CONCATENATE("          ", "6002", " - ", "STAFF SALARIES")</f>
        <v xml:space="preserve">          6002 - STAFF SALARIES</v>
      </c>
      <c r="C30" s="10"/>
      <c r="D30" s="6">
        <v>4651.66</v>
      </c>
      <c r="E30" s="2"/>
      <c r="F30" s="7">
        <f t="shared" si="8"/>
        <v>0</v>
      </c>
      <c r="G30" s="2"/>
      <c r="H30" s="6">
        <v>4651.66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0"/>
      <c r="P30" s="6">
        <v>40732.61</v>
      </c>
      <c r="Q30" s="2"/>
      <c r="R30" s="7">
        <f t="shared" si="12"/>
        <v>0</v>
      </c>
      <c r="S30" s="2"/>
      <c r="T30" s="6">
        <v>42354.46</v>
      </c>
      <c r="U30" s="2"/>
      <c r="V30" s="7">
        <f t="shared" si="13"/>
        <v>0</v>
      </c>
      <c r="W30" s="2"/>
      <c r="X30" s="6">
        <f t="shared" si="14"/>
        <v>-1621.8499999999985</v>
      </c>
      <c r="Y30" s="2"/>
      <c r="Z30" s="7">
        <f t="shared" si="15"/>
        <v>-3.829230735086691E-2</v>
      </c>
    </row>
    <row r="31" spans="1:26" s="23" customFormat="1" hidden="1" outlineLevel="2" x14ac:dyDescent="0.25">
      <c r="A31" s="25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8"/>
        <v>0</v>
      </c>
      <c r="G31" s="2"/>
      <c r="H31" s="6">
        <v>2057.98</v>
      </c>
      <c r="I31" s="2"/>
      <c r="J31" s="7">
        <f t="shared" si="9"/>
        <v>0</v>
      </c>
      <c r="K31" s="2"/>
      <c r="L31" s="6">
        <f t="shared" si="10"/>
        <v>-2057.98</v>
      </c>
      <c r="M31" s="2"/>
      <c r="N31" s="7">
        <f t="shared" si="11"/>
        <v>-1</v>
      </c>
      <c r="O31" s="10"/>
      <c r="P31" s="6">
        <v>-44957.29</v>
      </c>
      <c r="Q31" s="2"/>
      <c r="R31" s="7">
        <f t="shared" si="12"/>
        <v>0</v>
      </c>
      <c r="S31" s="2"/>
      <c r="T31" s="6">
        <v>-37979.72</v>
      </c>
      <c r="U31" s="2"/>
      <c r="V31" s="7">
        <f t="shared" si="13"/>
        <v>0</v>
      </c>
      <c r="W31" s="2"/>
      <c r="X31" s="6">
        <f t="shared" si="14"/>
        <v>-6977.57</v>
      </c>
      <c r="Y31" s="2"/>
      <c r="Z31" s="7">
        <f t="shared" si="15"/>
        <v>0.18371831071951028</v>
      </c>
    </row>
    <row r="32" spans="1:26" s="26" customFormat="1" outlineLevel="1" collapsed="1" x14ac:dyDescent="0.25">
      <c r="A32" s="27"/>
      <c r="B32" s="12" t="str">
        <f>CONCATENATE("     ","Advertising/Promo                                 ")</f>
        <v xml:space="preserve">     Advertising/Promo                                 </v>
      </c>
      <c r="C32" s="12"/>
      <c r="D32" s="1">
        <f>SUM(OSRRefD22_2x_0)</f>
        <v>0</v>
      </c>
      <c r="E32" s="1"/>
      <c r="F32" s="5">
        <f t="shared" ref="F32:F49" si="16">IF(D$12=0,0,D32/D$12)</f>
        <v>0</v>
      </c>
      <c r="G32" s="1"/>
      <c r="H32" s="1">
        <f>SUM(OSRRefH22_2x_0)</f>
        <v>0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0</v>
      </c>
      <c r="M32" s="1"/>
      <c r="N32" s="5">
        <f t="shared" ref="N32:N49" si="19">IF(H32=0,0,L32/H32)</f>
        <v>0</v>
      </c>
      <c r="O32" s="12"/>
      <c r="P32" s="1">
        <f>SUM(OSRRefP22_2x_0)</f>
        <v>66.8</v>
      </c>
      <c r="Q32" s="1"/>
      <c r="R32" s="5">
        <f t="shared" ref="R32:R49" si="20">IF(P$12=0,0,P32/P$12)</f>
        <v>0</v>
      </c>
      <c r="S32" s="1"/>
      <c r="T32" s="1">
        <f>SUM(OSRRefT22_2x_0)</f>
        <v>12880.83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-12814.03</v>
      </c>
      <c r="Y32" s="1"/>
      <c r="Z32" s="5">
        <f t="shared" ref="Z32:Z49" si="23">IF(T32=0,0,X32/T32)</f>
        <v>-0.99481399878734533</v>
      </c>
    </row>
    <row r="33" spans="1:26" s="23" customFormat="1" hidden="1" outlineLevel="2" x14ac:dyDescent="0.25">
      <c r="A33" s="25"/>
      <c r="B33" s="10" t="str">
        <f>CONCATENATE("          ", "6362", " - ", "ADVERTISING EXPENSE")</f>
        <v xml:space="preserve">          6362 - ADVERTISING EXPENSE</v>
      </c>
      <c r="C33" s="10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0"/>
      <c r="P33" s="6">
        <v>66.8</v>
      </c>
      <c r="Q33" s="2"/>
      <c r="R33" s="7">
        <f t="shared" si="20"/>
        <v>0</v>
      </c>
      <c r="S33" s="2"/>
      <c r="T33" s="6">
        <v>12880.83</v>
      </c>
      <c r="U33" s="2"/>
      <c r="V33" s="7">
        <f t="shared" si="21"/>
        <v>0</v>
      </c>
      <c r="W33" s="2"/>
      <c r="X33" s="6">
        <f t="shared" si="22"/>
        <v>-12814.03</v>
      </c>
      <c r="Y33" s="2"/>
      <c r="Z33" s="7">
        <f t="shared" si="23"/>
        <v>-0.99481399878734533</v>
      </c>
    </row>
    <row r="34" spans="1:26" s="26" customFormat="1" outlineLevel="1" collapsed="1" x14ac:dyDescent="0.25">
      <c r="A34" s="27"/>
      <c r="B34" s="12" t="str">
        <f>CONCATENATE("     ","Depreciation                                      ")</f>
        <v xml:space="preserve">     Depreciation                                      </v>
      </c>
      <c r="C34" s="12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345.23</v>
      </c>
      <c r="I34" s="1"/>
      <c r="J34" s="5">
        <f t="shared" si="17"/>
        <v>0</v>
      </c>
      <c r="K34" s="1"/>
      <c r="L34" s="1">
        <f t="shared" si="18"/>
        <v>-30.360000000000014</v>
      </c>
      <c r="M34" s="1"/>
      <c r="N34" s="5">
        <f t="shared" si="19"/>
        <v>-8.7941372418387773E-2</v>
      </c>
      <c r="O34" s="12"/>
      <c r="P34" s="1">
        <f>SUM(OSRRefP22_3x_0)</f>
        <v>2833.83</v>
      </c>
      <c r="Q34" s="1"/>
      <c r="R34" s="5">
        <f t="shared" si="20"/>
        <v>0</v>
      </c>
      <c r="S34" s="1"/>
      <c r="T34" s="1">
        <f>SUM(OSRRefT22_3x_0)</f>
        <v>3107.07</v>
      </c>
      <c r="U34" s="1"/>
      <c r="V34" s="5">
        <f t="shared" si="21"/>
        <v>0</v>
      </c>
      <c r="W34" s="1"/>
      <c r="X34" s="1">
        <f t="shared" si="22"/>
        <v>-273.24000000000024</v>
      </c>
      <c r="Y34" s="1"/>
      <c r="Z34" s="5">
        <f t="shared" si="23"/>
        <v>-8.7941372418387814E-2</v>
      </c>
    </row>
    <row r="35" spans="1:26" s="23" customFormat="1" hidden="1" outlineLevel="2" x14ac:dyDescent="0.25">
      <c r="A35" s="25"/>
      <c r="B35" s="10" t="str">
        <f>CONCATENATE("          ", "6322", " - ", "EQUIPMENT DEPRECIATION EXPENSE")</f>
        <v xml:space="preserve">          6322 - EQUIPMENT DEPRECIATION EXPENSE</v>
      </c>
      <c r="C35" s="10"/>
      <c r="D35" s="6">
        <v>314.87</v>
      </c>
      <c r="E35" s="2"/>
      <c r="F35" s="7">
        <f t="shared" si="16"/>
        <v>0</v>
      </c>
      <c r="G35" s="2"/>
      <c r="H35" s="6">
        <v>345.23</v>
      </c>
      <c r="I35" s="2"/>
      <c r="J35" s="7">
        <f t="shared" si="17"/>
        <v>0</v>
      </c>
      <c r="K35" s="2"/>
      <c r="L35" s="6">
        <f t="shared" si="18"/>
        <v>-30.360000000000014</v>
      </c>
      <c r="M35" s="2"/>
      <c r="N35" s="7">
        <f t="shared" si="19"/>
        <v>-8.7941372418387773E-2</v>
      </c>
      <c r="O35" s="10"/>
      <c r="P35" s="6">
        <v>2833.83</v>
      </c>
      <c r="Q35" s="2"/>
      <c r="R35" s="7">
        <f t="shared" si="20"/>
        <v>0</v>
      </c>
      <c r="S35" s="2"/>
      <c r="T35" s="6">
        <v>3107.07</v>
      </c>
      <c r="U35" s="2"/>
      <c r="V35" s="7">
        <f t="shared" si="21"/>
        <v>0</v>
      </c>
      <c r="W35" s="2"/>
      <c r="X35" s="6">
        <f t="shared" si="22"/>
        <v>-273.24000000000024</v>
      </c>
      <c r="Y35" s="2"/>
      <c r="Z35" s="7">
        <f t="shared" si="23"/>
        <v>-8.7941372418387814E-2</v>
      </c>
    </row>
    <row r="36" spans="1:26" s="26" customFormat="1" outlineLevel="1" collapsed="1" x14ac:dyDescent="0.25">
      <c r="A36" s="27"/>
      <c r="B36" s="12" t="str">
        <f>CONCATENATE("     ","Donations                                         ")</f>
        <v xml:space="preserve">     Donations                                         </v>
      </c>
      <c r="C36" s="12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0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2"/>
      <c r="P36" s="1">
        <f>SUM(OSRRefP22_4x_0)</f>
        <v>25000</v>
      </c>
      <c r="Q36" s="1"/>
      <c r="R36" s="5">
        <f t="shared" si="20"/>
        <v>0</v>
      </c>
      <c r="S36" s="1"/>
      <c r="T36" s="1">
        <f>SUM(OSRRefT22_4x_0)</f>
        <v>145645</v>
      </c>
      <c r="U36" s="1"/>
      <c r="V36" s="5">
        <f t="shared" si="21"/>
        <v>0</v>
      </c>
      <c r="W36" s="1"/>
      <c r="X36" s="1">
        <f t="shared" si="22"/>
        <v>-120645</v>
      </c>
      <c r="Y36" s="1"/>
      <c r="Z36" s="5">
        <f t="shared" si="23"/>
        <v>-0.82834975454014903</v>
      </c>
    </row>
    <row r="37" spans="1:26" s="23" customFormat="1" hidden="1" outlineLevel="2" x14ac:dyDescent="0.25">
      <c r="A37" s="25"/>
      <c r="B37" s="10" t="str">
        <f>CONCATENATE("          ", "6399", " - ", "DONATION-ON CAMPUS")</f>
        <v xml:space="preserve">          6399 - DONATION-ON CAMPUS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>
        <v>25000</v>
      </c>
      <c r="Q37" s="2"/>
      <c r="R37" s="7">
        <f t="shared" si="20"/>
        <v>0</v>
      </c>
      <c r="S37" s="2"/>
      <c r="T37" s="6">
        <v>145645</v>
      </c>
      <c r="U37" s="2"/>
      <c r="V37" s="7">
        <f t="shared" si="21"/>
        <v>0</v>
      </c>
      <c r="W37" s="2"/>
      <c r="X37" s="6">
        <f t="shared" si="22"/>
        <v>-120645</v>
      </c>
      <c r="Y37" s="2"/>
      <c r="Z37" s="7">
        <f t="shared" si="23"/>
        <v>-0.82834975454014903</v>
      </c>
    </row>
    <row r="38" spans="1:26" s="26" customFormat="1" outlineLevel="1" collapsed="1" x14ac:dyDescent="0.25">
      <c r="A38" s="27"/>
      <c r="B38" s="12" t="str">
        <f>CONCATENATE("     ","Equipment Rental                                  ")</f>
        <v xml:space="preserve">     Equipment Rental                                  </v>
      </c>
      <c r="C38" s="12"/>
      <c r="D38" s="1">
        <f>SUM(OSRRefD22_5x_0)</f>
        <v>208.97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91.25</v>
      </c>
      <c r="M38" s="1"/>
      <c r="N38" s="5">
        <f t="shared" si="19"/>
        <v>0.77514441046551141</v>
      </c>
      <c r="O38" s="12"/>
      <c r="P38" s="1">
        <f>SUM(OSRRefP22_5x_0)</f>
        <v>1150.6500000000001</v>
      </c>
      <c r="Q38" s="1"/>
      <c r="R38" s="5">
        <f t="shared" si="20"/>
        <v>0</v>
      </c>
      <c r="S38" s="1"/>
      <c r="T38" s="1">
        <f>SUM(OSRRefT22_5x_0)</f>
        <v>1059.48</v>
      </c>
      <c r="U38" s="1"/>
      <c r="V38" s="5">
        <f t="shared" si="21"/>
        <v>0</v>
      </c>
      <c r="W38" s="1"/>
      <c r="X38" s="1">
        <f t="shared" si="22"/>
        <v>91.170000000000073</v>
      </c>
      <c r="Y38" s="1"/>
      <c r="Z38" s="5">
        <f t="shared" si="23"/>
        <v>8.6051647978253556E-2</v>
      </c>
    </row>
    <row r="39" spans="1:26" s="23" customFormat="1" hidden="1" outlineLevel="2" x14ac:dyDescent="0.25">
      <c r="A39" s="25"/>
      <c r="B39" s="10" t="str">
        <f>CONCATENATE("          ", "6351", " - ", "EQUIPMENT RENTAL")</f>
        <v xml:space="preserve">          6351 - EQUIPMENT RENTAL</v>
      </c>
      <c r="C39" s="10"/>
      <c r="D39" s="6">
        <v>208.97</v>
      </c>
      <c r="E39" s="2"/>
      <c r="F39" s="7">
        <f t="shared" si="16"/>
        <v>0</v>
      </c>
      <c r="G39" s="2"/>
      <c r="H39" s="6">
        <v>117.72</v>
      </c>
      <c r="I39" s="2"/>
      <c r="J39" s="7">
        <f t="shared" si="17"/>
        <v>0</v>
      </c>
      <c r="K39" s="2"/>
      <c r="L39" s="6">
        <f t="shared" si="18"/>
        <v>91.25</v>
      </c>
      <c r="M39" s="2"/>
      <c r="N39" s="7">
        <f t="shared" si="19"/>
        <v>0.77514441046551141</v>
      </c>
      <c r="O39" s="10"/>
      <c r="P39" s="6">
        <v>1150.6500000000001</v>
      </c>
      <c r="Q39" s="2"/>
      <c r="R39" s="7">
        <f t="shared" si="20"/>
        <v>0</v>
      </c>
      <c r="S39" s="2"/>
      <c r="T39" s="6">
        <v>1059.48</v>
      </c>
      <c r="U39" s="2"/>
      <c r="V39" s="7">
        <f t="shared" si="21"/>
        <v>0</v>
      </c>
      <c r="W39" s="2"/>
      <c r="X39" s="6">
        <f t="shared" si="22"/>
        <v>91.170000000000073</v>
      </c>
      <c r="Y39" s="2"/>
      <c r="Z39" s="7">
        <f t="shared" si="23"/>
        <v>8.6051647978253556E-2</v>
      </c>
    </row>
    <row r="40" spans="1:26" s="26" customFormat="1" outlineLevel="1" collapsed="1" x14ac:dyDescent="0.25">
      <c r="A40" s="27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SUM(OSRRefD22_6x_0)</f>
        <v>1.53</v>
      </c>
      <c r="E40" s="1"/>
      <c r="F40" s="5">
        <f t="shared" si="16"/>
        <v>0</v>
      </c>
      <c r="G40" s="1"/>
      <c r="H40" s="1">
        <f>SUM(OSRRefH22_6x_0)</f>
        <v>5.48</v>
      </c>
      <c r="I40" s="1"/>
      <c r="J40" s="5">
        <f t="shared" si="17"/>
        <v>0</v>
      </c>
      <c r="K40" s="1"/>
      <c r="L40" s="1">
        <f t="shared" si="18"/>
        <v>-3.95</v>
      </c>
      <c r="M40" s="1"/>
      <c r="N40" s="5">
        <f t="shared" si="19"/>
        <v>-0.72080291970802912</v>
      </c>
      <c r="O40" s="12"/>
      <c r="P40" s="1">
        <f>SUM(OSRRefP22_6x_0)</f>
        <v>66.59</v>
      </c>
      <c r="Q40" s="1"/>
      <c r="R40" s="5">
        <f t="shared" si="20"/>
        <v>0</v>
      </c>
      <c r="S40" s="1"/>
      <c r="T40" s="1">
        <f>SUM(OSRRefT22_6x_0)</f>
        <v>171.76</v>
      </c>
      <c r="U40" s="1"/>
      <c r="V40" s="5">
        <f t="shared" si="21"/>
        <v>0</v>
      </c>
      <c r="W40" s="1"/>
      <c r="X40" s="1">
        <f t="shared" si="22"/>
        <v>-105.16999999999999</v>
      </c>
      <c r="Y40" s="1"/>
      <c r="Z40" s="5">
        <f t="shared" si="23"/>
        <v>-0.61230787144853283</v>
      </c>
    </row>
    <row r="41" spans="1:26" s="23" customFormat="1" hidden="1" outlineLevel="2" x14ac:dyDescent="0.25">
      <c r="A41" s="25"/>
      <c r="B41" s="10" t="str">
        <f>CONCATENATE("          ", "6307", " - ", "POSTAGE")</f>
        <v xml:space="preserve">          6307 - POSTAGE</v>
      </c>
      <c r="C41" s="10"/>
      <c r="D41" s="6">
        <v>1.53</v>
      </c>
      <c r="E41" s="2"/>
      <c r="F41" s="7">
        <f t="shared" si="16"/>
        <v>0</v>
      </c>
      <c r="G41" s="2"/>
      <c r="H41" s="6">
        <v>5.48</v>
      </c>
      <c r="I41" s="2"/>
      <c r="J41" s="7">
        <f t="shared" si="17"/>
        <v>0</v>
      </c>
      <c r="K41" s="2"/>
      <c r="L41" s="6">
        <f t="shared" si="18"/>
        <v>-3.95</v>
      </c>
      <c r="M41" s="2"/>
      <c r="N41" s="7">
        <f t="shared" si="19"/>
        <v>-0.72080291970802912</v>
      </c>
      <c r="O41" s="10"/>
      <c r="P41" s="6">
        <v>66.59</v>
      </c>
      <c r="Q41" s="2"/>
      <c r="R41" s="7">
        <f t="shared" si="20"/>
        <v>0</v>
      </c>
      <c r="S41" s="2"/>
      <c r="T41" s="6">
        <v>171.76</v>
      </c>
      <c r="U41" s="2"/>
      <c r="V41" s="7">
        <f t="shared" si="21"/>
        <v>0</v>
      </c>
      <c r="W41" s="2"/>
      <c r="X41" s="6">
        <f t="shared" si="22"/>
        <v>-105.16999999999999</v>
      </c>
      <c r="Y41" s="2"/>
      <c r="Z41" s="7">
        <f t="shared" si="23"/>
        <v>-0.61230787144853283</v>
      </c>
    </row>
    <row r="42" spans="1:26" s="26" customFormat="1" outlineLevel="1" collapsed="1" x14ac:dyDescent="0.25">
      <c r="A42" s="27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1729.79</v>
      </c>
      <c r="I42" s="1"/>
      <c r="J42" s="5">
        <f t="shared" si="17"/>
        <v>0</v>
      </c>
      <c r="K42" s="1"/>
      <c r="L42" s="1">
        <f t="shared" si="18"/>
        <v>-1729.79</v>
      </c>
      <c r="M42" s="1"/>
      <c r="N42" s="5">
        <f t="shared" si="19"/>
        <v>-1</v>
      </c>
      <c r="O42" s="12"/>
      <c r="P42" s="1">
        <f>SUM(OSRRefP22_7x_0)</f>
        <v>0</v>
      </c>
      <c r="Q42" s="1"/>
      <c r="R42" s="5">
        <f t="shared" si="20"/>
        <v>0</v>
      </c>
      <c r="S42" s="1"/>
      <c r="T42" s="1">
        <f>SUM(OSRRefT22_7x_0)</f>
        <v>13430.41</v>
      </c>
      <c r="U42" s="1"/>
      <c r="V42" s="5">
        <f t="shared" si="21"/>
        <v>0</v>
      </c>
      <c r="W42" s="1"/>
      <c r="X42" s="1">
        <f t="shared" si="22"/>
        <v>-13430.41</v>
      </c>
      <c r="Y42" s="1"/>
      <c r="Z42" s="5">
        <f t="shared" si="23"/>
        <v>-1</v>
      </c>
    </row>
    <row r="43" spans="1:26" s="23" customFormat="1" hidden="1" outlineLevel="2" x14ac:dyDescent="0.25">
      <c r="A43" s="25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16"/>
        <v>0</v>
      </c>
      <c r="G43" s="2"/>
      <c r="H43" s="6">
        <v>1729.79</v>
      </c>
      <c r="I43" s="2"/>
      <c r="J43" s="7">
        <f t="shared" si="17"/>
        <v>0</v>
      </c>
      <c r="K43" s="2"/>
      <c r="L43" s="6">
        <f t="shared" si="18"/>
        <v>-1729.79</v>
      </c>
      <c r="M43" s="2"/>
      <c r="N43" s="7">
        <f t="shared" si="19"/>
        <v>-1</v>
      </c>
      <c r="O43" s="10"/>
      <c r="P43" s="6"/>
      <c r="Q43" s="2"/>
      <c r="R43" s="7">
        <f t="shared" si="20"/>
        <v>0</v>
      </c>
      <c r="S43" s="2"/>
      <c r="T43" s="6">
        <v>13430.41</v>
      </c>
      <c r="U43" s="2"/>
      <c r="V43" s="7">
        <f t="shared" si="21"/>
        <v>0</v>
      </c>
      <c r="W43" s="2"/>
      <c r="X43" s="6">
        <f t="shared" si="22"/>
        <v>-13430.41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2" t="str">
        <f>CONCATENATE("     ","Insurance                                         ")</f>
        <v xml:space="preserve">     Insurance                                         </v>
      </c>
      <c r="C44" s="12"/>
      <c r="D44" s="1">
        <f>SUM(OSRRefD22_8x_0)</f>
        <v>115.13</v>
      </c>
      <c r="E44" s="1"/>
      <c r="F44" s="5">
        <f t="shared" si="16"/>
        <v>0</v>
      </c>
      <c r="G44" s="1"/>
      <c r="H44" s="1">
        <f>SUM(OSRRefH22_8x_0)</f>
        <v>115.13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2"/>
      <c r="P44" s="1">
        <f>SUM(OSRRefP22_8x_0)</f>
        <v>1036.17</v>
      </c>
      <c r="Q44" s="1"/>
      <c r="R44" s="5">
        <f t="shared" si="20"/>
        <v>0</v>
      </c>
      <c r="S44" s="1"/>
      <c r="T44" s="1">
        <f>SUM(OSRRefT22_8x_0)</f>
        <v>1036.17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3" customFormat="1" hidden="1" outlineLevel="2" x14ac:dyDescent="0.25">
      <c r="A45" s="25"/>
      <c r="B45" s="10" t="str">
        <f>CONCATENATE("          ", "6314", " - ", "LIABILITY INSURANCE")</f>
        <v xml:space="preserve">          6314 - LIABILITY INSURANCE</v>
      </c>
      <c r="C45" s="10"/>
      <c r="D45" s="6">
        <v>115.13</v>
      </c>
      <c r="E45" s="2"/>
      <c r="F45" s="7">
        <f t="shared" si="16"/>
        <v>0</v>
      </c>
      <c r="G45" s="2"/>
      <c r="H45" s="6">
        <v>115.13</v>
      </c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0"/>
      <c r="P45" s="6">
        <v>1036.17</v>
      </c>
      <c r="Q45" s="2"/>
      <c r="R45" s="7">
        <f t="shared" si="20"/>
        <v>0</v>
      </c>
      <c r="S45" s="2"/>
      <c r="T45" s="6">
        <v>1036.17</v>
      </c>
      <c r="U45" s="2"/>
      <c r="V45" s="7">
        <f t="shared" si="21"/>
        <v>0</v>
      </c>
      <c r="W45" s="2"/>
      <c r="X45" s="6">
        <f t="shared" si="22"/>
        <v>0</v>
      </c>
      <c r="Y45" s="2"/>
      <c r="Z45" s="7">
        <f t="shared" si="23"/>
        <v>0</v>
      </c>
    </row>
    <row r="46" spans="1:26" s="26" customFormat="1" outlineLevel="1" collapsed="1" x14ac:dyDescent="0.25">
      <c r="A46" s="27"/>
      <c r="B46" s="12" t="str">
        <f>CONCATENATE("     ","Professional Services                             ")</f>
        <v xml:space="preserve">     Professional Services                             </v>
      </c>
      <c r="C46" s="12"/>
      <c r="D46" s="1">
        <f>SUM(OSRRefD22_9x_0)</f>
        <v>0</v>
      </c>
      <c r="E46" s="1"/>
      <c r="F46" s="5">
        <f t="shared" si="16"/>
        <v>0</v>
      </c>
      <c r="G46" s="1"/>
      <c r="H46" s="1">
        <f>SUM(OSRRefH22_9x_0)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2"/>
      <c r="P46" s="1">
        <f>SUM(OSRRefP22_9x_0)</f>
        <v>50379.24</v>
      </c>
      <c r="Q46" s="1"/>
      <c r="R46" s="5">
        <f t="shared" si="20"/>
        <v>0</v>
      </c>
      <c r="S46" s="1"/>
      <c r="T46" s="1">
        <f>SUM(OSRRefT22_9x_0)</f>
        <v>51735</v>
      </c>
      <c r="U46" s="1"/>
      <c r="V46" s="5">
        <f t="shared" si="21"/>
        <v>0</v>
      </c>
      <c r="W46" s="1"/>
      <c r="X46" s="1">
        <f t="shared" si="22"/>
        <v>-1355.760000000002</v>
      </c>
      <c r="Y46" s="1"/>
      <c r="Z46" s="5">
        <f t="shared" si="23"/>
        <v>-2.6205856770078324E-2</v>
      </c>
    </row>
    <row r="47" spans="1:26" s="23" customFormat="1" hidden="1" outlineLevel="2" x14ac:dyDescent="0.25">
      <c r="A47" s="25"/>
      <c r="B47" s="10" t="str">
        <f>CONCATENATE("          ", "6331", " - ", "INDIRECT COSTS-AUXILIARY ORGAN")</f>
        <v xml:space="preserve">          6331 - INDIRECT COSTS-AUXILIARY ORGAN</v>
      </c>
      <c r="C47" s="10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0"/>
      <c r="P47" s="6">
        <v>45850</v>
      </c>
      <c r="Q47" s="2"/>
      <c r="R47" s="7">
        <f t="shared" si="20"/>
        <v>0</v>
      </c>
      <c r="S47" s="2"/>
      <c r="T47" s="6">
        <v>45550</v>
      </c>
      <c r="U47" s="2"/>
      <c r="V47" s="7">
        <f t="shared" si="21"/>
        <v>0</v>
      </c>
      <c r="W47" s="2"/>
      <c r="X47" s="6">
        <f t="shared" si="22"/>
        <v>300</v>
      </c>
      <c r="Y47" s="2"/>
      <c r="Z47" s="7">
        <f t="shared" si="23"/>
        <v>6.5861690450054883E-3</v>
      </c>
    </row>
    <row r="48" spans="1:26" s="23" customFormat="1" hidden="1" outlineLevel="2" x14ac:dyDescent="0.25">
      <c r="A48" s="25"/>
      <c r="B48" s="10" t="str">
        <f>CONCATENATE("          ", "6334", " - ", "LEGAL COUNCIL EXPENSE")</f>
        <v xml:space="preserve">          6334 - LEGAL COUNCIL EXPENSE</v>
      </c>
      <c r="C48" s="10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0"/>
      <c r="P48" s="6">
        <v>4529.24</v>
      </c>
      <c r="Q48" s="2"/>
      <c r="R48" s="7">
        <f t="shared" si="20"/>
        <v>0</v>
      </c>
      <c r="S48" s="2"/>
      <c r="T48" s="6">
        <v>1165</v>
      </c>
      <c r="U48" s="2"/>
      <c r="V48" s="7">
        <f t="shared" si="21"/>
        <v>0</v>
      </c>
      <c r="W48" s="2"/>
      <c r="X48" s="6">
        <f t="shared" si="22"/>
        <v>3364.24</v>
      </c>
      <c r="Y48" s="2"/>
      <c r="Z48" s="7">
        <f t="shared" si="23"/>
        <v>2.8877596566523605</v>
      </c>
    </row>
    <row r="49" spans="1:26" s="23" customFormat="1" hidden="1" outlineLevel="2" x14ac:dyDescent="0.25">
      <c r="A49" s="25"/>
      <c r="B49" s="10" t="str">
        <f>CONCATENATE("          ", "6336", " - ", "PROFESSIONAL SERVICES")</f>
        <v xml:space="preserve">          6336 - PROFESSIONAL SERVICES</v>
      </c>
      <c r="C49" s="10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0"/>
      <c r="P49" s="6"/>
      <c r="Q49" s="2"/>
      <c r="R49" s="7">
        <f t="shared" si="20"/>
        <v>0</v>
      </c>
      <c r="S49" s="2"/>
      <c r="T49" s="6">
        <v>5020</v>
      </c>
      <c r="U49" s="2"/>
      <c r="V49" s="7">
        <f t="shared" si="21"/>
        <v>0</v>
      </c>
      <c r="W49" s="2"/>
      <c r="X49" s="6">
        <f t="shared" si="22"/>
        <v>-5020</v>
      </c>
      <c r="Y49" s="2"/>
      <c r="Z49" s="7">
        <f t="shared" si="23"/>
        <v>-1</v>
      </c>
    </row>
    <row r="50" spans="1:26" s="26" customFormat="1" outlineLevel="1" collapsed="1" x14ac:dyDescent="0.25">
      <c r="A50" s="27"/>
      <c r="B50" s="12" t="str">
        <f>CONCATENATE("     ","Repair and Maintenance                            ")</f>
        <v xml:space="preserve">     Repair and Maintenance                            </v>
      </c>
      <c r="C50" s="12"/>
      <c r="D50" s="1">
        <f>SUM(OSRRefD22_10x_0)</f>
        <v>4037.51</v>
      </c>
      <c r="E50" s="1"/>
      <c r="F50" s="5">
        <f t="shared" ref="F50:F53" si="24">IF(D$12=0,0,D50/D$12)</f>
        <v>0</v>
      </c>
      <c r="G50" s="1"/>
      <c r="H50" s="1">
        <f>SUM(OSRRefH22_10x_0)</f>
        <v>2642.2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1395.3100000000004</v>
      </c>
      <c r="M50" s="1"/>
      <c r="N50" s="5">
        <f t="shared" ref="N50:N53" si="27">IF(H50=0,0,L50/H50)</f>
        <v>0.52808644311558572</v>
      </c>
      <c r="O50" s="12"/>
      <c r="P50" s="1">
        <f>SUM(OSRRefP22_10x_0)</f>
        <v>19911.73</v>
      </c>
      <c r="Q50" s="1"/>
      <c r="R50" s="5">
        <f t="shared" ref="R50:R53" si="28">IF(P$12=0,0,P50/P$12)</f>
        <v>0</v>
      </c>
      <c r="S50" s="1"/>
      <c r="T50" s="1">
        <f>SUM(OSRRefT22_10x_0)</f>
        <v>28272.460000000003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-8360.7300000000032</v>
      </c>
      <c r="Y50" s="1"/>
      <c r="Z50" s="5">
        <f t="shared" ref="Z50:Z53" si="31">IF(T50=0,0,X50/T50)</f>
        <v>-0.29571993381545159</v>
      </c>
    </row>
    <row r="51" spans="1:26" s="23" customFormat="1" hidden="1" outlineLevel="2" x14ac:dyDescent="0.25">
      <c r="A51" s="25"/>
      <c r="B51" s="10" t="str">
        <f>CONCATENATE("          ", "6371", " - ", "COMPUTER SOFTWARE MAINTENANCE")</f>
        <v xml:space="preserve">          6371 - COMPUTER SOFTWARE MAINTENANCE</v>
      </c>
      <c r="C51" s="10"/>
      <c r="D51" s="6">
        <v>1980</v>
      </c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1980</v>
      </c>
      <c r="M51" s="2"/>
      <c r="N51" s="7">
        <f t="shared" si="27"/>
        <v>0</v>
      </c>
      <c r="O51" s="10"/>
      <c r="P51" s="6">
        <v>1980</v>
      </c>
      <c r="Q51" s="2"/>
      <c r="R51" s="7">
        <f t="shared" si="28"/>
        <v>0</v>
      </c>
      <c r="S51" s="2"/>
      <c r="T51" s="6">
        <v>31.58</v>
      </c>
      <c r="U51" s="2"/>
      <c r="V51" s="7">
        <f t="shared" si="29"/>
        <v>0</v>
      </c>
      <c r="W51" s="2"/>
      <c r="X51" s="6">
        <f t="shared" si="30"/>
        <v>1948.42</v>
      </c>
      <c r="Y51" s="2"/>
      <c r="Z51" s="7">
        <f t="shared" si="31"/>
        <v>61.697910069664353</v>
      </c>
    </row>
    <row r="52" spans="1:26" s="23" customFormat="1" hidden="1" outlineLevel="2" x14ac:dyDescent="0.25">
      <c r="A52" s="25"/>
      <c r="B52" s="10" t="str">
        <f>CONCATENATE("          ", "6373", " - ", "MAINTENANCE CONTRACTS")</f>
        <v xml:space="preserve">          6373 - MAINTENANCE CONTRACTS</v>
      </c>
      <c r="C52" s="10"/>
      <c r="D52" s="6">
        <v>2057.5100000000002</v>
      </c>
      <c r="E52" s="2"/>
      <c r="F52" s="7">
        <f t="shared" si="24"/>
        <v>0</v>
      </c>
      <c r="G52" s="2"/>
      <c r="H52" s="6">
        <v>2642.2</v>
      </c>
      <c r="I52" s="2"/>
      <c r="J52" s="7">
        <f t="shared" si="25"/>
        <v>0</v>
      </c>
      <c r="K52" s="2"/>
      <c r="L52" s="6">
        <f t="shared" si="26"/>
        <v>-584.6899999999996</v>
      </c>
      <c r="M52" s="2"/>
      <c r="N52" s="7">
        <f t="shared" si="27"/>
        <v>-0.22128907728408131</v>
      </c>
      <c r="O52" s="10"/>
      <c r="P52" s="6">
        <v>17931.73</v>
      </c>
      <c r="Q52" s="2"/>
      <c r="R52" s="7">
        <f t="shared" si="28"/>
        <v>0</v>
      </c>
      <c r="S52" s="2"/>
      <c r="T52" s="6">
        <v>27715.89</v>
      </c>
      <c r="U52" s="2"/>
      <c r="V52" s="7">
        <f t="shared" si="29"/>
        <v>0</v>
      </c>
      <c r="W52" s="2"/>
      <c r="X52" s="6">
        <f t="shared" si="30"/>
        <v>-9784.16</v>
      </c>
      <c r="Y52" s="2"/>
      <c r="Z52" s="7">
        <f t="shared" si="31"/>
        <v>-0.35301626612026532</v>
      </c>
    </row>
    <row r="53" spans="1:26" s="23" customFormat="1" hidden="1" outlineLevel="2" x14ac:dyDescent="0.25">
      <c r="A53" s="25"/>
      <c r="B53" s="10" t="str">
        <f>CONCATENATE("          ", "6375", " - ", "OUTSIDE REPAIRS &amp; MAINTENANCE")</f>
        <v xml:space="preserve">          6375 - OUTSIDE REPAIRS &amp; MAINTENANCE</v>
      </c>
      <c r="C53" s="10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0"/>
      <c r="P53" s="6"/>
      <c r="Q53" s="2"/>
      <c r="R53" s="7">
        <f t="shared" si="28"/>
        <v>0</v>
      </c>
      <c r="S53" s="2"/>
      <c r="T53" s="6">
        <v>524.99</v>
      </c>
      <c r="U53" s="2"/>
      <c r="V53" s="7">
        <f t="shared" si="29"/>
        <v>0</v>
      </c>
      <c r="W53" s="2"/>
      <c r="X53" s="6">
        <f t="shared" si="30"/>
        <v>-524.99</v>
      </c>
      <c r="Y53" s="2"/>
      <c r="Z53" s="7">
        <f t="shared" si="31"/>
        <v>-1</v>
      </c>
    </row>
    <row r="54" spans="1:26" s="26" customFormat="1" outlineLevel="1" collapsed="1" x14ac:dyDescent="0.25">
      <c r="A54" s="27"/>
      <c r="B54" s="12" t="str">
        <f>CONCATENATE("     ","Subscriptions &amp; Dues                              ")</f>
        <v xml:space="preserve">     Subscriptions &amp; Dues                              </v>
      </c>
      <c r="C54" s="12"/>
      <c r="D54" s="1">
        <f>SUM(OSRRefD22_11x_0)</f>
        <v>0</v>
      </c>
      <c r="E54" s="1"/>
      <c r="F54" s="5">
        <f t="shared" ref="F54:F60" si="32">IF(D$12=0,0,D54/D$12)</f>
        <v>0</v>
      </c>
      <c r="G54" s="1"/>
      <c r="H54" s="1">
        <f>SUM(OSRRefH22_11x_0)</f>
        <v>0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0</v>
      </c>
      <c r="M54" s="1"/>
      <c r="N54" s="5">
        <f t="shared" ref="N54:N60" si="35">IF(H54=0,0,L54/H54)</f>
        <v>0</v>
      </c>
      <c r="O54" s="12"/>
      <c r="P54" s="1">
        <f>SUM(OSRRefP22_11x_0)</f>
        <v>1725</v>
      </c>
      <c r="Q54" s="1"/>
      <c r="R54" s="5">
        <f t="shared" ref="R54:R60" si="36">IF(P$12=0,0,P54/P$12)</f>
        <v>0</v>
      </c>
      <c r="S54" s="1"/>
      <c r="T54" s="1">
        <f>SUM(OSRRefT22_11x_0)</f>
        <v>1795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-70</v>
      </c>
      <c r="Y54" s="1"/>
      <c r="Z54" s="5">
        <f t="shared" ref="Z54:Z60" si="39">IF(T54=0,0,X54/T54)</f>
        <v>-3.8997214484679667E-2</v>
      </c>
    </row>
    <row r="55" spans="1:26" s="23" customFormat="1" hidden="1" outlineLevel="2" x14ac:dyDescent="0.25">
      <c r="A55" s="25"/>
      <c r="B55" s="10" t="str">
        <f>CONCATENATE("          ", "6258", " - ", "MEMBERSHIP DUES")</f>
        <v xml:space="preserve">          6258 - MEMBERSHIP DUES</v>
      </c>
      <c r="C55" s="10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0"/>
      <c r="P55" s="6">
        <v>1725</v>
      </c>
      <c r="Q55" s="2"/>
      <c r="R55" s="7">
        <f t="shared" si="36"/>
        <v>0</v>
      </c>
      <c r="S55" s="2"/>
      <c r="T55" s="6">
        <v>1795</v>
      </c>
      <c r="U55" s="2"/>
      <c r="V55" s="7">
        <f t="shared" si="37"/>
        <v>0</v>
      </c>
      <c r="W55" s="2"/>
      <c r="X55" s="6">
        <f t="shared" si="38"/>
        <v>-70</v>
      </c>
      <c r="Y55" s="2"/>
      <c r="Z55" s="7">
        <f t="shared" si="39"/>
        <v>-3.8997214484679667E-2</v>
      </c>
    </row>
    <row r="56" spans="1:26" s="26" customFormat="1" outlineLevel="1" collapsed="1" x14ac:dyDescent="0.25">
      <c r="A56" s="27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SUM(OSRRefD22_12x_0)</f>
        <v>53.18</v>
      </c>
      <c r="E56" s="1"/>
      <c r="F56" s="5">
        <f t="shared" si="32"/>
        <v>0</v>
      </c>
      <c r="G56" s="1"/>
      <c r="H56" s="1">
        <f>SUM(OSRRefH22_12x_0)</f>
        <v>246.37</v>
      </c>
      <c r="I56" s="1"/>
      <c r="J56" s="5">
        <f t="shared" si="33"/>
        <v>0</v>
      </c>
      <c r="K56" s="1"/>
      <c r="L56" s="1">
        <f t="shared" si="34"/>
        <v>-193.19</v>
      </c>
      <c r="M56" s="1"/>
      <c r="N56" s="5">
        <f t="shared" si="35"/>
        <v>-0.7841457969720339</v>
      </c>
      <c r="O56" s="12"/>
      <c r="P56" s="1">
        <f>SUM(OSRRefP22_12x_0)</f>
        <v>643.69000000000005</v>
      </c>
      <c r="Q56" s="1"/>
      <c r="R56" s="5">
        <f t="shared" si="36"/>
        <v>0</v>
      </c>
      <c r="S56" s="1"/>
      <c r="T56" s="1">
        <f>SUM(OSRRefT22_12x_0)</f>
        <v>4201.83</v>
      </c>
      <c r="U56" s="1"/>
      <c r="V56" s="5">
        <f t="shared" si="37"/>
        <v>0</v>
      </c>
      <c r="W56" s="1"/>
      <c r="X56" s="1">
        <f t="shared" si="38"/>
        <v>-3558.14</v>
      </c>
      <c r="Y56" s="1"/>
      <c r="Z56" s="5">
        <f t="shared" si="39"/>
        <v>-0.84680722447124224</v>
      </c>
    </row>
    <row r="57" spans="1:26" s="23" customFormat="1" hidden="1" outlineLevel="2" x14ac:dyDescent="0.25">
      <c r="A57" s="25"/>
      <c r="B57" s="10" t="str">
        <f>CONCATENATE("          ", "6234", " - ", "EXPENDABLE SUPPLIES &amp; EQUIPMEN")</f>
        <v xml:space="preserve">          6234 - EXPENDABLE SUPPLIES &amp; EQUIPMEN</v>
      </c>
      <c r="C57" s="10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0"/>
      <c r="P57" s="6"/>
      <c r="Q57" s="2"/>
      <c r="R57" s="7">
        <f t="shared" si="36"/>
        <v>0</v>
      </c>
      <c r="S57" s="2"/>
      <c r="T57" s="6">
        <v>217.02</v>
      </c>
      <c r="U57" s="2"/>
      <c r="V57" s="7">
        <f t="shared" si="37"/>
        <v>0</v>
      </c>
      <c r="W57" s="2"/>
      <c r="X57" s="6">
        <f t="shared" si="38"/>
        <v>-217.02</v>
      </c>
      <c r="Y57" s="2"/>
      <c r="Z57" s="7">
        <f t="shared" si="39"/>
        <v>-1</v>
      </c>
    </row>
    <row r="58" spans="1:26" s="23" customFormat="1" hidden="1" outlineLevel="2" x14ac:dyDescent="0.25">
      <c r="A58" s="25"/>
      <c r="B58" s="10" t="str">
        <f>CONCATENATE("          ", "6235", " - ", "COVID-19 EXPENSES")</f>
        <v xml:space="preserve">          6235 - COVID-19 EXPENSES</v>
      </c>
      <c r="C58" s="10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0"/>
      <c r="P58" s="6">
        <v>106.94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106.94</v>
      </c>
      <c r="Y58" s="2"/>
      <c r="Z58" s="7">
        <f t="shared" si="39"/>
        <v>0</v>
      </c>
    </row>
    <row r="59" spans="1:26" s="23" customFormat="1" hidden="1" outlineLevel="2" x14ac:dyDescent="0.25">
      <c r="A59" s="25"/>
      <c r="B59" s="10" t="str">
        <f>CONCATENATE("          ", "6241", " - ", "OFFICE EXPENSE")</f>
        <v xml:space="preserve">          6241 - OFFICE EXPENSE</v>
      </c>
      <c r="C59" s="10"/>
      <c r="D59" s="6">
        <v>53.18</v>
      </c>
      <c r="E59" s="2"/>
      <c r="F59" s="7">
        <f t="shared" si="32"/>
        <v>0</v>
      </c>
      <c r="G59" s="2"/>
      <c r="H59" s="6">
        <v>246.37</v>
      </c>
      <c r="I59" s="2"/>
      <c r="J59" s="7">
        <f t="shared" si="33"/>
        <v>0</v>
      </c>
      <c r="K59" s="2"/>
      <c r="L59" s="6">
        <f t="shared" si="34"/>
        <v>-193.19</v>
      </c>
      <c r="M59" s="2"/>
      <c r="N59" s="7">
        <f t="shared" si="35"/>
        <v>-0.7841457969720339</v>
      </c>
      <c r="O59" s="10"/>
      <c r="P59" s="6">
        <v>536.75</v>
      </c>
      <c r="Q59" s="2"/>
      <c r="R59" s="7">
        <f t="shared" si="36"/>
        <v>0</v>
      </c>
      <c r="S59" s="2"/>
      <c r="T59" s="6">
        <v>3952.95</v>
      </c>
      <c r="U59" s="2"/>
      <c r="V59" s="7">
        <f t="shared" si="37"/>
        <v>0</v>
      </c>
      <c r="W59" s="2"/>
      <c r="X59" s="6">
        <f t="shared" si="38"/>
        <v>-3416.2</v>
      </c>
      <c r="Y59" s="2"/>
      <c r="Z59" s="7">
        <f t="shared" si="39"/>
        <v>-0.8642153328526796</v>
      </c>
    </row>
    <row r="60" spans="1:26" s="23" customFormat="1" hidden="1" outlineLevel="2" x14ac:dyDescent="0.25">
      <c r="A60" s="25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0"/>
      <c r="P60" s="6"/>
      <c r="Q60" s="2"/>
      <c r="R60" s="7">
        <f t="shared" si="36"/>
        <v>0</v>
      </c>
      <c r="S60" s="2"/>
      <c r="T60" s="6">
        <v>31.86</v>
      </c>
      <c r="U60" s="2"/>
      <c r="V60" s="7">
        <f t="shared" si="37"/>
        <v>0</v>
      </c>
      <c r="W60" s="2"/>
      <c r="X60" s="6">
        <f t="shared" si="38"/>
        <v>-31.86</v>
      </c>
      <c r="Y60" s="2"/>
      <c r="Z60" s="7">
        <f t="shared" si="39"/>
        <v>-1</v>
      </c>
    </row>
    <row r="61" spans="1:26" s="26" customFormat="1" outlineLevel="1" collapsed="1" x14ac:dyDescent="0.25">
      <c r="A61" s="27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SUM(OSRRefD22_13x_0)</f>
        <v>310.44</v>
      </c>
      <c r="E61" s="1"/>
      <c r="F61" s="5">
        <f t="shared" ref="F61:F66" si="40">IF(D$12=0,0,D61/D$12)</f>
        <v>0</v>
      </c>
      <c r="G61" s="1"/>
      <c r="H61" s="1">
        <f>SUM(OSRRefH22_13x_0)</f>
        <v>240.4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70.039999999999992</v>
      </c>
      <c r="M61" s="1"/>
      <c r="N61" s="5">
        <f t="shared" ref="N61:N66" si="43">IF(H61=0,0,L61/H61)</f>
        <v>0.29134775374376037</v>
      </c>
      <c r="O61" s="12"/>
      <c r="P61" s="1">
        <f>SUM(OSRRefP22_13x_0)</f>
        <v>3724.31</v>
      </c>
      <c r="Q61" s="1"/>
      <c r="R61" s="5">
        <f t="shared" ref="R61:R66" si="44">IF(P$12=0,0,P61/P$12)</f>
        <v>0</v>
      </c>
      <c r="S61" s="1"/>
      <c r="T61" s="1">
        <f>SUM(OSRRefT22_13x_0)</f>
        <v>3465.95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258.36000000000013</v>
      </c>
      <c r="Y61" s="1"/>
      <c r="Z61" s="5">
        <f t="shared" ref="Z61:Z66" si="47">IF(T61=0,0,X61/T61)</f>
        <v>7.4542333270820452E-2</v>
      </c>
    </row>
    <row r="62" spans="1:26" s="23" customFormat="1" hidden="1" outlineLevel="2" x14ac:dyDescent="0.25">
      <c r="A62" s="25"/>
      <c r="B62" s="10" t="str">
        <f>CONCATENATE("          ", "6309", " - ", "TELEPHONE")</f>
        <v xml:space="preserve">          6309 - TELEPHONE</v>
      </c>
      <c r="C62" s="10"/>
      <c r="D62" s="6">
        <v>310.44</v>
      </c>
      <c r="E62" s="2"/>
      <c r="F62" s="7">
        <f t="shared" si="40"/>
        <v>0</v>
      </c>
      <c r="G62" s="2"/>
      <c r="H62" s="6">
        <v>240.4</v>
      </c>
      <c r="I62" s="2"/>
      <c r="J62" s="7">
        <f t="shared" si="41"/>
        <v>0</v>
      </c>
      <c r="K62" s="2"/>
      <c r="L62" s="6">
        <f t="shared" si="42"/>
        <v>70.039999999999992</v>
      </c>
      <c r="M62" s="2"/>
      <c r="N62" s="7">
        <f t="shared" si="43"/>
        <v>0.29134775374376037</v>
      </c>
      <c r="O62" s="10"/>
      <c r="P62" s="6">
        <v>3724.31</v>
      </c>
      <c r="Q62" s="2"/>
      <c r="R62" s="7">
        <f t="shared" si="44"/>
        <v>0</v>
      </c>
      <c r="S62" s="2"/>
      <c r="T62" s="6">
        <v>3465.95</v>
      </c>
      <c r="U62" s="2"/>
      <c r="V62" s="7">
        <f t="shared" si="45"/>
        <v>0</v>
      </c>
      <c r="W62" s="2"/>
      <c r="X62" s="6">
        <f t="shared" si="46"/>
        <v>258.36000000000013</v>
      </c>
      <c r="Y62" s="2"/>
      <c r="Z62" s="7">
        <f t="shared" si="47"/>
        <v>7.4542333270820452E-2</v>
      </c>
    </row>
    <row r="63" spans="1:26" s="26" customFormat="1" outlineLevel="1" collapsed="1" x14ac:dyDescent="0.25">
      <c r="A63" s="27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2211.52</v>
      </c>
      <c r="I63" s="1"/>
      <c r="J63" s="5">
        <f t="shared" si="41"/>
        <v>0</v>
      </c>
      <c r="K63" s="1"/>
      <c r="L63" s="1">
        <f t="shared" si="42"/>
        <v>-2211.52</v>
      </c>
      <c r="M63" s="1"/>
      <c r="N63" s="5">
        <f t="shared" si="43"/>
        <v>-1</v>
      </c>
      <c r="O63" s="12"/>
      <c r="P63" s="1">
        <f>SUM(OSRRefP22_14x_0)</f>
        <v>1276.5</v>
      </c>
      <c r="Q63" s="1"/>
      <c r="R63" s="5">
        <f t="shared" si="44"/>
        <v>0</v>
      </c>
      <c r="S63" s="1"/>
      <c r="T63" s="1">
        <f>SUM(OSRRefT22_14x_0)</f>
        <v>6622.71</v>
      </c>
      <c r="U63" s="1"/>
      <c r="V63" s="5">
        <f t="shared" si="45"/>
        <v>0</v>
      </c>
      <c r="W63" s="1"/>
      <c r="X63" s="1">
        <f t="shared" si="46"/>
        <v>-5346.21</v>
      </c>
      <c r="Y63" s="1"/>
      <c r="Z63" s="5">
        <f t="shared" si="47"/>
        <v>-0.80725413010685954</v>
      </c>
    </row>
    <row r="64" spans="1:26" s="23" customFormat="1" hidden="1" outlineLevel="2" x14ac:dyDescent="0.25">
      <c r="A64" s="25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0"/>
        <v>0</v>
      </c>
      <c r="G64" s="2"/>
      <c r="H64" s="6">
        <v>2211.52</v>
      </c>
      <c r="I64" s="2"/>
      <c r="J64" s="7">
        <f t="shared" si="41"/>
        <v>0</v>
      </c>
      <c r="K64" s="2"/>
      <c r="L64" s="6">
        <f t="shared" si="42"/>
        <v>-2211.52</v>
      </c>
      <c r="M64" s="2"/>
      <c r="N64" s="7">
        <f t="shared" si="43"/>
        <v>-1</v>
      </c>
      <c r="O64" s="10"/>
      <c r="P64" s="6">
        <v>1276.5</v>
      </c>
      <c r="Q64" s="2"/>
      <c r="R64" s="7">
        <f t="shared" si="44"/>
        <v>0</v>
      </c>
      <c r="S64" s="2"/>
      <c r="T64" s="6">
        <v>6622.71</v>
      </c>
      <c r="U64" s="2"/>
      <c r="V64" s="7">
        <f t="shared" si="45"/>
        <v>0</v>
      </c>
      <c r="W64" s="2"/>
      <c r="X64" s="6">
        <f t="shared" si="46"/>
        <v>-5346.21</v>
      </c>
      <c r="Y64" s="2"/>
      <c r="Z64" s="7">
        <f t="shared" si="47"/>
        <v>-0.80725413010685954</v>
      </c>
    </row>
    <row r="65" spans="1:26" s="26" customFormat="1" outlineLevel="1" collapsed="1" x14ac:dyDescent="0.25">
      <c r="A65" s="27"/>
      <c r="B65" s="12" t="str">
        <f>CONCATENATE("     ","Travel                                            ")</f>
        <v xml:space="preserve">     Travel                                            </v>
      </c>
      <c r="C65" s="12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2"/>
      <c r="P65" s="1">
        <f>SUM(OSRRefP22_15x_0)</f>
        <v>0</v>
      </c>
      <c r="Q65" s="1"/>
      <c r="R65" s="5">
        <f t="shared" si="44"/>
        <v>0</v>
      </c>
      <c r="S65" s="1"/>
      <c r="T65" s="1">
        <f>SUM(OSRRefT22_15x_0)</f>
        <v>3811.99</v>
      </c>
      <c r="U65" s="1"/>
      <c r="V65" s="5">
        <f t="shared" si="45"/>
        <v>0</v>
      </c>
      <c r="W65" s="1"/>
      <c r="X65" s="1">
        <f t="shared" si="46"/>
        <v>-3811.99</v>
      </c>
      <c r="Y65" s="1"/>
      <c r="Z65" s="5">
        <f t="shared" si="47"/>
        <v>-1</v>
      </c>
    </row>
    <row r="66" spans="1:26" s="23" customFormat="1" hidden="1" outlineLevel="2" x14ac:dyDescent="0.25">
      <c r="A66" s="25"/>
      <c r="B66" s="10" t="str">
        <f>CONCATENATE("          ", "6292", " - ", "TRAVEL/CONFERENCE")</f>
        <v xml:space="preserve">          6292 - TRAVEL/CONFERENCE</v>
      </c>
      <c r="C66" s="10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0"/>
      <c r="P66" s="6"/>
      <c r="Q66" s="2"/>
      <c r="R66" s="7">
        <f t="shared" si="44"/>
        <v>0</v>
      </c>
      <c r="S66" s="2"/>
      <c r="T66" s="6">
        <v>3811.99</v>
      </c>
      <c r="U66" s="2"/>
      <c r="V66" s="7">
        <f t="shared" si="45"/>
        <v>0</v>
      </c>
      <c r="W66" s="2"/>
      <c r="X66" s="6">
        <f t="shared" si="46"/>
        <v>-3811.99</v>
      </c>
      <c r="Y66" s="2"/>
      <c r="Z66" s="7">
        <f t="shared" si="47"/>
        <v>-1</v>
      </c>
    </row>
    <row r="67" spans="1:26" s="60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x14ac:dyDescent="0.25">
      <c r="A68" s="11"/>
      <c r="B68" s="28" t="s">
        <v>292</v>
      </c>
      <c r="C68" s="11"/>
      <c r="D68" s="4">
        <f>SUM(0)</f>
        <v>0</v>
      </c>
      <c r="E68" s="4"/>
      <c r="F68" s="13">
        <f>IF(D$12=0,0,D68/D$12)</f>
        <v>0</v>
      </c>
      <c r="G68" s="4"/>
      <c r="H68" s="4">
        <f>SUM(0)</f>
        <v>0</v>
      </c>
      <c r="I68" s="4"/>
      <c r="J68" s="13">
        <f>IF(H$12=0,0,H68/H$12)</f>
        <v>0</v>
      </c>
      <c r="K68" s="4"/>
      <c r="L68" s="4">
        <f>+D68-H68</f>
        <v>0</v>
      </c>
      <c r="M68" s="4"/>
      <c r="N68" s="13">
        <f>IF(H68=0,0,L68/H68)</f>
        <v>0</v>
      </c>
      <c r="O68" s="11"/>
      <c r="P68" s="4">
        <f>SUM(0)</f>
        <v>0</v>
      </c>
      <c r="Q68" s="4"/>
      <c r="R68" s="13">
        <f>IF(P$12=0,0,P68/P$12)</f>
        <v>0</v>
      </c>
      <c r="S68" s="4"/>
      <c r="T68" s="4">
        <f>SUM(0)</f>
        <v>0</v>
      </c>
      <c r="U68" s="4"/>
      <c r="V68" s="13">
        <f>IF(T$12=0,0,T68/T$12)</f>
        <v>0</v>
      </c>
      <c r="W68" s="4"/>
      <c r="X68" s="4">
        <f>+P68-T68</f>
        <v>0</v>
      </c>
      <c r="Y68" s="4"/>
      <c r="Z68" s="13">
        <f>IF(T68=0,0,X68/T68)</f>
        <v>0</v>
      </c>
    </row>
    <row r="69" spans="1:26" x14ac:dyDescent="0.25">
      <c r="A69" s="9"/>
      <c r="B69" s="11"/>
      <c r="C69" s="11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1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11"/>
      <c r="B70" s="29" t="s">
        <v>276</v>
      </c>
      <c r="C70" s="29"/>
      <c r="D70" s="22">
        <f>+D16-D18+D68</f>
        <v>-33993.58</v>
      </c>
      <c r="E70" s="14"/>
      <c r="F70" s="20">
        <f>IF(D$12=0,0,D70/D$12)</f>
        <v>0</v>
      </c>
      <c r="G70" s="14"/>
      <c r="H70" s="22">
        <f>+H16-H18+H68</f>
        <v>-38606.709999999992</v>
      </c>
      <c r="I70" s="14"/>
      <c r="J70" s="20">
        <f>IF(H$12=0,0,H70/H$12)</f>
        <v>0</v>
      </c>
      <c r="K70" s="15"/>
      <c r="L70" s="22">
        <f>+D70-H70</f>
        <v>4613.1299999999901</v>
      </c>
      <c r="M70" s="15"/>
      <c r="N70" s="20">
        <f>IF(H70=0,0,L70/H70)</f>
        <v>-0.11949036838414853</v>
      </c>
      <c r="O70" s="28"/>
      <c r="P70" s="22">
        <f>+P16-P18+P68</f>
        <v>-333115.45999999996</v>
      </c>
      <c r="Q70" s="14"/>
      <c r="R70" s="20">
        <f>IF(P$12=0,0,P70/P$12)</f>
        <v>0</v>
      </c>
      <c r="S70" s="14"/>
      <c r="T70" s="22">
        <f>+T16-T18+T68</f>
        <v>-552368.17999999982</v>
      </c>
      <c r="U70" s="14"/>
      <c r="V70" s="20">
        <f>IF(T$12=0,0,T70/T$12)</f>
        <v>0</v>
      </c>
      <c r="W70" s="15"/>
      <c r="X70" s="22">
        <f>+P70-T70</f>
        <v>219252.71999999986</v>
      </c>
      <c r="Y70" s="15"/>
      <c r="Z70" s="20">
        <f>IF(T70=0,0,X70/T70)</f>
        <v>-0.39693220561691284</v>
      </c>
    </row>
    <row r="71" spans="1:26" x14ac:dyDescent="0.25">
      <c r="A71" s="9"/>
      <c r="B71" s="11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x14ac:dyDescent="0.25">
      <c r="A72" s="51"/>
      <c r="B72" s="11" t="s">
        <v>127</v>
      </c>
      <c r="C72" s="11"/>
      <c r="D72" s="4"/>
      <c r="E72" s="4"/>
      <c r="F72" s="13">
        <f>IF(D$12=0,0,D72/D$12)</f>
        <v>0</v>
      </c>
      <c r="G72" s="4"/>
      <c r="H72" s="4"/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/>
      <c r="Q72" s="4"/>
      <c r="R72" s="13">
        <f>IF(P$12=0,0,P72/P$12)</f>
        <v>0</v>
      </c>
      <c r="S72" s="4"/>
      <c r="T72" s="4"/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ht="15.75" thickBot="1" x14ac:dyDescent="0.3">
      <c r="A74" s="11"/>
      <c r="B74" s="29" t="s">
        <v>125</v>
      </c>
      <c r="C74" s="29"/>
      <c r="D74" s="30">
        <f>+D70-D72</f>
        <v>-33993.58</v>
      </c>
      <c r="E74" s="14"/>
      <c r="F74" s="36">
        <f>IF(D$12=0,0,D74/D$12)</f>
        <v>0</v>
      </c>
      <c r="G74" s="14"/>
      <c r="H74" s="30">
        <f>+H70-H72</f>
        <v>-38606.709999999992</v>
      </c>
      <c r="I74" s="14"/>
      <c r="J74" s="36">
        <f>IF(H$12=0,0,H74/H$12)</f>
        <v>0</v>
      </c>
      <c r="K74" s="15"/>
      <c r="L74" s="30">
        <f>D74-H74</f>
        <v>4613.1299999999901</v>
      </c>
      <c r="M74" s="15"/>
      <c r="N74" s="36">
        <f>IF(H74=0,0,L74/H74)</f>
        <v>-0.11949036838414853</v>
      </c>
      <c r="O74" s="28"/>
      <c r="P74" s="30">
        <f>+P70-P72</f>
        <v>-333115.45999999996</v>
      </c>
      <c r="Q74" s="14"/>
      <c r="R74" s="36">
        <f>IF(P$12=0,0,P74/P$12)</f>
        <v>0</v>
      </c>
      <c r="S74" s="14"/>
      <c r="T74" s="30">
        <f>+T70-T72</f>
        <v>-552368.17999999982</v>
      </c>
      <c r="U74" s="14"/>
      <c r="V74" s="36">
        <f>IF(T$12=0,0,T74/T$12)</f>
        <v>0</v>
      </c>
      <c r="W74" s="15"/>
      <c r="X74" s="30">
        <f>P74-T74</f>
        <v>219252.71999999986</v>
      </c>
      <c r="Y74" s="15"/>
      <c r="Z74" s="36">
        <f>IF(T74=0,0,X74/T74)</f>
        <v>-0.39693220561691284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ht="15.75" thickBot="1" x14ac:dyDescent="0.3">
      <c r="A77" s="11"/>
      <c r="B77" s="29" t="s">
        <v>293</v>
      </c>
      <c r="C77" s="29"/>
      <c r="D77" s="35">
        <f>SUM(D74:D76)</f>
        <v>-33993.58</v>
      </c>
      <c r="E77" s="14"/>
      <c r="F77" s="34">
        <f>IF(D$12=0,0,D77/D$12)</f>
        <v>0</v>
      </c>
      <c r="G77" s="14"/>
      <c r="H77" s="35">
        <f>SUM(H74:H76)</f>
        <v>-38606.709999999992</v>
      </c>
      <c r="I77" s="14"/>
      <c r="J77" s="34">
        <f>IF(H$12=0,0,H77/H$12)</f>
        <v>0</v>
      </c>
      <c r="K77" s="15"/>
      <c r="L77" s="35">
        <f>+D77-H77</f>
        <v>4613.1299999999901</v>
      </c>
      <c r="M77" s="15"/>
      <c r="N77" s="34">
        <f>IF(H77=0,0,L77/H77)</f>
        <v>-0.11949036838414853</v>
      </c>
      <c r="O77" s="28"/>
      <c r="P77" s="35">
        <f>SUM(P74:P76)</f>
        <v>-333115.45999999996</v>
      </c>
      <c r="Q77" s="14"/>
      <c r="R77" s="34">
        <f>IF(P$12=0,0,P77/P$12)</f>
        <v>0</v>
      </c>
      <c r="S77" s="14"/>
      <c r="T77" s="35">
        <f>SUM(T74:T76)</f>
        <v>-552368.17999999982</v>
      </c>
      <c r="U77" s="14"/>
      <c r="V77" s="34">
        <f>IF(T$12=0,0,T77/T$12)</f>
        <v>0</v>
      </c>
      <c r="W77" s="15"/>
      <c r="X77" s="35">
        <f>+P77-T77</f>
        <v>219252.71999999986</v>
      </c>
      <c r="Y77" s="15"/>
      <c r="Z77" s="34">
        <f>IF(T77=0,0,X77/T77)</f>
        <v>-0.39693220561691284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4">
        <v>44295.963243634258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8" t="s">
        <v>56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2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","202", " - ", "Accounting")</f>
        <v>Department 202 - Accounting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56260.219999999994</v>
      </c>
      <c r="E18" s="21"/>
      <c r="F18" s="31">
        <f t="shared" ref="F18:F27" si="0">IF(D$12=0,0,D18/D$12)</f>
        <v>0</v>
      </c>
      <c r="G18" s="21"/>
      <c r="H18" s="21">
        <f>SUM(OSRRefH22x_0)</f>
        <v>79652.860000000015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-23392.640000000021</v>
      </c>
      <c r="M18" s="4"/>
      <c r="N18" s="31">
        <f t="shared" ref="N18:N27" si="3">IF(H18=0,0,L18/H18)</f>
        <v>-0.29368236118577556</v>
      </c>
      <c r="O18" s="11"/>
      <c r="P18" s="21">
        <f>SUM(OSRRefP22x_0)</f>
        <v>377764.95000000007</v>
      </c>
      <c r="Q18" s="21"/>
      <c r="R18" s="31">
        <f t="shared" ref="R18:R27" si="4">IF(P$12=0,0,P18/P$12)</f>
        <v>0</v>
      </c>
      <c r="S18" s="21"/>
      <c r="T18" s="21">
        <f>SUM(OSRRefT22x_0)</f>
        <v>513639.52999999997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-135874.5799999999</v>
      </c>
      <c r="Y18" s="4"/>
      <c r="Z18" s="31">
        <f t="shared" ref="Z18:Z27" si="7">IF(T18=0,0,X18/T18)</f>
        <v>-0.26453294979068281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12783.82</v>
      </c>
      <c r="E19" s="1"/>
      <c r="F19" s="5">
        <f t="shared" si="0"/>
        <v>0</v>
      </c>
      <c r="G19" s="1"/>
      <c r="H19" s="1">
        <f>SUM(OSRRefH22_0x_0)</f>
        <v>18012.850000000002</v>
      </c>
      <c r="I19" s="1"/>
      <c r="J19" s="5">
        <f t="shared" si="1"/>
        <v>0</v>
      </c>
      <c r="K19" s="1"/>
      <c r="L19" s="1">
        <f t="shared" si="2"/>
        <v>-5229.0300000000025</v>
      </c>
      <c r="M19" s="1"/>
      <c r="N19" s="5">
        <f t="shared" si="3"/>
        <v>-0.29029442869951183</v>
      </c>
      <c r="O19" s="12"/>
      <c r="P19" s="1">
        <f>SUM(OSRRefP22_0x_0)</f>
        <v>119075.63000000002</v>
      </c>
      <c r="Q19" s="1"/>
      <c r="R19" s="5">
        <f t="shared" si="4"/>
        <v>0</v>
      </c>
      <c r="S19" s="1"/>
      <c r="T19" s="1">
        <f>SUM(OSRRefT22_0x_0)</f>
        <v>144503.87999999998</v>
      </c>
      <c r="U19" s="1"/>
      <c r="V19" s="5">
        <f t="shared" si="5"/>
        <v>0</v>
      </c>
      <c r="W19" s="1"/>
      <c r="X19" s="1">
        <f t="shared" si="6"/>
        <v>-25428.249999999956</v>
      </c>
      <c r="Y19" s="1"/>
      <c r="Z19" s="5">
        <f t="shared" si="7"/>
        <v>-0.17596932345345995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1630.11</v>
      </c>
      <c r="E20" s="2"/>
      <c r="F20" s="7">
        <f t="shared" si="0"/>
        <v>0</v>
      </c>
      <c r="G20" s="2"/>
      <c r="H20" s="6">
        <v>4107.34</v>
      </c>
      <c r="I20" s="2"/>
      <c r="J20" s="7">
        <f t="shared" si="1"/>
        <v>0</v>
      </c>
      <c r="K20" s="2"/>
      <c r="L20" s="6">
        <f t="shared" si="2"/>
        <v>-2477.2300000000005</v>
      </c>
      <c r="M20" s="2"/>
      <c r="N20" s="7">
        <f t="shared" si="3"/>
        <v>-0.6031227022842035</v>
      </c>
      <c r="O20" s="10"/>
      <c r="P20" s="6">
        <v>16691.75</v>
      </c>
      <c r="Q20" s="2"/>
      <c r="R20" s="7">
        <f t="shared" si="4"/>
        <v>0</v>
      </c>
      <c r="S20" s="2"/>
      <c r="T20" s="6">
        <v>24061.53</v>
      </c>
      <c r="U20" s="2"/>
      <c r="V20" s="7">
        <f t="shared" si="5"/>
        <v>0</v>
      </c>
      <c r="W20" s="2"/>
      <c r="X20" s="6">
        <f t="shared" si="6"/>
        <v>-7369.7799999999988</v>
      </c>
      <c r="Y20" s="2"/>
      <c r="Z20" s="7">
        <f t="shared" si="7"/>
        <v>-0.30628891845198536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70.319999999999993</v>
      </c>
      <c r="E21" s="2"/>
      <c r="F21" s="7">
        <f t="shared" si="0"/>
        <v>0</v>
      </c>
      <c r="G21" s="2"/>
      <c r="H21" s="6">
        <v>205.18</v>
      </c>
      <c r="I21" s="2"/>
      <c r="J21" s="7">
        <f t="shared" si="1"/>
        <v>0</v>
      </c>
      <c r="K21" s="2"/>
      <c r="L21" s="6">
        <f t="shared" si="2"/>
        <v>-134.86000000000001</v>
      </c>
      <c r="M21" s="2"/>
      <c r="N21" s="7">
        <f t="shared" si="3"/>
        <v>-0.65727653767423733</v>
      </c>
      <c r="O21" s="10"/>
      <c r="P21" s="6">
        <v>718.21</v>
      </c>
      <c r="Q21" s="2"/>
      <c r="R21" s="7">
        <f t="shared" si="4"/>
        <v>0</v>
      </c>
      <c r="S21" s="2"/>
      <c r="T21" s="6">
        <v>1013.14</v>
      </c>
      <c r="U21" s="2"/>
      <c r="V21" s="7">
        <f t="shared" si="5"/>
        <v>0</v>
      </c>
      <c r="W21" s="2"/>
      <c r="X21" s="6">
        <f t="shared" si="6"/>
        <v>-294.92999999999995</v>
      </c>
      <c r="Y21" s="2"/>
      <c r="Z21" s="7">
        <f t="shared" si="7"/>
        <v>-0.29110488185245864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6236.66</v>
      </c>
      <c r="E22" s="2"/>
      <c r="F22" s="7">
        <f t="shared" si="0"/>
        <v>0</v>
      </c>
      <c r="G22" s="2"/>
      <c r="H22" s="6">
        <v>6963.3</v>
      </c>
      <c r="I22" s="2"/>
      <c r="J22" s="7">
        <f t="shared" si="1"/>
        <v>0</v>
      </c>
      <c r="K22" s="2"/>
      <c r="L22" s="6">
        <f t="shared" si="2"/>
        <v>-726.64000000000033</v>
      </c>
      <c r="M22" s="2"/>
      <c r="N22" s="7">
        <f t="shared" si="3"/>
        <v>-0.10435282121982398</v>
      </c>
      <c r="O22" s="10"/>
      <c r="P22" s="6">
        <v>54151.26</v>
      </c>
      <c r="Q22" s="2"/>
      <c r="R22" s="7">
        <f t="shared" si="4"/>
        <v>0</v>
      </c>
      <c r="S22" s="2"/>
      <c r="T22" s="6">
        <v>55175.67</v>
      </c>
      <c r="U22" s="2"/>
      <c r="V22" s="7">
        <f t="shared" si="5"/>
        <v>0</v>
      </c>
      <c r="W22" s="2"/>
      <c r="X22" s="6">
        <f t="shared" si="6"/>
        <v>-1024.4099999999962</v>
      </c>
      <c r="Y22" s="2"/>
      <c r="Z22" s="7">
        <f t="shared" si="7"/>
        <v>-1.8566335488087345E-2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55.4</v>
      </c>
      <c r="E23" s="2"/>
      <c r="F23" s="7">
        <f t="shared" si="0"/>
        <v>0</v>
      </c>
      <c r="G23" s="2"/>
      <c r="H23" s="6">
        <v>156.9</v>
      </c>
      <c r="I23" s="2"/>
      <c r="J23" s="7">
        <f t="shared" si="1"/>
        <v>0</v>
      </c>
      <c r="K23" s="2"/>
      <c r="L23" s="6">
        <f t="shared" si="2"/>
        <v>-101.5</v>
      </c>
      <c r="M23" s="2"/>
      <c r="N23" s="7">
        <f t="shared" si="3"/>
        <v>-0.64690885914595286</v>
      </c>
      <c r="O23" s="10"/>
      <c r="P23" s="6">
        <v>565.83000000000004</v>
      </c>
      <c r="Q23" s="2"/>
      <c r="R23" s="7">
        <f t="shared" si="4"/>
        <v>0</v>
      </c>
      <c r="S23" s="2"/>
      <c r="T23" s="6">
        <v>915.51</v>
      </c>
      <c r="U23" s="2"/>
      <c r="V23" s="7">
        <f t="shared" si="5"/>
        <v>0</v>
      </c>
      <c r="W23" s="2"/>
      <c r="X23" s="6">
        <f t="shared" si="6"/>
        <v>-349.67999999999995</v>
      </c>
      <c r="Y23" s="2"/>
      <c r="Z23" s="7">
        <f t="shared" si="7"/>
        <v>-0.38195104368057142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1978.76</v>
      </c>
      <c r="E24" s="2"/>
      <c r="F24" s="7">
        <f t="shared" si="0"/>
        <v>0</v>
      </c>
      <c r="G24" s="2"/>
      <c r="H24" s="6">
        <v>2556.79</v>
      </c>
      <c r="I24" s="2"/>
      <c r="J24" s="7">
        <f t="shared" si="1"/>
        <v>0</v>
      </c>
      <c r="K24" s="2"/>
      <c r="L24" s="6">
        <f t="shared" si="2"/>
        <v>-578.03</v>
      </c>
      <c r="M24" s="2"/>
      <c r="N24" s="7">
        <f t="shared" si="3"/>
        <v>-0.22607644742039823</v>
      </c>
      <c r="O24" s="10"/>
      <c r="P24" s="6">
        <v>20638.91</v>
      </c>
      <c r="Q24" s="2"/>
      <c r="R24" s="7">
        <f t="shared" si="4"/>
        <v>0</v>
      </c>
      <c r="S24" s="2"/>
      <c r="T24" s="6">
        <v>22817.31</v>
      </c>
      <c r="U24" s="2"/>
      <c r="V24" s="7">
        <f t="shared" si="5"/>
        <v>0</v>
      </c>
      <c r="W24" s="2"/>
      <c r="X24" s="6">
        <f t="shared" si="6"/>
        <v>-2178.4000000000015</v>
      </c>
      <c r="Y24" s="2"/>
      <c r="Z24" s="7">
        <f t="shared" si="7"/>
        <v>-9.5471376774913491E-2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>
        <v>1606.1</v>
      </c>
      <c r="E25" s="2"/>
      <c r="F25" s="7">
        <f t="shared" si="0"/>
        <v>0</v>
      </c>
      <c r="G25" s="2"/>
      <c r="H25" s="6">
        <v>2065.1799999999998</v>
      </c>
      <c r="I25" s="2"/>
      <c r="J25" s="7">
        <f t="shared" si="1"/>
        <v>0</v>
      </c>
      <c r="K25" s="2"/>
      <c r="L25" s="6">
        <f t="shared" si="2"/>
        <v>-459.07999999999993</v>
      </c>
      <c r="M25" s="2"/>
      <c r="N25" s="7">
        <f t="shared" si="3"/>
        <v>-0.22229539313764415</v>
      </c>
      <c r="O25" s="10"/>
      <c r="P25" s="6">
        <v>14915.97</v>
      </c>
      <c r="Q25" s="2"/>
      <c r="R25" s="7">
        <f t="shared" si="4"/>
        <v>0</v>
      </c>
      <c r="S25" s="2"/>
      <c r="T25" s="6">
        <v>18901.29</v>
      </c>
      <c r="U25" s="2"/>
      <c r="V25" s="7">
        <f t="shared" si="5"/>
        <v>0</v>
      </c>
      <c r="W25" s="2"/>
      <c r="X25" s="6">
        <f t="shared" si="6"/>
        <v>-3985.3200000000015</v>
      </c>
      <c r="Y25" s="2"/>
      <c r="Z25" s="7">
        <f t="shared" si="7"/>
        <v>-0.21084910077566141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>
        <v>979.42</v>
      </c>
      <c r="E26" s="2"/>
      <c r="F26" s="7">
        <f t="shared" si="0"/>
        <v>0</v>
      </c>
      <c r="G26" s="2"/>
      <c r="H26" s="6">
        <v>1389.92</v>
      </c>
      <c r="I26" s="2"/>
      <c r="J26" s="7">
        <f t="shared" si="1"/>
        <v>0</v>
      </c>
      <c r="K26" s="2"/>
      <c r="L26" s="6">
        <f t="shared" si="2"/>
        <v>-410.50000000000011</v>
      </c>
      <c r="M26" s="2"/>
      <c r="N26" s="7">
        <f t="shared" si="3"/>
        <v>-0.29534073903534025</v>
      </c>
      <c r="O26" s="10"/>
      <c r="P26" s="6">
        <v>9304.49</v>
      </c>
      <c r="Q26" s="2"/>
      <c r="R26" s="7">
        <f t="shared" si="4"/>
        <v>0</v>
      </c>
      <c r="S26" s="2"/>
      <c r="T26" s="6">
        <v>14204.05</v>
      </c>
      <c r="U26" s="2"/>
      <c r="V26" s="7">
        <f t="shared" si="5"/>
        <v>0</v>
      </c>
      <c r="W26" s="2"/>
      <c r="X26" s="6">
        <f t="shared" si="6"/>
        <v>-4899.5599999999995</v>
      </c>
      <c r="Y26" s="2"/>
      <c r="Z26" s="7">
        <f t="shared" si="7"/>
        <v>-0.34494105554401738</v>
      </c>
    </row>
    <row r="27" spans="1:26" s="23" customFormat="1" hidden="1" outlineLevel="2" x14ac:dyDescent="0.25">
      <c r="A27" s="25"/>
      <c r="B27" s="10" t="str">
        <f>CONCATENATE("          ", "6156", " - ", "EMPLOYEE MEALS")</f>
        <v xml:space="preserve">          6156 - EMPLOYEE MEALS</v>
      </c>
      <c r="C27" s="10"/>
      <c r="D27" s="6">
        <v>227.05</v>
      </c>
      <c r="E27" s="2"/>
      <c r="F27" s="7">
        <f t="shared" si="0"/>
        <v>0</v>
      </c>
      <c r="G27" s="2"/>
      <c r="H27" s="6">
        <v>568.24</v>
      </c>
      <c r="I27" s="2"/>
      <c r="J27" s="7">
        <f t="shared" si="1"/>
        <v>0</v>
      </c>
      <c r="K27" s="2"/>
      <c r="L27" s="6">
        <f t="shared" si="2"/>
        <v>-341.19</v>
      </c>
      <c r="M27" s="2"/>
      <c r="N27" s="7">
        <f t="shared" si="3"/>
        <v>-0.60043291566943546</v>
      </c>
      <c r="O27" s="10"/>
      <c r="P27" s="6">
        <v>2089.21</v>
      </c>
      <c r="Q27" s="2"/>
      <c r="R27" s="7">
        <f t="shared" si="4"/>
        <v>0</v>
      </c>
      <c r="S27" s="2"/>
      <c r="T27" s="6">
        <v>7415.38</v>
      </c>
      <c r="U27" s="2"/>
      <c r="V27" s="7">
        <f t="shared" si="5"/>
        <v>0</v>
      </c>
      <c r="W27" s="2"/>
      <c r="X27" s="6">
        <f t="shared" si="6"/>
        <v>-5326.17</v>
      </c>
      <c r="Y27" s="2"/>
      <c r="Z27" s="7">
        <f t="shared" si="7"/>
        <v>-0.71825988688374698</v>
      </c>
    </row>
    <row r="28" spans="1:26" s="26" customFormat="1" outlineLevel="1" collapsed="1" x14ac:dyDescent="0.25">
      <c r="A28" s="27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20049.07</v>
      </c>
      <c r="E28" s="1"/>
      <c r="F28" s="5">
        <f t="shared" ref="F28:F32" si="8">IF(D$12=0,0,D28/D$12)</f>
        <v>0</v>
      </c>
      <c r="G28" s="1"/>
      <c r="H28" s="1">
        <f>SUM(OSRRefH22_1x_0)</f>
        <v>43524.670000000006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-23475.600000000006</v>
      </c>
      <c r="M28" s="1"/>
      <c r="N28" s="5">
        <f t="shared" ref="N28:N32" si="11">IF(H28=0,0,L28/H28)</f>
        <v>-0.53936307845642484</v>
      </c>
      <c r="O28" s="12"/>
      <c r="P28" s="1">
        <f>SUM(OSRRefP22_1x_0)</f>
        <v>191762.38</v>
      </c>
      <c r="Q28" s="1"/>
      <c r="R28" s="5">
        <f t="shared" ref="R28:R32" si="12">IF(P$12=0,0,P28/P$12)</f>
        <v>0</v>
      </c>
      <c r="S28" s="1"/>
      <c r="T28" s="1">
        <f>SUM(OSRRefT22_1x_0)</f>
        <v>300372.13999999996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-108609.75999999995</v>
      </c>
      <c r="Y28" s="1"/>
      <c r="Z28" s="5">
        <f t="shared" ref="Z28:Z32" si="15">IF(T28=0,0,X28/T28)</f>
        <v>-0.36158400043359534</v>
      </c>
    </row>
    <row r="29" spans="1:26" s="23" customFormat="1" hidden="1" outlineLevel="2" x14ac:dyDescent="0.25">
      <c r="A29" s="25"/>
      <c r="B29" s="10" t="str">
        <f>CONCATENATE("          ", "6002", " - ", "STAFF SALARIES")</f>
        <v xml:space="preserve">          6002 - STAFF SALARIES</v>
      </c>
      <c r="C29" s="10"/>
      <c r="D29" s="6">
        <v>20049.07</v>
      </c>
      <c r="E29" s="2"/>
      <c r="F29" s="7">
        <f t="shared" si="8"/>
        <v>0</v>
      </c>
      <c r="G29" s="2"/>
      <c r="H29" s="6">
        <v>35256.83</v>
      </c>
      <c r="I29" s="2"/>
      <c r="J29" s="7">
        <f t="shared" si="9"/>
        <v>0</v>
      </c>
      <c r="K29" s="2"/>
      <c r="L29" s="6">
        <f t="shared" si="10"/>
        <v>-15207.760000000002</v>
      </c>
      <c r="M29" s="2"/>
      <c r="N29" s="7">
        <f t="shared" si="11"/>
        <v>-0.43134223922003201</v>
      </c>
      <c r="O29" s="10"/>
      <c r="P29" s="6">
        <v>191380.62</v>
      </c>
      <c r="Q29" s="2"/>
      <c r="R29" s="7">
        <f t="shared" si="12"/>
        <v>0</v>
      </c>
      <c r="S29" s="2"/>
      <c r="T29" s="6">
        <v>241808.1</v>
      </c>
      <c r="U29" s="2"/>
      <c r="V29" s="7">
        <f t="shared" si="13"/>
        <v>0</v>
      </c>
      <c r="W29" s="2"/>
      <c r="X29" s="6">
        <f t="shared" si="14"/>
        <v>-50427.48000000001</v>
      </c>
      <c r="Y29" s="2"/>
      <c r="Z29" s="7">
        <f t="shared" si="15"/>
        <v>-0.20854338626373561</v>
      </c>
    </row>
    <row r="30" spans="1:26" s="23" customFormat="1" hidden="1" outlineLevel="2" x14ac:dyDescent="0.25">
      <c r="A30" s="25"/>
      <c r="B30" s="10" t="str">
        <f>CONCATENATE("          ", "6005", " - ", "TEMPORARY WAGES-HOURLY")</f>
        <v xml:space="preserve">          6005 - TEMPORARY WAGES-HOURLY</v>
      </c>
      <c r="C30" s="10"/>
      <c r="D30" s="6"/>
      <c r="E30" s="2"/>
      <c r="F30" s="7">
        <f t="shared" si="8"/>
        <v>0</v>
      </c>
      <c r="G30" s="2"/>
      <c r="H30" s="6">
        <v>3038.7</v>
      </c>
      <c r="I30" s="2"/>
      <c r="J30" s="7">
        <f t="shared" si="9"/>
        <v>0</v>
      </c>
      <c r="K30" s="2"/>
      <c r="L30" s="6">
        <f t="shared" si="10"/>
        <v>-3038.7</v>
      </c>
      <c r="M30" s="2"/>
      <c r="N30" s="7">
        <f t="shared" si="11"/>
        <v>-1</v>
      </c>
      <c r="O30" s="10"/>
      <c r="P30" s="6">
        <v>265.48</v>
      </c>
      <c r="Q30" s="2"/>
      <c r="R30" s="7">
        <f t="shared" si="12"/>
        <v>0</v>
      </c>
      <c r="S30" s="2"/>
      <c r="T30" s="6">
        <v>20823.22</v>
      </c>
      <c r="U30" s="2"/>
      <c r="V30" s="7">
        <f t="shared" si="13"/>
        <v>0</v>
      </c>
      <c r="W30" s="2"/>
      <c r="X30" s="6">
        <f t="shared" si="14"/>
        <v>-20557.740000000002</v>
      </c>
      <c r="Y30" s="2"/>
      <c r="Z30" s="7">
        <f t="shared" si="15"/>
        <v>-0.98725077101428116</v>
      </c>
    </row>
    <row r="31" spans="1:26" s="23" customFormat="1" hidden="1" outlineLevel="2" x14ac:dyDescent="0.25">
      <c r="A31" s="25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8"/>
        <v>0</v>
      </c>
      <c r="G31" s="2"/>
      <c r="H31" s="6">
        <v>4342.41</v>
      </c>
      <c r="I31" s="2"/>
      <c r="J31" s="7">
        <f t="shared" si="9"/>
        <v>0</v>
      </c>
      <c r="K31" s="2"/>
      <c r="L31" s="6">
        <f t="shared" si="10"/>
        <v>-4342.41</v>
      </c>
      <c r="M31" s="2"/>
      <c r="N31" s="7">
        <f t="shared" si="11"/>
        <v>-1</v>
      </c>
      <c r="O31" s="10"/>
      <c r="P31" s="6">
        <v>116.28</v>
      </c>
      <c r="Q31" s="2"/>
      <c r="R31" s="7">
        <f t="shared" si="12"/>
        <v>0</v>
      </c>
      <c r="S31" s="2"/>
      <c r="T31" s="6">
        <v>32671.35</v>
      </c>
      <c r="U31" s="2"/>
      <c r="V31" s="7">
        <f t="shared" si="13"/>
        <v>0</v>
      </c>
      <c r="W31" s="2"/>
      <c r="X31" s="6">
        <f t="shared" si="14"/>
        <v>-32555.07</v>
      </c>
      <c r="Y31" s="2"/>
      <c r="Z31" s="7">
        <f t="shared" si="15"/>
        <v>-0.99644091841934912</v>
      </c>
    </row>
    <row r="32" spans="1:26" s="23" customFormat="1" hidden="1" outlineLevel="2" x14ac:dyDescent="0.25">
      <c r="A32" s="25"/>
      <c r="B32" s="10" t="str">
        <f>CONCATENATE("          ", "6008", " - ", "STUDENT HOURLY-FICA EXEMPT")</f>
        <v xml:space="preserve">          6008 - STUDENT HOURLY-FICA EXEMPT</v>
      </c>
      <c r="C32" s="10"/>
      <c r="D32" s="6"/>
      <c r="E32" s="2"/>
      <c r="F32" s="7">
        <f t="shared" si="8"/>
        <v>0</v>
      </c>
      <c r="G32" s="2"/>
      <c r="H32" s="6">
        <v>886.73</v>
      </c>
      <c r="I32" s="2"/>
      <c r="J32" s="7">
        <f t="shared" si="9"/>
        <v>0</v>
      </c>
      <c r="K32" s="2"/>
      <c r="L32" s="6">
        <f t="shared" si="10"/>
        <v>-886.73</v>
      </c>
      <c r="M32" s="2"/>
      <c r="N32" s="7">
        <f t="shared" si="11"/>
        <v>-1</v>
      </c>
      <c r="O32" s="10"/>
      <c r="P32" s="6"/>
      <c r="Q32" s="2"/>
      <c r="R32" s="7">
        <f t="shared" si="12"/>
        <v>0</v>
      </c>
      <c r="S32" s="2"/>
      <c r="T32" s="6">
        <v>5069.47</v>
      </c>
      <c r="U32" s="2"/>
      <c r="V32" s="7">
        <f t="shared" si="13"/>
        <v>0</v>
      </c>
      <c r="W32" s="2"/>
      <c r="X32" s="6">
        <f t="shared" si="14"/>
        <v>-5069.47</v>
      </c>
      <c r="Y32" s="2"/>
      <c r="Z32" s="7">
        <f t="shared" si="15"/>
        <v>-1</v>
      </c>
    </row>
    <row r="33" spans="1:26" s="26" customFormat="1" outlineLevel="1" collapsed="1" x14ac:dyDescent="0.25">
      <c r="A33" s="27"/>
      <c r="B33" s="12" t="str">
        <f>CONCATENATE("     ","Advertising/Promo                                 ")</f>
        <v xml:space="preserve">     Advertising/Promo                                 </v>
      </c>
      <c r="C33" s="12"/>
      <c r="D33" s="1">
        <f>SUM(OSRRefD22_2x_0)</f>
        <v>0</v>
      </c>
      <c r="E33" s="1"/>
      <c r="F33" s="5">
        <f t="shared" ref="F33:F43" si="16">IF(D$12=0,0,D33/D$12)</f>
        <v>0</v>
      </c>
      <c r="G33" s="1"/>
      <c r="H33" s="1">
        <f>SUM(OSRRefH22_2x_0)</f>
        <v>44</v>
      </c>
      <c r="I33" s="1"/>
      <c r="J33" s="5">
        <f t="shared" ref="J33:J43" si="17">IF(H$12=0,0,H33/H$12)</f>
        <v>0</v>
      </c>
      <c r="K33" s="1"/>
      <c r="L33" s="1">
        <f t="shared" ref="L33:L43" si="18">+D33-H33</f>
        <v>-44</v>
      </c>
      <c r="M33" s="1"/>
      <c r="N33" s="5">
        <f t="shared" ref="N33:N43" si="19">IF(H33=0,0,L33/H33)</f>
        <v>-1</v>
      </c>
      <c r="O33" s="12"/>
      <c r="P33" s="1">
        <f>SUM(OSRRefP22_2x_0)</f>
        <v>0</v>
      </c>
      <c r="Q33" s="1"/>
      <c r="R33" s="5">
        <f t="shared" ref="R33:R43" si="20">IF(P$12=0,0,P33/P$12)</f>
        <v>0</v>
      </c>
      <c r="S33" s="1"/>
      <c r="T33" s="1">
        <f>SUM(OSRRefT22_2x_0)</f>
        <v>62</v>
      </c>
      <c r="U33" s="1"/>
      <c r="V33" s="5">
        <f t="shared" ref="V33:V43" si="21">IF(T$12=0,0,T33/T$12)</f>
        <v>0</v>
      </c>
      <c r="W33" s="1"/>
      <c r="X33" s="1">
        <f t="shared" ref="X33:X43" si="22">+P33-T33</f>
        <v>-62</v>
      </c>
      <c r="Y33" s="1"/>
      <c r="Z33" s="5">
        <f t="shared" ref="Z33:Z43" si="23">IF(T33=0,0,X33/T33)</f>
        <v>-1</v>
      </c>
    </row>
    <row r="34" spans="1:26" s="23" customFormat="1" hidden="1" outlineLevel="2" x14ac:dyDescent="0.25">
      <c r="A34" s="25"/>
      <c r="B34" s="10" t="str">
        <f>CONCATENATE("          ", "6362", " - ", "ADVERTISING EXPENSE")</f>
        <v xml:space="preserve">          6362 - ADVERTISING EXPENSE</v>
      </c>
      <c r="C34" s="10"/>
      <c r="D34" s="6"/>
      <c r="E34" s="2"/>
      <c r="F34" s="7">
        <f t="shared" si="16"/>
        <v>0</v>
      </c>
      <c r="G34" s="2"/>
      <c r="H34" s="6">
        <v>44</v>
      </c>
      <c r="I34" s="2"/>
      <c r="J34" s="7">
        <f t="shared" si="17"/>
        <v>0</v>
      </c>
      <c r="K34" s="2"/>
      <c r="L34" s="6">
        <f t="shared" si="18"/>
        <v>-44</v>
      </c>
      <c r="M34" s="2"/>
      <c r="N34" s="7">
        <f t="shared" si="19"/>
        <v>-1</v>
      </c>
      <c r="O34" s="10"/>
      <c r="P34" s="6"/>
      <c r="Q34" s="2"/>
      <c r="R34" s="7">
        <f t="shared" si="20"/>
        <v>0</v>
      </c>
      <c r="S34" s="2"/>
      <c r="T34" s="6">
        <v>62</v>
      </c>
      <c r="U34" s="2"/>
      <c r="V34" s="7">
        <f t="shared" si="21"/>
        <v>0</v>
      </c>
      <c r="W34" s="2"/>
      <c r="X34" s="6">
        <f t="shared" si="22"/>
        <v>-62</v>
      </c>
      <c r="Y34" s="2"/>
      <c r="Z34" s="7">
        <f t="shared" si="23"/>
        <v>-1</v>
      </c>
    </row>
    <row r="35" spans="1:26" s="26" customFormat="1" outlineLevel="1" collapsed="1" x14ac:dyDescent="0.25">
      <c r="A35" s="27"/>
      <c r="B35" s="12" t="str">
        <f>CONCATENATE("     ","Depreciation                                      ")</f>
        <v xml:space="preserve">     Depreciation                                      </v>
      </c>
      <c r="C35" s="12"/>
      <c r="D35" s="1">
        <f>SUM(OSRRefD22_3x_0)</f>
        <v>1558.88</v>
      </c>
      <c r="E35" s="1"/>
      <c r="F35" s="5">
        <f t="shared" si="16"/>
        <v>0</v>
      </c>
      <c r="G35" s="1"/>
      <c r="H35" s="1">
        <f>SUM(OSRRefH22_3x_0)</f>
        <v>1558.88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2"/>
      <c r="P35" s="1">
        <f>SUM(OSRRefP22_3x_0)</f>
        <v>14029.92</v>
      </c>
      <c r="Q35" s="1"/>
      <c r="R35" s="5">
        <f t="shared" si="20"/>
        <v>0</v>
      </c>
      <c r="S35" s="1"/>
      <c r="T35" s="1">
        <f>SUM(OSRRefT22_3x_0)</f>
        <v>14029.92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3" customFormat="1" hidden="1" outlineLevel="2" x14ac:dyDescent="0.25">
      <c r="A36" s="25"/>
      <c r="B36" s="10" t="str">
        <f>CONCATENATE("          ", "6322", " - ", "EQUIPMENT DEPRECIATION EXPENSE")</f>
        <v xml:space="preserve">          6322 - EQUIPMENT DEPRECIATION EXPENSE</v>
      </c>
      <c r="C36" s="10"/>
      <c r="D36" s="6">
        <v>1558.88</v>
      </c>
      <c r="E36" s="2"/>
      <c r="F36" s="7">
        <f t="shared" si="16"/>
        <v>0</v>
      </c>
      <c r="G36" s="2"/>
      <c r="H36" s="6">
        <v>1558.88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0"/>
      <c r="P36" s="6">
        <v>14029.92</v>
      </c>
      <c r="Q36" s="2"/>
      <c r="R36" s="7">
        <f t="shared" si="20"/>
        <v>0</v>
      </c>
      <c r="S36" s="2"/>
      <c r="T36" s="6">
        <v>14029.92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6" customFormat="1" outlineLevel="1" collapsed="1" x14ac:dyDescent="0.25">
      <c r="A37" s="27"/>
      <c r="B37" s="12" t="str">
        <f>CONCATENATE("     ","Employees' Appreciation                           ")</f>
        <v xml:space="preserve">     Employees' Appreciation                           </v>
      </c>
      <c r="C37" s="12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3.96</v>
      </c>
      <c r="I37" s="1"/>
      <c r="J37" s="5">
        <f t="shared" si="17"/>
        <v>0</v>
      </c>
      <c r="K37" s="1"/>
      <c r="L37" s="1">
        <f t="shared" si="18"/>
        <v>-3.96</v>
      </c>
      <c r="M37" s="1"/>
      <c r="N37" s="5">
        <f t="shared" si="19"/>
        <v>-1</v>
      </c>
      <c r="O37" s="12"/>
      <c r="P37" s="1">
        <f>SUM(OSRRefP22_4x_0)</f>
        <v>0</v>
      </c>
      <c r="Q37" s="1"/>
      <c r="R37" s="5">
        <f t="shared" si="20"/>
        <v>0</v>
      </c>
      <c r="S37" s="1"/>
      <c r="T37" s="1">
        <f>SUM(OSRRefT22_4x_0)</f>
        <v>3.96</v>
      </c>
      <c r="U37" s="1"/>
      <c r="V37" s="5">
        <f t="shared" si="21"/>
        <v>0</v>
      </c>
      <c r="W37" s="1"/>
      <c r="X37" s="1">
        <f t="shared" si="22"/>
        <v>-3.96</v>
      </c>
      <c r="Y37" s="1"/>
      <c r="Z37" s="5">
        <f t="shared" si="23"/>
        <v>-1</v>
      </c>
    </row>
    <row r="38" spans="1:26" s="23" customFormat="1" hidden="1" outlineLevel="2" x14ac:dyDescent="0.25">
      <c r="A38" s="25"/>
      <c r="B38" s="10" t="str">
        <f>CONCATENATE("          ", "6277", " - ", "EMPLOYEE APPRECIATION")</f>
        <v xml:space="preserve">          6277 - EMPLOYEE APPRECIATION</v>
      </c>
      <c r="C38" s="10"/>
      <c r="D38" s="6"/>
      <c r="E38" s="2"/>
      <c r="F38" s="7">
        <f t="shared" si="16"/>
        <v>0</v>
      </c>
      <c r="G38" s="2"/>
      <c r="H38" s="6">
        <v>3.96</v>
      </c>
      <c r="I38" s="2"/>
      <c r="J38" s="7">
        <f t="shared" si="17"/>
        <v>0</v>
      </c>
      <c r="K38" s="2"/>
      <c r="L38" s="6">
        <f t="shared" si="18"/>
        <v>-3.96</v>
      </c>
      <c r="M38" s="2"/>
      <c r="N38" s="7">
        <f t="shared" si="19"/>
        <v>-1</v>
      </c>
      <c r="O38" s="10"/>
      <c r="P38" s="6"/>
      <c r="Q38" s="2"/>
      <c r="R38" s="7">
        <f t="shared" si="20"/>
        <v>0</v>
      </c>
      <c r="S38" s="2"/>
      <c r="T38" s="6">
        <v>3.96</v>
      </c>
      <c r="U38" s="2"/>
      <c r="V38" s="7">
        <f t="shared" si="21"/>
        <v>0</v>
      </c>
      <c r="W38" s="2"/>
      <c r="X38" s="6">
        <f t="shared" si="22"/>
        <v>-3.96</v>
      </c>
      <c r="Y38" s="2"/>
      <c r="Z38" s="7">
        <f t="shared" si="23"/>
        <v>-1</v>
      </c>
    </row>
    <row r="39" spans="1:26" s="26" customFormat="1" outlineLevel="1" collapsed="1" x14ac:dyDescent="0.25">
      <c r="A39" s="27"/>
      <c r="B39" s="12" t="str">
        <f>CONCATENATE("     ","Equipment Rental                                  ")</f>
        <v xml:space="preserve">     Equipment Rental                                  </v>
      </c>
      <c r="C39" s="12"/>
      <c r="D39" s="1">
        <f>SUM(OSRRefD22_5x_0)</f>
        <v>91.26</v>
      </c>
      <c r="E39" s="1"/>
      <c r="F39" s="5">
        <f t="shared" si="16"/>
        <v>0</v>
      </c>
      <c r="G39" s="1"/>
      <c r="H39" s="1">
        <f>SUM(OSRRefH22_5x_0)</f>
        <v>91.26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2"/>
      <c r="P39" s="1">
        <f>SUM(OSRRefP22_5x_0)</f>
        <v>821.34</v>
      </c>
      <c r="Q39" s="1"/>
      <c r="R39" s="5">
        <f t="shared" si="20"/>
        <v>0</v>
      </c>
      <c r="S39" s="1"/>
      <c r="T39" s="1">
        <f>SUM(OSRRefT22_5x_0)</f>
        <v>821.34</v>
      </c>
      <c r="U39" s="1"/>
      <c r="V39" s="5">
        <f t="shared" si="21"/>
        <v>0</v>
      </c>
      <c r="W39" s="1"/>
      <c r="X39" s="1">
        <f t="shared" si="22"/>
        <v>0</v>
      </c>
      <c r="Y39" s="1"/>
      <c r="Z39" s="5">
        <f t="shared" si="23"/>
        <v>0</v>
      </c>
    </row>
    <row r="40" spans="1:26" s="23" customFormat="1" hidden="1" outlineLevel="2" x14ac:dyDescent="0.25">
      <c r="A40" s="25"/>
      <c r="B40" s="10" t="str">
        <f>CONCATENATE("          ", "6351", " - ", "EQUIPMENT RENTAL")</f>
        <v xml:space="preserve">          6351 - EQUIPMENT RENTAL</v>
      </c>
      <c r="C40" s="10"/>
      <c r="D40" s="6">
        <v>91.26</v>
      </c>
      <c r="E40" s="2"/>
      <c r="F40" s="7">
        <f t="shared" si="16"/>
        <v>0</v>
      </c>
      <c r="G40" s="2"/>
      <c r="H40" s="6">
        <v>91.26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0"/>
      <c r="P40" s="6">
        <v>821.34</v>
      </c>
      <c r="Q40" s="2"/>
      <c r="R40" s="7">
        <f t="shared" si="20"/>
        <v>0</v>
      </c>
      <c r="S40" s="2"/>
      <c r="T40" s="6">
        <v>821.34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6" customFormat="1" outlineLevel="1" collapsed="1" x14ac:dyDescent="0.25">
      <c r="A41" s="27"/>
      <c r="B41" s="12" t="str">
        <f>CONCATENATE("     ","Freight out/Postage                               ")</f>
        <v xml:space="preserve">     Freight out/Postage                               </v>
      </c>
      <c r="C41" s="12"/>
      <c r="D41" s="1">
        <f>SUM(OSRRefD22_6x_0)</f>
        <v>80.069999999999993</v>
      </c>
      <c r="E41" s="1"/>
      <c r="F41" s="5">
        <f t="shared" si="16"/>
        <v>0</v>
      </c>
      <c r="G41" s="1"/>
      <c r="H41" s="1">
        <f>SUM(OSRRefH22_6x_0)</f>
        <v>101.3</v>
      </c>
      <c r="I41" s="1"/>
      <c r="J41" s="5">
        <f t="shared" si="17"/>
        <v>0</v>
      </c>
      <c r="K41" s="1"/>
      <c r="L41" s="1">
        <f t="shared" si="18"/>
        <v>-21.230000000000004</v>
      </c>
      <c r="M41" s="1"/>
      <c r="N41" s="5">
        <f t="shared" si="19"/>
        <v>-0.20957551826258641</v>
      </c>
      <c r="O41" s="12"/>
      <c r="P41" s="1">
        <f>SUM(OSRRefP22_6x_0)</f>
        <v>815.04</v>
      </c>
      <c r="Q41" s="1"/>
      <c r="R41" s="5">
        <f t="shared" si="20"/>
        <v>0</v>
      </c>
      <c r="S41" s="1"/>
      <c r="T41" s="1">
        <f>SUM(OSRRefT22_6x_0)</f>
        <v>1140.9000000000001</v>
      </c>
      <c r="U41" s="1"/>
      <c r="V41" s="5">
        <f t="shared" si="21"/>
        <v>0</v>
      </c>
      <c r="W41" s="1"/>
      <c r="X41" s="1">
        <f t="shared" si="22"/>
        <v>-325.86000000000013</v>
      </c>
      <c r="Y41" s="1"/>
      <c r="Z41" s="5">
        <f t="shared" si="23"/>
        <v>-0.28561661845911129</v>
      </c>
    </row>
    <row r="42" spans="1:26" s="23" customFormat="1" hidden="1" outlineLevel="2" x14ac:dyDescent="0.25">
      <c r="A42" s="25"/>
      <c r="B42" s="10" t="str">
        <f>CONCATENATE("          ", "6305", " - ", "FREIGHT OUT")</f>
        <v xml:space="preserve">          6305 - FREIGHT OUT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>
        <v>5.41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5.41</v>
      </c>
      <c r="Y42" s="2"/>
      <c r="Z42" s="7">
        <f t="shared" si="23"/>
        <v>0</v>
      </c>
    </row>
    <row r="43" spans="1:26" s="23" customFormat="1" hidden="1" outlineLevel="2" x14ac:dyDescent="0.25">
      <c r="A43" s="25"/>
      <c r="B43" s="10" t="str">
        <f>CONCATENATE("          ", "6307", " - ", "POSTAGE")</f>
        <v xml:space="preserve">          6307 - POSTAGE</v>
      </c>
      <c r="C43" s="10"/>
      <c r="D43" s="6">
        <v>80.069999999999993</v>
      </c>
      <c r="E43" s="2"/>
      <c r="F43" s="7">
        <f t="shared" si="16"/>
        <v>0</v>
      </c>
      <c r="G43" s="2"/>
      <c r="H43" s="6">
        <v>101.3</v>
      </c>
      <c r="I43" s="2"/>
      <c r="J43" s="7">
        <f t="shared" si="17"/>
        <v>0</v>
      </c>
      <c r="K43" s="2"/>
      <c r="L43" s="6">
        <f t="shared" si="18"/>
        <v>-21.230000000000004</v>
      </c>
      <c r="M43" s="2"/>
      <c r="N43" s="7">
        <f t="shared" si="19"/>
        <v>-0.20957551826258641</v>
      </c>
      <c r="O43" s="10"/>
      <c r="P43" s="6">
        <v>809.63</v>
      </c>
      <c r="Q43" s="2"/>
      <c r="R43" s="7">
        <f t="shared" si="20"/>
        <v>0</v>
      </c>
      <c r="S43" s="2"/>
      <c r="T43" s="6">
        <v>1140.9000000000001</v>
      </c>
      <c r="U43" s="2"/>
      <c r="V43" s="7">
        <f t="shared" si="21"/>
        <v>0</v>
      </c>
      <c r="W43" s="2"/>
      <c r="X43" s="6">
        <f t="shared" si="22"/>
        <v>-331.2700000000001</v>
      </c>
      <c r="Y43" s="2"/>
      <c r="Z43" s="7">
        <f t="shared" si="23"/>
        <v>-0.29035848891226229</v>
      </c>
    </row>
    <row r="44" spans="1:26" s="26" customFormat="1" outlineLevel="1" collapsed="1" x14ac:dyDescent="0.25">
      <c r="A44" s="27"/>
      <c r="B44" s="12" t="str">
        <f>CONCATENATE("     ","Insurance                                         ")</f>
        <v xml:space="preserve">     Insurance                                         </v>
      </c>
      <c r="C44" s="12"/>
      <c r="D44" s="1">
        <f>SUM(OSRRefD22_7x_0)</f>
        <v>132.16999999999999</v>
      </c>
      <c r="E44" s="1"/>
      <c r="F44" s="5">
        <f t="shared" ref="F44:F51" si="24">IF(D$12=0,0,D44/D$12)</f>
        <v>0</v>
      </c>
      <c r="G44" s="1"/>
      <c r="H44" s="1">
        <f>SUM(OSRRefH22_7x_0)</f>
        <v>132.16999999999999</v>
      </c>
      <c r="I44" s="1"/>
      <c r="J44" s="5">
        <f t="shared" ref="J44:J51" si="25">IF(H$12=0,0,H44/H$12)</f>
        <v>0</v>
      </c>
      <c r="K44" s="1"/>
      <c r="L44" s="1">
        <f t="shared" ref="L44:L51" si="26">+D44-H44</f>
        <v>0</v>
      </c>
      <c r="M44" s="1"/>
      <c r="N44" s="5">
        <f t="shared" ref="N44:N51" si="27">IF(H44=0,0,L44/H44)</f>
        <v>0</v>
      </c>
      <c r="O44" s="12"/>
      <c r="P44" s="1">
        <f>SUM(OSRRefP22_7x_0)</f>
        <v>1189.53</v>
      </c>
      <c r="Q44" s="1"/>
      <c r="R44" s="5">
        <f t="shared" ref="R44:R51" si="28">IF(P$12=0,0,P44/P$12)</f>
        <v>0</v>
      </c>
      <c r="S44" s="1"/>
      <c r="T44" s="1">
        <f>SUM(OSRRefT22_7x_0)</f>
        <v>1189.53</v>
      </c>
      <c r="U44" s="1"/>
      <c r="V44" s="5">
        <f t="shared" ref="V44:V51" si="29">IF(T$12=0,0,T44/T$12)</f>
        <v>0</v>
      </c>
      <c r="W44" s="1"/>
      <c r="X44" s="1">
        <f t="shared" ref="X44:X51" si="30">+P44-T44</f>
        <v>0</v>
      </c>
      <c r="Y44" s="1"/>
      <c r="Z44" s="5">
        <f t="shared" ref="Z44:Z51" si="31">IF(T44=0,0,X44/T44)</f>
        <v>0</v>
      </c>
    </row>
    <row r="45" spans="1:26" s="23" customFormat="1" hidden="1" outlineLevel="2" x14ac:dyDescent="0.25">
      <c r="A45" s="25"/>
      <c r="B45" s="10" t="str">
        <f>CONCATENATE("          ", "6314", " - ", "LIABILITY INSURANCE")</f>
        <v xml:space="preserve">          6314 - LIABILITY INSURANCE</v>
      </c>
      <c r="C45" s="10"/>
      <c r="D45" s="6">
        <v>132.16999999999999</v>
      </c>
      <c r="E45" s="2"/>
      <c r="F45" s="7">
        <f t="shared" si="24"/>
        <v>0</v>
      </c>
      <c r="G45" s="2"/>
      <c r="H45" s="6">
        <v>132.16999999999999</v>
      </c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0"/>
      <c r="P45" s="6">
        <v>1189.53</v>
      </c>
      <c r="Q45" s="2"/>
      <c r="R45" s="7">
        <f t="shared" si="28"/>
        <v>0</v>
      </c>
      <c r="S45" s="2"/>
      <c r="T45" s="6">
        <v>1189.53</v>
      </c>
      <c r="U45" s="2"/>
      <c r="V45" s="7">
        <f t="shared" si="29"/>
        <v>0</v>
      </c>
      <c r="W45" s="2"/>
      <c r="X45" s="6">
        <f t="shared" si="30"/>
        <v>0</v>
      </c>
      <c r="Y45" s="2"/>
      <c r="Z45" s="7">
        <f t="shared" si="31"/>
        <v>0</v>
      </c>
    </row>
    <row r="46" spans="1:26" s="26" customFormat="1" outlineLevel="1" collapsed="1" x14ac:dyDescent="0.25">
      <c r="A46" s="27"/>
      <c r="B46" s="12" t="str">
        <f>CONCATENATE("     ","Professional Services                             ")</f>
        <v xml:space="preserve">     Professional Services                             </v>
      </c>
      <c r="C46" s="12"/>
      <c r="D46" s="1">
        <f>SUM(OSRRefD22_8x_0)</f>
        <v>0</v>
      </c>
      <c r="E46" s="1"/>
      <c r="F46" s="5">
        <f t="shared" si="24"/>
        <v>0</v>
      </c>
      <c r="G46" s="1"/>
      <c r="H46" s="1">
        <f>SUM(OSRRefH22_8x_0)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SUM(OSRRefP22_8x_0)</f>
        <v>0</v>
      </c>
      <c r="Q46" s="1"/>
      <c r="R46" s="5">
        <f t="shared" si="28"/>
        <v>0</v>
      </c>
      <c r="S46" s="1"/>
      <c r="T46" s="1">
        <f>SUM(OSRRefT22_8x_0)</f>
        <v>82.5</v>
      </c>
      <c r="U46" s="1"/>
      <c r="V46" s="5">
        <f t="shared" si="29"/>
        <v>0</v>
      </c>
      <c r="W46" s="1"/>
      <c r="X46" s="1">
        <f t="shared" si="30"/>
        <v>-82.5</v>
      </c>
      <c r="Y46" s="1"/>
      <c r="Z46" s="5">
        <f t="shared" si="31"/>
        <v>-1</v>
      </c>
    </row>
    <row r="47" spans="1:26" s="23" customFormat="1" hidden="1" outlineLevel="2" x14ac:dyDescent="0.25">
      <c r="A47" s="25"/>
      <c r="B47" s="10" t="str">
        <f>CONCATENATE("          ", "6332", " - ", "CONSULTANT FEES")</f>
        <v xml:space="preserve">          6332 - CONSULTANT FEES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82.5</v>
      </c>
      <c r="U47" s="2"/>
      <c r="V47" s="7">
        <f t="shared" si="29"/>
        <v>0</v>
      </c>
      <c r="W47" s="2"/>
      <c r="X47" s="6">
        <f t="shared" si="30"/>
        <v>-82.5</v>
      </c>
      <c r="Y47" s="2"/>
      <c r="Z47" s="7">
        <f t="shared" si="31"/>
        <v>-1</v>
      </c>
    </row>
    <row r="48" spans="1:26" s="26" customFormat="1" outlineLevel="1" collapsed="1" x14ac:dyDescent="0.25">
      <c r="A48" s="27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SUM(OSRRefD22_9x_0)</f>
        <v>19959.13</v>
      </c>
      <c r="E48" s="1"/>
      <c r="F48" s="5">
        <f t="shared" si="24"/>
        <v>0</v>
      </c>
      <c r="G48" s="1"/>
      <c r="H48" s="1">
        <f>SUM(OSRRefH22_9x_0)</f>
        <v>15087.16</v>
      </c>
      <c r="I48" s="1"/>
      <c r="J48" s="5">
        <f t="shared" si="25"/>
        <v>0</v>
      </c>
      <c r="K48" s="1"/>
      <c r="L48" s="1">
        <f t="shared" si="26"/>
        <v>4871.9700000000012</v>
      </c>
      <c r="M48" s="1"/>
      <c r="N48" s="5">
        <f t="shared" si="27"/>
        <v>0.32292161016387455</v>
      </c>
      <c r="O48" s="12"/>
      <c r="P48" s="1">
        <f>SUM(OSRRefP22_9x_0)</f>
        <v>37036.1</v>
      </c>
      <c r="Q48" s="1"/>
      <c r="R48" s="5">
        <f t="shared" si="28"/>
        <v>0</v>
      </c>
      <c r="S48" s="1"/>
      <c r="T48" s="1">
        <f>SUM(OSRRefT22_9x_0)</f>
        <v>31793.9</v>
      </c>
      <c r="U48" s="1"/>
      <c r="V48" s="5">
        <f t="shared" si="29"/>
        <v>0</v>
      </c>
      <c r="W48" s="1"/>
      <c r="X48" s="1">
        <f t="shared" si="30"/>
        <v>5242.1999999999971</v>
      </c>
      <c r="Y48" s="1"/>
      <c r="Z48" s="5">
        <f t="shared" si="31"/>
        <v>0.16488068465963587</v>
      </c>
    </row>
    <row r="49" spans="1:26" s="23" customFormat="1" hidden="1" outlineLevel="2" x14ac:dyDescent="0.25">
      <c r="A49" s="25"/>
      <c r="B49" s="10" t="str">
        <f>CONCATENATE("          ", "6371", " - ", "COMPUTER SOFTWARE MAINTENANCE")</f>
        <v xml:space="preserve">          6371 - COMPUTER SOFTWARE MAINTENANCE</v>
      </c>
      <c r="C49" s="10"/>
      <c r="D49" s="6">
        <v>19951.75</v>
      </c>
      <c r="E49" s="2"/>
      <c r="F49" s="7">
        <f t="shared" si="24"/>
        <v>0</v>
      </c>
      <c r="G49" s="2"/>
      <c r="H49" s="6">
        <v>14992.96</v>
      </c>
      <c r="I49" s="2"/>
      <c r="J49" s="7">
        <f t="shared" si="25"/>
        <v>0</v>
      </c>
      <c r="K49" s="2"/>
      <c r="L49" s="6">
        <f t="shared" si="26"/>
        <v>4958.7900000000009</v>
      </c>
      <c r="M49" s="2"/>
      <c r="N49" s="7">
        <f t="shared" si="27"/>
        <v>0.33074122788295313</v>
      </c>
      <c r="O49" s="10"/>
      <c r="P49" s="6">
        <v>32233.47</v>
      </c>
      <c r="Q49" s="2"/>
      <c r="R49" s="7">
        <f t="shared" si="28"/>
        <v>0</v>
      </c>
      <c r="S49" s="2"/>
      <c r="T49" s="6">
        <v>26633.83</v>
      </c>
      <c r="U49" s="2"/>
      <c r="V49" s="7">
        <f t="shared" si="29"/>
        <v>0</v>
      </c>
      <c r="W49" s="2"/>
      <c r="X49" s="6">
        <f t="shared" si="30"/>
        <v>5599.6399999999994</v>
      </c>
      <c r="Y49" s="2"/>
      <c r="Z49" s="7">
        <f t="shared" si="31"/>
        <v>0.2102453909182419</v>
      </c>
    </row>
    <row r="50" spans="1:26" s="23" customFormat="1" hidden="1" outlineLevel="2" x14ac:dyDescent="0.25">
      <c r="A50" s="25"/>
      <c r="B50" s="10" t="str">
        <f>CONCATENATE("          ", "6373", " - ", "MAINTENANCE CONTRACTS")</f>
        <v xml:space="preserve">          6373 - MAINTENANCE CONTRACTS</v>
      </c>
      <c r="C50" s="10"/>
      <c r="D50" s="6">
        <v>7.38</v>
      </c>
      <c r="E50" s="2"/>
      <c r="F50" s="7">
        <f t="shared" si="24"/>
        <v>0</v>
      </c>
      <c r="G50" s="2"/>
      <c r="H50" s="6">
        <v>20.84</v>
      </c>
      <c r="I50" s="2"/>
      <c r="J50" s="7">
        <f t="shared" si="25"/>
        <v>0</v>
      </c>
      <c r="K50" s="2"/>
      <c r="L50" s="6">
        <f t="shared" si="26"/>
        <v>-13.46</v>
      </c>
      <c r="M50" s="2"/>
      <c r="N50" s="7">
        <f t="shared" si="27"/>
        <v>-0.64587332053742808</v>
      </c>
      <c r="O50" s="10"/>
      <c r="P50" s="6">
        <v>4675.6099999999997</v>
      </c>
      <c r="Q50" s="2"/>
      <c r="R50" s="7">
        <f t="shared" si="28"/>
        <v>0</v>
      </c>
      <c r="S50" s="2"/>
      <c r="T50" s="6">
        <v>4622.13</v>
      </c>
      <c r="U50" s="2"/>
      <c r="V50" s="7">
        <f t="shared" si="29"/>
        <v>0</v>
      </c>
      <c r="W50" s="2"/>
      <c r="X50" s="6">
        <f t="shared" si="30"/>
        <v>53.479999999999563</v>
      </c>
      <c r="Y50" s="2"/>
      <c r="Z50" s="7">
        <f t="shared" si="31"/>
        <v>1.1570423159885067E-2</v>
      </c>
    </row>
    <row r="51" spans="1:26" s="23" customFormat="1" hidden="1" outlineLevel="2" x14ac:dyDescent="0.25">
      <c r="A51" s="25"/>
      <c r="B51" s="10" t="str">
        <f>CONCATENATE("          ", "6375", " - ", "OUTSIDE REPAIRS &amp; MAINTENANCE")</f>
        <v xml:space="preserve">          6375 - OUTSIDE REPAIRS &amp; MAINTENANCE</v>
      </c>
      <c r="C51" s="10"/>
      <c r="D51" s="6"/>
      <c r="E51" s="2"/>
      <c r="F51" s="7">
        <f t="shared" si="24"/>
        <v>0</v>
      </c>
      <c r="G51" s="2"/>
      <c r="H51" s="6">
        <v>73.36</v>
      </c>
      <c r="I51" s="2"/>
      <c r="J51" s="7">
        <f t="shared" si="25"/>
        <v>0</v>
      </c>
      <c r="K51" s="2"/>
      <c r="L51" s="6">
        <f t="shared" si="26"/>
        <v>-73.36</v>
      </c>
      <c r="M51" s="2"/>
      <c r="N51" s="7">
        <f t="shared" si="27"/>
        <v>-1</v>
      </c>
      <c r="O51" s="10"/>
      <c r="P51" s="6">
        <v>127.02</v>
      </c>
      <c r="Q51" s="2"/>
      <c r="R51" s="7">
        <f t="shared" si="28"/>
        <v>0</v>
      </c>
      <c r="S51" s="2"/>
      <c r="T51" s="6">
        <v>537.94000000000005</v>
      </c>
      <c r="U51" s="2"/>
      <c r="V51" s="7">
        <f t="shared" si="29"/>
        <v>0</v>
      </c>
      <c r="W51" s="2"/>
      <c r="X51" s="6">
        <f t="shared" si="30"/>
        <v>-410.92000000000007</v>
      </c>
      <c r="Y51" s="2"/>
      <c r="Z51" s="7">
        <f t="shared" si="31"/>
        <v>-0.76387701230620519</v>
      </c>
    </row>
    <row r="52" spans="1:26" s="26" customFormat="1" outlineLevel="1" collapsed="1" x14ac:dyDescent="0.25">
      <c r="A52" s="27"/>
      <c r="B52" s="12" t="str">
        <f>CONCATENATE("     ","Services                                          ")</f>
        <v xml:space="preserve">     Services                                          </v>
      </c>
      <c r="C52" s="12"/>
      <c r="D52" s="1">
        <f>SUM(OSRRefD22_10x_0)</f>
        <v>1251.32</v>
      </c>
      <c r="E52" s="1"/>
      <c r="F52" s="5">
        <f t="shared" ref="F52:F59" si="32">IF(D$12=0,0,D52/D$12)</f>
        <v>0</v>
      </c>
      <c r="G52" s="1"/>
      <c r="H52" s="1">
        <f>SUM(OSRRefH22_10x_0)</f>
        <v>0</v>
      </c>
      <c r="I52" s="1"/>
      <c r="J52" s="5">
        <f t="shared" ref="J52:J59" si="33">IF(H$12=0,0,H52/H$12)</f>
        <v>0</v>
      </c>
      <c r="K52" s="1"/>
      <c r="L52" s="1">
        <f t="shared" ref="L52:L59" si="34">+D52-H52</f>
        <v>1251.32</v>
      </c>
      <c r="M52" s="1"/>
      <c r="N52" s="5">
        <f t="shared" ref="N52:N59" si="35">IF(H52=0,0,L52/H52)</f>
        <v>0</v>
      </c>
      <c r="O52" s="12"/>
      <c r="P52" s="1">
        <f>SUM(OSRRefP22_10x_0)</f>
        <v>5580.34</v>
      </c>
      <c r="Q52" s="1"/>
      <c r="R52" s="5">
        <f t="shared" ref="R52:R59" si="36">IF(P$12=0,0,P52/P$12)</f>
        <v>0</v>
      </c>
      <c r="S52" s="1"/>
      <c r="T52" s="1">
        <f>SUM(OSRRefT22_10x_0)</f>
        <v>9429.9699999999993</v>
      </c>
      <c r="U52" s="1"/>
      <c r="V52" s="5">
        <f t="shared" ref="V52:V59" si="37">IF(T$12=0,0,T52/T$12)</f>
        <v>0</v>
      </c>
      <c r="W52" s="1"/>
      <c r="X52" s="1">
        <f t="shared" ref="X52:X59" si="38">+P52-T52</f>
        <v>-3849.6299999999992</v>
      </c>
      <c r="Y52" s="1"/>
      <c r="Z52" s="5">
        <f t="shared" ref="Z52:Z59" si="39">IF(T52=0,0,X52/T52)</f>
        <v>-0.40823353626787778</v>
      </c>
    </row>
    <row r="53" spans="1:26" s="23" customFormat="1" hidden="1" outlineLevel="2" x14ac:dyDescent="0.25">
      <c r="A53" s="25"/>
      <c r="B53" s="10" t="str">
        <f>CONCATENATE("          ", "6281", " - ", "STORAGE FEE")</f>
        <v xml:space="preserve">          6281 - STORAGE FEE</v>
      </c>
      <c r="C53" s="10"/>
      <c r="D53" s="6">
        <v>1251.32</v>
      </c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1251.32</v>
      </c>
      <c r="M53" s="2"/>
      <c r="N53" s="7">
        <f t="shared" si="35"/>
        <v>0</v>
      </c>
      <c r="O53" s="10"/>
      <c r="P53" s="6">
        <v>5580.34</v>
      </c>
      <c r="Q53" s="2"/>
      <c r="R53" s="7">
        <f t="shared" si="36"/>
        <v>0</v>
      </c>
      <c r="S53" s="2"/>
      <c r="T53" s="6">
        <v>9429.9699999999993</v>
      </c>
      <c r="U53" s="2"/>
      <c r="V53" s="7">
        <f t="shared" si="37"/>
        <v>0</v>
      </c>
      <c r="W53" s="2"/>
      <c r="X53" s="6">
        <f t="shared" si="38"/>
        <v>-3849.6299999999992</v>
      </c>
      <c r="Y53" s="2"/>
      <c r="Z53" s="7">
        <f t="shared" si="39"/>
        <v>-0.40823353626787778</v>
      </c>
    </row>
    <row r="54" spans="1:26" s="26" customFormat="1" outlineLevel="1" collapsed="1" x14ac:dyDescent="0.25">
      <c r="A54" s="27"/>
      <c r="B54" s="12" t="str">
        <f>CONCATENATE("     ","Subscriptions &amp; Dues                              ")</f>
        <v xml:space="preserve">     Subscriptions &amp; Dues                              </v>
      </c>
      <c r="C54" s="12"/>
      <c r="D54" s="1">
        <f>SUM(OSRRefD22_11x_0)</f>
        <v>0</v>
      </c>
      <c r="E54" s="1"/>
      <c r="F54" s="5">
        <f t="shared" si="32"/>
        <v>0</v>
      </c>
      <c r="G54" s="1"/>
      <c r="H54" s="1">
        <f>SUM(OSRRefH22_11x_0)</f>
        <v>0</v>
      </c>
      <c r="I54" s="1"/>
      <c r="J54" s="5">
        <f t="shared" si="33"/>
        <v>0</v>
      </c>
      <c r="K54" s="1"/>
      <c r="L54" s="1">
        <f t="shared" si="34"/>
        <v>0</v>
      </c>
      <c r="M54" s="1"/>
      <c r="N54" s="5">
        <f t="shared" si="35"/>
        <v>0</v>
      </c>
      <c r="O54" s="12"/>
      <c r="P54" s="1">
        <f>SUM(OSRRefP22_11x_0)</f>
        <v>0</v>
      </c>
      <c r="Q54" s="1"/>
      <c r="R54" s="5">
        <f t="shared" si="36"/>
        <v>0</v>
      </c>
      <c r="S54" s="1"/>
      <c r="T54" s="1">
        <f>SUM(OSRRefT22_11x_0)</f>
        <v>39</v>
      </c>
      <c r="U54" s="1"/>
      <c r="V54" s="5">
        <f t="shared" si="37"/>
        <v>0</v>
      </c>
      <c r="W54" s="1"/>
      <c r="X54" s="1">
        <f t="shared" si="38"/>
        <v>-39</v>
      </c>
      <c r="Y54" s="1"/>
      <c r="Z54" s="5">
        <f t="shared" si="39"/>
        <v>-1</v>
      </c>
    </row>
    <row r="55" spans="1:26" s="23" customFormat="1" hidden="1" outlineLevel="2" x14ac:dyDescent="0.25">
      <c r="A55" s="25"/>
      <c r="B55" s="10" t="str">
        <f>CONCATENATE("          ", "6258", " - ", "MEMBERSHIP DUES")</f>
        <v xml:space="preserve">          6258 - MEMBERSHIP DUES</v>
      </c>
      <c r="C55" s="10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0"/>
      <c r="P55" s="6"/>
      <c r="Q55" s="2"/>
      <c r="R55" s="7">
        <f t="shared" si="36"/>
        <v>0</v>
      </c>
      <c r="S55" s="2"/>
      <c r="T55" s="6">
        <v>39</v>
      </c>
      <c r="U55" s="2"/>
      <c r="V55" s="7">
        <f t="shared" si="37"/>
        <v>0</v>
      </c>
      <c r="W55" s="2"/>
      <c r="X55" s="6">
        <f t="shared" si="38"/>
        <v>-39</v>
      </c>
      <c r="Y55" s="2"/>
      <c r="Z55" s="7">
        <f t="shared" si="39"/>
        <v>-1</v>
      </c>
    </row>
    <row r="56" spans="1:26" s="26" customFormat="1" outlineLevel="1" collapsed="1" x14ac:dyDescent="0.25">
      <c r="A56" s="27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SUM(OSRRefD22_12x_0)</f>
        <v>1</v>
      </c>
      <c r="E56" s="1"/>
      <c r="F56" s="5">
        <f t="shared" si="32"/>
        <v>0</v>
      </c>
      <c r="G56" s="1"/>
      <c r="H56" s="1">
        <f>SUM(OSRRefH22_12x_0)</f>
        <v>679.46</v>
      </c>
      <c r="I56" s="1"/>
      <c r="J56" s="5">
        <f t="shared" si="33"/>
        <v>0</v>
      </c>
      <c r="K56" s="1"/>
      <c r="L56" s="1">
        <f t="shared" si="34"/>
        <v>-678.46</v>
      </c>
      <c r="M56" s="1"/>
      <c r="N56" s="5">
        <f t="shared" si="35"/>
        <v>-0.99852824301651311</v>
      </c>
      <c r="O56" s="12"/>
      <c r="P56" s="1">
        <f>SUM(OSRRefP22_12x_0)</f>
        <v>2024.97</v>
      </c>
      <c r="Q56" s="1"/>
      <c r="R56" s="5">
        <f t="shared" si="36"/>
        <v>0</v>
      </c>
      <c r="S56" s="1"/>
      <c r="T56" s="1">
        <f>SUM(OSRRefT22_12x_0)</f>
        <v>6074.12</v>
      </c>
      <c r="U56" s="1"/>
      <c r="V56" s="5">
        <f t="shared" si="37"/>
        <v>0</v>
      </c>
      <c r="W56" s="1"/>
      <c r="X56" s="1">
        <f t="shared" si="38"/>
        <v>-4049.1499999999996</v>
      </c>
      <c r="Y56" s="1"/>
      <c r="Z56" s="5">
        <f t="shared" si="39"/>
        <v>-0.66662331333592351</v>
      </c>
    </row>
    <row r="57" spans="1:26" s="23" customFormat="1" hidden="1" outlineLevel="2" x14ac:dyDescent="0.25">
      <c r="A57" s="25"/>
      <c r="B57" s="10" t="str">
        <f>CONCATENATE("          ", "6235", " - ", "COVID-19 EXPENSES")</f>
        <v xml:space="preserve">          6235 - COVID-19 EXPENSES</v>
      </c>
      <c r="C57" s="10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0"/>
      <c r="P57" s="6">
        <v>426.66</v>
      </c>
      <c r="Q57" s="2"/>
      <c r="R57" s="7">
        <f t="shared" si="36"/>
        <v>0</v>
      </c>
      <c r="S57" s="2"/>
      <c r="T57" s="6"/>
      <c r="U57" s="2"/>
      <c r="V57" s="7">
        <f t="shared" si="37"/>
        <v>0</v>
      </c>
      <c r="W57" s="2"/>
      <c r="X57" s="6">
        <f t="shared" si="38"/>
        <v>426.66</v>
      </c>
      <c r="Y57" s="2"/>
      <c r="Z57" s="7">
        <f t="shared" si="39"/>
        <v>0</v>
      </c>
    </row>
    <row r="58" spans="1:26" s="23" customFormat="1" hidden="1" outlineLevel="2" x14ac:dyDescent="0.25">
      <c r="A58" s="25"/>
      <c r="B58" s="10" t="str">
        <f>CONCATENATE("          ", "6241", " - ", "OFFICE EXPENSE")</f>
        <v xml:space="preserve">          6241 - OFFICE EXPENSE</v>
      </c>
      <c r="C58" s="10"/>
      <c r="D58" s="6">
        <v>1</v>
      </c>
      <c r="E58" s="2"/>
      <c r="F58" s="7">
        <f t="shared" si="32"/>
        <v>0</v>
      </c>
      <c r="G58" s="2"/>
      <c r="H58" s="6">
        <v>679.46</v>
      </c>
      <c r="I58" s="2"/>
      <c r="J58" s="7">
        <f t="shared" si="33"/>
        <v>0</v>
      </c>
      <c r="K58" s="2"/>
      <c r="L58" s="6">
        <f t="shared" si="34"/>
        <v>-678.46</v>
      </c>
      <c r="M58" s="2"/>
      <c r="N58" s="7">
        <f t="shared" si="35"/>
        <v>-0.99852824301651311</v>
      </c>
      <c r="O58" s="10"/>
      <c r="P58" s="6">
        <v>1598.31</v>
      </c>
      <c r="Q58" s="2"/>
      <c r="R58" s="7">
        <f t="shared" si="36"/>
        <v>0</v>
      </c>
      <c r="S58" s="2"/>
      <c r="T58" s="6">
        <v>5411.21</v>
      </c>
      <c r="U58" s="2"/>
      <c r="V58" s="7">
        <f t="shared" si="37"/>
        <v>0</v>
      </c>
      <c r="W58" s="2"/>
      <c r="X58" s="6">
        <f t="shared" si="38"/>
        <v>-3812.9</v>
      </c>
      <c r="Y58" s="2"/>
      <c r="Z58" s="7">
        <f t="shared" si="39"/>
        <v>-0.70462983325356066</v>
      </c>
    </row>
    <row r="59" spans="1:26" s="23" customFormat="1" hidden="1" outlineLevel="2" x14ac:dyDescent="0.25">
      <c r="A59" s="25"/>
      <c r="B59" s="10" t="str">
        <f>CONCATENATE("          ", "6245", " - ", "PRINTING")</f>
        <v xml:space="preserve">          6245 - PRINTING</v>
      </c>
      <c r="C59" s="10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0"/>
      <c r="P59" s="6"/>
      <c r="Q59" s="2"/>
      <c r="R59" s="7">
        <f t="shared" si="36"/>
        <v>0</v>
      </c>
      <c r="S59" s="2"/>
      <c r="T59" s="6">
        <v>662.91</v>
      </c>
      <c r="U59" s="2"/>
      <c r="V59" s="7">
        <f t="shared" si="37"/>
        <v>0</v>
      </c>
      <c r="W59" s="2"/>
      <c r="X59" s="6">
        <f t="shared" si="38"/>
        <v>-662.91</v>
      </c>
      <c r="Y59" s="2"/>
      <c r="Z59" s="7">
        <f t="shared" si="39"/>
        <v>-1</v>
      </c>
    </row>
    <row r="60" spans="1:26" s="26" customFormat="1" outlineLevel="1" collapsed="1" x14ac:dyDescent="0.25">
      <c r="A60" s="27"/>
      <c r="B60" s="12" t="str">
        <f>CONCATENATE("     ","Telephone/Data Lines                              ")</f>
        <v xml:space="preserve">     Telephone/Data Lines                              </v>
      </c>
      <c r="C60" s="12"/>
      <c r="D60" s="1">
        <f>SUM(OSRRefD22_13x_0)</f>
        <v>345.9</v>
      </c>
      <c r="E60" s="1"/>
      <c r="F60" s="5">
        <f t="shared" ref="F60:F65" si="40">IF(D$12=0,0,D60/D$12)</f>
        <v>0</v>
      </c>
      <c r="G60" s="1"/>
      <c r="H60" s="1">
        <f>SUM(OSRRefH22_13x_0)</f>
        <v>417.15</v>
      </c>
      <c r="I60" s="1"/>
      <c r="J60" s="5">
        <f t="shared" ref="J60:J65" si="41">IF(H$12=0,0,H60/H$12)</f>
        <v>0</v>
      </c>
      <c r="K60" s="1"/>
      <c r="L60" s="1">
        <f t="shared" ref="L60:L65" si="42">+D60-H60</f>
        <v>-71.25</v>
      </c>
      <c r="M60" s="1"/>
      <c r="N60" s="5">
        <f t="shared" ref="N60:N65" si="43">IF(H60=0,0,L60/H60)</f>
        <v>-0.17080186983099604</v>
      </c>
      <c r="O60" s="12"/>
      <c r="P60" s="1">
        <f>SUM(OSRRefP22_13x_0)</f>
        <v>4806.28</v>
      </c>
      <c r="Q60" s="1"/>
      <c r="R60" s="5">
        <f t="shared" ref="R60:R65" si="44">IF(P$12=0,0,P60/P$12)</f>
        <v>0</v>
      </c>
      <c r="S60" s="1"/>
      <c r="T60" s="1">
        <f>SUM(OSRRefT22_13x_0)</f>
        <v>3696.19</v>
      </c>
      <c r="U60" s="1"/>
      <c r="V60" s="5">
        <f t="shared" ref="V60:V65" si="45">IF(T$12=0,0,T60/T$12)</f>
        <v>0</v>
      </c>
      <c r="W60" s="1"/>
      <c r="X60" s="1">
        <f t="shared" ref="X60:X65" si="46">+P60-T60</f>
        <v>1110.0899999999997</v>
      </c>
      <c r="Y60" s="1"/>
      <c r="Z60" s="5">
        <f t="shared" ref="Z60:Z65" si="47">IF(T60=0,0,X60/T60)</f>
        <v>0.30033358674743443</v>
      </c>
    </row>
    <row r="61" spans="1:26" s="23" customFormat="1" hidden="1" outlineLevel="2" x14ac:dyDescent="0.25">
      <c r="A61" s="25"/>
      <c r="B61" s="10" t="str">
        <f>CONCATENATE("          ", "6309", " - ", "TELEPHONE")</f>
        <v xml:space="preserve">          6309 - TELEPHONE</v>
      </c>
      <c r="C61" s="10"/>
      <c r="D61" s="6">
        <v>345.9</v>
      </c>
      <c r="E61" s="2"/>
      <c r="F61" s="7">
        <f t="shared" si="40"/>
        <v>0</v>
      </c>
      <c r="G61" s="2"/>
      <c r="H61" s="6">
        <v>417.15</v>
      </c>
      <c r="I61" s="2"/>
      <c r="J61" s="7">
        <f t="shared" si="41"/>
        <v>0</v>
      </c>
      <c r="K61" s="2"/>
      <c r="L61" s="6">
        <f t="shared" si="42"/>
        <v>-71.25</v>
      </c>
      <c r="M61" s="2"/>
      <c r="N61" s="7">
        <f t="shared" si="43"/>
        <v>-0.17080186983099604</v>
      </c>
      <c r="O61" s="10"/>
      <c r="P61" s="6">
        <v>4806.28</v>
      </c>
      <c r="Q61" s="2"/>
      <c r="R61" s="7">
        <f t="shared" si="44"/>
        <v>0</v>
      </c>
      <c r="S61" s="2"/>
      <c r="T61" s="6">
        <v>3696.19</v>
      </c>
      <c r="U61" s="2"/>
      <c r="V61" s="7">
        <f t="shared" si="45"/>
        <v>0</v>
      </c>
      <c r="W61" s="2"/>
      <c r="X61" s="6">
        <f t="shared" si="46"/>
        <v>1110.0899999999997</v>
      </c>
      <c r="Y61" s="2"/>
      <c r="Z61" s="7">
        <f t="shared" si="47"/>
        <v>0.30033358674743443</v>
      </c>
    </row>
    <row r="62" spans="1:26" s="26" customFormat="1" outlineLevel="1" collapsed="1" x14ac:dyDescent="0.25">
      <c r="A62" s="27"/>
      <c r="B62" s="12" t="str">
        <f>CONCATENATE("     ","Training                                          ")</f>
        <v xml:space="preserve">     Training                                          </v>
      </c>
      <c r="C62" s="12"/>
      <c r="D62" s="1">
        <f>SUM(OSRRefD22_14x_0)</f>
        <v>0</v>
      </c>
      <c r="E62" s="1"/>
      <c r="F62" s="5">
        <f t="shared" si="40"/>
        <v>0</v>
      </c>
      <c r="G62" s="1"/>
      <c r="H62" s="1">
        <f>SUM(OSRRefH22_14x_0)</f>
        <v>0</v>
      </c>
      <c r="I62" s="1"/>
      <c r="J62" s="5">
        <f t="shared" si="41"/>
        <v>0</v>
      </c>
      <c r="K62" s="1"/>
      <c r="L62" s="1">
        <f t="shared" si="42"/>
        <v>0</v>
      </c>
      <c r="M62" s="1"/>
      <c r="N62" s="5">
        <f t="shared" si="43"/>
        <v>0</v>
      </c>
      <c r="O62" s="12"/>
      <c r="P62" s="1">
        <f>SUM(OSRRefP22_14x_0)</f>
        <v>548</v>
      </c>
      <c r="Q62" s="1"/>
      <c r="R62" s="5">
        <f t="shared" si="44"/>
        <v>0</v>
      </c>
      <c r="S62" s="1"/>
      <c r="T62" s="1">
        <f>SUM(OSRRefT22_14x_0)</f>
        <v>400.18</v>
      </c>
      <c r="U62" s="1"/>
      <c r="V62" s="5">
        <f t="shared" si="45"/>
        <v>0</v>
      </c>
      <c r="W62" s="1"/>
      <c r="X62" s="1">
        <f t="shared" si="46"/>
        <v>147.82</v>
      </c>
      <c r="Y62" s="1"/>
      <c r="Z62" s="5">
        <f t="shared" si="47"/>
        <v>0.36938377730021488</v>
      </c>
    </row>
    <row r="63" spans="1:26" s="23" customFormat="1" hidden="1" outlineLevel="2" x14ac:dyDescent="0.25">
      <c r="A63" s="25"/>
      <c r="B63" s="10" t="str">
        <f>CONCATENATE("          ", "6376", " - ", "TRAINING")</f>
        <v xml:space="preserve">          6376 - TRAINING</v>
      </c>
      <c r="C63" s="10"/>
      <c r="D63" s="6"/>
      <c r="E63" s="2"/>
      <c r="F63" s="7">
        <f t="shared" si="40"/>
        <v>0</v>
      </c>
      <c r="G63" s="2"/>
      <c r="H63" s="6"/>
      <c r="I63" s="2"/>
      <c r="J63" s="7">
        <f t="shared" si="41"/>
        <v>0</v>
      </c>
      <c r="K63" s="2"/>
      <c r="L63" s="6">
        <f t="shared" si="42"/>
        <v>0</v>
      </c>
      <c r="M63" s="2"/>
      <c r="N63" s="7">
        <f t="shared" si="43"/>
        <v>0</v>
      </c>
      <c r="O63" s="10"/>
      <c r="P63" s="6">
        <v>548</v>
      </c>
      <c r="Q63" s="2"/>
      <c r="R63" s="7">
        <f t="shared" si="44"/>
        <v>0</v>
      </c>
      <c r="S63" s="2"/>
      <c r="T63" s="6">
        <v>400.18</v>
      </c>
      <c r="U63" s="2"/>
      <c r="V63" s="7">
        <f t="shared" si="45"/>
        <v>0</v>
      </c>
      <c r="W63" s="2"/>
      <c r="X63" s="6">
        <f t="shared" si="46"/>
        <v>147.82</v>
      </c>
      <c r="Y63" s="2"/>
      <c r="Z63" s="7">
        <f t="shared" si="47"/>
        <v>0.36938377730021488</v>
      </c>
    </row>
    <row r="64" spans="1:26" s="26" customFormat="1" outlineLevel="1" collapsed="1" x14ac:dyDescent="0.25">
      <c r="A64" s="27"/>
      <c r="B64" s="12" t="str">
        <f>CONCATENATE("     ","Travel                                            ")</f>
        <v xml:space="preserve">     Travel                                            </v>
      </c>
      <c r="C64" s="12"/>
      <c r="D64" s="1">
        <f>SUM(OSRRefD22_15x_0)</f>
        <v>7.6</v>
      </c>
      <c r="E64" s="1"/>
      <c r="F64" s="5">
        <f t="shared" si="40"/>
        <v>0</v>
      </c>
      <c r="G64" s="1"/>
      <c r="H64" s="1">
        <f>SUM(OSRRefH22_15x_0)</f>
        <v>0</v>
      </c>
      <c r="I64" s="1"/>
      <c r="J64" s="5">
        <f t="shared" si="41"/>
        <v>0</v>
      </c>
      <c r="K64" s="1"/>
      <c r="L64" s="1">
        <f t="shared" si="42"/>
        <v>7.6</v>
      </c>
      <c r="M64" s="1"/>
      <c r="N64" s="5">
        <f t="shared" si="43"/>
        <v>0</v>
      </c>
      <c r="O64" s="12"/>
      <c r="P64" s="1">
        <f>SUM(OSRRefP22_15x_0)</f>
        <v>75.42</v>
      </c>
      <c r="Q64" s="1"/>
      <c r="R64" s="5">
        <f t="shared" si="44"/>
        <v>0</v>
      </c>
      <c r="S64" s="1"/>
      <c r="T64" s="1">
        <f>SUM(OSRRefT22_15x_0)</f>
        <v>0</v>
      </c>
      <c r="U64" s="1"/>
      <c r="V64" s="5">
        <f t="shared" si="45"/>
        <v>0</v>
      </c>
      <c r="W64" s="1"/>
      <c r="X64" s="1">
        <f t="shared" si="46"/>
        <v>75.42</v>
      </c>
      <c r="Y64" s="1"/>
      <c r="Z64" s="5">
        <f t="shared" si="47"/>
        <v>0</v>
      </c>
    </row>
    <row r="65" spans="1:26" s="23" customFormat="1" hidden="1" outlineLevel="2" x14ac:dyDescent="0.25">
      <c r="A65" s="25"/>
      <c r="B65" s="10" t="str">
        <f>CONCATENATE("          ", "6294", " - ", "TRAVEL OPERATIONAL")</f>
        <v xml:space="preserve">          6294 - TRAVEL OPERATIONAL</v>
      </c>
      <c r="C65" s="10"/>
      <c r="D65" s="6">
        <v>7.6</v>
      </c>
      <c r="E65" s="2"/>
      <c r="F65" s="7">
        <f t="shared" si="40"/>
        <v>0</v>
      </c>
      <c r="G65" s="2"/>
      <c r="H65" s="6"/>
      <c r="I65" s="2"/>
      <c r="J65" s="7">
        <f t="shared" si="41"/>
        <v>0</v>
      </c>
      <c r="K65" s="2"/>
      <c r="L65" s="6">
        <f t="shared" si="42"/>
        <v>7.6</v>
      </c>
      <c r="M65" s="2"/>
      <c r="N65" s="7">
        <f t="shared" si="43"/>
        <v>0</v>
      </c>
      <c r="O65" s="10"/>
      <c r="P65" s="6">
        <v>75.42</v>
      </c>
      <c r="Q65" s="2"/>
      <c r="R65" s="7">
        <f t="shared" si="44"/>
        <v>0</v>
      </c>
      <c r="S65" s="2"/>
      <c r="T65" s="6"/>
      <c r="U65" s="2"/>
      <c r="V65" s="7">
        <f t="shared" si="45"/>
        <v>0</v>
      </c>
      <c r="W65" s="2"/>
      <c r="X65" s="6">
        <f t="shared" si="46"/>
        <v>75.42</v>
      </c>
      <c r="Y65" s="2"/>
      <c r="Z65" s="7">
        <f t="shared" si="47"/>
        <v>0</v>
      </c>
    </row>
    <row r="66" spans="1:26" s="60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4" customFormat="1" x14ac:dyDescent="0.25">
      <c r="A67" s="11"/>
      <c r="B67" s="28" t="s">
        <v>292</v>
      </c>
      <c r="C67" s="11"/>
      <c r="D67" s="4">
        <f>SUM(0)</f>
        <v>0</v>
      </c>
      <c r="E67" s="4"/>
      <c r="F67" s="13">
        <f>IF(D$12=0,0,D67/D$12)</f>
        <v>0</v>
      </c>
      <c r="G67" s="4"/>
      <c r="H67" s="4">
        <f>SUM(0)</f>
        <v>0</v>
      </c>
      <c r="I67" s="4"/>
      <c r="J67" s="13">
        <f>IF(H$12=0,0,H67/H$12)</f>
        <v>0</v>
      </c>
      <c r="K67" s="4"/>
      <c r="L67" s="4">
        <f>+D67-H67</f>
        <v>0</v>
      </c>
      <c r="M67" s="4"/>
      <c r="N67" s="13">
        <f>IF(H67=0,0,L67/H67)</f>
        <v>0</v>
      </c>
      <c r="O67" s="11"/>
      <c r="P67" s="4">
        <f>SUM(0)</f>
        <v>0</v>
      </c>
      <c r="Q67" s="4"/>
      <c r="R67" s="13">
        <f>IF(P$12=0,0,P67/P$12)</f>
        <v>0</v>
      </c>
      <c r="S67" s="4"/>
      <c r="T67" s="4">
        <f>SUM(0)</f>
        <v>0</v>
      </c>
      <c r="U67" s="4"/>
      <c r="V67" s="13">
        <f>IF(T$12=0,0,T67/T$12)</f>
        <v>0</v>
      </c>
      <c r="W67" s="4"/>
      <c r="X67" s="4">
        <f>+P67-T67</f>
        <v>0</v>
      </c>
      <c r="Y67" s="4"/>
      <c r="Z67" s="13">
        <f>IF(T67=0,0,X67/T67)</f>
        <v>0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x14ac:dyDescent="0.25">
      <c r="A69" s="11"/>
      <c r="B69" s="29" t="s">
        <v>276</v>
      </c>
      <c r="C69" s="29"/>
      <c r="D69" s="22">
        <f>+D16-D18+D67</f>
        <v>-56260.219999999994</v>
      </c>
      <c r="E69" s="14"/>
      <c r="F69" s="20">
        <f>IF(D$12=0,0,D69/D$12)</f>
        <v>0</v>
      </c>
      <c r="G69" s="14"/>
      <c r="H69" s="22">
        <f>+H16-H18+H67</f>
        <v>-79652.860000000015</v>
      </c>
      <c r="I69" s="14"/>
      <c r="J69" s="20">
        <f>IF(H$12=0,0,H69/H$12)</f>
        <v>0</v>
      </c>
      <c r="K69" s="15"/>
      <c r="L69" s="22">
        <f>+D69-H69</f>
        <v>23392.640000000021</v>
      </c>
      <c r="M69" s="15"/>
      <c r="N69" s="20">
        <f>IF(H69=0,0,L69/H69)</f>
        <v>-0.29368236118577556</v>
      </c>
      <c r="O69" s="28"/>
      <c r="P69" s="22">
        <f>+P16-P18+P67</f>
        <v>-377764.95000000007</v>
      </c>
      <c r="Q69" s="14"/>
      <c r="R69" s="20">
        <f>IF(P$12=0,0,P69/P$12)</f>
        <v>0</v>
      </c>
      <c r="S69" s="14"/>
      <c r="T69" s="22">
        <f>+T16-T18+T67</f>
        <v>-513639.52999999997</v>
      </c>
      <c r="U69" s="14"/>
      <c r="V69" s="20">
        <f>IF(T$12=0,0,T69/T$12)</f>
        <v>0</v>
      </c>
      <c r="W69" s="15"/>
      <c r="X69" s="22">
        <f>+P69-T69</f>
        <v>135874.5799999999</v>
      </c>
      <c r="Y69" s="15"/>
      <c r="Z69" s="20">
        <f>IF(T69=0,0,X69/T69)</f>
        <v>-0.26453294979068281</v>
      </c>
    </row>
    <row r="70" spans="1:26" x14ac:dyDescent="0.25">
      <c r="A70" s="9"/>
      <c r="B70" s="11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51"/>
      <c r="B71" s="11" t="s">
        <v>127</v>
      </c>
      <c r="C71" s="11"/>
      <c r="D71" s="4"/>
      <c r="E71" s="4"/>
      <c r="F71" s="13">
        <f>IF(D$12=0,0,D71/D$12)</f>
        <v>0</v>
      </c>
      <c r="G71" s="4"/>
      <c r="H71" s="4"/>
      <c r="I71" s="4"/>
      <c r="J71" s="13">
        <f>IF(H$12=0,0,H71/H$12)</f>
        <v>0</v>
      </c>
      <c r="K71" s="4"/>
      <c r="L71" s="4">
        <f>+D71-H71</f>
        <v>0</v>
      </c>
      <c r="M71" s="4"/>
      <c r="N71" s="13">
        <f>IF(H71=0,0,L71/H71)</f>
        <v>0</v>
      </c>
      <c r="O71" s="11"/>
      <c r="P71" s="4"/>
      <c r="Q71" s="4"/>
      <c r="R71" s="13">
        <f>IF(P$12=0,0,P71/P$12)</f>
        <v>0</v>
      </c>
      <c r="S71" s="4"/>
      <c r="T71" s="4"/>
      <c r="U71" s="4"/>
      <c r="V71" s="13">
        <f>IF(T$12=0,0,T71/T$12)</f>
        <v>0</v>
      </c>
      <c r="W71" s="4"/>
      <c r="X71" s="4">
        <f>+P71-T71</f>
        <v>0</v>
      </c>
      <c r="Y71" s="4"/>
      <c r="Z71" s="13">
        <f>IF(T71=0,0,X71/T71)</f>
        <v>0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ht="15.75" thickBot="1" x14ac:dyDescent="0.3">
      <c r="A73" s="11"/>
      <c r="B73" s="29" t="s">
        <v>125</v>
      </c>
      <c r="C73" s="29"/>
      <c r="D73" s="30">
        <f>+D69-D71</f>
        <v>-56260.219999999994</v>
      </c>
      <c r="E73" s="14"/>
      <c r="F73" s="36">
        <f>IF(D$12=0,0,D73/D$12)</f>
        <v>0</v>
      </c>
      <c r="G73" s="14"/>
      <c r="H73" s="30">
        <f>+H69-H71</f>
        <v>-79652.860000000015</v>
      </c>
      <c r="I73" s="14"/>
      <c r="J73" s="36">
        <f>IF(H$12=0,0,H73/H$12)</f>
        <v>0</v>
      </c>
      <c r="K73" s="15"/>
      <c r="L73" s="30">
        <f>D73-H73</f>
        <v>23392.640000000021</v>
      </c>
      <c r="M73" s="15"/>
      <c r="N73" s="36">
        <f>IF(H73=0,0,L73/H73)</f>
        <v>-0.29368236118577556</v>
      </c>
      <c r="O73" s="28"/>
      <c r="P73" s="30">
        <f>+P69-P71</f>
        <v>-377764.95000000007</v>
      </c>
      <c r="Q73" s="14"/>
      <c r="R73" s="36">
        <f>IF(P$12=0,0,P73/P$12)</f>
        <v>0</v>
      </c>
      <c r="S73" s="14"/>
      <c r="T73" s="30">
        <f>+T69-T71</f>
        <v>-513639.52999999997</v>
      </c>
      <c r="U73" s="14"/>
      <c r="V73" s="36">
        <f>IF(T$12=0,0,T73/T$12)</f>
        <v>0</v>
      </c>
      <c r="W73" s="15"/>
      <c r="X73" s="30">
        <f>P73-T73</f>
        <v>135874.5799999999</v>
      </c>
      <c r="Y73" s="15"/>
      <c r="Z73" s="36">
        <f>IF(T73=0,0,X73/T73)</f>
        <v>-0.26453294979068281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ht="15.75" thickBot="1" x14ac:dyDescent="0.3">
      <c r="A76" s="11"/>
      <c r="B76" s="29" t="s">
        <v>293</v>
      </c>
      <c r="C76" s="29"/>
      <c r="D76" s="35">
        <f>SUM(D73:D75)</f>
        <v>-56260.219999999994</v>
      </c>
      <c r="E76" s="14"/>
      <c r="F76" s="34">
        <f>IF(D$12=0,0,D76/D$12)</f>
        <v>0</v>
      </c>
      <c r="G76" s="14"/>
      <c r="H76" s="35">
        <f>SUM(H73:H75)</f>
        <v>-79652.860000000015</v>
      </c>
      <c r="I76" s="14"/>
      <c r="J76" s="34">
        <f>IF(H$12=0,0,H76/H$12)</f>
        <v>0</v>
      </c>
      <c r="K76" s="15"/>
      <c r="L76" s="35">
        <f>+D76-H76</f>
        <v>23392.640000000021</v>
      </c>
      <c r="M76" s="15"/>
      <c r="N76" s="34">
        <f>IF(H76=0,0,L76/H76)</f>
        <v>-0.29368236118577556</v>
      </c>
      <c r="O76" s="28"/>
      <c r="P76" s="35">
        <f>SUM(P73:P75)</f>
        <v>-377764.95000000007</v>
      </c>
      <c r="Q76" s="14"/>
      <c r="R76" s="34">
        <f>IF(P$12=0,0,P76/P$12)</f>
        <v>0</v>
      </c>
      <c r="S76" s="14"/>
      <c r="T76" s="35">
        <f>SUM(T73:T75)</f>
        <v>-513639.52999999997</v>
      </c>
      <c r="U76" s="14"/>
      <c r="V76" s="34">
        <f>IF(T$12=0,0,T76/T$12)</f>
        <v>0</v>
      </c>
      <c r="W76" s="15"/>
      <c r="X76" s="35">
        <f>+P76-T76</f>
        <v>135874.5799999999</v>
      </c>
      <c r="Y76" s="15"/>
      <c r="Z76" s="34">
        <f>IF(T76=0,0,X76/T76)</f>
        <v>-0.26453294979068281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4">
        <v>44295.963243634258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8" t="s">
        <v>56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2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","203", " - ", "Human Resources")</f>
        <v>Department 203 - Human Resources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39480.030000000006</v>
      </c>
      <c r="E18" s="21"/>
      <c r="F18" s="31">
        <f t="shared" ref="F18:F29" si="0">IF(D$12=0,0,D18/D$12)</f>
        <v>0</v>
      </c>
      <c r="G18" s="21"/>
      <c r="H18" s="21">
        <f>SUM(OSRRefH22x_0)</f>
        <v>101936.90000000001</v>
      </c>
      <c r="I18" s="21"/>
      <c r="J18" s="31">
        <f t="shared" ref="J18:J29" si="1">IF(H$12=0,0,H18/H$12)</f>
        <v>0</v>
      </c>
      <c r="K18" s="4"/>
      <c r="L18" s="21">
        <f t="shared" ref="L18:L29" si="2">+D18-H18</f>
        <v>-62456.87</v>
      </c>
      <c r="M18" s="4"/>
      <c r="N18" s="31">
        <f t="shared" ref="N18:N29" si="3">IF(H18=0,0,L18/H18)</f>
        <v>-0.61270128873842544</v>
      </c>
      <c r="O18" s="11"/>
      <c r="P18" s="21">
        <f>SUM(OSRRefP22x_0)</f>
        <v>406545.27</v>
      </c>
      <c r="Q18" s="21"/>
      <c r="R18" s="31">
        <f t="shared" ref="R18:R29" si="4">IF(P$12=0,0,P18/P$12)</f>
        <v>0</v>
      </c>
      <c r="S18" s="21"/>
      <c r="T18" s="21">
        <f>SUM(OSRRefT22x_0)</f>
        <v>645933.95000000007</v>
      </c>
      <c r="U18" s="21"/>
      <c r="V18" s="31">
        <f t="shared" ref="V18:V29" si="5">IF(T$12=0,0,T18/T$12)</f>
        <v>0</v>
      </c>
      <c r="W18" s="4"/>
      <c r="X18" s="21">
        <f t="shared" ref="X18:X29" si="6">+P18-T18</f>
        <v>-239388.68000000005</v>
      </c>
      <c r="Y18" s="4"/>
      <c r="Z18" s="31">
        <f t="shared" ref="Z18:Z29" si="7">IF(T18=0,0,X18/T18)</f>
        <v>-0.3706086047962025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11710.36</v>
      </c>
      <c r="E19" s="1"/>
      <c r="F19" s="5">
        <f t="shared" si="0"/>
        <v>0</v>
      </c>
      <c r="G19" s="1"/>
      <c r="H19" s="1">
        <f>SUM(OSRRefH22_0x_0)</f>
        <v>19502.84</v>
      </c>
      <c r="I19" s="1"/>
      <c r="J19" s="5">
        <f t="shared" si="1"/>
        <v>0</v>
      </c>
      <c r="K19" s="1"/>
      <c r="L19" s="1">
        <f t="shared" si="2"/>
        <v>-7792.48</v>
      </c>
      <c r="M19" s="1"/>
      <c r="N19" s="5">
        <f t="shared" si="3"/>
        <v>-0.3995561672043661</v>
      </c>
      <c r="O19" s="12"/>
      <c r="P19" s="1">
        <f>SUM(OSRRefP22_0x_0)</f>
        <v>110280.76000000001</v>
      </c>
      <c r="Q19" s="1"/>
      <c r="R19" s="5">
        <f t="shared" si="4"/>
        <v>0</v>
      </c>
      <c r="S19" s="1"/>
      <c r="T19" s="1">
        <f>SUM(OSRRefT22_0x_0)</f>
        <v>130481.32</v>
      </c>
      <c r="U19" s="1"/>
      <c r="V19" s="5">
        <f t="shared" si="5"/>
        <v>0</v>
      </c>
      <c r="W19" s="1"/>
      <c r="X19" s="1">
        <f t="shared" si="6"/>
        <v>-20200.559999999998</v>
      </c>
      <c r="Y19" s="1"/>
      <c r="Z19" s="5">
        <f t="shared" si="7"/>
        <v>-0.15481572381395281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1795.46</v>
      </c>
      <c r="E20" s="2"/>
      <c r="F20" s="7">
        <f t="shared" si="0"/>
        <v>0</v>
      </c>
      <c r="G20" s="2"/>
      <c r="H20" s="6">
        <v>2997.25</v>
      </c>
      <c r="I20" s="2"/>
      <c r="J20" s="7">
        <f t="shared" si="1"/>
        <v>0</v>
      </c>
      <c r="K20" s="2"/>
      <c r="L20" s="6">
        <f t="shared" si="2"/>
        <v>-1201.79</v>
      </c>
      <c r="M20" s="2"/>
      <c r="N20" s="7">
        <f t="shared" si="3"/>
        <v>-0.40096421719909914</v>
      </c>
      <c r="O20" s="10"/>
      <c r="P20" s="6">
        <v>18873.599999999999</v>
      </c>
      <c r="Q20" s="2"/>
      <c r="R20" s="7">
        <f t="shared" si="4"/>
        <v>0</v>
      </c>
      <c r="S20" s="2"/>
      <c r="T20" s="6">
        <v>19897.27</v>
      </c>
      <c r="U20" s="2"/>
      <c r="V20" s="7">
        <f t="shared" si="5"/>
        <v>0</v>
      </c>
      <c r="W20" s="2"/>
      <c r="X20" s="6">
        <f t="shared" si="6"/>
        <v>-1023.6700000000019</v>
      </c>
      <c r="Y20" s="2"/>
      <c r="Z20" s="7">
        <f t="shared" si="7"/>
        <v>-5.1447761426567658E-2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77.45</v>
      </c>
      <c r="E21" s="2"/>
      <c r="F21" s="7">
        <f t="shared" si="0"/>
        <v>0</v>
      </c>
      <c r="G21" s="2"/>
      <c r="H21" s="6">
        <v>134.43</v>
      </c>
      <c r="I21" s="2"/>
      <c r="J21" s="7">
        <f t="shared" si="1"/>
        <v>0</v>
      </c>
      <c r="K21" s="2"/>
      <c r="L21" s="6">
        <f t="shared" si="2"/>
        <v>-56.980000000000004</v>
      </c>
      <c r="M21" s="2"/>
      <c r="N21" s="7">
        <f t="shared" si="3"/>
        <v>-0.4238637208956334</v>
      </c>
      <c r="O21" s="10"/>
      <c r="P21" s="6">
        <v>821.32</v>
      </c>
      <c r="Q21" s="2"/>
      <c r="R21" s="7">
        <f t="shared" si="4"/>
        <v>0</v>
      </c>
      <c r="S21" s="2"/>
      <c r="T21" s="6">
        <v>756.27</v>
      </c>
      <c r="U21" s="2"/>
      <c r="V21" s="7">
        <f t="shared" si="5"/>
        <v>0</v>
      </c>
      <c r="W21" s="2"/>
      <c r="X21" s="6">
        <f t="shared" si="6"/>
        <v>65.050000000000068</v>
      </c>
      <c r="Y21" s="2"/>
      <c r="Z21" s="7">
        <f t="shared" si="7"/>
        <v>8.6014254168484891E-2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6028.29</v>
      </c>
      <c r="E22" s="2"/>
      <c r="F22" s="7">
        <f t="shared" si="0"/>
        <v>0</v>
      </c>
      <c r="G22" s="2"/>
      <c r="H22" s="6">
        <v>8119.42</v>
      </c>
      <c r="I22" s="2"/>
      <c r="J22" s="7">
        <f t="shared" si="1"/>
        <v>0</v>
      </c>
      <c r="K22" s="2"/>
      <c r="L22" s="6">
        <f t="shared" si="2"/>
        <v>-2091.13</v>
      </c>
      <c r="M22" s="2"/>
      <c r="N22" s="7">
        <f t="shared" si="3"/>
        <v>-0.25754672131753253</v>
      </c>
      <c r="O22" s="10"/>
      <c r="P22" s="6">
        <v>54634.89</v>
      </c>
      <c r="Q22" s="2"/>
      <c r="R22" s="7">
        <f t="shared" si="4"/>
        <v>0</v>
      </c>
      <c r="S22" s="2"/>
      <c r="T22" s="6">
        <v>55524.07</v>
      </c>
      <c r="U22" s="2"/>
      <c r="V22" s="7">
        <f t="shared" si="5"/>
        <v>0</v>
      </c>
      <c r="W22" s="2"/>
      <c r="X22" s="6">
        <f t="shared" si="6"/>
        <v>-889.18000000000029</v>
      </c>
      <c r="Y22" s="2"/>
      <c r="Z22" s="7">
        <f t="shared" si="7"/>
        <v>-1.6014315953423449E-2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61.02</v>
      </c>
      <c r="E23" s="2"/>
      <c r="F23" s="7">
        <f t="shared" si="0"/>
        <v>0</v>
      </c>
      <c r="G23" s="2"/>
      <c r="H23" s="6">
        <v>102.8</v>
      </c>
      <c r="I23" s="2"/>
      <c r="J23" s="7">
        <f t="shared" si="1"/>
        <v>0</v>
      </c>
      <c r="K23" s="2"/>
      <c r="L23" s="6">
        <f t="shared" si="2"/>
        <v>-41.779999999999994</v>
      </c>
      <c r="M23" s="2"/>
      <c r="N23" s="7">
        <f t="shared" si="3"/>
        <v>-0.40642023346303496</v>
      </c>
      <c r="O23" s="10"/>
      <c r="P23" s="6">
        <v>647.1</v>
      </c>
      <c r="Q23" s="2"/>
      <c r="R23" s="7">
        <f t="shared" si="4"/>
        <v>0</v>
      </c>
      <c r="S23" s="2"/>
      <c r="T23" s="6">
        <v>677.01</v>
      </c>
      <c r="U23" s="2"/>
      <c r="V23" s="7">
        <f t="shared" si="5"/>
        <v>0</v>
      </c>
      <c r="W23" s="2"/>
      <c r="X23" s="6">
        <f t="shared" si="6"/>
        <v>-29.909999999999968</v>
      </c>
      <c r="Y23" s="2"/>
      <c r="Z23" s="7">
        <f t="shared" si="7"/>
        <v>-4.4179554216333537E-2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1091.48</v>
      </c>
      <c r="E24" s="2"/>
      <c r="F24" s="7">
        <f t="shared" si="0"/>
        <v>0</v>
      </c>
      <c r="G24" s="2"/>
      <c r="H24" s="6">
        <v>1457.31</v>
      </c>
      <c r="I24" s="2"/>
      <c r="J24" s="7">
        <f t="shared" si="1"/>
        <v>0</v>
      </c>
      <c r="K24" s="2"/>
      <c r="L24" s="6">
        <f t="shared" si="2"/>
        <v>-365.82999999999993</v>
      </c>
      <c r="M24" s="2"/>
      <c r="N24" s="7">
        <f t="shared" si="3"/>
        <v>-0.25103100918816174</v>
      </c>
      <c r="O24" s="10"/>
      <c r="P24" s="6">
        <v>12191.84</v>
      </c>
      <c r="Q24" s="2"/>
      <c r="R24" s="7">
        <f t="shared" si="4"/>
        <v>0</v>
      </c>
      <c r="S24" s="2"/>
      <c r="T24" s="6">
        <v>11465.04</v>
      </c>
      <c r="U24" s="2"/>
      <c r="V24" s="7">
        <f t="shared" si="5"/>
        <v>0</v>
      </c>
      <c r="W24" s="2"/>
      <c r="X24" s="6">
        <f t="shared" si="6"/>
        <v>726.79999999999927</v>
      </c>
      <c r="Y24" s="2"/>
      <c r="Z24" s="7">
        <f t="shared" si="7"/>
        <v>6.3392713850104254E-2</v>
      </c>
    </row>
    <row r="25" spans="1:26" s="23" customFormat="1" hidden="1" outlineLevel="2" x14ac:dyDescent="0.25">
      <c r="A25" s="25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4936.88</v>
      </c>
      <c r="U25" s="2"/>
      <c r="V25" s="7">
        <f t="shared" si="5"/>
        <v>0</v>
      </c>
      <c r="W25" s="2"/>
      <c r="X25" s="6">
        <f t="shared" si="6"/>
        <v>-4936.88</v>
      </c>
      <c r="Y25" s="2"/>
      <c r="Z25" s="7">
        <f t="shared" si="7"/>
        <v>-1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>
        <v>775.13</v>
      </c>
      <c r="E26" s="2"/>
      <c r="F26" s="7">
        <f t="shared" si="0"/>
        <v>0</v>
      </c>
      <c r="G26" s="2"/>
      <c r="H26" s="6">
        <v>229.47</v>
      </c>
      <c r="I26" s="2"/>
      <c r="J26" s="7">
        <f t="shared" si="1"/>
        <v>0</v>
      </c>
      <c r="K26" s="2"/>
      <c r="L26" s="6">
        <f t="shared" si="2"/>
        <v>545.66</v>
      </c>
      <c r="M26" s="2"/>
      <c r="N26" s="7">
        <f t="shared" si="3"/>
        <v>2.3779143243125462</v>
      </c>
      <c r="O26" s="10"/>
      <c r="P26" s="6">
        <v>5639.71</v>
      </c>
      <c r="Q26" s="2"/>
      <c r="R26" s="7">
        <f t="shared" si="4"/>
        <v>0</v>
      </c>
      <c r="S26" s="2"/>
      <c r="T26" s="6">
        <v>3790.68</v>
      </c>
      <c r="U26" s="2"/>
      <c r="V26" s="7">
        <f t="shared" si="5"/>
        <v>0</v>
      </c>
      <c r="W26" s="2"/>
      <c r="X26" s="6">
        <f t="shared" si="6"/>
        <v>1849.0300000000002</v>
      </c>
      <c r="Y26" s="2"/>
      <c r="Z26" s="7">
        <f t="shared" si="7"/>
        <v>0.48778319457195024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973.41</v>
      </c>
      <c r="E27" s="2"/>
      <c r="F27" s="7">
        <f t="shared" si="0"/>
        <v>0</v>
      </c>
      <c r="G27" s="2"/>
      <c r="H27" s="6">
        <v>3877.12</v>
      </c>
      <c r="I27" s="2"/>
      <c r="J27" s="7">
        <f t="shared" si="1"/>
        <v>0</v>
      </c>
      <c r="K27" s="2"/>
      <c r="L27" s="6">
        <f t="shared" si="2"/>
        <v>-2903.71</v>
      </c>
      <c r="M27" s="2"/>
      <c r="N27" s="7">
        <f t="shared" si="3"/>
        <v>-0.74893477632882144</v>
      </c>
      <c r="O27" s="10"/>
      <c r="P27" s="6">
        <v>8505.33</v>
      </c>
      <c r="Q27" s="2"/>
      <c r="R27" s="7">
        <f t="shared" si="4"/>
        <v>0</v>
      </c>
      <c r="S27" s="2"/>
      <c r="T27" s="6">
        <v>17937.150000000001</v>
      </c>
      <c r="U27" s="2"/>
      <c r="V27" s="7">
        <f t="shared" si="5"/>
        <v>0</v>
      </c>
      <c r="W27" s="2"/>
      <c r="X27" s="6">
        <f t="shared" si="6"/>
        <v>-9431.8200000000015</v>
      </c>
      <c r="Y27" s="2"/>
      <c r="Z27" s="7">
        <f t="shared" si="7"/>
        <v>-0.52582600914861066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908.12</v>
      </c>
      <c r="E28" s="2"/>
      <c r="F28" s="7">
        <f t="shared" si="0"/>
        <v>0</v>
      </c>
      <c r="G28" s="2"/>
      <c r="H28" s="6">
        <v>2273.4299999999998</v>
      </c>
      <c r="I28" s="2"/>
      <c r="J28" s="7">
        <f t="shared" si="1"/>
        <v>0</v>
      </c>
      <c r="K28" s="2"/>
      <c r="L28" s="6">
        <f t="shared" si="2"/>
        <v>-1365.31</v>
      </c>
      <c r="M28" s="2"/>
      <c r="N28" s="7">
        <f t="shared" si="3"/>
        <v>-0.60055070972055447</v>
      </c>
      <c r="O28" s="10"/>
      <c r="P28" s="6">
        <v>8627.14</v>
      </c>
      <c r="Q28" s="2"/>
      <c r="R28" s="7">
        <f t="shared" si="4"/>
        <v>0</v>
      </c>
      <c r="S28" s="2"/>
      <c r="T28" s="6">
        <v>11843.99</v>
      </c>
      <c r="U28" s="2"/>
      <c r="V28" s="7">
        <f t="shared" si="5"/>
        <v>0</v>
      </c>
      <c r="W28" s="2"/>
      <c r="X28" s="6">
        <f t="shared" si="6"/>
        <v>-3216.8500000000004</v>
      </c>
      <c r="Y28" s="2"/>
      <c r="Z28" s="7">
        <f t="shared" si="7"/>
        <v>-0.27160188416234737</v>
      </c>
    </row>
    <row r="29" spans="1:26" s="23" customFormat="1" hidden="1" outlineLevel="2" x14ac:dyDescent="0.25">
      <c r="A29" s="25"/>
      <c r="B29" s="10" t="str">
        <f>CONCATENATE("          ", "6156", " - ", "EMPLOYEE MEALS")</f>
        <v xml:space="preserve">          6156 - EMPLOYEE MEALS</v>
      </c>
      <c r="C29" s="10"/>
      <c r="D29" s="6"/>
      <c r="E29" s="2"/>
      <c r="F29" s="7">
        <f t="shared" si="0"/>
        <v>0</v>
      </c>
      <c r="G29" s="2"/>
      <c r="H29" s="6">
        <v>311.61</v>
      </c>
      <c r="I29" s="2"/>
      <c r="J29" s="7">
        <f t="shared" si="1"/>
        <v>0</v>
      </c>
      <c r="K29" s="2"/>
      <c r="L29" s="6">
        <f t="shared" si="2"/>
        <v>-311.61</v>
      </c>
      <c r="M29" s="2"/>
      <c r="N29" s="7">
        <f t="shared" si="3"/>
        <v>-1</v>
      </c>
      <c r="O29" s="10"/>
      <c r="P29" s="6">
        <v>339.83</v>
      </c>
      <c r="Q29" s="2"/>
      <c r="R29" s="7">
        <f t="shared" si="4"/>
        <v>0</v>
      </c>
      <c r="S29" s="2"/>
      <c r="T29" s="6">
        <v>3652.96</v>
      </c>
      <c r="U29" s="2"/>
      <c r="V29" s="7">
        <f t="shared" si="5"/>
        <v>0</v>
      </c>
      <c r="W29" s="2"/>
      <c r="X29" s="6">
        <f t="shared" si="6"/>
        <v>-3313.13</v>
      </c>
      <c r="Y29" s="2"/>
      <c r="Z29" s="7">
        <f t="shared" si="7"/>
        <v>-0.90697133283693221</v>
      </c>
    </row>
    <row r="30" spans="1:26" s="26" customFormat="1" outlineLevel="1" collapsed="1" x14ac:dyDescent="0.25">
      <c r="A30" s="27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23617.72</v>
      </c>
      <c r="E30" s="1"/>
      <c r="F30" s="5">
        <f t="shared" ref="F30:F35" si="8">IF(D$12=0,0,D30/D$12)</f>
        <v>0</v>
      </c>
      <c r="G30" s="1"/>
      <c r="H30" s="1">
        <f>SUM(OSRRefH22_1x_0)</f>
        <v>37856.629999999997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-14238.909999999996</v>
      </c>
      <c r="M30" s="1"/>
      <c r="N30" s="5">
        <f t="shared" ref="N30:N35" si="11">IF(H30=0,0,L30/H30)</f>
        <v>-0.37612724640307382</v>
      </c>
      <c r="O30" s="12"/>
      <c r="P30" s="1">
        <f>SUM(OSRRefP22_1x_0)</f>
        <v>236173.8</v>
      </c>
      <c r="Q30" s="1"/>
      <c r="R30" s="5">
        <f t="shared" ref="R30:R35" si="12">IF(P$12=0,0,P30/P$12)</f>
        <v>0</v>
      </c>
      <c r="S30" s="1"/>
      <c r="T30" s="1">
        <f>SUM(OSRRefT22_1x_0)</f>
        <v>241103.4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-4929.6000000000058</v>
      </c>
      <c r="Y30" s="1"/>
      <c r="Z30" s="5">
        <f t="shared" ref="Z30:Z35" si="15">IF(T30=0,0,X30/T30)</f>
        <v>-2.0445999517219607E-2</v>
      </c>
    </row>
    <row r="31" spans="1:26" s="23" customFormat="1" hidden="1" outlineLevel="2" x14ac:dyDescent="0.25">
      <c r="A31" s="25"/>
      <c r="B31" s="10" t="str">
        <f>CONCATENATE("          ", "6001", " - ", "ADMINISTRATIVE SALARIES")</f>
        <v xml:space="preserve">          6001 - ADMINISTRATIVE SALARIES</v>
      </c>
      <c r="C31" s="10"/>
      <c r="D31" s="6">
        <v>9474.9500000000007</v>
      </c>
      <c r="E31" s="2"/>
      <c r="F31" s="7">
        <f t="shared" si="8"/>
        <v>0</v>
      </c>
      <c r="G31" s="2"/>
      <c r="H31" s="6">
        <v>9894.68</v>
      </c>
      <c r="I31" s="2"/>
      <c r="J31" s="7">
        <f t="shared" si="9"/>
        <v>0</v>
      </c>
      <c r="K31" s="2"/>
      <c r="L31" s="6">
        <f t="shared" si="10"/>
        <v>-419.72999999999956</v>
      </c>
      <c r="M31" s="2"/>
      <c r="N31" s="7">
        <f t="shared" si="11"/>
        <v>-4.2419764964607198E-2</v>
      </c>
      <c r="O31" s="10"/>
      <c r="P31" s="6">
        <v>91751.14</v>
      </c>
      <c r="Q31" s="2"/>
      <c r="R31" s="7">
        <f t="shared" si="12"/>
        <v>0</v>
      </c>
      <c r="S31" s="2"/>
      <c r="T31" s="6">
        <v>81181.649999999994</v>
      </c>
      <c r="U31" s="2"/>
      <c r="V31" s="7">
        <f t="shared" si="13"/>
        <v>0</v>
      </c>
      <c r="W31" s="2"/>
      <c r="X31" s="6">
        <f t="shared" si="14"/>
        <v>10569.490000000005</v>
      </c>
      <c r="Y31" s="2"/>
      <c r="Z31" s="7">
        <f t="shared" si="15"/>
        <v>0.13019555527634638</v>
      </c>
    </row>
    <row r="32" spans="1:26" s="23" customFormat="1" hidden="1" outlineLevel="2" x14ac:dyDescent="0.25">
      <c r="A32" s="25"/>
      <c r="B32" s="10" t="str">
        <f>CONCATENATE("          ", "6002", " - ", "STAFF SALARIES")</f>
        <v xml:space="preserve">          6002 - STAFF SALARIES</v>
      </c>
      <c r="C32" s="10"/>
      <c r="D32" s="6"/>
      <c r="E32" s="2"/>
      <c r="F32" s="7">
        <f t="shared" si="8"/>
        <v>0</v>
      </c>
      <c r="G32" s="2"/>
      <c r="H32" s="6">
        <v>9896.25</v>
      </c>
      <c r="I32" s="2"/>
      <c r="J32" s="7">
        <f t="shared" si="9"/>
        <v>0</v>
      </c>
      <c r="K32" s="2"/>
      <c r="L32" s="6">
        <f t="shared" si="10"/>
        <v>-9896.25</v>
      </c>
      <c r="M32" s="2"/>
      <c r="N32" s="7">
        <f t="shared" si="11"/>
        <v>-1</v>
      </c>
      <c r="O32" s="10"/>
      <c r="P32" s="6"/>
      <c r="Q32" s="2"/>
      <c r="R32" s="7">
        <f t="shared" si="12"/>
        <v>0</v>
      </c>
      <c r="S32" s="2"/>
      <c r="T32" s="6">
        <v>21069.18</v>
      </c>
      <c r="U32" s="2"/>
      <c r="V32" s="7">
        <f t="shared" si="13"/>
        <v>0</v>
      </c>
      <c r="W32" s="2"/>
      <c r="X32" s="6">
        <f t="shared" si="14"/>
        <v>-21069.18</v>
      </c>
      <c r="Y32" s="2"/>
      <c r="Z32" s="7">
        <f t="shared" si="15"/>
        <v>-1</v>
      </c>
    </row>
    <row r="33" spans="1:26" s="23" customFormat="1" hidden="1" outlineLevel="2" x14ac:dyDescent="0.25">
      <c r="A33" s="25"/>
      <c r="B33" s="10" t="str">
        <f>CONCATENATE("          ", "6004", " - ", "STAFF HOURLY")</f>
        <v xml:space="preserve">          6004 - STAFF HOURLY</v>
      </c>
      <c r="C33" s="10"/>
      <c r="D33" s="6">
        <v>9474.51</v>
      </c>
      <c r="E33" s="2"/>
      <c r="F33" s="7">
        <f t="shared" si="8"/>
        <v>0</v>
      </c>
      <c r="G33" s="2"/>
      <c r="H33" s="6">
        <v>10437.530000000001</v>
      </c>
      <c r="I33" s="2"/>
      <c r="J33" s="7">
        <f t="shared" si="9"/>
        <v>0</v>
      </c>
      <c r="K33" s="2"/>
      <c r="L33" s="6">
        <f t="shared" si="10"/>
        <v>-963.02000000000044</v>
      </c>
      <c r="M33" s="2"/>
      <c r="N33" s="7">
        <f t="shared" si="11"/>
        <v>-9.2265124028386061E-2</v>
      </c>
      <c r="O33" s="10"/>
      <c r="P33" s="6">
        <v>93251.47</v>
      </c>
      <c r="Q33" s="2"/>
      <c r="R33" s="7">
        <f t="shared" si="12"/>
        <v>0</v>
      </c>
      <c r="S33" s="2"/>
      <c r="T33" s="6">
        <v>87723.25</v>
      </c>
      <c r="U33" s="2"/>
      <c r="V33" s="7">
        <f t="shared" si="13"/>
        <v>0</v>
      </c>
      <c r="W33" s="2"/>
      <c r="X33" s="6">
        <f t="shared" si="14"/>
        <v>5528.2200000000012</v>
      </c>
      <c r="Y33" s="2"/>
      <c r="Z33" s="7">
        <f t="shared" si="15"/>
        <v>6.3018868999951572E-2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>
        <v>3704.26</v>
      </c>
      <c r="E34" s="2"/>
      <c r="F34" s="7">
        <f t="shared" si="8"/>
        <v>0</v>
      </c>
      <c r="G34" s="2"/>
      <c r="H34" s="6">
        <v>6200.17</v>
      </c>
      <c r="I34" s="2"/>
      <c r="J34" s="7">
        <f t="shared" si="9"/>
        <v>0</v>
      </c>
      <c r="K34" s="2"/>
      <c r="L34" s="6">
        <f t="shared" si="10"/>
        <v>-2495.91</v>
      </c>
      <c r="M34" s="2"/>
      <c r="N34" s="7">
        <f t="shared" si="11"/>
        <v>-0.40255509123136946</v>
      </c>
      <c r="O34" s="10"/>
      <c r="P34" s="6">
        <v>47675.19</v>
      </c>
      <c r="Q34" s="2"/>
      <c r="R34" s="7">
        <f t="shared" si="12"/>
        <v>0</v>
      </c>
      <c r="S34" s="2"/>
      <c r="T34" s="6">
        <v>46666.32</v>
      </c>
      <c r="U34" s="2"/>
      <c r="V34" s="7">
        <f t="shared" si="13"/>
        <v>0</v>
      </c>
      <c r="W34" s="2"/>
      <c r="X34" s="6">
        <f t="shared" si="14"/>
        <v>1008.8700000000026</v>
      </c>
      <c r="Y34" s="2"/>
      <c r="Z34" s="7">
        <f t="shared" si="15"/>
        <v>2.161880345396857E-2</v>
      </c>
    </row>
    <row r="35" spans="1:26" s="23" customFormat="1" hidden="1" outlineLevel="2" x14ac:dyDescent="0.25">
      <c r="A35" s="25"/>
      <c r="B35" s="10" t="str">
        <f>CONCATENATE("          ", "6007", " - ", "STUDENT HOURLY")</f>
        <v xml:space="preserve">          6007 - STUDENT HOURLY</v>
      </c>
      <c r="C35" s="10"/>
      <c r="D35" s="6">
        <v>964</v>
      </c>
      <c r="E35" s="2"/>
      <c r="F35" s="7">
        <f t="shared" si="8"/>
        <v>0</v>
      </c>
      <c r="G35" s="2"/>
      <c r="H35" s="6">
        <v>1428</v>
      </c>
      <c r="I35" s="2"/>
      <c r="J35" s="7">
        <f t="shared" si="9"/>
        <v>0</v>
      </c>
      <c r="K35" s="2"/>
      <c r="L35" s="6">
        <f t="shared" si="10"/>
        <v>-464</v>
      </c>
      <c r="M35" s="2"/>
      <c r="N35" s="7">
        <f t="shared" si="11"/>
        <v>-0.32492997198879553</v>
      </c>
      <c r="O35" s="10"/>
      <c r="P35" s="6">
        <v>3496</v>
      </c>
      <c r="Q35" s="2"/>
      <c r="R35" s="7">
        <f t="shared" si="12"/>
        <v>0</v>
      </c>
      <c r="S35" s="2"/>
      <c r="T35" s="6">
        <v>4463</v>
      </c>
      <c r="U35" s="2"/>
      <c r="V35" s="7">
        <f t="shared" si="13"/>
        <v>0</v>
      </c>
      <c r="W35" s="2"/>
      <c r="X35" s="6">
        <f t="shared" si="14"/>
        <v>-967</v>
      </c>
      <c r="Y35" s="2"/>
      <c r="Z35" s="7">
        <f t="shared" si="15"/>
        <v>-0.21667040107550975</v>
      </c>
    </row>
    <row r="36" spans="1:26" s="26" customFormat="1" outlineLevel="1" collapsed="1" x14ac:dyDescent="0.25">
      <c r="A36" s="27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53" si="16">IF(D$12=0,0,D36/D$12)</f>
        <v>0</v>
      </c>
      <c r="G36" s="1"/>
      <c r="H36" s="1">
        <f>SUM(OSRRefH22_2x_0)</f>
        <v>0</v>
      </c>
      <c r="I36" s="1"/>
      <c r="J36" s="5">
        <f t="shared" ref="J36:J53" si="17">IF(H$12=0,0,H36/H$12)</f>
        <v>0</v>
      </c>
      <c r="K36" s="1"/>
      <c r="L36" s="1">
        <f t="shared" ref="L36:L53" si="18">+D36-H36</f>
        <v>0</v>
      </c>
      <c r="M36" s="1"/>
      <c r="N36" s="5">
        <f t="shared" ref="N36:N53" si="19">IF(H36=0,0,L36/H36)</f>
        <v>0</v>
      </c>
      <c r="O36" s="12"/>
      <c r="P36" s="1">
        <f>SUM(OSRRefP22_2x_0)</f>
        <v>0</v>
      </c>
      <c r="Q36" s="1"/>
      <c r="R36" s="5">
        <f t="shared" ref="R36:R53" si="20">IF(P$12=0,0,P36/P$12)</f>
        <v>0</v>
      </c>
      <c r="S36" s="1"/>
      <c r="T36" s="1">
        <f>SUM(OSRRefT22_2x_0)</f>
        <v>1556.04</v>
      </c>
      <c r="U36" s="1"/>
      <c r="V36" s="5">
        <f t="shared" ref="V36:V53" si="21">IF(T$12=0,0,T36/T$12)</f>
        <v>0</v>
      </c>
      <c r="W36" s="1"/>
      <c r="X36" s="1">
        <f t="shared" ref="X36:X53" si="22">+P36-T36</f>
        <v>-1556.04</v>
      </c>
      <c r="Y36" s="1"/>
      <c r="Z36" s="5">
        <f t="shared" ref="Z36:Z53" si="23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1556.04</v>
      </c>
      <c r="U37" s="2"/>
      <c r="V37" s="7">
        <f t="shared" si="21"/>
        <v>0</v>
      </c>
      <c r="W37" s="2"/>
      <c r="X37" s="6">
        <f t="shared" si="22"/>
        <v>-1556.04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224.13</v>
      </c>
      <c r="I38" s="1"/>
      <c r="J38" s="5">
        <f t="shared" si="17"/>
        <v>0</v>
      </c>
      <c r="K38" s="1"/>
      <c r="L38" s="1">
        <f t="shared" si="18"/>
        <v>-224.13</v>
      </c>
      <c r="M38" s="1"/>
      <c r="N38" s="5">
        <f t="shared" si="19"/>
        <v>-1</v>
      </c>
      <c r="O38" s="12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2017.57</v>
      </c>
      <c r="U38" s="1"/>
      <c r="V38" s="5">
        <f t="shared" si="21"/>
        <v>0</v>
      </c>
      <c r="W38" s="1"/>
      <c r="X38" s="1">
        <f t="shared" si="22"/>
        <v>-2017.57</v>
      </c>
      <c r="Y38" s="1"/>
      <c r="Z38" s="5">
        <f t="shared" si="23"/>
        <v>-1</v>
      </c>
    </row>
    <row r="39" spans="1:26" s="23" customFormat="1" hidden="1" outlineLevel="2" x14ac:dyDescent="0.25">
      <c r="A39" s="25"/>
      <c r="B39" s="10" t="str">
        <f>CONCATENATE("          ", "6322", " - ", "EQUIPMENT DEPRECIATION EXPENSE")</f>
        <v xml:space="preserve">          6322 - EQUIPMENT DEPRECIATION EXPENSE</v>
      </c>
      <c r="C39" s="10"/>
      <c r="D39" s="6"/>
      <c r="E39" s="2"/>
      <c r="F39" s="7">
        <f t="shared" si="16"/>
        <v>0</v>
      </c>
      <c r="G39" s="2"/>
      <c r="H39" s="6">
        <v>224.13</v>
      </c>
      <c r="I39" s="2"/>
      <c r="J39" s="7">
        <f t="shared" si="17"/>
        <v>0</v>
      </c>
      <c r="K39" s="2"/>
      <c r="L39" s="6">
        <f t="shared" si="18"/>
        <v>-224.13</v>
      </c>
      <c r="M39" s="2"/>
      <c r="N39" s="7">
        <f t="shared" si="19"/>
        <v>-1</v>
      </c>
      <c r="O39" s="10"/>
      <c r="P39" s="6"/>
      <c r="Q39" s="2"/>
      <c r="R39" s="7">
        <f t="shared" si="20"/>
        <v>0</v>
      </c>
      <c r="S39" s="2"/>
      <c r="T39" s="6">
        <v>2017.57</v>
      </c>
      <c r="U39" s="2"/>
      <c r="V39" s="7">
        <f t="shared" si="21"/>
        <v>0</v>
      </c>
      <c r="W39" s="2"/>
      <c r="X39" s="6">
        <f t="shared" si="22"/>
        <v>-2017.57</v>
      </c>
      <c r="Y39" s="2"/>
      <c r="Z39" s="7">
        <f t="shared" si="23"/>
        <v>-1</v>
      </c>
    </row>
    <row r="40" spans="1:26" s="26" customFormat="1" outlineLevel="1" collapsed="1" x14ac:dyDescent="0.25">
      <c r="A40" s="27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806.98</v>
      </c>
      <c r="I40" s="1"/>
      <c r="J40" s="5">
        <f t="shared" si="17"/>
        <v>0</v>
      </c>
      <c r="K40" s="1"/>
      <c r="L40" s="1">
        <f t="shared" si="18"/>
        <v>-806.98</v>
      </c>
      <c r="M40" s="1"/>
      <c r="N40" s="5">
        <f t="shared" si="19"/>
        <v>-1</v>
      </c>
      <c r="O40" s="12"/>
      <c r="P40" s="1">
        <f>SUM(OSRRefP22_4x_0)</f>
        <v>81.56</v>
      </c>
      <c r="Q40" s="1"/>
      <c r="R40" s="5">
        <f t="shared" si="20"/>
        <v>0</v>
      </c>
      <c r="S40" s="1"/>
      <c r="T40" s="1">
        <f>SUM(OSRRefT22_4x_0)</f>
        <v>29326.2</v>
      </c>
      <c r="U40" s="1"/>
      <c r="V40" s="5">
        <f t="shared" si="21"/>
        <v>0</v>
      </c>
      <c r="W40" s="1"/>
      <c r="X40" s="1">
        <f t="shared" si="22"/>
        <v>-29244.639999999999</v>
      </c>
      <c r="Y40" s="1"/>
      <c r="Z40" s="5">
        <f t="shared" si="23"/>
        <v>-0.99721886913408486</v>
      </c>
    </row>
    <row r="41" spans="1:26" s="23" customFormat="1" hidden="1" outlineLevel="2" x14ac:dyDescent="0.25">
      <c r="A41" s="25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16"/>
        <v>0</v>
      </c>
      <c r="G41" s="2"/>
      <c r="H41" s="6">
        <v>806.98</v>
      </c>
      <c r="I41" s="2"/>
      <c r="J41" s="7">
        <f t="shared" si="17"/>
        <v>0</v>
      </c>
      <c r="K41" s="2"/>
      <c r="L41" s="6">
        <f t="shared" si="18"/>
        <v>-806.98</v>
      </c>
      <c r="M41" s="2"/>
      <c r="N41" s="7">
        <f t="shared" si="19"/>
        <v>-1</v>
      </c>
      <c r="O41" s="10"/>
      <c r="P41" s="6">
        <v>81.56</v>
      </c>
      <c r="Q41" s="2"/>
      <c r="R41" s="7">
        <f t="shared" si="20"/>
        <v>0</v>
      </c>
      <c r="S41" s="2"/>
      <c r="T41" s="6">
        <v>29326.2</v>
      </c>
      <c r="U41" s="2"/>
      <c r="V41" s="7">
        <f t="shared" si="21"/>
        <v>0</v>
      </c>
      <c r="W41" s="2"/>
      <c r="X41" s="6">
        <f t="shared" si="22"/>
        <v>-29244.639999999999</v>
      </c>
      <c r="Y41" s="2"/>
      <c r="Z41" s="7">
        <f t="shared" si="23"/>
        <v>-0.99721886913408486</v>
      </c>
    </row>
    <row r="42" spans="1:26" s="26" customFormat="1" outlineLevel="1" collapsed="1" x14ac:dyDescent="0.25">
      <c r="A42" s="27"/>
      <c r="B42" s="12" t="str">
        <f>CONCATENATE("     ","Equipment Rental                                  ")</f>
        <v xml:space="preserve">     Equipment Rental                                  </v>
      </c>
      <c r="C42" s="12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273.77999999999997</v>
      </c>
      <c r="U42" s="1"/>
      <c r="V42" s="5">
        <f t="shared" si="21"/>
        <v>0</v>
      </c>
      <c r="W42" s="1"/>
      <c r="X42" s="1">
        <f t="shared" si="22"/>
        <v>-273.77999999999997</v>
      </c>
      <c r="Y42" s="1"/>
      <c r="Z42" s="5">
        <f t="shared" si="23"/>
        <v>-1</v>
      </c>
    </row>
    <row r="43" spans="1:26" s="23" customFormat="1" hidden="1" outlineLevel="2" x14ac:dyDescent="0.25">
      <c r="A43" s="25"/>
      <c r="B43" s="10" t="str">
        <f>CONCATENATE("          ", "6351", " - ", "EQUIPMENT RENTAL")</f>
        <v xml:space="preserve">          6351 - EQUIPMENT RENTAL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273.77999999999997</v>
      </c>
      <c r="U43" s="2"/>
      <c r="V43" s="7">
        <f t="shared" si="21"/>
        <v>0</v>
      </c>
      <c r="W43" s="2"/>
      <c r="X43" s="6">
        <f t="shared" si="22"/>
        <v>-273.77999999999997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2" t="str">
        <f>CONCATENATE("     ","Freight out/Postage                               ")</f>
        <v xml:space="preserve">     Freight out/Postage                               </v>
      </c>
      <c r="C44" s="12"/>
      <c r="D44" s="1">
        <f>SUM(OSRRefD22_6x_0)</f>
        <v>10.220000000000001</v>
      </c>
      <c r="E44" s="1"/>
      <c r="F44" s="5">
        <f t="shared" si="16"/>
        <v>0</v>
      </c>
      <c r="G44" s="1"/>
      <c r="H44" s="1">
        <f>SUM(OSRRefH22_6x_0)</f>
        <v>86.95</v>
      </c>
      <c r="I44" s="1"/>
      <c r="J44" s="5">
        <f t="shared" si="17"/>
        <v>0</v>
      </c>
      <c r="K44" s="1"/>
      <c r="L44" s="1">
        <f t="shared" si="18"/>
        <v>-76.73</v>
      </c>
      <c r="M44" s="1"/>
      <c r="N44" s="5">
        <f t="shared" si="19"/>
        <v>-0.88246118458884415</v>
      </c>
      <c r="O44" s="12"/>
      <c r="P44" s="1">
        <f>SUM(OSRRefP22_6x_0)</f>
        <v>116.77</v>
      </c>
      <c r="Q44" s="1"/>
      <c r="R44" s="5">
        <f t="shared" si="20"/>
        <v>0</v>
      </c>
      <c r="S44" s="1"/>
      <c r="T44" s="1">
        <f>SUM(OSRRefT22_6x_0)</f>
        <v>1043.55</v>
      </c>
      <c r="U44" s="1"/>
      <c r="V44" s="5">
        <f t="shared" si="21"/>
        <v>0</v>
      </c>
      <c r="W44" s="1"/>
      <c r="X44" s="1">
        <f t="shared" si="22"/>
        <v>-926.78</v>
      </c>
      <c r="Y44" s="1"/>
      <c r="Z44" s="5">
        <f t="shared" si="23"/>
        <v>-0.88810310957788319</v>
      </c>
    </row>
    <row r="45" spans="1:26" s="23" customFormat="1" hidden="1" outlineLevel="2" x14ac:dyDescent="0.25">
      <c r="A45" s="25"/>
      <c r="B45" s="10" t="str">
        <f>CONCATENATE("          ", "6307", " - ", "POSTAGE")</f>
        <v xml:space="preserve">          6307 - POSTAGE</v>
      </c>
      <c r="C45" s="10"/>
      <c r="D45" s="6">
        <v>10.220000000000001</v>
      </c>
      <c r="E45" s="2"/>
      <c r="F45" s="7">
        <f t="shared" si="16"/>
        <v>0</v>
      </c>
      <c r="G45" s="2"/>
      <c r="H45" s="6">
        <v>86.95</v>
      </c>
      <c r="I45" s="2"/>
      <c r="J45" s="7">
        <f t="shared" si="17"/>
        <v>0</v>
      </c>
      <c r="K45" s="2"/>
      <c r="L45" s="6">
        <f t="shared" si="18"/>
        <v>-76.73</v>
      </c>
      <c r="M45" s="2"/>
      <c r="N45" s="7">
        <f t="shared" si="19"/>
        <v>-0.88246118458884415</v>
      </c>
      <c r="O45" s="10"/>
      <c r="P45" s="6">
        <v>116.77</v>
      </c>
      <c r="Q45" s="2"/>
      <c r="R45" s="7">
        <f t="shared" si="20"/>
        <v>0</v>
      </c>
      <c r="S45" s="2"/>
      <c r="T45" s="6">
        <v>1043.55</v>
      </c>
      <c r="U45" s="2"/>
      <c r="V45" s="7">
        <f t="shared" si="21"/>
        <v>0</v>
      </c>
      <c r="W45" s="2"/>
      <c r="X45" s="6">
        <f t="shared" si="22"/>
        <v>-926.78</v>
      </c>
      <c r="Y45" s="2"/>
      <c r="Z45" s="7">
        <f t="shared" si="23"/>
        <v>-0.88810310957788319</v>
      </c>
    </row>
    <row r="46" spans="1:26" s="26" customFormat="1" outlineLevel="1" collapsed="1" x14ac:dyDescent="0.25">
      <c r="A46" s="27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SUM(OSRRefD22_7x_0)</f>
        <v>52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52</v>
      </c>
      <c r="M46" s="1"/>
      <c r="N46" s="5">
        <f t="shared" si="19"/>
        <v>0</v>
      </c>
      <c r="O46" s="12"/>
      <c r="P46" s="1">
        <f>SUM(OSRRefP22_7x_0)</f>
        <v>229.14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-470.86</v>
      </c>
      <c r="Y46" s="1"/>
      <c r="Z46" s="5">
        <f t="shared" si="23"/>
        <v>-0.67265714285714284</v>
      </c>
    </row>
    <row r="47" spans="1:26" s="23" customFormat="1" hidden="1" outlineLevel="2" x14ac:dyDescent="0.25">
      <c r="A47" s="25"/>
      <c r="B47" s="10" t="str">
        <f>CONCATENATE("          ", "6279", " - ", "GENERAL EXPENSE")</f>
        <v xml:space="preserve">          6279 - GENERAL EXPENSE</v>
      </c>
      <c r="C47" s="10"/>
      <c r="D47" s="6">
        <v>52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52</v>
      </c>
      <c r="M47" s="2"/>
      <c r="N47" s="7">
        <f t="shared" si="19"/>
        <v>0</v>
      </c>
      <c r="O47" s="10"/>
      <c r="P47" s="6">
        <v>229.14</v>
      </c>
      <c r="Q47" s="2"/>
      <c r="R47" s="7">
        <f t="shared" si="20"/>
        <v>0</v>
      </c>
      <c r="S47" s="2"/>
      <c r="T47" s="6">
        <v>700</v>
      </c>
      <c r="U47" s="2"/>
      <c r="V47" s="7">
        <f t="shared" si="21"/>
        <v>0</v>
      </c>
      <c r="W47" s="2"/>
      <c r="X47" s="6">
        <f t="shared" si="22"/>
        <v>-470.86</v>
      </c>
      <c r="Y47" s="2"/>
      <c r="Z47" s="7">
        <f t="shared" si="23"/>
        <v>-0.67265714285714284</v>
      </c>
    </row>
    <row r="48" spans="1:26" s="26" customFormat="1" outlineLevel="1" collapsed="1" x14ac:dyDescent="0.25">
      <c r="A48" s="27"/>
      <c r="B48" s="12" t="str">
        <f>CONCATENATE("     ","Insurance                                         ")</f>
        <v xml:space="preserve">     Insurance                                         </v>
      </c>
      <c r="C48" s="12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65.47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2"/>
      <c r="P48" s="1">
        <f>SUM(OSRRefP22_8x_0)</f>
        <v>589.23</v>
      </c>
      <c r="Q48" s="1"/>
      <c r="R48" s="5">
        <f t="shared" si="20"/>
        <v>0</v>
      </c>
      <c r="S48" s="1"/>
      <c r="T48" s="1">
        <f>SUM(OSRRefT22_8x_0)</f>
        <v>589.23</v>
      </c>
      <c r="U48" s="1"/>
      <c r="V48" s="5">
        <f t="shared" si="21"/>
        <v>0</v>
      </c>
      <c r="W48" s="1"/>
      <c r="X48" s="1">
        <f t="shared" si="22"/>
        <v>0</v>
      </c>
      <c r="Y48" s="1"/>
      <c r="Z48" s="5">
        <f t="shared" si="23"/>
        <v>0</v>
      </c>
    </row>
    <row r="49" spans="1:26" s="23" customFormat="1" hidden="1" outlineLevel="2" x14ac:dyDescent="0.25">
      <c r="A49" s="25"/>
      <c r="B49" s="10" t="str">
        <f>CONCATENATE("          ", "6314", " - ", "LIABILITY INSURANCE")</f>
        <v xml:space="preserve">          6314 - LIABILITY INSURANCE</v>
      </c>
      <c r="C49" s="10"/>
      <c r="D49" s="6">
        <v>65.47</v>
      </c>
      <c r="E49" s="2"/>
      <c r="F49" s="7">
        <f t="shared" si="16"/>
        <v>0</v>
      </c>
      <c r="G49" s="2"/>
      <c r="H49" s="6">
        <v>65.47</v>
      </c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0"/>
      <c r="P49" s="6">
        <v>589.23</v>
      </c>
      <c r="Q49" s="2"/>
      <c r="R49" s="7">
        <f t="shared" si="20"/>
        <v>0</v>
      </c>
      <c r="S49" s="2"/>
      <c r="T49" s="6">
        <v>589.23</v>
      </c>
      <c r="U49" s="2"/>
      <c r="V49" s="7">
        <f t="shared" si="21"/>
        <v>0</v>
      </c>
      <c r="W49" s="2"/>
      <c r="X49" s="6">
        <f t="shared" si="22"/>
        <v>0</v>
      </c>
      <c r="Y49" s="2"/>
      <c r="Z49" s="7">
        <f t="shared" si="23"/>
        <v>0</v>
      </c>
    </row>
    <row r="50" spans="1:26" s="26" customFormat="1" outlineLevel="1" collapsed="1" x14ac:dyDescent="0.25">
      <c r="A50" s="27"/>
      <c r="B50" s="12" t="str">
        <f>CONCATENATE("     ","Professional Services                             ")</f>
        <v xml:space="preserve">     Professional Services                             </v>
      </c>
      <c r="C50" s="12"/>
      <c r="D50" s="1">
        <f>SUM(OSRRefD22_9x_0)</f>
        <v>0</v>
      </c>
      <c r="E50" s="1"/>
      <c r="F50" s="5">
        <f t="shared" si="16"/>
        <v>0</v>
      </c>
      <c r="G50" s="1"/>
      <c r="H50" s="1">
        <f>SUM(OSRRefH22_9x_0)</f>
        <v>27350</v>
      </c>
      <c r="I50" s="1"/>
      <c r="J50" s="5">
        <f t="shared" si="17"/>
        <v>0</v>
      </c>
      <c r="K50" s="1"/>
      <c r="L50" s="1">
        <f t="shared" si="18"/>
        <v>-27350</v>
      </c>
      <c r="M50" s="1"/>
      <c r="N50" s="5">
        <f t="shared" si="19"/>
        <v>-1</v>
      </c>
      <c r="O50" s="12"/>
      <c r="P50" s="1">
        <f>SUM(OSRRefP22_9x_0)</f>
        <v>8819.880000000001</v>
      </c>
      <c r="Q50" s="1"/>
      <c r="R50" s="5">
        <f t="shared" si="20"/>
        <v>0</v>
      </c>
      <c r="S50" s="1"/>
      <c r="T50" s="1">
        <f>SUM(OSRRefT22_9x_0)</f>
        <v>84783.52</v>
      </c>
      <c r="U50" s="1"/>
      <c r="V50" s="5">
        <f t="shared" si="21"/>
        <v>0</v>
      </c>
      <c r="W50" s="1"/>
      <c r="X50" s="1">
        <f t="shared" si="22"/>
        <v>-75963.64</v>
      </c>
      <c r="Y50" s="1"/>
      <c r="Z50" s="5">
        <f t="shared" si="23"/>
        <v>-0.89597176432401004</v>
      </c>
    </row>
    <row r="51" spans="1:26" s="23" customFormat="1" hidden="1" outlineLevel="2" x14ac:dyDescent="0.25">
      <c r="A51" s="25"/>
      <c r="B51" s="10" t="str">
        <f>CONCATENATE("          ", "6332", " - ", "CONSULTANT FEES")</f>
        <v xml:space="preserve">          6332 - CONSULTANT FEES</v>
      </c>
      <c r="C51" s="10"/>
      <c r="D51" s="6"/>
      <c r="E51" s="2"/>
      <c r="F51" s="7">
        <f t="shared" si="16"/>
        <v>0</v>
      </c>
      <c r="G51" s="2"/>
      <c r="H51" s="6">
        <v>21750</v>
      </c>
      <c r="I51" s="2"/>
      <c r="J51" s="7">
        <f t="shared" si="17"/>
        <v>0</v>
      </c>
      <c r="K51" s="2"/>
      <c r="L51" s="6">
        <f t="shared" si="18"/>
        <v>-21750</v>
      </c>
      <c r="M51" s="2"/>
      <c r="N51" s="7">
        <f t="shared" si="19"/>
        <v>-1</v>
      </c>
      <c r="O51" s="10"/>
      <c r="P51" s="6"/>
      <c r="Q51" s="2"/>
      <c r="R51" s="7">
        <f t="shared" si="20"/>
        <v>0</v>
      </c>
      <c r="S51" s="2"/>
      <c r="T51" s="6">
        <v>21750</v>
      </c>
      <c r="U51" s="2"/>
      <c r="V51" s="7">
        <f t="shared" si="21"/>
        <v>0</v>
      </c>
      <c r="W51" s="2"/>
      <c r="X51" s="6">
        <f t="shared" si="22"/>
        <v>-21750</v>
      </c>
      <c r="Y51" s="2"/>
      <c r="Z51" s="7">
        <f t="shared" si="23"/>
        <v>-1</v>
      </c>
    </row>
    <row r="52" spans="1:26" s="23" customFormat="1" hidden="1" outlineLevel="2" x14ac:dyDescent="0.25">
      <c r="A52" s="25"/>
      <c r="B52" s="10" t="str">
        <f>CONCATENATE("          ", "6334", " - ", "LEGAL COUNCIL EXPENSE")</f>
        <v xml:space="preserve">          6334 - LEGAL COUNCIL EXPENSE</v>
      </c>
      <c r="C52" s="10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0"/>
      <c r="P52" s="6">
        <v>2450</v>
      </c>
      <c r="Q52" s="2"/>
      <c r="R52" s="7">
        <f t="shared" si="20"/>
        <v>0</v>
      </c>
      <c r="S52" s="2"/>
      <c r="T52" s="6">
        <v>38010</v>
      </c>
      <c r="U52" s="2"/>
      <c r="V52" s="7">
        <f t="shared" si="21"/>
        <v>0</v>
      </c>
      <c r="W52" s="2"/>
      <c r="X52" s="6">
        <f t="shared" si="22"/>
        <v>-35560</v>
      </c>
      <c r="Y52" s="2"/>
      <c r="Z52" s="7">
        <f t="shared" si="23"/>
        <v>-0.9355432780847146</v>
      </c>
    </row>
    <row r="53" spans="1:26" s="23" customFormat="1" hidden="1" outlineLevel="2" x14ac:dyDescent="0.25">
      <c r="A53" s="25"/>
      <c r="B53" s="10" t="str">
        <f>CONCATENATE("          ", "6336", " - ", "PROFESSIONAL SERVICES")</f>
        <v xml:space="preserve">          6336 - PROFESSIONAL SERVICES</v>
      </c>
      <c r="C53" s="10"/>
      <c r="D53" s="6"/>
      <c r="E53" s="2"/>
      <c r="F53" s="7">
        <f t="shared" si="16"/>
        <v>0</v>
      </c>
      <c r="G53" s="2"/>
      <c r="H53" s="6">
        <v>5600</v>
      </c>
      <c r="I53" s="2"/>
      <c r="J53" s="7">
        <f t="shared" si="17"/>
        <v>0</v>
      </c>
      <c r="K53" s="2"/>
      <c r="L53" s="6">
        <f t="shared" si="18"/>
        <v>-5600</v>
      </c>
      <c r="M53" s="2"/>
      <c r="N53" s="7">
        <f t="shared" si="19"/>
        <v>-1</v>
      </c>
      <c r="O53" s="10"/>
      <c r="P53" s="6">
        <v>6369.88</v>
      </c>
      <c r="Q53" s="2"/>
      <c r="R53" s="7">
        <f t="shared" si="20"/>
        <v>0</v>
      </c>
      <c r="S53" s="2"/>
      <c r="T53" s="6">
        <v>25023.52</v>
      </c>
      <c r="U53" s="2"/>
      <c r="V53" s="7">
        <f t="shared" si="21"/>
        <v>0</v>
      </c>
      <c r="W53" s="2"/>
      <c r="X53" s="6">
        <f t="shared" si="22"/>
        <v>-18653.64</v>
      </c>
      <c r="Y53" s="2"/>
      <c r="Z53" s="7">
        <f t="shared" si="23"/>
        <v>-0.74544428601571633</v>
      </c>
    </row>
    <row r="54" spans="1:26" s="26" customFormat="1" outlineLevel="1" collapsed="1" x14ac:dyDescent="0.25">
      <c r="A54" s="27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SUM(OSRRefD22_10x_0)</f>
        <v>3753.51</v>
      </c>
      <c r="E54" s="1"/>
      <c r="F54" s="5">
        <f t="shared" ref="F54:F56" si="24">IF(D$12=0,0,D54/D$12)</f>
        <v>0</v>
      </c>
      <c r="G54" s="1"/>
      <c r="H54" s="1">
        <f>SUM(OSRRefH22_10x_0)</f>
        <v>13340.68</v>
      </c>
      <c r="I54" s="1"/>
      <c r="J54" s="5">
        <f t="shared" ref="J54:J56" si="25">IF(H$12=0,0,H54/H$12)</f>
        <v>0</v>
      </c>
      <c r="K54" s="1"/>
      <c r="L54" s="1">
        <f t="shared" ref="L54:L56" si="26">+D54-H54</f>
        <v>-9587.17</v>
      </c>
      <c r="M54" s="1"/>
      <c r="N54" s="5">
        <f t="shared" ref="N54:N56" si="27">IF(H54=0,0,L54/H54)</f>
        <v>-0.71864177838011256</v>
      </c>
      <c r="O54" s="12"/>
      <c r="P54" s="1">
        <f>SUM(OSRRefP22_10x_0)</f>
        <v>43113.579999999994</v>
      </c>
      <c r="Q54" s="1"/>
      <c r="R54" s="5">
        <f t="shared" ref="R54:R56" si="28">IF(P$12=0,0,P54/P$12)</f>
        <v>0</v>
      </c>
      <c r="S54" s="1"/>
      <c r="T54" s="1">
        <f>SUM(OSRRefT22_10x_0)</f>
        <v>119644.8</v>
      </c>
      <c r="U54" s="1"/>
      <c r="V54" s="5">
        <f t="shared" ref="V54:V56" si="29">IF(T$12=0,0,T54/T$12)</f>
        <v>0</v>
      </c>
      <c r="W54" s="1"/>
      <c r="X54" s="1">
        <f t="shared" ref="X54:X56" si="30">+P54-T54</f>
        <v>-76531.22</v>
      </c>
      <c r="Y54" s="1"/>
      <c r="Z54" s="5">
        <f t="shared" ref="Z54:Z56" si="31">IF(T54=0,0,X54/T54)</f>
        <v>-0.63965354114846618</v>
      </c>
    </row>
    <row r="55" spans="1:26" s="23" customFormat="1" hidden="1" outlineLevel="2" x14ac:dyDescent="0.25">
      <c r="A55" s="25"/>
      <c r="B55" s="10" t="str">
        <f>CONCATENATE("          ", "6371", " - ", "COMPUTER SOFTWARE MAINTENANCE")</f>
        <v xml:space="preserve">          6371 - COMPUTER SOFTWARE MAINTENANCE</v>
      </c>
      <c r="C55" s="10"/>
      <c r="D55" s="6">
        <v>3753.51</v>
      </c>
      <c r="E55" s="2"/>
      <c r="F55" s="7">
        <f t="shared" si="24"/>
        <v>0</v>
      </c>
      <c r="G55" s="2"/>
      <c r="H55" s="6">
        <v>13340.68</v>
      </c>
      <c r="I55" s="2"/>
      <c r="J55" s="7">
        <f t="shared" si="25"/>
        <v>0</v>
      </c>
      <c r="K55" s="2"/>
      <c r="L55" s="6">
        <f t="shared" si="26"/>
        <v>-9587.17</v>
      </c>
      <c r="M55" s="2"/>
      <c r="N55" s="7">
        <f t="shared" si="27"/>
        <v>-0.71864177838011256</v>
      </c>
      <c r="O55" s="10"/>
      <c r="P55" s="6">
        <v>43007.56</v>
      </c>
      <c r="Q55" s="2"/>
      <c r="R55" s="7">
        <f t="shared" si="28"/>
        <v>0</v>
      </c>
      <c r="S55" s="2"/>
      <c r="T55" s="6">
        <v>118951.13</v>
      </c>
      <c r="U55" s="2"/>
      <c r="V55" s="7">
        <f t="shared" si="29"/>
        <v>0</v>
      </c>
      <c r="W55" s="2"/>
      <c r="X55" s="6">
        <f t="shared" si="30"/>
        <v>-75943.570000000007</v>
      </c>
      <c r="Y55" s="2"/>
      <c r="Z55" s="7">
        <f t="shared" si="31"/>
        <v>-0.6384434515250087</v>
      </c>
    </row>
    <row r="56" spans="1:26" s="23" customFormat="1" hidden="1" outlineLevel="2" x14ac:dyDescent="0.25">
      <c r="A56" s="25"/>
      <c r="B56" s="10" t="str">
        <f>CONCATENATE("          ", "6373", " - ", "MAINTENANCE CONTRACTS")</f>
        <v xml:space="preserve">          6373 - MAINTENANCE CONTRACTS</v>
      </c>
      <c r="C56" s="10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0"/>
      <c r="P56" s="6">
        <v>106.02</v>
      </c>
      <c r="Q56" s="2"/>
      <c r="R56" s="7">
        <f t="shared" si="28"/>
        <v>0</v>
      </c>
      <c r="S56" s="2"/>
      <c r="T56" s="6">
        <v>693.67</v>
      </c>
      <c r="U56" s="2"/>
      <c r="V56" s="7">
        <f t="shared" si="29"/>
        <v>0</v>
      </c>
      <c r="W56" s="2"/>
      <c r="X56" s="6">
        <f t="shared" si="30"/>
        <v>-587.65</v>
      </c>
      <c r="Y56" s="2"/>
      <c r="Z56" s="7">
        <f t="shared" si="31"/>
        <v>-0.84716075367249555</v>
      </c>
    </row>
    <row r="57" spans="1:26" s="26" customFormat="1" outlineLevel="1" collapsed="1" x14ac:dyDescent="0.25">
      <c r="A57" s="27"/>
      <c r="B57" s="12" t="str">
        <f>CONCATENATE("     ","Subscriptions &amp; Dues                              ")</f>
        <v xml:space="preserve">     Subscriptions &amp; Dues                              </v>
      </c>
      <c r="C57" s="12"/>
      <c r="D57" s="1">
        <f>SUM(OSRRefD22_11x_0)</f>
        <v>0</v>
      </c>
      <c r="E57" s="1"/>
      <c r="F57" s="5">
        <f t="shared" ref="F57:F63" si="32">IF(D$12=0,0,D57/D$12)</f>
        <v>0</v>
      </c>
      <c r="G57" s="1"/>
      <c r="H57" s="1">
        <f>SUM(OSRRefH22_11x_0)</f>
        <v>0</v>
      </c>
      <c r="I57" s="1"/>
      <c r="J57" s="5">
        <f t="shared" ref="J57:J63" si="33">IF(H$12=0,0,H57/H$12)</f>
        <v>0</v>
      </c>
      <c r="K57" s="1"/>
      <c r="L57" s="1">
        <f t="shared" ref="L57:L63" si="34">+D57-H57</f>
        <v>0</v>
      </c>
      <c r="M57" s="1"/>
      <c r="N57" s="5">
        <f t="shared" ref="N57:N63" si="35">IF(H57=0,0,L57/H57)</f>
        <v>0</v>
      </c>
      <c r="O57" s="12"/>
      <c r="P57" s="1">
        <f>SUM(OSRRefP22_11x_0)</f>
        <v>1329.99</v>
      </c>
      <c r="Q57" s="1"/>
      <c r="R57" s="5">
        <f t="shared" ref="R57:R63" si="36">IF(P$12=0,0,P57/P$12)</f>
        <v>0</v>
      </c>
      <c r="S57" s="1"/>
      <c r="T57" s="1">
        <f>SUM(OSRRefT22_11x_0)</f>
        <v>587</v>
      </c>
      <c r="U57" s="1"/>
      <c r="V57" s="5">
        <f t="shared" ref="V57:V63" si="37">IF(T$12=0,0,T57/T$12)</f>
        <v>0</v>
      </c>
      <c r="W57" s="1"/>
      <c r="X57" s="1">
        <f t="shared" ref="X57:X63" si="38">+P57-T57</f>
        <v>742.99</v>
      </c>
      <c r="Y57" s="1"/>
      <c r="Z57" s="5">
        <f t="shared" ref="Z57:Z63" si="39">IF(T57=0,0,X57/T57)</f>
        <v>1.265741056218058</v>
      </c>
    </row>
    <row r="58" spans="1:26" s="23" customFormat="1" hidden="1" outlineLevel="2" x14ac:dyDescent="0.25">
      <c r="A58" s="25"/>
      <c r="B58" s="10" t="str">
        <f>CONCATENATE("          ", "6258", " - ", "MEMBERSHIP DUES")</f>
        <v xml:space="preserve">          6258 - MEMBERSHIP DUES</v>
      </c>
      <c r="C58" s="10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0"/>
      <c r="P58" s="6">
        <v>1329.99</v>
      </c>
      <c r="Q58" s="2"/>
      <c r="R58" s="7">
        <f t="shared" si="36"/>
        <v>0</v>
      </c>
      <c r="S58" s="2"/>
      <c r="T58" s="6">
        <v>587</v>
      </c>
      <c r="U58" s="2"/>
      <c r="V58" s="7">
        <f t="shared" si="37"/>
        <v>0</v>
      </c>
      <c r="W58" s="2"/>
      <c r="X58" s="6">
        <f t="shared" si="38"/>
        <v>742.99</v>
      </c>
      <c r="Y58" s="2"/>
      <c r="Z58" s="7">
        <f t="shared" si="39"/>
        <v>1.265741056218058</v>
      </c>
    </row>
    <row r="59" spans="1:26" s="26" customFormat="1" outlineLevel="1" collapsed="1" x14ac:dyDescent="0.25">
      <c r="A59" s="27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SUM(OSRRefD22_12x_0)</f>
        <v>0</v>
      </c>
      <c r="E59" s="1"/>
      <c r="F59" s="5">
        <f t="shared" si="32"/>
        <v>0</v>
      </c>
      <c r="G59" s="1"/>
      <c r="H59" s="1">
        <f>SUM(OSRRefH22_12x_0)</f>
        <v>853.40000000000009</v>
      </c>
      <c r="I59" s="1"/>
      <c r="J59" s="5">
        <f t="shared" si="33"/>
        <v>0</v>
      </c>
      <c r="K59" s="1"/>
      <c r="L59" s="1">
        <f t="shared" si="34"/>
        <v>-853.40000000000009</v>
      </c>
      <c r="M59" s="1"/>
      <c r="N59" s="5">
        <f t="shared" si="35"/>
        <v>-1</v>
      </c>
      <c r="O59" s="12"/>
      <c r="P59" s="1">
        <f>SUM(OSRRefP22_12x_0)</f>
        <v>2388.2600000000002</v>
      </c>
      <c r="Q59" s="1"/>
      <c r="R59" s="5">
        <f t="shared" si="36"/>
        <v>0</v>
      </c>
      <c r="S59" s="1"/>
      <c r="T59" s="1">
        <f>SUM(OSRRefT22_12x_0)</f>
        <v>16845.010000000002</v>
      </c>
      <c r="U59" s="1"/>
      <c r="V59" s="5">
        <f t="shared" si="37"/>
        <v>0</v>
      </c>
      <c r="W59" s="1"/>
      <c r="X59" s="1">
        <f t="shared" si="38"/>
        <v>-14456.750000000002</v>
      </c>
      <c r="Y59" s="1"/>
      <c r="Z59" s="5">
        <f t="shared" si="39"/>
        <v>-0.85822151485810927</v>
      </c>
    </row>
    <row r="60" spans="1:26" s="23" customFormat="1" hidden="1" outlineLevel="2" x14ac:dyDescent="0.25">
      <c r="A60" s="25"/>
      <c r="B60" s="10" t="str">
        <f>CONCATENATE("          ", "6235", " - ", "COVID-19 EXPENSES")</f>
        <v xml:space="preserve">          6235 - COVID-19 EXPENSES</v>
      </c>
      <c r="C60" s="10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0"/>
      <c r="P60" s="6">
        <v>210.58</v>
      </c>
      <c r="Q60" s="2"/>
      <c r="R60" s="7">
        <f t="shared" si="36"/>
        <v>0</v>
      </c>
      <c r="S60" s="2"/>
      <c r="T60" s="6"/>
      <c r="U60" s="2"/>
      <c r="V60" s="7">
        <f t="shared" si="37"/>
        <v>0</v>
      </c>
      <c r="W60" s="2"/>
      <c r="X60" s="6">
        <f t="shared" si="38"/>
        <v>210.58</v>
      </c>
      <c r="Y60" s="2"/>
      <c r="Z60" s="7">
        <f t="shared" si="39"/>
        <v>0</v>
      </c>
    </row>
    <row r="61" spans="1:26" s="23" customFormat="1" hidden="1" outlineLevel="2" x14ac:dyDescent="0.25">
      <c r="A61" s="25"/>
      <c r="B61" s="10" t="str">
        <f>CONCATENATE("          ", "6241", " - ", "OFFICE EXPENSE")</f>
        <v xml:space="preserve">          6241 - OFFICE EXPENSE</v>
      </c>
      <c r="C61" s="10"/>
      <c r="D61" s="6"/>
      <c r="E61" s="2"/>
      <c r="F61" s="7">
        <f t="shared" si="32"/>
        <v>0</v>
      </c>
      <c r="G61" s="2"/>
      <c r="H61" s="6">
        <v>750.32</v>
      </c>
      <c r="I61" s="2"/>
      <c r="J61" s="7">
        <f t="shared" si="33"/>
        <v>0</v>
      </c>
      <c r="K61" s="2"/>
      <c r="L61" s="6">
        <f t="shared" si="34"/>
        <v>-750.32</v>
      </c>
      <c r="M61" s="2"/>
      <c r="N61" s="7">
        <f t="shared" si="35"/>
        <v>-1</v>
      </c>
      <c r="O61" s="10"/>
      <c r="P61" s="6">
        <v>1954.97</v>
      </c>
      <c r="Q61" s="2"/>
      <c r="R61" s="7">
        <f t="shared" si="36"/>
        <v>0</v>
      </c>
      <c r="S61" s="2"/>
      <c r="T61" s="6">
        <v>12530.94</v>
      </c>
      <c r="U61" s="2"/>
      <c r="V61" s="7">
        <f t="shared" si="37"/>
        <v>0</v>
      </c>
      <c r="W61" s="2"/>
      <c r="X61" s="6">
        <f t="shared" si="38"/>
        <v>-10575.970000000001</v>
      </c>
      <c r="Y61" s="2"/>
      <c r="Z61" s="7">
        <f t="shared" si="39"/>
        <v>-0.84398855951748242</v>
      </c>
    </row>
    <row r="62" spans="1:26" s="23" customFormat="1" hidden="1" outlineLevel="2" x14ac:dyDescent="0.25">
      <c r="A62" s="25"/>
      <c r="B62" s="10" t="str">
        <f>CONCATENATE("          ", "6244", " - ", "SAFETY SUPPLY EXPENSE")</f>
        <v xml:space="preserve">          6244 - SAFETY SUPPLY EXPENSE</v>
      </c>
      <c r="C62" s="10"/>
      <c r="D62" s="6"/>
      <c r="E62" s="2"/>
      <c r="F62" s="7">
        <f t="shared" si="32"/>
        <v>0</v>
      </c>
      <c r="G62" s="2"/>
      <c r="H62" s="6">
        <v>103.08</v>
      </c>
      <c r="I62" s="2"/>
      <c r="J62" s="7">
        <f t="shared" si="33"/>
        <v>0</v>
      </c>
      <c r="K62" s="2"/>
      <c r="L62" s="6">
        <f t="shared" si="34"/>
        <v>-103.08</v>
      </c>
      <c r="M62" s="2"/>
      <c r="N62" s="7">
        <f t="shared" si="35"/>
        <v>-1</v>
      </c>
      <c r="O62" s="10"/>
      <c r="P62" s="6">
        <v>222.71</v>
      </c>
      <c r="Q62" s="2"/>
      <c r="R62" s="7">
        <f t="shared" si="36"/>
        <v>0</v>
      </c>
      <c r="S62" s="2"/>
      <c r="T62" s="6">
        <v>2110.41</v>
      </c>
      <c r="U62" s="2"/>
      <c r="V62" s="7">
        <f t="shared" si="37"/>
        <v>0</v>
      </c>
      <c r="W62" s="2"/>
      <c r="X62" s="6">
        <f t="shared" si="38"/>
        <v>-1887.6999999999998</v>
      </c>
      <c r="Y62" s="2"/>
      <c r="Z62" s="7">
        <f t="shared" si="39"/>
        <v>-0.89447074265190174</v>
      </c>
    </row>
    <row r="63" spans="1:26" s="23" customFormat="1" hidden="1" outlineLevel="2" x14ac:dyDescent="0.25">
      <c r="A63" s="25"/>
      <c r="B63" s="10" t="str">
        <f>CONCATENATE("          ", "6245", " - ", "PRINTING")</f>
        <v xml:space="preserve">          6245 - PRINTING</v>
      </c>
      <c r="C63" s="10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0"/>
      <c r="P63" s="6"/>
      <c r="Q63" s="2"/>
      <c r="R63" s="7">
        <f t="shared" si="36"/>
        <v>0</v>
      </c>
      <c r="S63" s="2"/>
      <c r="T63" s="6">
        <v>2203.66</v>
      </c>
      <c r="U63" s="2"/>
      <c r="V63" s="7">
        <f t="shared" si="37"/>
        <v>0</v>
      </c>
      <c r="W63" s="2"/>
      <c r="X63" s="6">
        <f t="shared" si="38"/>
        <v>-2203.66</v>
      </c>
      <c r="Y63" s="2"/>
      <c r="Z63" s="7">
        <f t="shared" si="39"/>
        <v>-1</v>
      </c>
    </row>
    <row r="64" spans="1:26" s="26" customFormat="1" outlineLevel="1" collapsed="1" x14ac:dyDescent="0.25">
      <c r="A64" s="27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SUM(OSRRefD22_13x_0)</f>
        <v>270.75</v>
      </c>
      <c r="E64" s="1"/>
      <c r="F64" s="5">
        <f t="shared" ref="F64:F69" si="40">IF(D$12=0,0,D64/D$12)</f>
        <v>0</v>
      </c>
      <c r="G64" s="1"/>
      <c r="H64" s="1">
        <f>SUM(OSRRefH22_13x_0)</f>
        <v>354.82</v>
      </c>
      <c r="I64" s="1"/>
      <c r="J64" s="5">
        <f t="shared" ref="J64:J69" si="41">IF(H$12=0,0,H64/H$12)</f>
        <v>0</v>
      </c>
      <c r="K64" s="1"/>
      <c r="L64" s="1">
        <f t="shared" ref="L64:L69" si="42">+D64-H64</f>
        <v>-84.07</v>
      </c>
      <c r="M64" s="1"/>
      <c r="N64" s="5">
        <f t="shared" ref="N64:N69" si="43">IF(H64=0,0,L64/H64)</f>
        <v>-0.23693703849839354</v>
      </c>
      <c r="O64" s="12"/>
      <c r="P64" s="1">
        <f>SUM(OSRRefP22_13x_0)</f>
        <v>2799.3</v>
      </c>
      <c r="Q64" s="1"/>
      <c r="R64" s="5">
        <f t="shared" ref="R64:R69" si="44">IF(P$12=0,0,P64/P$12)</f>
        <v>0</v>
      </c>
      <c r="S64" s="1"/>
      <c r="T64" s="1">
        <f>SUM(OSRRefT22_13x_0)</f>
        <v>2967.72</v>
      </c>
      <c r="U64" s="1"/>
      <c r="V64" s="5">
        <f t="shared" ref="V64:V69" si="45">IF(T$12=0,0,T64/T$12)</f>
        <v>0</v>
      </c>
      <c r="W64" s="1"/>
      <c r="X64" s="1">
        <f t="shared" ref="X64:X69" si="46">+P64-T64</f>
        <v>-168.41999999999962</v>
      </c>
      <c r="Y64" s="1"/>
      <c r="Z64" s="5">
        <f t="shared" ref="Z64:Z69" si="47">IF(T64=0,0,X64/T64)</f>
        <v>-5.6750636852533135E-2</v>
      </c>
    </row>
    <row r="65" spans="1:26" s="23" customFormat="1" hidden="1" outlineLevel="2" x14ac:dyDescent="0.25">
      <c r="A65" s="25"/>
      <c r="B65" s="10" t="str">
        <f>CONCATENATE("          ", "6309", " - ", "TELEPHONE")</f>
        <v xml:space="preserve">          6309 - TELEPHONE</v>
      </c>
      <c r="C65" s="10"/>
      <c r="D65" s="6">
        <v>270.75</v>
      </c>
      <c r="E65" s="2"/>
      <c r="F65" s="7">
        <f t="shared" si="40"/>
        <v>0</v>
      </c>
      <c r="G65" s="2"/>
      <c r="H65" s="6">
        <v>354.82</v>
      </c>
      <c r="I65" s="2"/>
      <c r="J65" s="7">
        <f t="shared" si="41"/>
        <v>0</v>
      </c>
      <c r="K65" s="2"/>
      <c r="L65" s="6">
        <f t="shared" si="42"/>
        <v>-84.07</v>
      </c>
      <c r="M65" s="2"/>
      <c r="N65" s="7">
        <f t="shared" si="43"/>
        <v>-0.23693703849839354</v>
      </c>
      <c r="O65" s="10"/>
      <c r="P65" s="6">
        <v>2799.3</v>
      </c>
      <c r="Q65" s="2"/>
      <c r="R65" s="7">
        <f t="shared" si="44"/>
        <v>0</v>
      </c>
      <c r="S65" s="2"/>
      <c r="T65" s="6">
        <v>2967.72</v>
      </c>
      <c r="U65" s="2"/>
      <c r="V65" s="7">
        <f t="shared" si="45"/>
        <v>0</v>
      </c>
      <c r="W65" s="2"/>
      <c r="X65" s="6">
        <f t="shared" si="46"/>
        <v>-168.41999999999962</v>
      </c>
      <c r="Y65" s="2"/>
      <c r="Z65" s="7">
        <f t="shared" si="47"/>
        <v>-5.6750636852533135E-2</v>
      </c>
    </row>
    <row r="66" spans="1:26" s="26" customFormat="1" outlineLevel="1" collapsed="1" x14ac:dyDescent="0.25">
      <c r="A66" s="27"/>
      <c r="B66" s="12" t="str">
        <f>CONCATENATE("     ","Training                                          ")</f>
        <v xml:space="preserve">     Training                                          </v>
      </c>
      <c r="C66" s="12"/>
      <c r="D66" s="1">
        <f>SUM(OSRRefD22_14x_0)</f>
        <v>0</v>
      </c>
      <c r="E66" s="1"/>
      <c r="F66" s="5">
        <f t="shared" si="40"/>
        <v>0</v>
      </c>
      <c r="G66" s="1"/>
      <c r="H66" s="1">
        <f>SUM(OSRRefH22_14x_0)</f>
        <v>1495</v>
      </c>
      <c r="I66" s="1"/>
      <c r="J66" s="5">
        <f t="shared" si="41"/>
        <v>0</v>
      </c>
      <c r="K66" s="1"/>
      <c r="L66" s="1">
        <f t="shared" si="42"/>
        <v>-1495</v>
      </c>
      <c r="M66" s="1"/>
      <c r="N66" s="5">
        <f t="shared" si="43"/>
        <v>-1</v>
      </c>
      <c r="O66" s="12"/>
      <c r="P66" s="1">
        <f>SUM(OSRRefP22_14x_0)</f>
        <v>-97</v>
      </c>
      <c r="Q66" s="1"/>
      <c r="R66" s="5">
        <f t="shared" si="44"/>
        <v>0</v>
      </c>
      <c r="S66" s="1"/>
      <c r="T66" s="1">
        <f>SUM(OSRRefT22_14x_0)</f>
        <v>10527.8</v>
      </c>
      <c r="U66" s="1"/>
      <c r="V66" s="5">
        <f t="shared" si="45"/>
        <v>0</v>
      </c>
      <c r="W66" s="1"/>
      <c r="X66" s="1">
        <f t="shared" si="46"/>
        <v>-10624.8</v>
      </c>
      <c r="Y66" s="1"/>
      <c r="Z66" s="5">
        <f t="shared" si="47"/>
        <v>-1.0092137008681776</v>
      </c>
    </row>
    <row r="67" spans="1:26" s="23" customFormat="1" hidden="1" outlineLevel="2" x14ac:dyDescent="0.25">
      <c r="A67" s="25"/>
      <c r="B67" s="10" t="str">
        <f>CONCATENATE("          ", "6376", " - ", "TRAINING")</f>
        <v xml:space="preserve">          6376 - TRAINING</v>
      </c>
      <c r="C67" s="10"/>
      <c r="D67" s="6"/>
      <c r="E67" s="2"/>
      <c r="F67" s="7">
        <f t="shared" si="40"/>
        <v>0</v>
      </c>
      <c r="G67" s="2"/>
      <c r="H67" s="6">
        <v>1495</v>
      </c>
      <c r="I67" s="2"/>
      <c r="J67" s="7">
        <f t="shared" si="41"/>
        <v>0</v>
      </c>
      <c r="K67" s="2"/>
      <c r="L67" s="6">
        <f t="shared" si="42"/>
        <v>-1495</v>
      </c>
      <c r="M67" s="2"/>
      <c r="N67" s="7">
        <f t="shared" si="43"/>
        <v>-1</v>
      </c>
      <c r="O67" s="10"/>
      <c r="P67" s="6">
        <v>-97</v>
      </c>
      <c r="Q67" s="2"/>
      <c r="R67" s="7">
        <f t="shared" si="44"/>
        <v>0</v>
      </c>
      <c r="S67" s="2"/>
      <c r="T67" s="6">
        <v>10527.8</v>
      </c>
      <c r="U67" s="2"/>
      <c r="V67" s="7">
        <f t="shared" si="45"/>
        <v>0</v>
      </c>
      <c r="W67" s="2"/>
      <c r="X67" s="6">
        <f t="shared" si="46"/>
        <v>-10624.8</v>
      </c>
      <c r="Y67" s="2"/>
      <c r="Z67" s="7">
        <f t="shared" si="47"/>
        <v>-1.0092137008681776</v>
      </c>
    </row>
    <row r="68" spans="1:26" s="26" customFormat="1" outlineLevel="1" collapsed="1" x14ac:dyDescent="0.25">
      <c r="A68" s="27"/>
      <c r="B68" s="12" t="str">
        <f>CONCATENATE("     ","Travel                                            ")</f>
        <v xml:space="preserve">     Travel                                            </v>
      </c>
      <c r="C68" s="12"/>
      <c r="D68" s="1">
        <f>SUM(OSRRefD22_15x_0)</f>
        <v>0</v>
      </c>
      <c r="E68" s="1"/>
      <c r="F68" s="5">
        <f t="shared" si="40"/>
        <v>0</v>
      </c>
      <c r="G68" s="1"/>
      <c r="H68" s="1">
        <f>SUM(OSRRefH22_15x_0)</f>
        <v>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2"/>
      <c r="P68" s="1">
        <f>SUM(OSRRefP22_15x_0)</f>
        <v>720</v>
      </c>
      <c r="Q68" s="1"/>
      <c r="R68" s="5">
        <f t="shared" si="44"/>
        <v>0</v>
      </c>
      <c r="S68" s="1"/>
      <c r="T68" s="1">
        <f>SUM(OSRRefT22_15x_0)</f>
        <v>3487.01</v>
      </c>
      <c r="U68" s="1"/>
      <c r="V68" s="5">
        <f t="shared" si="45"/>
        <v>0</v>
      </c>
      <c r="W68" s="1"/>
      <c r="X68" s="1">
        <f t="shared" si="46"/>
        <v>-2767.01</v>
      </c>
      <c r="Y68" s="1"/>
      <c r="Z68" s="5">
        <f t="shared" si="47"/>
        <v>-0.79351937619909318</v>
      </c>
    </row>
    <row r="69" spans="1:26" s="23" customFormat="1" hidden="1" outlineLevel="2" x14ac:dyDescent="0.25">
      <c r="A69" s="25"/>
      <c r="B69" s="10" t="str">
        <f>CONCATENATE("          ", "6292", " - ", "TRAVEL/CONFERENCE")</f>
        <v xml:space="preserve">          6292 - TRAVEL/CONFERENCE</v>
      </c>
      <c r="C69" s="10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0"/>
      <c r="P69" s="6">
        <v>720</v>
      </c>
      <c r="Q69" s="2"/>
      <c r="R69" s="7">
        <f t="shared" si="44"/>
        <v>0</v>
      </c>
      <c r="S69" s="2"/>
      <c r="T69" s="6">
        <v>3487.01</v>
      </c>
      <c r="U69" s="2"/>
      <c r="V69" s="7">
        <f t="shared" si="45"/>
        <v>0</v>
      </c>
      <c r="W69" s="2"/>
      <c r="X69" s="6">
        <f t="shared" si="46"/>
        <v>-2767.01</v>
      </c>
      <c r="Y69" s="2"/>
      <c r="Z69" s="7">
        <f t="shared" si="47"/>
        <v>-0.79351937619909318</v>
      </c>
    </row>
    <row r="70" spans="1:26" s="60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4" customFormat="1" x14ac:dyDescent="0.25">
      <c r="A71" s="11"/>
      <c r="B71" s="28" t="s">
        <v>292</v>
      </c>
      <c r="C71" s="11"/>
      <c r="D71" s="4">
        <f>SUM(0)</f>
        <v>0</v>
      </c>
      <c r="E71" s="4"/>
      <c r="F71" s="13">
        <f>IF(D$12=0,0,D71/D$12)</f>
        <v>0</v>
      </c>
      <c r="G71" s="4"/>
      <c r="H71" s="4">
        <f>SUM(0)</f>
        <v>0</v>
      </c>
      <c r="I71" s="4"/>
      <c r="J71" s="13">
        <f>IF(H$12=0,0,H71/H$12)</f>
        <v>0</v>
      </c>
      <c r="K71" s="4"/>
      <c r="L71" s="4">
        <f>+D71-H71</f>
        <v>0</v>
      </c>
      <c r="M71" s="4"/>
      <c r="N71" s="13">
        <f>IF(H71=0,0,L71/H71)</f>
        <v>0</v>
      </c>
      <c r="O71" s="11"/>
      <c r="P71" s="4">
        <f>SUM(0)</f>
        <v>0</v>
      </c>
      <c r="Q71" s="4"/>
      <c r="R71" s="13">
        <f>IF(P$12=0,0,P71/P$12)</f>
        <v>0</v>
      </c>
      <c r="S71" s="4"/>
      <c r="T71" s="4">
        <f>SUM(0)</f>
        <v>0</v>
      </c>
      <c r="U71" s="4"/>
      <c r="V71" s="13">
        <f>IF(T$12=0,0,T71/T$12)</f>
        <v>0</v>
      </c>
      <c r="W71" s="4"/>
      <c r="X71" s="4">
        <f>+P71-T71</f>
        <v>0</v>
      </c>
      <c r="Y71" s="4"/>
      <c r="Z71" s="13">
        <f>IF(T71=0,0,X71/T71)</f>
        <v>0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11"/>
      <c r="B73" s="29" t="s">
        <v>276</v>
      </c>
      <c r="C73" s="29"/>
      <c r="D73" s="22">
        <f>+D16-D18+D71</f>
        <v>-39480.030000000006</v>
      </c>
      <c r="E73" s="14"/>
      <c r="F73" s="20">
        <f>IF(D$12=0,0,D73/D$12)</f>
        <v>0</v>
      </c>
      <c r="G73" s="14"/>
      <c r="H73" s="22">
        <f>+H16-H18+H71</f>
        <v>-101936.90000000001</v>
      </c>
      <c r="I73" s="14"/>
      <c r="J73" s="20">
        <f>IF(H$12=0,0,H73/H$12)</f>
        <v>0</v>
      </c>
      <c r="K73" s="15"/>
      <c r="L73" s="22">
        <f>+D73-H73</f>
        <v>62456.87</v>
      </c>
      <c r="M73" s="15"/>
      <c r="N73" s="20">
        <f>IF(H73=0,0,L73/H73)</f>
        <v>-0.61270128873842544</v>
      </c>
      <c r="O73" s="28"/>
      <c r="P73" s="22">
        <f>+P16-P18+P71</f>
        <v>-406545.27</v>
      </c>
      <c r="Q73" s="14"/>
      <c r="R73" s="20">
        <f>IF(P$12=0,0,P73/P$12)</f>
        <v>0</v>
      </c>
      <c r="S73" s="14"/>
      <c r="T73" s="22">
        <f>+T16-T18+T71</f>
        <v>-645933.95000000007</v>
      </c>
      <c r="U73" s="14"/>
      <c r="V73" s="20">
        <f>IF(T$12=0,0,T73/T$12)</f>
        <v>0</v>
      </c>
      <c r="W73" s="15"/>
      <c r="X73" s="22">
        <f>+P73-T73</f>
        <v>239388.68000000005</v>
      </c>
      <c r="Y73" s="15"/>
      <c r="Z73" s="20">
        <f>IF(T73=0,0,X73/T73)</f>
        <v>-0.3706086047962025</v>
      </c>
    </row>
    <row r="74" spans="1:26" x14ac:dyDescent="0.25">
      <c r="A74" s="9"/>
      <c r="B74" s="11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x14ac:dyDescent="0.25">
      <c r="A75" s="51"/>
      <c r="B75" s="11" t="s">
        <v>127</v>
      </c>
      <c r="C75" s="11"/>
      <c r="D75" s="4"/>
      <c r="E75" s="4"/>
      <c r="F75" s="13">
        <f>IF(D$12=0,0,D75/D$12)</f>
        <v>0</v>
      </c>
      <c r="G75" s="4"/>
      <c r="H75" s="4"/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1"/>
      <c r="P75" s="4"/>
      <c r="Q75" s="4"/>
      <c r="R75" s="13">
        <f>IF(P$12=0,0,P75/P$12)</f>
        <v>0</v>
      </c>
      <c r="S75" s="4"/>
      <c r="T75" s="4"/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25">
      <c r="A76" s="9"/>
      <c r="B76" s="11"/>
      <c r="C76" s="11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1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ht="15.75" thickBot="1" x14ac:dyDescent="0.3">
      <c r="A77" s="11"/>
      <c r="B77" s="29" t="s">
        <v>125</v>
      </c>
      <c r="C77" s="29"/>
      <c r="D77" s="30">
        <f>+D73-D75</f>
        <v>-39480.030000000006</v>
      </c>
      <c r="E77" s="14"/>
      <c r="F77" s="36">
        <f>IF(D$12=0,0,D77/D$12)</f>
        <v>0</v>
      </c>
      <c r="G77" s="14"/>
      <c r="H77" s="30">
        <f>+H73-H75</f>
        <v>-101936.90000000001</v>
      </c>
      <c r="I77" s="14"/>
      <c r="J77" s="36">
        <f>IF(H$12=0,0,H77/H$12)</f>
        <v>0</v>
      </c>
      <c r="K77" s="15"/>
      <c r="L77" s="30">
        <f>D77-H77</f>
        <v>62456.87</v>
      </c>
      <c r="M77" s="15"/>
      <c r="N77" s="36">
        <f>IF(H77=0,0,L77/H77)</f>
        <v>-0.61270128873842544</v>
      </c>
      <c r="O77" s="28"/>
      <c r="P77" s="30">
        <f>+P73-P75</f>
        <v>-406545.27</v>
      </c>
      <c r="Q77" s="14"/>
      <c r="R77" s="36">
        <f>IF(P$12=0,0,P77/P$12)</f>
        <v>0</v>
      </c>
      <c r="S77" s="14"/>
      <c r="T77" s="30">
        <f>+T73-T75</f>
        <v>-645933.95000000007</v>
      </c>
      <c r="U77" s="14"/>
      <c r="V77" s="36">
        <f>IF(T$12=0,0,T77/T$12)</f>
        <v>0</v>
      </c>
      <c r="W77" s="15"/>
      <c r="X77" s="30">
        <f>P77-T77</f>
        <v>239388.68000000005</v>
      </c>
      <c r="Y77" s="15"/>
      <c r="Z77" s="36">
        <f>IF(T77=0,0,X77/T77)</f>
        <v>-0.3706086047962025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ht="15.75" thickBot="1" x14ac:dyDescent="0.3">
      <c r="A80" s="11"/>
      <c r="B80" s="29" t="s">
        <v>293</v>
      </c>
      <c r="C80" s="29"/>
      <c r="D80" s="35">
        <f>SUM(D77:D79)</f>
        <v>-39480.030000000006</v>
      </c>
      <c r="E80" s="14"/>
      <c r="F80" s="34">
        <f>IF(D$12=0,0,D80/D$12)</f>
        <v>0</v>
      </c>
      <c r="G80" s="14"/>
      <c r="H80" s="35">
        <f>SUM(H77:H79)</f>
        <v>-101936.90000000001</v>
      </c>
      <c r="I80" s="14"/>
      <c r="J80" s="34">
        <f>IF(H$12=0,0,H80/H$12)</f>
        <v>0</v>
      </c>
      <c r="K80" s="15"/>
      <c r="L80" s="35">
        <f>+D80-H80</f>
        <v>62456.87</v>
      </c>
      <c r="M80" s="15"/>
      <c r="N80" s="34">
        <f>IF(H80=0,0,L80/H80)</f>
        <v>-0.61270128873842544</v>
      </c>
      <c r="O80" s="28"/>
      <c r="P80" s="35">
        <f>SUM(P77:P79)</f>
        <v>-406545.27</v>
      </c>
      <c r="Q80" s="14"/>
      <c r="R80" s="34">
        <f>IF(P$12=0,0,P80/P$12)</f>
        <v>0</v>
      </c>
      <c r="S80" s="14"/>
      <c r="T80" s="35">
        <f>SUM(T77:T79)</f>
        <v>-645933.95000000007</v>
      </c>
      <c r="U80" s="14"/>
      <c r="V80" s="34">
        <f>IF(T$12=0,0,T80/T$12)</f>
        <v>0</v>
      </c>
      <c r="W80" s="15"/>
      <c r="X80" s="35">
        <f>+P80-T80</f>
        <v>239388.68000000005</v>
      </c>
      <c r="Y80" s="15"/>
      <c r="Z80" s="34">
        <f>IF(T80=0,0,X80/T80)</f>
        <v>-0.3706086047962025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>
        <v>44295.963243634258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8" t="s">
        <v>56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62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","204", " - ", "Information Technology")</f>
        <v>Department 204 - Information Technology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50075.959999999992</v>
      </c>
      <c r="E18" s="21"/>
      <c r="F18" s="31">
        <f t="shared" ref="F18:F29" si="0">IF(D$12=0,0,D18/D$12)</f>
        <v>0</v>
      </c>
      <c r="G18" s="21"/>
      <c r="H18" s="21">
        <f>SUM(OSRRefH22x_0)</f>
        <v>57380.739999999991</v>
      </c>
      <c r="I18" s="21"/>
      <c r="J18" s="31">
        <f t="shared" ref="J18:J29" si="1">IF(H$12=0,0,H18/H$12)</f>
        <v>0</v>
      </c>
      <c r="K18" s="4"/>
      <c r="L18" s="21">
        <f t="shared" ref="L18:L29" si="2">+D18-H18</f>
        <v>-7304.7799999999988</v>
      </c>
      <c r="M18" s="4"/>
      <c r="N18" s="31">
        <f t="shared" ref="N18:N29" si="3">IF(H18=0,0,L18/H18)</f>
        <v>-0.12730369109913883</v>
      </c>
      <c r="O18" s="11"/>
      <c r="P18" s="21">
        <f>SUM(OSRRefP22x_0)</f>
        <v>456160.60000000003</v>
      </c>
      <c r="Q18" s="21"/>
      <c r="R18" s="31">
        <f t="shared" ref="R18:R29" si="4">IF(P$12=0,0,P18/P$12)</f>
        <v>0</v>
      </c>
      <c r="S18" s="21"/>
      <c r="T18" s="21">
        <f>SUM(OSRRefT22x_0)</f>
        <v>538942.51000000013</v>
      </c>
      <c r="U18" s="21"/>
      <c r="V18" s="31">
        <f t="shared" ref="V18:V29" si="5">IF(T$12=0,0,T18/T$12)</f>
        <v>0</v>
      </c>
      <c r="W18" s="4"/>
      <c r="X18" s="21">
        <f t="shared" ref="X18:X29" si="6">+P18-T18</f>
        <v>-82781.910000000091</v>
      </c>
      <c r="Y18" s="4"/>
      <c r="Z18" s="31">
        <f t="shared" ref="Z18:Z29" si="7">IF(T18=0,0,X18/T18)</f>
        <v>-0.15360063172600741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10511.94</v>
      </c>
      <c r="E19" s="1"/>
      <c r="F19" s="5">
        <f t="shared" si="0"/>
        <v>0</v>
      </c>
      <c r="G19" s="1"/>
      <c r="H19" s="1">
        <f>SUM(OSRRefH22_0x_0)</f>
        <v>12113.939999999999</v>
      </c>
      <c r="I19" s="1"/>
      <c r="J19" s="5">
        <f t="shared" si="1"/>
        <v>0</v>
      </c>
      <c r="K19" s="1"/>
      <c r="L19" s="1">
        <f t="shared" si="2"/>
        <v>-1601.9999999999982</v>
      </c>
      <c r="M19" s="1"/>
      <c r="N19" s="5">
        <f t="shared" si="3"/>
        <v>-0.13224433999177793</v>
      </c>
      <c r="O19" s="12"/>
      <c r="P19" s="1">
        <f>SUM(OSRRefP22_0x_0)</f>
        <v>109028.22</v>
      </c>
      <c r="Q19" s="1"/>
      <c r="R19" s="5">
        <f t="shared" si="4"/>
        <v>0</v>
      </c>
      <c r="S19" s="1"/>
      <c r="T19" s="1">
        <f>SUM(OSRRefT22_0x_0)</f>
        <v>116042.74</v>
      </c>
      <c r="U19" s="1"/>
      <c r="V19" s="5">
        <f t="shared" si="5"/>
        <v>0</v>
      </c>
      <c r="W19" s="1"/>
      <c r="X19" s="1">
        <f t="shared" si="6"/>
        <v>-7014.5200000000041</v>
      </c>
      <c r="Y19" s="1"/>
      <c r="Z19" s="5">
        <f t="shared" si="7"/>
        <v>-6.0447728138787515E-2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1417.14</v>
      </c>
      <c r="E20" s="2"/>
      <c r="F20" s="7">
        <f t="shared" si="0"/>
        <v>0</v>
      </c>
      <c r="G20" s="2"/>
      <c r="H20" s="6">
        <v>1967.67</v>
      </c>
      <c r="I20" s="2"/>
      <c r="J20" s="7">
        <f t="shared" si="1"/>
        <v>0</v>
      </c>
      <c r="K20" s="2"/>
      <c r="L20" s="6">
        <f t="shared" si="2"/>
        <v>-550.53</v>
      </c>
      <c r="M20" s="2"/>
      <c r="N20" s="7">
        <f t="shared" si="3"/>
        <v>-0.27978776929058224</v>
      </c>
      <c r="O20" s="10"/>
      <c r="P20" s="6">
        <v>15541.99</v>
      </c>
      <c r="Q20" s="2"/>
      <c r="R20" s="7">
        <f t="shared" si="4"/>
        <v>0</v>
      </c>
      <c r="S20" s="2"/>
      <c r="T20" s="6">
        <v>18922.009999999998</v>
      </c>
      <c r="U20" s="2"/>
      <c r="V20" s="7">
        <f t="shared" si="5"/>
        <v>0</v>
      </c>
      <c r="W20" s="2"/>
      <c r="X20" s="6">
        <f t="shared" si="6"/>
        <v>-3380.0199999999986</v>
      </c>
      <c r="Y20" s="2"/>
      <c r="Z20" s="7">
        <f t="shared" si="7"/>
        <v>-0.17862901457086214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61.13</v>
      </c>
      <c r="E21" s="2"/>
      <c r="F21" s="7">
        <f t="shared" si="0"/>
        <v>0</v>
      </c>
      <c r="G21" s="2"/>
      <c r="H21" s="6">
        <v>98.88</v>
      </c>
      <c r="I21" s="2"/>
      <c r="J21" s="7">
        <f t="shared" si="1"/>
        <v>0</v>
      </c>
      <c r="K21" s="2"/>
      <c r="L21" s="6">
        <f t="shared" si="2"/>
        <v>-37.749999999999993</v>
      </c>
      <c r="M21" s="2"/>
      <c r="N21" s="7">
        <f t="shared" si="3"/>
        <v>-0.38177588996763751</v>
      </c>
      <c r="O21" s="10"/>
      <c r="P21" s="6">
        <v>722.85</v>
      </c>
      <c r="Q21" s="2"/>
      <c r="R21" s="7">
        <f t="shared" si="4"/>
        <v>0</v>
      </c>
      <c r="S21" s="2"/>
      <c r="T21" s="6">
        <v>744.35</v>
      </c>
      <c r="U21" s="2"/>
      <c r="V21" s="7">
        <f t="shared" si="5"/>
        <v>0</v>
      </c>
      <c r="W21" s="2"/>
      <c r="X21" s="6">
        <f t="shared" si="6"/>
        <v>-21.5</v>
      </c>
      <c r="Y21" s="2"/>
      <c r="Z21" s="7">
        <f t="shared" si="7"/>
        <v>-2.8884261436152348E-2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4844.5200000000004</v>
      </c>
      <c r="E22" s="2"/>
      <c r="F22" s="7">
        <f t="shared" si="0"/>
        <v>0</v>
      </c>
      <c r="G22" s="2"/>
      <c r="H22" s="6">
        <v>5567.87</v>
      </c>
      <c r="I22" s="2"/>
      <c r="J22" s="7">
        <f t="shared" si="1"/>
        <v>0</v>
      </c>
      <c r="K22" s="2"/>
      <c r="L22" s="6">
        <f t="shared" si="2"/>
        <v>-723.34999999999945</v>
      </c>
      <c r="M22" s="2"/>
      <c r="N22" s="7">
        <f t="shared" si="3"/>
        <v>-0.12991503034373997</v>
      </c>
      <c r="O22" s="10"/>
      <c r="P22" s="6">
        <v>47913.94</v>
      </c>
      <c r="Q22" s="2"/>
      <c r="R22" s="7">
        <f t="shared" si="4"/>
        <v>0</v>
      </c>
      <c r="S22" s="2"/>
      <c r="T22" s="6">
        <v>47679.39</v>
      </c>
      <c r="U22" s="2"/>
      <c r="V22" s="7">
        <f t="shared" si="5"/>
        <v>0</v>
      </c>
      <c r="W22" s="2"/>
      <c r="X22" s="6">
        <f t="shared" si="6"/>
        <v>234.55000000000291</v>
      </c>
      <c r="Y22" s="2"/>
      <c r="Z22" s="7">
        <f t="shared" si="7"/>
        <v>4.9193162915885233E-3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48.16</v>
      </c>
      <c r="E23" s="2"/>
      <c r="F23" s="7">
        <f t="shared" si="0"/>
        <v>0</v>
      </c>
      <c r="G23" s="2"/>
      <c r="H23" s="6">
        <v>75.61</v>
      </c>
      <c r="I23" s="2"/>
      <c r="J23" s="7">
        <f t="shared" si="1"/>
        <v>0</v>
      </c>
      <c r="K23" s="2"/>
      <c r="L23" s="6">
        <f t="shared" si="2"/>
        <v>-27.450000000000003</v>
      </c>
      <c r="M23" s="2"/>
      <c r="N23" s="7">
        <f t="shared" si="3"/>
        <v>-0.36304721597672268</v>
      </c>
      <c r="O23" s="10"/>
      <c r="P23" s="6">
        <v>530.34</v>
      </c>
      <c r="Q23" s="2"/>
      <c r="R23" s="7">
        <f t="shared" si="4"/>
        <v>0</v>
      </c>
      <c r="S23" s="2"/>
      <c r="T23" s="6">
        <v>695.09</v>
      </c>
      <c r="U23" s="2"/>
      <c r="V23" s="7">
        <f t="shared" si="5"/>
        <v>0</v>
      </c>
      <c r="W23" s="2"/>
      <c r="X23" s="6">
        <f t="shared" si="6"/>
        <v>-164.75</v>
      </c>
      <c r="Y23" s="2"/>
      <c r="Z23" s="7">
        <f t="shared" si="7"/>
        <v>-0.23701966651800485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1861.21</v>
      </c>
      <c r="E24" s="2"/>
      <c r="F24" s="7">
        <f t="shared" si="0"/>
        <v>0</v>
      </c>
      <c r="G24" s="2"/>
      <c r="H24" s="6">
        <v>1382.95</v>
      </c>
      <c r="I24" s="2"/>
      <c r="J24" s="7">
        <f t="shared" si="1"/>
        <v>0</v>
      </c>
      <c r="K24" s="2"/>
      <c r="L24" s="6">
        <f t="shared" si="2"/>
        <v>478.26</v>
      </c>
      <c r="M24" s="2"/>
      <c r="N24" s="7">
        <f t="shared" si="3"/>
        <v>0.34582595176976749</v>
      </c>
      <c r="O24" s="10"/>
      <c r="P24" s="6">
        <v>20067.32</v>
      </c>
      <c r="Q24" s="2"/>
      <c r="R24" s="7">
        <f t="shared" si="4"/>
        <v>0</v>
      </c>
      <c r="S24" s="2"/>
      <c r="T24" s="6">
        <v>14571.48</v>
      </c>
      <c r="U24" s="2"/>
      <c r="V24" s="7">
        <f t="shared" si="5"/>
        <v>0</v>
      </c>
      <c r="W24" s="2"/>
      <c r="X24" s="6">
        <f t="shared" si="6"/>
        <v>5495.84</v>
      </c>
      <c r="Y24" s="2"/>
      <c r="Z24" s="7">
        <f t="shared" si="7"/>
        <v>0.37716415902845835</v>
      </c>
    </row>
    <row r="25" spans="1:26" s="23" customFormat="1" hidden="1" outlineLevel="2" x14ac:dyDescent="0.25">
      <c r="A25" s="25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134</v>
      </c>
      <c r="U25" s="2"/>
      <c r="V25" s="7">
        <f t="shared" si="5"/>
        <v>0</v>
      </c>
      <c r="W25" s="2"/>
      <c r="X25" s="6">
        <f t="shared" si="6"/>
        <v>-134</v>
      </c>
      <c r="Y25" s="2"/>
      <c r="Z25" s="7">
        <f t="shared" si="7"/>
        <v>-1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/>
      <c r="E26" s="2"/>
      <c r="F26" s="7">
        <f t="shared" si="0"/>
        <v>0</v>
      </c>
      <c r="G26" s="2"/>
      <c r="H26" s="6">
        <v>226.39</v>
      </c>
      <c r="I26" s="2"/>
      <c r="J26" s="7">
        <f t="shared" si="1"/>
        <v>0</v>
      </c>
      <c r="K26" s="2"/>
      <c r="L26" s="6">
        <f t="shared" si="2"/>
        <v>-226.39</v>
      </c>
      <c r="M26" s="2"/>
      <c r="N26" s="7">
        <f t="shared" si="3"/>
        <v>-1</v>
      </c>
      <c r="O26" s="10"/>
      <c r="P26" s="6">
        <v>912.28</v>
      </c>
      <c r="Q26" s="2"/>
      <c r="R26" s="7">
        <f t="shared" si="4"/>
        <v>0</v>
      </c>
      <c r="S26" s="2"/>
      <c r="T26" s="6">
        <v>3550.76</v>
      </c>
      <c r="U26" s="2"/>
      <c r="V26" s="7">
        <f t="shared" si="5"/>
        <v>0</v>
      </c>
      <c r="W26" s="2"/>
      <c r="X26" s="6">
        <f t="shared" si="6"/>
        <v>-2638.4800000000005</v>
      </c>
      <c r="Y26" s="2"/>
      <c r="Z26" s="7">
        <f t="shared" si="7"/>
        <v>-0.74307472203133984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1345.28</v>
      </c>
      <c r="E27" s="2"/>
      <c r="F27" s="7">
        <f t="shared" si="0"/>
        <v>0</v>
      </c>
      <c r="G27" s="2"/>
      <c r="H27" s="6">
        <v>1455.62</v>
      </c>
      <c r="I27" s="2"/>
      <c r="J27" s="7">
        <f t="shared" si="1"/>
        <v>0</v>
      </c>
      <c r="K27" s="2"/>
      <c r="L27" s="6">
        <f t="shared" si="2"/>
        <v>-110.33999999999992</v>
      </c>
      <c r="M27" s="2"/>
      <c r="N27" s="7">
        <f t="shared" si="3"/>
        <v>-7.5802750717907097E-2</v>
      </c>
      <c r="O27" s="10"/>
      <c r="P27" s="6">
        <v>13071.74</v>
      </c>
      <c r="Q27" s="2"/>
      <c r="R27" s="7">
        <f t="shared" si="4"/>
        <v>0</v>
      </c>
      <c r="S27" s="2"/>
      <c r="T27" s="6">
        <v>14520.32</v>
      </c>
      <c r="U27" s="2"/>
      <c r="V27" s="7">
        <f t="shared" si="5"/>
        <v>0</v>
      </c>
      <c r="W27" s="2"/>
      <c r="X27" s="6">
        <f t="shared" si="6"/>
        <v>-1448.58</v>
      </c>
      <c r="Y27" s="2"/>
      <c r="Z27" s="7">
        <f t="shared" si="7"/>
        <v>-9.976226419252468E-2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844.06</v>
      </c>
      <c r="E28" s="2"/>
      <c r="F28" s="7">
        <f t="shared" si="0"/>
        <v>0</v>
      </c>
      <c r="G28" s="2"/>
      <c r="H28" s="6">
        <v>976.26</v>
      </c>
      <c r="I28" s="2"/>
      <c r="J28" s="7">
        <f t="shared" si="1"/>
        <v>0</v>
      </c>
      <c r="K28" s="2"/>
      <c r="L28" s="6">
        <f t="shared" si="2"/>
        <v>-132.20000000000005</v>
      </c>
      <c r="M28" s="2"/>
      <c r="N28" s="7">
        <f t="shared" si="3"/>
        <v>-0.13541474607174322</v>
      </c>
      <c r="O28" s="10"/>
      <c r="P28" s="6">
        <v>8793.4699999999993</v>
      </c>
      <c r="Q28" s="2"/>
      <c r="R28" s="7">
        <f t="shared" si="4"/>
        <v>0</v>
      </c>
      <c r="S28" s="2"/>
      <c r="T28" s="6">
        <v>9725.5400000000009</v>
      </c>
      <c r="U28" s="2"/>
      <c r="V28" s="7">
        <f t="shared" si="5"/>
        <v>0</v>
      </c>
      <c r="W28" s="2"/>
      <c r="X28" s="6">
        <f t="shared" si="6"/>
        <v>-932.07000000000153</v>
      </c>
      <c r="Y28" s="2"/>
      <c r="Z28" s="7">
        <f t="shared" si="7"/>
        <v>-9.5837351961947759E-2</v>
      </c>
    </row>
    <row r="29" spans="1:26" s="23" customFormat="1" hidden="1" outlineLevel="2" x14ac:dyDescent="0.25">
      <c r="A29" s="25"/>
      <c r="B29" s="10" t="str">
        <f>CONCATENATE("          ", "6156", " - ", "EMPLOYEE MEALS")</f>
        <v xml:space="preserve">          6156 - EMPLOYEE MEALS</v>
      </c>
      <c r="C29" s="10"/>
      <c r="D29" s="6">
        <v>90.44</v>
      </c>
      <c r="E29" s="2"/>
      <c r="F29" s="7">
        <f t="shared" si="0"/>
        <v>0</v>
      </c>
      <c r="G29" s="2"/>
      <c r="H29" s="6">
        <v>362.69</v>
      </c>
      <c r="I29" s="2"/>
      <c r="J29" s="7">
        <f t="shared" si="1"/>
        <v>0</v>
      </c>
      <c r="K29" s="2"/>
      <c r="L29" s="6">
        <f t="shared" si="2"/>
        <v>-272.25</v>
      </c>
      <c r="M29" s="2"/>
      <c r="N29" s="7">
        <f t="shared" si="3"/>
        <v>-0.75064104331522785</v>
      </c>
      <c r="O29" s="10"/>
      <c r="P29" s="6">
        <v>1474.29</v>
      </c>
      <c r="Q29" s="2"/>
      <c r="R29" s="7">
        <f t="shared" si="4"/>
        <v>0</v>
      </c>
      <c r="S29" s="2"/>
      <c r="T29" s="6">
        <v>5499.8</v>
      </c>
      <c r="U29" s="2"/>
      <c r="V29" s="7">
        <f t="shared" si="5"/>
        <v>0</v>
      </c>
      <c r="W29" s="2"/>
      <c r="X29" s="6">
        <f t="shared" si="6"/>
        <v>-4025.51</v>
      </c>
      <c r="Y29" s="2"/>
      <c r="Z29" s="7">
        <f t="shared" si="7"/>
        <v>-0.73193752500090914</v>
      </c>
    </row>
    <row r="30" spans="1:26" s="26" customFormat="1" outlineLevel="1" collapsed="1" x14ac:dyDescent="0.25">
      <c r="A30" s="27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17848.189999999999</v>
      </c>
      <c r="E30" s="1"/>
      <c r="F30" s="5">
        <f t="shared" ref="F30:F35" si="8">IF(D$12=0,0,D30/D$12)</f>
        <v>0</v>
      </c>
      <c r="G30" s="1"/>
      <c r="H30" s="1">
        <f>SUM(OSRRefH22_1x_0)</f>
        <v>25873.019999999997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-8024.8299999999981</v>
      </c>
      <c r="M30" s="1"/>
      <c r="N30" s="5">
        <f t="shared" ref="N30:N35" si="11">IF(H30=0,0,L30/H30)</f>
        <v>-0.31016209163058656</v>
      </c>
      <c r="O30" s="12"/>
      <c r="P30" s="1">
        <f>SUM(OSRRefP22_1x_0)</f>
        <v>181133.83</v>
      </c>
      <c r="Q30" s="1"/>
      <c r="R30" s="5">
        <f t="shared" ref="R30:R35" si="12">IF(P$12=0,0,P30/P$12)</f>
        <v>0</v>
      </c>
      <c r="S30" s="1"/>
      <c r="T30" s="1">
        <f>SUM(OSRRefT22_1x_0)</f>
        <v>237984.25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-56850.420000000013</v>
      </c>
      <c r="Y30" s="1"/>
      <c r="Z30" s="5">
        <f t="shared" ref="Z30:Z35" si="15">IF(T30=0,0,X30/T30)</f>
        <v>-0.23888311936609255</v>
      </c>
    </row>
    <row r="31" spans="1:26" s="23" customFormat="1" hidden="1" outlineLevel="2" x14ac:dyDescent="0.25">
      <c r="A31" s="25"/>
      <c r="B31" s="10" t="str">
        <f>CONCATENATE("          ", "6002", " - ", "STAFF SALARIES")</f>
        <v xml:space="preserve">          6002 - STAFF SALARIES</v>
      </c>
      <c r="C31" s="10"/>
      <c r="D31" s="6">
        <v>17848.189999999999</v>
      </c>
      <c r="E31" s="2"/>
      <c r="F31" s="7">
        <f t="shared" si="8"/>
        <v>0</v>
      </c>
      <c r="G31" s="2"/>
      <c r="H31" s="6">
        <v>12556.83</v>
      </c>
      <c r="I31" s="2"/>
      <c r="J31" s="7">
        <f t="shared" si="9"/>
        <v>0</v>
      </c>
      <c r="K31" s="2"/>
      <c r="L31" s="6">
        <f t="shared" si="10"/>
        <v>5291.3599999999988</v>
      </c>
      <c r="M31" s="2"/>
      <c r="N31" s="7">
        <f t="shared" si="11"/>
        <v>0.42139297896045408</v>
      </c>
      <c r="O31" s="10"/>
      <c r="P31" s="6">
        <v>166920.59</v>
      </c>
      <c r="Q31" s="2"/>
      <c r="R31" s="7">
        <f t="shared" si="12"/>
        <v>0</v>
      </c>
      <c r="S31" s="2"/>
      <c r="T31" s="6">
        <v>112003.91</v>
      </c>
      <c r="U31" s="2"/>
      <c r="V31" s="7">
        <f t="shared" si="13"/>
        <v>0</v>
      </c>
      <c r="W31" s="2"/>
      <c r="X31" s="6">
        <f t="shared" si="14"/>
        <v>54916.679999999993</v>
      </c>
      <c r="Y31" s="2"/>
      <c r="Z31" s="7">
        <f t="shared" si="15"/>
        <v>0.49031038291431067</v>
      </c>
    </row>
    <row r="32" spans="1:26" s="23" customFormat="1" hidden="1" outlineLevel="2" x14ac:dyDescent="0.25">
      <c r="A32" s="25"/>
      <c r="B32" s="10" t="str">
        <f>CONCATENATE("          ", "6004", " - ", "STAFF HOURLY")</f>
        <v xml:space="preserve">          6004 - STAFF HOURLY</v>
      </c>
      <c r="C32" s="10"/>
      <c r="D32" s="6"/>
      <c r="E32" s="2"/>
      <c r="F32" s="7">
        <f t="shared" si="8"/>
        <v>0</v>
      </c>
      <c r="G32" s="2"/>
      <c r="H32" s="6">
        <v>8822.16</v>
      </c>
      <c r="I32" s="2"/>
      <c r="J32" s="7">
        <f t="shared" si="9"/>
        <v>0</v>
      </c>
      <c r="K32" s="2"/>
      <c r="L32" s="6">
        <f t="shared" si="10"/>
        <v>-8822.16</v>
      </c>
      <c r="M32" s="2"/>
      <c r="N32" s="7">
        <f t="shared" si="11"/>
        <v>-1</v>
      </c>
      <c r="O32" s="10"/>
      <c r="P32" s="6">
        <v>14213.24</v>
      </c>
      <c r="Q32" s="2"/>
      <c r="R32" s="7">
        <f t="shared" si="12"/>
        <v>0</v>
      </c>
      <c r="S32" s="2"/>
      <c r="T32" s="6">
        <v>73080.600000000006</v>
      </c>
      <c r="U32" s="2"/>
      <c r="V32" s="7">
        <f t="shared" si="13"/>
        <v>0</v>
      </c>
      <c r="W32" s="2"/>
      <c r="X32" s="6">
        <f t="shared" si="14"/>
        <v>-58867.360000000008</v>
      </c>
      <c r="Y32" s="2"/>
      <c r="Z32" s="7">
        <f t="shared" si="15"/>
        <v>-0.80551281735508473</v>
      </c>
    </row>
    <row r="33" spans="1:26" s="23" customFormat="1" hidden="1" outlineLevel="2" x14ac:dyDescent="0.25">
      <c r="A33" s="25"/>
      <c r="B33" s="10" t="str">
        <f>CONCATENATE("          ", "6005", " - ", "TEMPORARY WAGES-HOURLY")</f>
        <v xml:space="preserve">          6005 - TEMPORARY WAGES-HOURLY</v>
      </c>
      <c r="C33" s="10"/>
      <c r="D33" s="6"/>
      <c r="E33" s="2"/>
      <c r="F33" s="7">
        <f t="shared" si="8"/>
        <v>0</v>
      </c>
      <c r="G33" s="2"/>
      <c r="H33" s="6">
        <v>3210.35</v>
      </c>
      <c r="I33" s="2"/>
      <c r="J33" s="7">
        <f t="shared" si="9"/>
        <v>0</v>
      </c>
      <c r="K33" s="2"/>
      <c r="L33" s="6">
        <f t="shared" si="10"/>
        <v>-3210.35</v>
      </c>
      <c r="M33" s="2"/>
      <c r="N33" s="7">
        <f t="shared" si="11"/>
        <v>-1</v>
      </c>
      <c r="O33" s="10"/>
      <c r="P33" s="6"/>
      <c r="Q33" s="2"/>
      <c r="R33" s="7">
        <f t="shared" si="12"/>
        <v>0</v>
      </c>
      <c r="S33" s="2"/>
      <c r="T33" s="6">
        <v>23545.86</v>
      </c>
      <c r="U33" s="2"/>
      <c r="V33" s="7">
        <f t="shared" si="13"/>
        <v>0</v>
      </c>
      <c r="W33" s="2"/>
      <c r="X33" s="6">
        <f t="shared" si="14"/>
        <v>-23545.86</v>
      </c>
      <c r="Y33" s="2"/>
      <c r="Z33" s="7">
        <f t="shared" si="15"/>
        <v>-1</v>
      </c>
    </row>
    <row r="34" spans="1:26" s="23" customFormat="1" hidden="1" outlineLevel="2" x14ac:dyDescent="0.25">
      <c r="A34" s="25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8"/>
        <v>0</v>
      </c>
      <c r="G34" s="2"/>
      <c r="H34" s="6">
        <v>1283.68</v>
      </c>
      <c r="I34" s="2"/>
      <c r="J34" s="7">
        <f t="shared" si="9"/>
        <v>0</v>
      </c>
      <c r="K34" s="2"/>
      <c r="L34" s="6">
        <f t="shared" si="10"/>
        <v>-1283.68</v>
      </c>
      <c r="M34" s="2"/>
      <c r="N34" s="7">
        <f t="shared" si="11"/>
        <v>-1</v>
      </c>
      <c r="O34" s="10"/>
      <c r="P34" s="6">
        <v>0</v>
      </c>
      <c r="Q34" s="2"/>
      <c r="R34" s="7">
        <f t="shared" si="12"/>
        <v>0</v>
      </c>
      <c r="S34" s="2"/>
      <c r="T34" s="6">
        <v>26833.88</v>
      </c>
      <c r="U34" s="2"/>
      <c r="V34" s="7">
        <f t="shared" si="13"/>
        <v>0</v>
      </c>
      <c r="W34" s="2"/>
      <c r="X34" s="6">
        <f t="shared" si="14"/>
        <v>-26833.88</v>
      </c>
      <c r="Y34" s="2"/>
      <c r="Z34" s="7">
        <f t="shared" si="15"/>
        <v>-1</v>
      </c>
    </row>
    <row r="35" spans="1:26" s="23" customFormat="1" hidden="1" outlineLevel="2" x14ac:dyDescent="0.25">
      <c r="A35" s="25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2520</v>
      </c>
      <c r="U35" s="2"/>
      <c r="V35" s="7">
        <f t="shared" si="13"/>
        <v>0</v>
      </c>
      <c r="W35" s="2"/>
      <c r="X35" s="6">
        <f t="shared" si="14"/>
        <v>-2520</v>
      </c>
      <c r="Y35" s="2"/>
      <c r="Z35" s="7">
        <f t="shared" si="15"/>
        <v>-1</v>
      </c>
    </row>
    <row r="36" spans="1:26" s="26" customFormat="1" outlineLevel="1" collapsed="1" x14ac:dyDescent="0.25">
      <c r="A36" s="27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7" si="16">IF(D$12=0,0,D36/D$12)</f>
        <v>0</v>
      </c>
      <c r="G36" s="1"/>
      <c r="H36" s="1">
        <f>SUM(OSRRefH22_2x_0)</f>
        <v>0</v>
      </c>
      <c r="I36" s="1"/>
      <c r="J36" s="5">
        <f t="shared" ref="J36:J47" si="17">IF(H$12=0,0,H36/H$12)</f>
        <v>0</v>
      </c>
      <c r="K36" s="1"/>
      <c r="L36" s="1">
        <f t="shared" ref="L36:L47" si="18">+D36-H36</f>
        <v>0</v>
      </c>
      <c r="M36" s="1"/>
      <c r="N36" s="5">
        <f t="shared" ref="N36:N47" si="19">IF(H36=0,0,L36/H36)</f>
        <v>0</v>
      </c>
      <c r="O36" s="12"/>
      <c r="P36" s="1">
        <f>SUM(OSRRefP22_2x_0)</f>
        <v>0</v>
      </c>
      <c r="Q36" s="1"/>
      <c r="R36" s="5">
        <f t="shared" ref="R36:R47" si="20">IF(P$12=0,0,P36/P$12)</f>
        <v>0</v>
      </c>
      <c r="S36" s="1"/>
      <c r="T36" s="1">
        <f>SUM(OSRRefT22_2x_0)</f>
        <v>9.99</v>
      </c>
      <c r="U36" s="1"/>
      <c r="V36" s="5">
        <f t="shared" ref="V36:V47" si="21">IF(T$12=0,0,T36/T$12)</f>
        <v>0</v>
      </c>
      <c r="W36" s="1"/>
      <c r="X36" s="1">
        <f t="shared" ref="X36:X47" si="22">+P36-T36</f>
        <v>-9.99</v>
      </c>
      <c r="Y36" s="1"/>
      <c r="Z36" s="5">
        <f t="shared" ref="Z36:Z47" si="23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9.99</v>
      </c>
      <c r="U37" s="2"/>
      <c r="V37" s="7">
        <f t="shared" si="21"/>
        <v>0</v>
      </c>
      <c r="W37" s="2"/>
      <c r="X37" s="6">
        <f t="shared" si="22"/>
        <v>-9.99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SUM(OSRRefD22_3x_0)</f>
        <v>4994.03</v>
      </c>
      <c r="E38" s="1"/>
      <c r="F38" s="5">
        <f t="shared" si="16"/>
        <v>0</v>
      </c>
      <c r="G38" s="1"/>
      <c r="H38" s="1">
        <f>SUM(OSRRefH22_3x_0)</f>
        <v>6175.94</v>
      </c>
      <c r="I38" s="1"/>
      <c r="J38" s="5">
        <f t="shared" si="17"/>
        <v>0</v>
      </c>
      <c r="K38" s="1"/>
      <c r="L38" s="1">
        <f t="shared" si="18"/>
        <v>-1181.9099999999999</v>
      </c>
      <c r="M38" s="1"/>
      <c r="N38" s="5">
        <f t="shared" si="19"/>
        <v>-0.19137329702037259</v>
      </c>
      <c r="O38" s="12"/>
      <c r="P38" s="1">
        <f>SUM(OSRRefP22_3x_0)</f>
        <v>46516.79</v>
      </c>
      <c r="Q38" s="1"/>
      <c r="R38" s="5">
        <f t="shared" si="20"/>
        <v>0</v>
      </c>
      <c r="S38" s="1"/>
      <c r="T38" s="1">
        <f>SUM(OSRRefT22_3x_0)</f>
        <v>55583.7</v>
      </c>
      <c r="U38" s="1"/>
      <c r="V38" s="5">
        <f t="shared" si="21"/>
        <v>0</v>
      </c>
      <c r="W38" s="1"/>
      <c r="X38" s="1">
        <f t="shared" si="22"/>
        <v>-9066.9099999999962</v>
      </c>
      <c r="Y38" s="1"/>
      <c r="Z38" s="5">
        <f t="shared" si="23"/>
        <v>-0.16312174252523665</v>
      </c>
    </row>
    <row r="39" spans="1:26" s="23" customFormat="1" hidden="1" outlineLevel="2" x14ac:dyDescent="0.25">
      <c r="A39" s="25"/>
      <c r="B39" s="10" t="str">
        <f>CONCATENATE("          ", "6322", " - ", "EQUIPMENT DEPRECIATION EXPENSE")</f>
        <v xml:space="preserve">          6322 - EQUIPMENT DEPRECIATION EXPENSE</v>
      </c>
      <c r="C39" s="10"/>
      <c r="D39" s="6">
        <v>4994.03</v>
      </c>
      <c r="E39" s="2"/>
      <c r="F39" s="7">
        <f t="shared" si="16"/>
        <v>0</v>
      </c>
      <c r="G39" s="2"/>
      <c r="H39" s="6">
        <v>6175.94</v>
      </c>
      <c r="I39" s="2"/>
      <c r="J39" s="7">
        <f t="shared" si="17"/>
        <v>0</v>
      </c>
      <c r="K39" s="2"/>
      <c r="L39" s="6">
        <f t="shared" si="18"/>
        <v>-1181.9099999999999</v>
      </c>
      <c r="M39" s="2"/>
      <c r="N39" s="7">
        <f t="shared" si="19"/>
        <v>-0.19137329702037259</v>
      </c>
      <c r="O39" s="10"/>
      <c r="P39" s="6">
        <v>46516.79</v>
      </c>
      <c r="Q39" s="2"/>
      <c r="R39" s="7">
        <f t="shared" si="20"/>
        <v>0</v>
      </c>
      <c r="S39" s="2"/>
      <c r="T39" s="6">
        <v>55583.7</v>
      </c>
      <c r="U39" s="2"/>
      <c r="V39" s="7">
        <f t="shared" si="21"/>
        <v>0</v>
      </c>
      <c r="W39" s="2"/>
      <c r="X39" s="6">
        <f t="shared" si="22"/>
        <v>-9066.9099999999962</v>
      </c>
      <c r="Y39" s="2"/>
      <c r="Z39" s="7">
        <f t="shared" si="23"/>
        <v>-0.16312174252523665</v>
      </c>
    </row>
    <row r="40" spans="1:26" s="26" customFormat="1" outlineLevel="1" collapsed="1" x14ac:dyDescent="0.25">
      <c r="A40" s="27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SUM(OSRRefP22_4x_0)</f>
        <v>5.7</v>
      </c>
      <c r="Q40" s="1"/>
      <c r="R40" s="5">
        <f t="shared" si="20"/>
        <v>0</v>
      </c>
      <c r="S40" s="1"/>
      <c r="T40" s="1">
        <f>SUM(OSRRefT22_4x_0)</f>
        <v>0</v>
      </c>
      <c r="U40" s="1"/>
      <c r="V40" s="5">
        <f t="shared" si="21"/>
        <v>0</v>
      </c>
      <c r="W40" s="1"/>
      <c r="X40" s="1">
        <f t="shared" si="22"/>
        <v>5.7</v>
      </c>
      <c r="Y40" s="1"/>
      <c r="Z40" s="5">
        <f t="shared" si="23"/>
        <v>0</v>
      </c>
    </row>
    <row r="41" spans="1:26" s="23" customFormat="1" hidden="1" outlineLevel="2" x14ac:dyDescent="0.25">
      <c r="A41" s="25"/>
      <c r="B41" s="10" t="str">
        <f>CONCATENATE("          ", "6307", " - ", "POSTAGE")</f>
        <v xml:space="preserve">          6307 - POSTAGE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5.7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5.7</v>
      </c>
      <c r="Y41" s="2"/>
      <c r="Z41" s="7">
        <f t="shared" si="23"/>
        <v>0</v>
      </c>
    </row>
    <row r="42" spans="1:26" s="26" customFormat="1" outlineLevel="1" collapsed="1" x14ac:dyDescent="0.25">
      <c r="A42" s="27"/>
      <c r="B42" s="12" t="str">
        <f>CONCATENATE("     ","Insurance                                         ")</f>
        <v xml:space="preserve">     Insurance                                         </v>
      </c>
      <c r="C42" s="12"/>
      <c r="D42" s="1">
        <f>SUM(OSRRefD22_5x_0)</f>
        <v>56.34</v>
      </c>
      <c r="E42" s="1"/>
      <c r="F42" s="5">
        <f t="shared" si="16"/>
        <v>0</v>
      </c>
      <c r="G42" s="1"/>
      <c r="H42" s="1">
        <f>SUM(OSRRefH22_5x_0)</f>
        <v>56.34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507.06</v>
      </c>
      <c r="Q42" s="1"/>
      <c r="R42" s="5">
        <f t="shared" si="20"/>
        <v>0</v>
      </c>
      <c r="S42" s="1"/>
      <c r="T42" s="1">
        <f>SUM(OSRRefT22_5x_0)</f>
        <v>507.06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3" customFormat="1" hidden="1" outlineLevel="2" x14ac:dyDescent="0.25">
      <c r="A43" s="25"/>
      <c r="B43" s="10" t="str">
        <f>CONCATENATE("          ", "6314", " - ", "LIABILITY INSURANCE")</f>
        <v xml:space="preserve">          6314 - LIABILITY INSURANCE</v>
      </c>
      <c r="C43" s="10"/>
      <c r="D43" s="6">
        <v>56.34</v>
      </c>
      <c r="E43" s="2"/>
      <c r="F43" s="7">
        <f t="shared" si="16"/>
        <v>0</v>
      </c>
      <c r="G43" s="2"/>
      <c r="H43" s="6">
        <v>56.34</v>
      </c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>
        <v>507.06</v>
      </c>
      <c r="Q43" s="2"/>
      <c r="R43" s="7">
        <f t="shared" si="20"/>
        <v>0</v>
      </c>
      <c r="S43" s="2"/>
      <c r="T43" s="6">
        <v>507.06</v>
      </c>
      <c r="U43" s="2"/>
      <c r="V43" s="7">
        <f t="shared" si="21"/>
        <v>0</v>
      </c>
      <c r="W43" s="2"/>
      <c r="X43" s="6">
        <f t="shared" si="22"/>
        <v>0</v>
      </c>
      <c r="Y43" s="2"/>
      <c r="Z43" s="7">
        <f t="shared" si="23"/>
        <v>0</v>
      </c>
    </row>
    <row r="44" spans="1:26" s="26" customFormat="1" outlineLevel="1" collapsed="1" x14ac:dyDescent="0.25">
      <c r="A44" s="27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SUM(OSRRefD22_6x_0)</f>
        <v>15209.5</v>
      </c>
      <c r="E44" s="1"/>
      <c r="F44" s="5">
        <f t="shared" si="16"/>
        <v>0</v>
      </c>
      <c r="G44" s="1"/>
      <c r="H44" s="1">
        <f>SUM(OSRRefH22_6x_0)</f>
        <v>9648.35</v>
      </c>
      <c r="I44" s="1"/>
      <c r="J44" s="5">
        <f t="shared" si="17"/>
        <v>0</v>
      </c>
      <c r="K44" s="1"/>
      <c r="L44" s="1">
        <f t="shared" si="18"/>
        <v>5561.15</v>
      </c>
      <c r="M44" s="1"/>
      <c r="N44" s="5">
        <f t="shared" si="19"/>
        <v>0.57638352671700332</v>
      </c>
      <c r="O44" s="12"/>
      <c r="P44" s="1">
        <f>SUM(OSRRefP22_6x_0)</f>
        <v>113360.48</v>
      </c>
      <c r="Q44" s="1"/>
      <c r="R44" s="5">
        <f t="shared" si="20"/>
        <v>0</v>
      </c>
      <c r="S44" s="1"/>
      <c r="T44" s="1">
        <f>SUM(OSRRefT22_6x_0)</f>
        <v>86563.77</v>
      </c>
      <c r="U44" s="1"/>
      <c r="V44" s="5">
        <f t="shared" si="21"/>
        <v>0</v>
      </c>
      <c r="W44" s="1"/>
      <c r="X44" s="1">
        <f t="shared" si="22"/>
        <v>26796.709999999992</v>
      </c>
      <c r="Y44" s="1"/>
      <c r="Z44" s="5">
        <f t="shared" si="23"/>
        <v>0.30956033915805642</v>
      </c>
    </row>
    <row r="45" spans="1:26" s="23" customFormat="1" hidden="1" outlineLevel="2" x14ac:dyDescent="0.25">
      <c r="A45" s="25"/>
      <c r="B45" s="10" t="str">
        <f>CONCATENATE("          ", "6371", " - ", "COMPUTER SOFTWARE MAINTENANCE")</f>
        <v xml:space="preserve">          6371 - COMPUTER SOFTWARE MAINTENANCE</v>
      </c>
      <c r="C45" s="10"/>
      <c r="D45" s="6">
        <v>3217.5</v>
      </c>
      <c r="E45" s="2"/>
      <c r="F45" s="7">
        <f t="shared" si="16"/>
        <v>0</v>
      </c>
      <c r="G45" s="2"/>
      <c r="H45" s="6">
        <v>135.94999999999999</v>
      </c>
      <c r="I45" s="2"/>
      <c r="J45" s="7">
        <f t="shared" si="17"/>
        <v>0</v>
      </c>
      <c r="K45" s="2"/>
      <c r="L45" s="6">
        <f t="shared" si="18"/>
        <v>3081.55</v>
      </c>
      <c r="M45" s="2"/>
      <c r="N45" s="7">
        <f t="shared" si="19"/>
        <v>22.666789260757636</v>
      </c>
      <c r="O45" s="10"/>
      <c r="P45" s="6">
        <v>4067.48</v>
      </c>
      <c r="Q45" s="2"/>
      <c r="R45" s="7">
        <f t="shared" si="20"/>
        <v>0</v>
      </c>
      <c r="S45" s="2"/>
      <c r="T45" s="6">
        <v>1155.3</v>
      </c>
      <c r="U45" s="2"/>
      <c r="V45" s="7">
        <f t="shared" si="21"/>
        <v>0</v>
      </c>
      <c r="W45" s="2"/>
      <c r="X45" s="6">
        <f t="shared" si="22"/>
        <v>2912.1800000000003</v>
      </c>
      <c r="Y45" s="2"/>
      <c r="Z45" s="7">
        <f t="shared" si="23"/>
        <v>2.5207132346576651</v>
      </c>
    </row>
    <row r="46" spans="1:26" s="23" customFormat="1" hidden="1" outlineLevel="2" x14ac:dyDescent="0.25">
      <c r="A46" s="25"/>
      <c r="B46" s="10" t="str">
        <f>CONCATENATE("          ", "6373", " - ", "MAINTENANCE CONTRACTS")</f>
        <v xml:space="preserve">          6373 - MAINTENANCE CONTRACTS</v>
      </c>
      <c r="C46" s="10"/>
      <c r="D46" s="6">
        <v>11992</v>
      </c>
      <c r="E46" s="2"/>
      <c r="F46" s="7">
        <f t="shared" si="16"/>
        <v>0</v>
      </c>
      <c r="G46" s="2"/>
      <c r="H46" s="6">
        <v>9512.4</v>
      </c>
      <c r="I46" s="2"/>
      <c r="J46" s="7">
        <f t="shared" si="17"/>
        <v>0</v>
      </c>
      <c r="K46" s="2"/>
      <c r="L46" s="6">
        <f t="shared" si="18"/>
        <v>2479.6000000000004</v>
      </c>
      <c r="M46" s="2"/>
      <c r="N46" s="7">
        <f t="shared" si="19"/>
        <v>0.26067028299903289</v>
      </c>
      <c r="O46" s="10"/>
      <c r="P46" s="6">
        <v>109293</v>
      </c>
      <c r="Q46" s="2"/>
      <c r="R46" s="7">
        <f t="shared" si="20"/>
        <v>0</v>
      </c>
      <c r="S46" s="2"/>
      <c r="T46" s="6">
        <v>85250.07</v>
      </c>
      <c r="U46" s="2"/>
      <c r="V46" s="7">
        <f t="shared" si="21"/>
        <v>0</v>
      </c>
      <c r="W46" s="2"/>
      <c r="X46" s="6">
        <f t="shared" si="22"/>
        <v>24042.929999999993</v>
      </c>
      <c r="Y46" s="2"/>
      <c r="Z46" s="7">
        <f t="shared" si="23"/>
        <v>0.28202827282135945</v>
      </c>
    </row>
    <row r="47" spans="1:26" s="23" customFormat="1" hidden="1" outlineLevel="2" x14ac:dyDescent="0.25">
      <c r="A47" s="25"/>
      <c r="B47" s="10" t="str">
        <f>CONCATENATE("          ", "6375", " - ", "OUTSIDE REPAIRS &amp; MAINTENANCE")</f>
        <v xml:space="preserve">          6375 - OUTSIDE REPAIRS &amp; MAINTENANCE</v>
      </c>
      <c r="C47" s="10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0"/>
      <c r="P47" s="6"/>
      <c r="Q47" s="2"/>
      <c r="R47" s="7">
        <f t="shared" si="20"/>
        <v>0</v>
      </c>
      <c r="S47" s="2"/>
      <c r="T47" s="6">
        <v>158.4</v>
      </c>
      <c r="U47" s="2"/>
      <c r="V47" s="7">
        <f t="shared" si="21"/>
        <v>0</v>
      </c>
      <c r="W47" s="2"/>
      <c r="X47" s="6">
        <f t="shared" si="22"/>
        <v>-158.4</v>
      </c>
      <c r="Y47" s="2"/>
      <c r="Z47" s="7">
        <f t="shared" si="23"/>
        <v>-1</v>
      </c>
    </row>
    <row r="48" spans="1:26" s="26" customFormat="1" outlineLevel="1" collapsed="1" x14ac:dyDescent="0.25">
      <c r="A48" s="27"/>
      <c r="B48" s="12" t="str">
        <f>CONCATENATE("     ","Supplies                                          ")</f>
        <v xml:space="preserve">     Supplies                                          </v>
      </c>
      <c r="C48" s="12"/>
      <c r="D48" s="1">
        <f>SUM(OSRRefD22_7x_0)</f>
        <v>392.29</v>
      </c>
      <c r="E48" s="1"/>
      <c r="F48" s="5">
        <f t="shared" ref="F48:F52" si="24">IF(D$12=0,0,D48/D$12)</f>
        <v>0</v>
      </c>
      <c r="G48" s="1"/>
      <c r="H48" s="1">
        <f>SUM(OSRRefH22_7x_0)</f>
        <v>2268.29</v>
      </c>
      <c r="I48" s="1"/>
      <c r="J48" s="5">
        <f t="shared" ref="J48:J52" si="25">IF(H$12=0,0,H48/H$12)</f>
        <v>0</v>
      </c>
      <c r="K48" s="1"/>
      <c r="L48" s="1">
        <f t="shared" ref="L48:L52" si="26">+D48-H48</f>
        <v>-1876</v>
      </c>
      <c r="M48" s="1"/>
      <c r="N48" s="5">
        <f t="shared" ref="N48:N52" si="27">IF(H48=0,0,L48/H48)</f>
        <v>-0.82705474167765147</v>
      </c>
      <c r="O48" s="12"/>
      <c r="P48" s="1">
        <f>SUM(OSRRefP22_7x_0)</f>
        <v>-1787.22</v>
      </c>
      <c r="Q48" s="1"/>
      <c r="R48" s="5">
        <f t="shared" ref="R48:R52" si="28">IF(P$12=0,0,P48/P$12)</f>
        <v>0</v>
      </c>
      <c r="S48" s="1"/>
      <c r="T48" s="1">
        <f>SUM(OSRRefT22_7x_0)</f>
        <v>25291.35</v>
      </c>
      <c r="U48" s="1"/>
      <c r="V48" s="5">
        <f t="shared" ref="V48:V52" si="29">IF(T$12=0,0,T48/T$12)</f>
        <v>0</v>
      </c>
      <c r="W48" s="1"/>
      <c r="X48" s="1">
        <f t="shared" ref="X48:X52" si="30">+P48-T48</f>
        <v>-27078.57</v>
      </c>
      <c r="Y48" s="1"/>
      <c r="Z48" s="5">
        <f t="shared" ref="Z48:Z52" si="31">IF(T48=0,0,X48/T48)</f>
        <v>-1.0706652669786312</v>
      </c>
    </row>
    <row r="49" spans="1:26" s="23" customFormat="1" hidden="1" outlineLevel="2" x14ac:dyDescent="0.25">
      <c r="A49" s="25"/>
      <c r="B49" s="10" t="str">
        <f>CONCATENATE("          ", "6241", " - ", "OFFICE EXPENSE")</f>
        <v xml:space="preserve">          6241 - OFFICE EXPENSE</v>
      </c>
      <c r="C49" s="10"/>
      <c r="D49" s="6">
        <v>392.29</v>
      </c>
      <c r="E49" s="2"/>
      <c r="F49" s="7">
        <f t="shared" si="24"/>
        <v>0</v>
      </c>
      <c r="G49" s="2"/>
      <c r="H49" s="6">
        <v>2268.29</v>
      </c>
      <c r="I49" s="2"/>
      <c r="J49" s="7">
        <f t="shared" si="25"/>
        <v>0</v>
      </c>
      <c r="K49" s="2"/>
      <c r="L49" s="6">
        <f t="shared" si="26"/>
        <v>-1876</v>
      </c>
      <c r="M49" s="2"/>
      <c r="N49" s="7">
        <f t="shared" si="27"/>
        <v>-0.82705474167765147</v>
      </c>
      <c r="O49" s="10"/>
      <c r="P49" s="6">
        <v>-1787.22</v>
      </c>
      <c r="Q49" s="2"/>
      <c r="R49" s="7">
        <f t="shared" si="28"/>
        <v>0</v>
      </c>
      <c r="S49" s="2"/>
      <c r="T49" s="6">
        <v>25291.35</v>
      </c>
      <c r="U49" s="2"/>
      <c r="V49" s="7">
        <f t="shared" si="29"/>
        <v>0</v>
      </c>
      <c r="W49" s="2"/>
      <c r="X49" s="6">
        <f t="shared" si="30"/>
        <v>-27078.57</v>
      </c>
      <c r="Y49" s="2"/>
      <c r="Z49" s="7">
        <f t="shared" si="31"/>
        <v>-1.0706652669786312</v>
      </c>
    </row>
    <row r="50" spans="1:26" s="26" customFormat="1" outlineLevel="1" collapsed="1" x14ac:dyDescent="0.25">
      <c r="A50" s="27"/>
      <c r="B50" s="12" t="str">
        <f>CONCATENATE("     ","Telephone/Data Lines                              ")</f>
        <v xml:space="preserve">     Telephone/Data Lines                              </v>
      </c>
      <c r="C50" s="12"/>
      <c r="D50" s="1">
        <f>SUM(OSRRefD22_8x_0)</f>
        <v>664.67</v>
      </c>
      <c r="E50" s="1"/>
      <c r="F50" s="5">
        <f t="shared" si="24"/>
        <v>0</v>
      </c>
      <c r="G50" s="1"/>
      <c r="H50" s="1">
        <f>SUM(OSRRefH22_8x_0)</f>
        <v>616.99</v>
      </c>
      <c r="I50" s="1"/>
      <c r="J50" s="5">
        <f t="shared" si="25"/>
        <v>0</v>
      </c>
      <c r="K50" s="1"/>
      <c r="L50" s="1">
        <f t="shared" si="26"/>
        <v>47.67999999999995</v>
      </c>
      <c r="M50" s="1"/>
      <c r="N50" s="5">
        <f t="shared" si="27"/>
        <v>7.7278399974067574E-2</v>
      </c>
      <c r="O50" s="12"/>
      <c r="P50" s="1">
        <f>SUM(OSRRefP22_8x_0)</f>
        <v>6897.74</v>
      </c>
      <c r="Q50" s="1"/>
      <c r="R50" s="5">
        <f t="shared" si="28"/>
        <v>0</v>
      </c>
      <c r="S50" s="1"/>
      <c r="T50" s="1">
        <f>SUM(OSRRefT22_8x_0)</f>
        <v>11256.710000000001</v>
      </c>
      <c r="U50" s="1"/>
      <c r="V50" s="5">
        <f t="shared" si="29"/>
        <v>0</v>
      </c>
      <c r="W50" s="1"/>
      <c r="X50" s="1">
        <f t="shared" si="30"/>
        <v>-4358.9700000000012</v>
      </c>
      <c r="Y50" s="1"/>
      <c r="Z50" s="5">
        <f t="shared" si="31"/>
        <v>-0.38723303700637229</v>
      </c>
    </row>
    <row r="51" spans="1:26" s="23" customFormat="1" hidden="1" outlineLevel="2" x14ac:dyDescent="0.25">
      <c r="A51" s="25"/>
      <c r="B51" s="10" t="str">
        <f>CONCATENATE("          ", "6303", " - ", "DATA PHONE LINES")</f>
        <v xml:space="preserve">          6303 - DATA PHONE LINES</v>
      </c>
      <c r="C51" s="10"/>
      <c r="D51" s="6">
        <v>238.97</v>
      </c>
      <c r="E51" s="2"/>
      <c r="F51" s="7">
        <f t="shared" si="24"/>
        <v>0</v>
      </c>
      <c r="G51" s="2"/>
      <c r="H51" s="6">
        <v>78.989999999999995</v>
      </c>
      <c r="I51" s="2"/>
      <c r="J51" s="7">
        <f t="shared" si="25"/>
        <v>0</v>
      </c>
      <c r="K51" s="2"/>
      <c r="L51" s="6">
        <f t="shared" si="26"/>
        <v>159.98000000000002</v>
      </c>
      <c r="M51" s="2"/>
      <c r="N51" s="7">
        <f t="shared" si="27"/>
        <v>2.0253196607165469</v>
      </c>
      <c r="O51" s="10"/>
      <c r="P51" s="6">
        <v>1241.8399999999999</v>
      </c>
      <c r="Q51" s="2"/>
      <c r="R51" s="7">
        <f t="shared" si="28"/>
        <v>0</v>
      </c>
      <c r="S51" s="2"/>
      <c r="T51" s="6">
        <v>1328.03</v>
      </c>
      <c r="U51" s="2"/>
      <c r="V51" s="7">
        <f t="shared" si="29"/>
        <v>0</v>
      </c>
      <c r="W51" s="2"/>
      <c r="X51" s="6">
        <f t="shared" si="30"/>
        <v>-86.190000000000055</v>
      </c>
      <c r="Y51" s="2"/>
      <c r="Z51" s="7">
        <f t="shared" si="31"/>
        <v>-6.4900642304767248E-2</v>
      </c>
    </row>
    <row r="52" spans="1:26" s="23" customFormat="1" hidden="1" outlineLevel="2" x14ac:dyDescent="0.25">
      <c r="A52" s="25"/>
      <c r="B52" s="10" t="str">
        <f>CONCATENATE("          ", "6309", " - ", "TELEPHONE")</f>
        <v xml:space="preserve">          6309 - TELEPHONE</v>
      </c>
      <c r="C52" s="10"/>
      <c r="D52" s="6">
        <v>425.7</v>
      </c>
      <c r="E52" s="2"/>
      <c r="F52" s="7">
        <f t="shared" si="24"/>
        <v>0</v>
      </c>
      <c r="G52" s="2"/>
      <c r="H52" s="6">
        <v>538</v>
      </c>
      <c r="I52" s="2"/>
      <c r="J52" s="7">
        <f t="shared" si="25"/>
        <v>0</v>
      </c>
      <c r="K52" s="2"/>
      <c r="L52" s="6">
        <f t="shared" si="26"/>
        <v>-112.30000000000001</v>
      </c>
      <c r="M52" s="2"/>
      <c r="N52" s="7">
        <f t="shared" si="27"/>
        <v>-0.20873605947955393</v>
      </c>
      <c r="O52" s="10"/>
      <c r="P52" s="6">
        <v>5655.9</v>
      </c>
      <c r="Q52" s="2"/>
      <c r="R52" s="7">
        <f t="shared" si="28"/>
        <v>0</v>
      </c>
      <c r="S52" s="2"/>
      <c r="T52" s="6">
        <v>9928.68</v>
      </c>
      <c r="U52" s="2"/>
      <c r="V52" s="7">
        <f t="shared" si="29"/>
        <v>0</v>
      </c>
      <c r="W52" s="2"/>
      <c r="X52" s="6">
        <f t="shared" si="30"/>
        <v>-4272.7800000000007</v>
      </c>
      <c r="Y52" s="2"/>
      <c r="Z52" s="7">
        <f t="shared" si="31"/>
        <v>-0.43034723649065137</v>
      </c>
    </row>
    <row r="53" spans="1:26" s="26" customFormat="1" outlineLevel="1" collapsed="1" x14ac:dyDescent="0.25">
      <c r="A53" s="27"/>
      <c r="B53" s="12" t="str">
        <f>CONCATENATE("     ","Training                                          ")</f>
        <v xml:space="preserve">     Training                                          </v>
      </c>
      <c r="C53" s="12"/>
      <c r="D53" s="1">
        <f>SUM(OSRRefD22_9x_0)</f>
        <v>399</v>
      </c>
      <c r="E53" s="1"/>
      <c r="F53" s="5">
        <f t="shared" ref="F53:F57" si="32">IF(D$12=0,0,D53/D$12)</f>
        <v>0</v>
      </c>
      <c r="G53" s="1"/>
      <c r="H53" s="1">
        <f>SUM(OSRRefH22_9x_0)</f>
        <v>627.87</v>
      </c>
      <c r="I53" s="1"/>
      <c r="J53" s="5">
        <f t="shared" ref="J53:J57" si="33">IF(H$12=0,0,H53/H$12)</f>
        <v>0</v>
      </c>
      <c r="K53" s="1"/>
      <c r="L53" s="1">
        <f t="shared" ref="L53:L57" si="34">+D53-H53</f>
        <v>-228.87</v>
      </c>
      <c r="M53" s="1"/>
      <c r="N53" s="5">
        <f t="shared" ref="N53:N57" si="35">IF(H53=0,0,L53/H53)</f>
        <v>-0.36451813273448325</v>
      </c>
      <c r="O53" s="12"/>
      <c r="P53" s="1">
        <f>SUM(OSRRefP22_9x_0)</f>
        <v>498</v>
      </c>
      <c r="Q53" s="1"/>
      <c r="R53" s="5">
        <f t="shared" ref="R53:R57" si="36">IF(P$12=0,0,P53/P$12)</f>
        <v>0</v>
      </c>
      <c r="S53" s="1"/>
      <c r="T53" s="1">
        <f>SUM(OSRRefT22_9x_0)</f>
        <v>4319.7299999999996</v>
      </c>
      <c r="U53" s="1"/>
      <c r="V53" s="5">
        <f t="shared" ref="V53:V57" si="37">IF(T$12=0,0,T53/T$12)</f>
        <v>0</v>
      </c>
      <c r="W53" s="1"/>
      <c r="X53" s="1">
        <f t="shared" ref="X53:X57" si="38">+P53-T53</f>
        <v>-3821.7299999999996</v>
      </c>
      <c r="Y53" s="1"/>
      <c r="Z53" s="5">
        <f t="shared" ref="Z53:Z57" si="39">IF(T53=0,0,X53/T53)</f>
        <v>-0.88471501691077914</v>
      </c>
    </row>
    <row r="54" spans="1:26" s="23" customFormat="1" hidden="1" outlineLevel="2" x14ac:dyDescent="0.25">
      <c r="A54" s="25"/>
      <c r="B54" s="10" t="str">
        <f>CONCATENATE("          ", "6376", " - ", "TRAINING")</f>
        <v xml:space="preserve">          6376 - TRAINING</v>
      </c>
      <c r="C54" s="10"/>
      <c r="D54" s="6">
        <v>399</v>
      </c>
      <c r="E54" s="2"/>
      <c r="F54" s="7">
        <f t="shared" si="32"/>
        <v>0</v>
      </c>
      <c r="G54" s="2"/>
      <c r="H54" s="6">
        <v>627.87</v>
      </c>
      <c r="I54" s="2"/>
      <c r="J54" s="7">
        <f t="shared" si="33"/>
        <v>0</v>
      </c>
      <c r="K54" s="2"/>
      <c r="L54" s="6">
        <f t="shared" si="34"/>
        <v>-228.87</v>
      </c>
      <c r="M54" s="2"/>
      <c r="N54" s="7">
        <f t="shared" si="35"/>
        <v>-0.36451813273448325</v>
      </c>
      <c r="O54" s="10"/>
      <c r="P54" s="6">
        <v>498</v>
      </c>
      <c r="Q54" s="2"/>
      <c r="R54" s="7">
        <f t="shared" si="36"/>
        <v>0</v>
      </c>
      <c r="S54" s="2"/>
      <c r="T54" s="6">
        <v>4319.7299999999996</v>
      </c>
      <c r="U54" s="2"/>
      <c r="V54" s="7">
        <f t="shared" si="37"/>
        <v>0</v>
      </c>
      <c r="W54" s="2"/>
      <c r="X54" s="6">
        <f t="shared" si="38"/>
        <v>-3821.7299999999996</v>
      </c>
      <c r="Y54" s="2"/>
      <c r="Z54" s="7">
        <f t="shared" si="39"/>
        <v>-0.88471501691077914</v>
      </c>
    </row>
    <row r="55" spans="1:26" s="26" customFormat="1" outlineLevel="1" collapsed="1" x14ac:dyDescent="0.25">
      <c r="A55" s="27"/>
      <c r="B55" s="12" t="str">
        <f>CONCATENATE("     ","Travel                                            ")</f>
        <v xml:space="preserve">     Travel                                            </v>
      </c>
      <c r="C55" s="12"/>
      <c r="D55" s="1">
        <f>SUM(OSRRefD22_10x_0)</f>
        <v>0</v>
      </c>
      <c r="E55" s="1"/>
      <c r="F55" s="5">
        <f t="shared" si="32"/>
        <v>0</v>
      </c>
      <c r="G55" s="1"/>
      <c r="H55" s="1">
        <f>SUM(OSRRefH22_10x_0)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2"/>
      <c r="P55" s="1">
        <f>SUM(OSRRefP22_10x_0)</f>
        <v>0</v>
      </c>
      <c r="Q55" s="1"/>
      <c r="R55" s="5">
        <f t="shared" si="36"/>
        <v>0</v>
      </c>
      <c r="S55" s="1"/>
      <c r="T55" s="1">
        <f>SUM(OSRRefT22_10x_0)</f>
        <v>1383.21</v>
      </c>
      <c r="U55" s="1"/>
      <c r="V55" s="5">
        <f t="shared" si="37"/>
        <v>0</v>
      </c>
      <c r="W55" s="1"/>
      <c r="X55" s="1">
        <f t="shared" si="38"/>
        <v>-1383.21</v>
      </c>
      <c r="Y55" s="1"/>
      <c r="Z55" s="5">
        <f t="shared" si="39"/>
        <v>-1</v>
      </c>
    </row>
    <row r="56" spans="1:26" s="23" customFormat="1" hidden="1" outlineLevel="2" x14ac:dyDescent="0.25">
      <c r="A56" s="25"/>
      <c r="B56" s="10" t="str">
        <f>CONCATENATE("          ", "6292", " - ", "TRAVEL/CONFERENCE")</f>
        <v xml:space="preserve">          6292 - TRAVEL/CONFERENCE</v>
      </c>
      <c r="C56" s="10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0"/>
      <c r="P56" s="6"/>
      <c r="Q56" s="2"/>
      <c r="R56" s="7">
        <f t="shared" si="36"/>
        <v>0</v>
      </c>
      <c r="S56" s="2"/>
      <c r="T56" s="6">
        <v>1359.31</v>
      </c>
      <c r="U56" s="2"/>
      <c r="V56" s="7">
        <f t="shared" si="37"/>
        <v>0</v>
      </c>
      <c r="W56" s="2"/>
      <c r="X56" s="6">
        <f t="shared" si="38"/>
        <v>-1359.31</v>
      </c>
      <c r="Y56" s="2"/>
      <c r="Z56" s="7">
        <f t="shared" si="39"/>
        <v>-1</v>
      </c>
    </row>
    <row r="57" spans="1:26" s="23" customFormat="1" hidden="1" outlineLevel="2" x14ac:dyDescent="0.25">
      <c r="A57" s="25"/>
      <c r="B57" s="10" t="str">
        <f>CONCATENATE("          ", "6294", " - ", "TRAVEL OPERATIONAL")</f>
        <v xml:space="preserve">          6294 - TRAVEL OPERATIONAL</v>
      </c>
      <c r="C57" s="10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0"/>
      <c r="P57" s="6"/>
      <c r="Q57" s="2"/>
      <c r="R57" s="7">
        <f t="shared" si="36"/>
        <v>0</v>
      </c>
      <c r="S57" s="2"/>
      <c r="T57" s="6">
        <v>23.9</v>
      </c>
      <c r="U57" s="2"/>
      <c r="V57" s="7">
        <f t="shared" si="37"/>
        <v>0</v>
      </c>
      <c r="W57" s="2"/>
      <c r="X57" s="6">
        <f t="shared" si="38"/>
        <v>-23.9</v>
      </c>
      <c r="Y57" s="2"/>
      <c r="Z57" s="7">
        <f t="shared" si="39"/>
        <v>-1</v>
      </c>
    </row>
    <row r="58" spans="1:26" s="60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8" t="s">
        <v>292</v>
      </c>
      <c r="C59" s="11"/>
      <c r="D59" s="4">
        <f>SUM(0)</f>
        <v>0</v>
      </c>
      <c r="E59" s="4"/>
      <c r="F59" s="13">
        <f>IF(D$12=0,0,D59/D$12)</f>
        <v>0</v>
      </c>
      <c r="G59" s="4"/>
      <c r="H59" s="4">
        <f>SUM(0)</f>
        <v>0</v>
      </c>
      <c r="I59" s="4"/>
      <c r="J59" s="13">
        <f>IF(H$12=0,0,H59/H$12)</f>
        <v>0</v>
      </c>
      <c r="K59" s="4"/>
      <c r="L59" s="4">
        <f>+D59-H59</f>
        <v>0</v>
      </c>
      <c r="M59" s="4"/>
      <c r="N59" s="13">
        <f>IF(H59=0,0,L59/H59)</f>
        <v>0</v>
      </c>
      <c r="O59" s="11"/>
      <c r="P59" s="4">
        <f>SUM(0)</f>
        <v>0</v>
      </c>
      <c r="Q59" s="4"/>
      <c r="R59" s="13">
        <f>IF(P$12=0,0,P59/P$12)</f>
        <v>0</v>
      </c>
      <c r="S59" s="4"/>
      <c r="T59" s="4">
        <f>SUM(0)</f>
        <v>0</v>
      </c>
      <c r="U59" s="4"/>
      <c r="V59" s="13">
        <f>IF(T$12=0,0,T59/T$12)</f>
        <v>0</v>
      </c>
      <c r="W59" s="4"/>
      <c r="X59" s="4">
        <f>+P59-T59</f>
        <v>0</v>
      </c>
      <c r="Y59" s="4"/>
      <c r="Z59" s="13">
        <f>IF(T59=0,0,X59/T59)</f>
        <v>0</v>
      </c>
    </row>
    <row r="60" spans="1:26" x14ac:dyDescent="0.25">
      <c r="A60" s="9"/>
      <c r="B60" s="11"/>
      <c r="C60" s="11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1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4" customFormat="1" x14ac:dyDescent="0.25">
      <c r="A61" s="11"/>
      <c r="B61" s="29" t="s">
        <v>276</v>
      </c>
      <c r="C61" s="29"/>
      <c r="D61" s="22">
        <f>+D16-D18+D59</f>
        <v>-50075.959999999992</v>
      </c>
      <c r="E61" s="14"/>
      <c r="F61" s="20">
        <f>IF(D$12=0,0,D61/D$12)</f>
        <v>0</v>
      </c>
      <c r="G61" s="14"/>
      <c r="H61" s="22">
        <f>+H16-H18+H59</f>
        <v>-57380.739999999991</v>
      </c>
      <c r="I61" s="14"/>
      <c r="J61" s="20">
        <f>IF(H$12=0,0,H61/H$12)</f>
        <v>0</v>
      </c>
      <c r="K61" s="15"/>
      <c r="L61" s="22">
        <f>+D61-H61</f>
        <v>7304.7799999999988</v>
      </c>
      <c r="M61" s="15"/>
      <c r="N61" s="20">
        <f>IF(H61=0,0,L61/H61)</f>
        <v>-0.12730369109913883</v>
      </c>
      <c r="O61" s="28"/>
      <c r="P61" s="22">
        <f>+P16-P18+P59</f>
        <v>-456160.60000000003</v>
      </c>
      <c r="Q61" s="14"/>
      <c r="R61" s="20">
        <f>IF(P$12=0,0,P61/P$12)</f>
        <v>0</v>
      </c>
      <c r="S61" s="14"/>
      <c r="T61" s="22">
        <f>+T16-T18+T59</f>
        <v>-538942.51000000013</v>
      </c>
      <c r="U61" s="14"/>
      <c r="V61" s="20">
        <f>IF(T$12=0,0,T61/T$12)</f>
        <v>0</v>
      </c>
      <c r="W61" s="15"/>
      <c r="X61" s="22">
        <f>+P61-T61</f>
        <v>82781.910000000091</v>
      </c>
      <c r="Y61" s="15"/>
      <c r="Z61" s="20">
        <f>IF(T61=0,0,X61/T61)</f>
        <v>-0.15360063172600741</v>
      </c>
    </row>
    <row r="62" spans="1:26" x14ac:dyDescent="0.25">
      <c r="A62" s="9"/>
      <c r="B62" s="11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51"/>
      <c r="B63" s="11" t="s">
        <v>127</v>
      </c>
      <c r="C63" s="11"/>
      <c r="D63" s="4"/>
      <c r="E63" s="4"/>
      <c r="F63" s="13">
        <f>IF(D$12=0,0,D63/D$12)</f>
        <v>0</v>
      </c>
      <c r="G63" s="4"/>
      <c r="H63" s="4"/>
      <c r="I63" s="4"/>
      <c r="J63" s="13">
        <f>IF(H$12=0,0,H63/H$12)</f>
        <v>0</v>
      </c>
      <c r="K63" s="4"/>
      <c r="L63" s="4">
        <f>+D63-H63</f>
        <v>0</v>
      </c>
      <c r="M63" s="4"/>
      <c r="N63" s="13">
        <f>IF(H63=0,0,L63/H63)</f>
        <v>0</v>
      </c>
      <c r="O63" s="11"/>
      <c r="P63" s="4"/>
      <c r="Q63" s="4"/>
      <c r="R63" s="13">
        <f>IF(P$12=0,0,P63/P$12)</f>
        <v>0</v>
      </c>
      <c r="S63" s="4"/>
      <c r="T63" s="4"/>
      <c r="U63" s="4"/>
      <c r="V63" s="13">
        <f>IF(T$12=0,0,T63/T$12)</f>
        <v>0</v>
      </c>
      <c r="W63" s="4"/>
      <c r="X63" s="4">
        <f>+P63-T63</f>
        <v>0</v>
      </c>
      <c r="Y63" s="4"/>
      <c r="Z63" s="13">
        <f>IF(T63=0,0,X63/T63)</f>
        <v>0</v>
      </c>
    </row>
    <row r="64" spans="1:26" x14ac:dyDescent="0.25">
      <c r="A64" s="9"/>
      <c r="B64" s="11"/>
      <c r="C64" s="11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1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ht="15.75" thickBot="1" x14ac:dyDescent="0.3">
      <c r="A65" s="11"/>
      <c r="B65" s="29" t="s">
        <v>125</v>
      </c>
      <c r="C65" s="29"/>
      <c r="D65" s="30">
        <f>+D61-D63</f>
        <v>-50075.959999999992</v>
      </c>
      <c r="E65" s="14"/>
      <c r="F65" s="36">
        <f>IF(D$12=0,0,D65/D$12)</f>
        <v>0</v>
      </c>
      <c r="G65" s="14"/>
      <c r="H65" s="30">
        <f>+H61-H63</f>
        <v>-57380.739999999991</v>
      </c>
      <c r="I65" s="14"/>
      <c r="J65" s="36">
        <f>IF(H$12=0,0,H65/H$12)</f>
        <v>0</v>
      </c>
      <c r="K65" s="15"/>
      <c r="L65" s="30">
        <f>D65-H65</f>
        <v>7304.7799999999988</v>
      </c>
      <c r="M65" s="15"/>
      <c r="N65" s="36">
        <f>IF(H65=0,0,L65/H65)</f>
        <v>-0.12730369109913883</v>
      </c>
      <c r="O65" s="28"/>
      <c r="P65" s="30">
        <f>+P61-P63</f>
        <v>-456160.60000000003</v>
      </c>
      <c r="Q65" s="14"/>
      <c r="R65" s="36">
        <f>IF(P$12=0,0,P65/P$12)</f>
        <v>0</v>
      </c>
      <c r="S65" s="14"/>
      <c r="T65" s="30">
        <f>+T61-T63</f>
        <v>-538942.51000000013</v>
      </c>
      <c r="U65" s="14"/>
      <c r="V65" s="36">
        <f>IF(T$12=0,0,T65/T$12)</f>
        <v>0</v>
      </c>
      <c r="W65" s="15"/>
      <c r="X65" s="30">
        <f>P65-T65</f>
        <v>82781.910000000091</v>
      </c>
      <c r="Y65" s="15"/>
      <c r="Z65" s="36">
        <f>IF(T65=0,0,X65/T65)</f>
        <v>-0.15360063172600741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4" customFormat="1" ht="15.75" thickBot="1" x14ac:dyDescent="0.3">
      <c r="A68" s="11"/>
      <c r="B68" s="29" t="s">
        <v>293</v>
      </c>
      <c r="C68" s="29"/>
      <c r="D68" s="35">
        <f>SUM(D65:D67)</f>
        <v>-50075.959999999992</v>
      </c>
      <c r="E68" s="14"/>
      <c r="F68" s="34">
        <f>IF(D$12=0,0,D68/D$12)</f>
        <v>0</v>
      </c>
      <c r="G68" s="14"/>
      <c r="H68" s="35">
        <f>SUM(H65:H67)</f>
        <v>-57380.739999999991</v>
      </c>
      <c r="I68" s="14"/>
      <c r="J68" s="34">
        <f>IF(H$12=0,0,H68/H$12)</f>
        <v>0</v>
      </c>
      <c r="K68" s="15"/>
      <c r="L68" s="35">
        <f>+D68-H68</f>
        <v>7304.7799999999988</v>
      </c>
      <c r="M68" s="15"/>
      <c r="N68" s="34">
        <f>IF(H68=0,0,L68/H68)</f>
        <v>-0.12730369109913883</v>
      </c>
      <c r="O68" s="28"/>
      <c r="P68" s="35">
        <f>SUM(P65:P67)</f>
        <v>-456160.60000000003</v>
      </c>
      <c r="Q68" s="14"/>
      <c r="R68" s="34">
        <f>IF(P$12=0,0,P68/P$12)</f>
        <v>0</v>
      </c>
      <c r="S68" s="14"/>
      <c r="T68" s="35">
        <f>SUM(T65:T67)</f>
        <v>-538942.51000000013</v>
      </c>
      <c r="U68" s="14"/>
      <c r="V68" s="34">
        <f>IF(T$12=0,0,T68/T$12)</f>
        <v>0</v>
      </c>
      <c r="W68" s="15"/>
      <c r="X68" s="35">
        <f>+P68-T68</f>
        <v>82781.910000000091</v>
      </c>
      <c r="Y68" s="15"/>
      <c r="Z68" s="34">
        <f>IF(T68=0,0,X68/T68)</f>
        <v>-0.15360063172600741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4">
        <v>44295.963243634258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8" t="s">
        <v>56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62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","205", " - ", "Maintenance")</f>
        <v>Department 205 - Maintenance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7931.51</v>
      </c>
      <c r="E18" s="21"/>
      <c r="F18" s="31">
        <f t="shared" ref="F18:F27" si="0">IF(D$12=0,0,D18/D$12)</f>
        <v>0</v>
      </c>
      <c r="G18" s="21"/>
      <c r="H18" s="21">
        <f>SUM(OSRRefH22x_0)</f>
        <v>5062.2699999999995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2869.2400000000007</v>
      </c>
      <c r="M18" s="4"/>
      <c r="N18" s="31">
        <f t="shared" ref="N18:N27" si="3">IF(H18=0,0,L18/H18)</f>
        <v>0.5667892072133649</v>
      </c>
      <c r="O18" s="11"/>
      <c r="P18" s="21">
        <f>SUM(OSRRefP22x_0)</f>
        <v>70378.329999999987</v>
      </c>
      <c r="Q18" s="21"/>
      <c r="R18" s="31">
        <f t="shared" ref="R18:R27" si="4">IF(P$12=0,0,P18/P$12)</f>
        <v>0</v>
      </c>
      <c r="S18" s="21"/>
      <c r="T18" s="21">
        <f>SUM(OSRRefT22x_0)</f>
        <v>71795.889999999985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-1417.5599999999977</v>
      </c>
      <c r="Y18" s="4"/>
      <c r="Z18" s="31">
        <f t="shared" ref="Z18:Z27" si="7">IF(T18=0,0,X18/T18)</f>
        <v>-1.9744305697721665E-2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2547.5399999999995</v>
      </c>
      <c r="E19" s="1"/>
      <c r="F19" s="5">
        <f t="shared" si="0"/>
        <v>0</v>
      </c>
      <c r="G19" s="1"/>
      <c r="H19" s="1">
        <f>SUM(OSRRefH22_0x_0)</f>
        <v>2313.1999999999998</v>
      </c>
      <c r="I19" s="1"/>
      <c r="J19" s="5">
        <f t="shared" si="1"/>
        <v>0</v>
      </c>
      <c r="K19" s="1"/>
      <c r="L19" s="1">
        <f t="shared" si="2"/>
        <v>234.33999999999969</v>
      </c>
      <c r="M19" s="1"/>
      <c r="N19" s="5">
        <f t="shared" si="3"/>
        <v>0.10130555075220461</v>
      </c>
      <c r="O19" s="12"/>
      <c r="P19" s="1">
        <f>SUM(OSRRefP22_0x_0)</f>
        <v>22456.63</v>
      </c>
      <c r="Q19" s="1"/>
      <c r="R19" s="5">
        <f t="shared" si="4"/>
        <v>0</v>
      </c>
      <c r="S19" s="1"/>
      <c r="T19" s="1">
        <f>SUM(OSRRefT22_0x_0)</f>
        <v>23772.51</v>
      </c>
      <c r="U19" s="1"/>
      <c r="V19" s="5">
        <f t="shared" si="5"/>
        <v>0</v>
      </c>
      <c r="W19" s="1"/>
      <c r="X19" s="1">
        <f t="shared" si="6"/>
        <v>-1315.8799999999974</v>
      </c>
      <c r="Y19" s="1"/>
      <c r="Z19" s="5">
        <f t="shared" si="7"/>
        <v>-5.5353010683348011E-2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323.81</v>
      </c>
      <c r="E20" s="2"/>
      <c r="F20" s="7">
        <f t="shared" si="0"/>
        <v>0</v>
      </c>
      <c r="G20" s="2"/>
      <c r="H20" s="6">
        <v>315.83999999999997</v>
      </c>
      <c r="I20" s="2"/>
      <c r="J20" s="7">
        <f t="shared" si="1"/>
        <v>0</v>
      </c>
      <c r="K20" s="2"/>
      <c r="L20" s="6">
        <f t="shared" si="2"/>
        <v>7.9700000000000273</v>
      </c>
      <c r="M20" s="2"/>
      <c r="N20" s="7">
        <f t="shared" si="3"/>
        <v>2.5234295845998064E-2</v>
      </c>
      <c r="O20" s="10"/>
      <c r="P20" s="6">
        <v>3027.87</v>
      </c>
      <c r="Q20" s="2"/>
      <c r="R20" s="7">
        <f t="shared" si="4"/>
        <v>0</v>
      </c>
      <c r="S20" s="2"/>
      <c r="T20" s="6">
        <v>3092.12</v>
      </c>
      <c r="U20" s="2"/>
      <c r="V20" s="7">
        <f t="shared" si="5"/>
        <v>0</v>
      </c>
      <c r="W20" s="2"/>
      <c r="X20" s="6">
        <f t="shared" si="6"/>
        <v>-64.25</v>
      </c>
      <c r="Y20" s="2"/>
      <c r="Z20" s="7">
        <f t="shared" si="7"/>
        <v>-2.0778624374215748E-2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292.88</v>
      </c>
      <c r="E21" s="2"/>
      <c r="F21" s="7">
        <f t="shared" si="0"/>
        <v>0</v>
      </c>
      <c r="G21" s="2"/>
      <c r="H21" s="6">
        <v>279.52</v>
      </c>
      <c r="I21" s="2"/>
      <c r="J21" s="7">
        <f t="shared" si="1"/>
        <v>0</v>
      </c>
      <c r="K21" s="2"/>
      <c r="L21" s="6">
        <f t="shared" si="2"/>
        <v>13.360000000000014</v>
      </c>
      <c r="M21" s="2"/>
      <c r="N21" s="7">
        <f t="shared" si="3"/>
        <v>4.7796222095020088E-2</v>
      </c>
      <c r="O21" s="10"/>
      <c r="P21" s="6">
        <v>2741.58</v>
      </c>
      <c r="Q21" s="2"/>
      <c r="R21" s="7">
        <f t="shared" si="4"/>
        <v>0</v>
      </c>
      <c r="S21" s="2"/>
      <c r="T21" s="6">
        <v>2372.4499999999998</v>
      </c>
      <c r="U21" s="2"/>
      <c r="V21" s="7">
        <f t="shared" si="5"/>
        <v>0</v>
      </c>
      <c r="W21" s="2"/>
      <c r="X21" s="6">
        <f t="shared" si="6"/>
        <v>369.13000000000011</v>
      </c>
      <c r="Y21" s="2"/>
      <c r="Z21" s="7">
        <f t="shared" si="7"/>
        <v>0.15559021264937095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699.91</v>
      </c>
      <c r="E22" s="2"/>
      <c r="F22" s="7">
        <f t="shared" si="0"/>
        <v>0</v>
      </c>
      <c r="G22" s="2"/>
      <c r="H22" s="6">
        <v>696.16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5.3866927143185481E-3</v>
      </c>
      <c r="O22" s="10"/>
      <c r="P22" s="6">
        <v>6276.69</v>
      </c>
      <c r="Q22" s="2"/>
      <c r="R22" s="7">
        <f t="shared" si="4"/>
        <v>0</v>
      </c>
      <c r="S22" s="2"/>
      <c r="T22" s="6">
        <v>6259.32</v>
      </c>
      <c r="U22" s="2"/>
      <c r="V22" s="7">
        <f t="shared" si="5"/>
        <v>0</v>
      </c>
      <c r="W22" s="2"/>
      <c r="X22" s="6">
        <f t="shared" si="6"/>
        <v>17.369999999999891</v>
      </c>
      <c r="Y22" s="2"/>
      <c r="Z22" s="7">
        <f t="shared" si="7"/>
        <v>2.7750618278023637E-3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10.99</v>
      </c>
      <c r="E23" s="2"/>
      <c r="F23" s="7">
        <f t="shared" si="0"/>
        <v>0</v>
      </c>
      <c r="G23" s="2"/>
      <c r="H23" s="6">
        <v>10.74</v>
      </c>
      <c r="I23" s="2"/>
      <c r="J23" s="7">
        <f t="shared" si="1"/>
        <v>0</v>
      </c>
      <c r="K23" s="2"/>
      <c r="L23" s="6">
        <f t="shared" si="2"/>
        <v>0.25</v>
      </c>
      <c r="M23" s="2"/>
      <c r="N23" s="7">
        <f t="shared" si="3"/>
        <v>2.3277467411545624E-2</v>
      </c>
      <c r="O23" s="10"/>
      <c r="P23" s="6">
        <v>102.87</v>
      </c>
      <c r="Q23" s="2"/>
      <c r="R23" s="7">
        <f t="shared" si="4"/>
        <v>0</v>
      </c>
      <c r="S23" s="2"/>
      <c r="T23" s="6">
        <v>104.16</v>
      </c>
      <c r="U23" s="2"/>
      <c r="V23" s="7">
        <f t="shared" si="5"/>
        <v>0</v>
      </c>
      <c r="W23" s="2"/>
      <c r="X23" s="6">
        <f t="shared" si="6"/>
        <v>-1.289999999999992</v>
      </c>
      <c r="Y23" s="2"/>
      <c r="Z23" s="7">
        <f t="shared" si="7"/>
        <v>-1.2384792626728034E-2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463.27</v>
      </c>
      <c r="E24" s="2"/>
      <c r="F24" s="7">
        <f t="shared" si="0"/>
        <v>0</v>
      </c>
      <c r="G24" s="2"/>
      <c r="H24" s="6">
        <v>429.26</v>
      </c>
      <c r="I24" s="2"/>
      <c r="J24" s="7">
        <f t="shared" si="1"/>
        <v>0</v>
      </c>
      <c r="K24" s="2"/>
      <c r="L24" s="6">
        <f t="shared" si="2"/>
        <v>34.009999999999991</v>
      </c>
      <c r="M24" s="2"/>
      <c r="N24" s="7">
        <f t="shared" si="3"/>
        <v>7.9229371476494406E-2</v>
      </c>
      <c r="O24" s="10"/>
      <c r="P24" s="6">
        <v>4632.71</v>
      </c>
      <c r="Q24" s="2"/>
      <c r="R24" s="7">
        <f t="shared" si="4"/>
        <v>0</v>
      </c>
      <c r="S24" s="2"/>
      <c r="T24" s="6">
        <v>4077.96</v>
      </c>
      <c r="U24" s="2"/>
      <c r="V24" s="7">
        <f t="shared" si="5"/>
        <v>0</v>
      </c>
      <c r="W24" s="2"/>
      <c r="X24" s="6">
        <f t="shared" si="6"/>
        <v>554.75</v>
      </c>
      <c r="Y24" s="2"/>
      <c r="Z24" s="7">
        <f t="shared" si="7"/>
        <v>0.13603615533256824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>
        <v>387.96</v>
      </c>
      <c r="E25" s="2"/>
      <c r="F25" s="7">
        <f t="shared" si="0"/>
        <v>0</v>
      </c>
      <c r="G25" s="2"/>
      <c r="H25" s="6">
        <v>387.96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>
        <v>2585.7800000000002</v>
      </c>
      <c r="Q25" s="2"/>
      <c r="R25" s="7">
        <f t="shared" si="4"/>
        <v>0</v>
      </c>
      <c r="S25" s="2"/>
      <c r="T25" s="6">
        <v>4000.85</v>
      </c>
      <c r="U25" s="2"/>
      <c r="V25" s="7">
        <f t="shared" si="5"/>
        <v>0</v>
      </c>
      <c r="W25" s="2"/>
      <c r="X25" s="6">
        <f t="shared" si="6"/>
        <v>-1415.0699999999997</v>
      </c>
      <c r="Y25" s="2"/>
      <c r="Z25" s="7">
        <f t="shared" si="7"/>
        <v>-0.35369234037766967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>
        <v>193.72</v>
      </c>
      <c r="E26" s="2"/>
      <c r="F26" s="7">
        <f t="shared" si="0"/>
        <v>0</v>
      </c>
      <c r="G26" s="2"/>
      <c r="H26" s="6">
        <v>193.72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1840.34</v>
      </c>
      <c r="Q26" s="2"/>
      <c r="R26" s="7">
        <f t="shared" si="4"/>
        <v>0</v>
      </c>
      <c r="S26" s="2"/>
      <c r="T26" s="6">
        <v>2685.38</v>
      </c>
      <c r="U26" s="2"/>
      <c r="V26" s="7">
        <f t="shared" si="5"/>
        <v>0</v>
      </c>
      <c r="W26" s="2"/>
      <c r="X26" s="6">
        <f t="shared" si="6"/>
        <v>-845.04000000000019</v>
      </c>
      <c r="Y26" s="2"/>
      <c r="Z26" s="7">
        <f t="shared" si="7"/>
        <v>-0.31468172102272313</v>
      </c>
    </row>
    <row r="27" spans="1:26" s="23" customFormat="1" hidden="1" outlineLevel="2" x14ac:dyDescent="0.25">
      <c r="A27" s="25"/>
      <c r="B27" s="10" t="str">
        <f>CONCATENATE("          ", "6156", " - ", "EMPLOYEE MEALS")</f>
        <v xml:space="preserve">          6156 - EMPLOYEE MEALS</v>
      </c>
      <c r="C27" s="10"/>
      <c r="D27" s="6">
        <v>175</v>
      </c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175</v>
      </c>
      <c r="M27" s="2"/>
      <c r="N27" s="7">
        <f t="shared" si="3"/>
        <v>0</v>
      </c>
      <c r="O27" s="10"/>
      <c r="P27" s="6">
        <v>1248.79</v>
      </c>
      <c r="Q27" s="2"/>
      <c r="R27" s="7">
        <f t="shared" si="4"/>
        <v>0</v>
      </c>
      <c r="S27" s="2"/>
      <c r="T27" s="6">
        <v>1180.27</v>
      </c>
      <c r="U27" s="2"/>
      <c r="V27" s="7">
        <f t="shared" si="5"/>
        <v>0</v>
      </c>
      <c r="W27" s="2"/>
      <c r="X27" s="6">
        <f t="shared" si="6"/>
        <v>68.519999999999982</v>
      </c>
      <c r="Y27" s="2"/>
      <c r="Z27" s="7">
        <f t="shared" si="7"/>
        <v>5.805451295042658E-2</v>
      </c>
    </row>
    <row r="28" spans="1:26" s="26" customFormat="1" outlineLevel="1" collapsed="1" x14ac:dyDescent="0.25">
      <c r="A28" s="27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4294.43</v>
      </c>
      <c r="E28" s="1"/>
      <c r="F28" s="5">
        <f t="shared" ref="F28:F36" si="8">IF(D$12=0,0,D28/D$12)</f>
        <v>0</v>
      </c>
      <c r="G28" s="1"/>
      <c r="H28" s="1">
        <f>SUM(OSRRefH22_1x_0)</f>
        <v>0</v>
      </c>
      <c r="I28" s="1"/>
      <c r="J28" s="5">
        <f t="shared" ref="J28:J36" si="9">IF(H$12=0,0,H28/H$12)</f>
        <v>0</v>
      </c>
      <c r="K28" s="1"/>
      <c r="L28" s="1">
        <f t="shared" ref="L28:L36" si="10">+D28-H28</f>
        <v>4294.43</v>
      </c>
      <c r="M28" s="1"/>
      <c r="N28" s="5">
        <f t="shared" ref="N28:N36" si="11">IF(H28=0,0,L28/H28)</f>
        <v>0</v>
      </c>
      <c r="O28" s="12"/>
      <c r="P28" s="1">
        <f>SUM(OSRRefP22_1x_0)</f>
        <v>38042.39</v>
      </c>
      <c r="Q28" s="1"/>
      <c r="R28" s="5">
        <f t="shared" ref="R28:R36" si="12">IF(P$12=0,0,P28/P$12)</f>
        <v>0</v>
      </c>
      <c r="S28" s="1"/>
      <c r="T28" s="1">
        <f>SUM(OSRRefT22_1x_0)</f>
        <v>33348.699999999997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4693.6900000000023</v>
      </c>
      <c r="Y28" s="1"/>
      <c r="Z28" s="5">
        <f t="shared" ref="Z28:Z36" si="15">IF(T28=0,0,X28/T28)</f>
        <v>0.14074581617874168</v>
      </c>
    </row>
    <row r="29" spans="1:26" s="23" customFormat="1" hidden="1" outlineLevel="2" x14ac:dyDescent="0.25">
      <c r="A29" s="25"/>
      <c r="B29" s="10" t="str">
        <f>CONCATENATE("          ", "6002", " - ", "STAFF SALARIES")</f>
        <v xml:space="preserve">          6002 - STAFF SALARIES</v>
      </c>
      <c r="C29" s="10"/>
      <c r="D29" s="6">
        <v>4294.43</v>
      </c>
      <c r="E29" s="2"/>
      <c r="F29" s="7">
        <f t="shared" si="8"/>
        <v>0</v>
      </c>
      <c r="G29" s="2"/>
      <c r="H29" s="6">
        <v>0</v>
      </c>
      <c r="I29" s="2"/>
      <c r="J29" s="7">
        <f t="shared" si="9"/>
        <v>0</v>
      </c>
      <c r="K29" s="2"/>
      <c r="L29" s="6">
        <f t="shared" si="10"/>
        <v>4294.43</v>
      </c>
      <c r="M29" s="2"/>
      <c r="N29" s="7">
        <f t="shared" si="11"/>
        <v>0</v>
      </c>
      <c r="O29" s="10"/>
      <c r="P29" s="6">
        <v>38042.39</v>
      </c>
      <c r="Q29" s="2"/>
      <c r="R29" s="7">
        <f t="shared" si="12"/>
        <v>0</v>
      </c>
      <c r="S29" s="2"/>
      <c r="T29" s="6">
        <v>33348.699999999997</v>
      </c>
      <c r="U29" s="2"/>
      <c r="V29" s="7">
        <f t="shared" si="13"/>
        <v>0</v>
      </c>
      <c r="W29" s="2"/>
      <c r="X29" s="6">
        <f t="shared" si="14"/>
        <v>4693.6900000000023</v>
      </c>
      <c r="Y29" s="2"/>
      <c r="Z29" s="7">
        <f t="shared" si="15"/>
        <v>0.14074581617874168</v>
      </c>
    </row>
    <row r="30" spans="1:26" s="26" customFormat="1" outlineLevel="1" collapsed="1" x14ac:dyDescent="0.25">
      <c r="A30" s="27"/>
      <c r="B30" s="12" t="str">
        <f>CONCATENATE("     ","General                                           ")</f>
        <v xml:space="preserve">     General                                           </v>
      </c>
      <c r="C30" s="12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-199.33</v>
      </c>
      <c r="I30" s="1"/>
      <c r="J30" s="5">
        <f t="shared" si="9"/>
        <v>0</v>
      </c>
      <c r="K30" s="1"/>
      <c r="L30" s="1">
        <f t="shared" si="10"/>
        <v>199.33</v>
      </c>
      <c r="M30" s="1"/>
      <c r="N30" s="5">
        <f t="shared" si="11"/>
        <v>-1</v>
      </c>
      <c r="O30" s="12"/>
      <c r="P30" s="1">
        <f>SUM(OSRRefP22_2x_0)</f>
        <v>-238.8</v>
      </c>
      <c r="Q30" s="1"/>
      <c r="R30" s="5">
        <f t="shared" si="12"/>
        <v>0</v>
      </c>
      <c r="S30" s="1"/>
      <c r="T30" s="1">
        <f>SUM(OSRRefT22_2x_0)</f>
        <v>-908.94</v>
      </c>
      <c r="U30" s="1"/>
      <c r="V30" s="5">
        <f t="shared" si="13"/>
        <v>0</v>
      </c>
      <c r="W30" s="1"/>
      <c r="X30" s="1">
        <f t="shared" si="14"/>
        <v>670.1400000000001</v>
      </c>
      <c r="Y30" s="1"/>
      <c r="Z30" s="5">
        <f t="shared" si="15"/>
        <v>-0.73727638788038818</v>
      </c>
    </row>
    <row r="31" spans="1:26" s="23" customFormat="1" hidden="1" outlineLevel="2" x14ac:dyDescent="0.25">
      <c r="A31" s="25"/>
      <c r="B31" s="10" t="str">
        <f>CONCATENATE("          ", "6279", " - ", "GENERAL EXPENSE")</f>
        <v xml:space="preserve">          6279 - GENERAL EXPENSE</v>
      </c>
      <c r="C31" s="10"/>
      <c r="D31" s="6"/>
      <c r="E31" s="2"/>
      <c r="F31" s="7">
        <f t="shared" si="8"/>
        <v>0</v>
      </c>
      <c r="G31" s="2"/>
      <c r="H31" s="6">
        <v>-199.33</v>
      </c>
      <c r="I31" s="2"/>
      <c r="J31" s="7">
        <f t="shared" si="9"/>
        <v>0</v>
      </c>
      <c r="K31" s="2"/>
      <c r="L31" s="6">
        <f t="shared" si="10"/>
        <v>199.33</v>
      </c>
      <c r="M31" s="2"/>
      <c r="N31" s="7">
        <f t="shared" si="11"/>
        <v>-1</v>
      </c>
      <c r="O31" s="10"/>
      <c r="P31" s="6">
        <v>-238.8</v>
      </c>
      <c r="Q31" s="2"/>
      <c r="R31" s="7">
        <f t="shared" si="12"/>
        <v>0</v>
      </c>
      <c r="S31" s="2"/>
      <c r="T31" s="6">
        <v>-908.94</v>
      </c>
      <c r="U31" s="2"/>
      <c r="V31" s="7">
        <f t="shared" si="13"/>
        <v>0</v>
      </c>
      <c r="W31" s="2"/>
      <c r="X31" s="6">
        <f t="shared" si="14"/>
        <v>670.1400000000001</v>
      </c>
      <c r="Y31" s="2"/>
      <c r="Z31" s="7">
        <f t="shared" si="15"/>
        <v>-0.73727638788038818</v>
      </c>
    </row>
    <row r="32" spans="1:26" s="26" customFormat="1" outlineLevel="1" collapsed="1" x14ac:dyDescent="0.25">
      <c r="A32" s="27"/>
      <c r="B32" s="12" t="str">
        <f>CONCATENATE("     ","Insurance                                         ")</f>
        <v xml:space="preserve">     Insurance                                         </v>
      </c>
      <c r="C32" s="12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2"/>
      <c r="P32" s="1">
        <f>SUM(OSRRefP22_3x_0)</f>
        <v>221.04</v>
      </c>
      <c r="Q32" s="1"/>
      <c r="R32" s="5">
        <f t="shared" si="12"/>
        <v>0</v>
      </c>
      <c r="S32" s="1"/>
      <c r="T32" s="1">
        <f>SUM(OSRRefT22_3x_0)</f>
        <v>221.04</v>
      </c>
      <c r="U32" s="1"/>
      <c r="V32" s="5">
        <f t="shared" si="13"/>
        <v>0</v>
      </c>
      <c r="W32" s="1"/>
      <c r="X32" s="1">
        <f t="shared" si="14"/>
        <v>0</v>
      </c>
      <c r="Y32" s="1"/>
      <c r="Z32" s="5">
        <f t="shared" si="15"/>
        <v>0</v>
      </c>
    </row>
    <row r="33" spans="1:26" s="23" customFormat="1" hidden="1" outlineLevel="2" x14ac:dyDescent="0.25">
      <c r="A33" s="25"/>
      <c r="B33" s="10" t="str">
        <f>CONCATENATE("          ", "6314", " - ", "LIABILITY INSURANCE")</f>
        <v xml:space="preserve">          6314 - LIABILITY INSURANCE</v>
      </c>
      <c r="C33" s="10"/>
      <c r="D33" s="6">
        <v>24.56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0"/>
      <c r="P33" s="6">
        <v>221.04</v>
      </c>
      <c r="Q33" s="2"/>
      <c r="R33" s="7">
        <f t="shared" si="12"/>
        <v>0</v>
      </c>
      <c r="S33" s="2"/>
      <c r="T33" s="6">
        <v>221.04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6" customFormat="1" outlineLevel="1" collapsed="1" x14ac:dyDescent="0.25">
      <c r="A34" s="27"/>
      <c r="B34" s="12" t="str">
        <f>CONCATENATE("     ","Repair and Maintenance                            ")</f>
        <v xml:space="preserve">     Repair and Maintenance                            </v>
      </c>
      <c r="C34" s="12"/>
      <c r="D34" s="1">
        <f>SUM(OSRRefD22_4x_0)</f>
        <v>891.98</v>
      </c>
      <c r="E34" s="1"/>
      <c r="F34" s="5">
        <f t="shared" si="8"/>
        <v>0</v>
      </c>
      <c r="G34" s="1"/>
      <c r="H34" s="1">
        <f>SUM(OSRRefH22_4x_0)</f>
        <v>2835.88</v>
      </c>
      <c r="I34" s="1"/>
      <c r="J34" s="5">
        <f t="shared" si="9"/>
        <v>0</v>
      </c>
      <c r="K34" s="1"/>
      <c r="L34" s="1">
        <f t="shared" si="10"/>
        <v>-1943.9</v>
      </c>
      <c r="M34" s="1"/>
      <c r="N34" s="5">
        <f t="shared" si="11"/>
        <v>-0.68546623975626619</v>
      </c>
      <c r="O34" s="12"/>
      <c r="P34" s="1">
        <f>SUM(OSRRefP22_4x_0)</f>
        <v>9176.23</v>
      </c>
      <c r="Q34" s="1"/>
      <c r="R34" s="5">
        <f t="shared" si="12"/>
        <v>0</v>
      </c>
      <c r="S34" s="1"/>
      <c r="T34" s="1">
        <f>SUM(OSRRefT22_4x_0)</f>
        <v>13288.640000000001</v>
      </c>
      <c r="U34" s="1"/>
      <c r="V34" s="5">
        <f t="shared" si="13"/>
        <v>0</v>
      </c>
      <c r="W34" s="1"/>
      <c r="X34" s="1">
        <f t="shared" si="14"/>
        <v>-4112.4100000000017</v>
      </c>
      <c r="Y34" s="1"/>
      <c r="Z34" s="5">
        <f t="shared" si="15"/>
        <v>-0.309468087027717</v>
      </c>
    </row>
    <row r="35" spans="1:26" s="23" customFormat="1" hidden="1" outlineLevel="2" x14ac:dyDescent="0.25">
      <c r="A35" s="25"/>
      <c r="B35" s="10" t="str">
        <f>CONCATENATE("          ", "6373", " - ", "MAINTENANCE CONTRACTS")</f>
        <v xml:space="preserve">          6373 - MAINTENANCE CONTRACTS</v>
      </c>
      <c r="C35" s="10"/>
      <c r="D35" s="6">
        <v>891.98</v>
      </c>
      <c r="E35" s="2"/>
      <c r="F35" s="7">
        <f t="shared" si="8"/>
        <v>0</v>
      </c>
      <c r="G35" s="2"/>
      <c r="H35" s="6">
        <v>1448.13</v>
      </c>
      <c r="I35" s="2"/>
      <c r="J35" s="7">
        <f t="shared" si="9"/>
        <v>0</v>
      </c>
      <c r="K35" s="2"/>
      <c r="L35" s="6">
        <f t="shared" si="10"/>
        <v>-556.15000000000009</v>
      </c>
      <c r="M35" s="2"/>
      <c r="N35" s="7">
        <f t="shared" si="11"/>
        <v>-0.38404701235386329</v>
      </c>
      <c r="O35" s="10"/>
      <c r="P35" s="6">
        <v>7005.94</v>
      </c>
      <c r="Q35" s="2"/>
      <c r="R35" s="7">
        <f t="shared" si="12"/>
        <v>0</v>
      </c>
      <c r="S35" s="2"/>
      <c r="T35" s="6">
        <v>11339.78</v>
      </c>
      <c r="U35" s="2"/>
      <c r="V35" s="7">
        <f t="shared" si="13"/>
        <v>0</v>
      </c>
      <c r="W35" s="2"/>
      <c r="X35" s="6">
        <f t="shared" si="14"/>
        <v>-4333.8400000000011</v>
      </c>
      <c r="Y35" s="2"/>
      <c r="Z35" s="7">
        <f t="shared" si="15"/>
        <v>-0.38218025393790717</v>
      </c>
    </row>
    <row r="36" spans="1:26" s="23" customFormat="1" hidden="1" outlineLevel="2" x14ac:dyDescent="0.25">
      <c r="A36" s="25"/>
      <c r="B36" s="10" t="str">
        <f>CONCATENATE("          ", "6375", " - ", "OUTSIDE REPAIRS &amp; MAINTENANCE")</f>
        <v xml:space="preserve">          6375 - OUTSIDE REPAIRS &amp; MAINTENANCE</v>
      </c>
      <c r="C36" s="10"/>
      <c r="D36" s="6"/>
      <c r="E36" s="2"/>
      <c r="F36" s="7">
        <f t="shared" si="8"/>
        <v>0</v>
      </c>
      <c r="G36" s="2"/>
      <c r="H36" s="6">
        <v>1387.75</v>
      </c>
      <c r="I36" s="2"/>
      <c r="J36" s="7">
        <f t="shared" si="9"/>
        <v>0</v>
      </c>
      <c r="K36" s="2"/>
      <c r="L36" s="6">
        <f t="shared" si="10"/>
        <v>-1387.75</v>
      </c>
      <c r="M36" s="2"/>
      <c r="N36" s="7">
        <f t="shared" si="11"/>
        <v>-1</v>
      </c>
      <c r="O36" s="10"/>
      <c r="P36" s="6">
        <v>2170.29</v>
      </c>
      <c r="Q36" s="2"/>
      <c r="R36" s="7">
        <f t="shared" si="12"/>
        <v>0</v>
      </c>
      <c r="S36" s="2"/>
      <c r="T36" s="6">
        <v>1948.86</v>
      </c>
      <c r="U36" s="2"/>
      <c r="V36" s="7">
        <f t="shared" si="13"/>
        <v>0</v>
      </c>
      <c r="W36" s="2"/>
      <c r="X36" s="6">
        <f t="shared" si="14"/>
        <v>221.43000000000006</v>
      </c>
      <c r="Y36" s="2"/>
      <c r="Z36" s="7">
        <f t="shared" si="15"/>
        <v>0.11362027031187467</v>
      </c>
    </row>
    <row r="37" spans="1:26" s="26" customFormat="1" outlineLevel="1" collapsed="1" x14ac:dyDescent="0.25">
      <c r="A37" s="27"/>
      <c r="B37" s="12" t="str">
        <f>CONCATENATE("     ","Services                                          ")</f>
        <v xml:space="preserve">     Services                                          </v>
      </c>
      <c r="C37" s="12"/>
      <c r="D37" s="1">
        <f>SUM(OSRRefD22_5x_0)</f>
        <v>0</v>
      </c>
      <c r="E37" s="1"/>
      <c r="F37" s="5">
        <f t="shared" ref="F37:F42" si="16">IF(D$12=0,0,D37/D$12)</f>
        <v>0</v>
      </c>
      <c r="G37" s="1"/>
      <c r="H37" s="1">
        <f>SUM(OSRRefH22_5x_0)</f>
        <v>13.26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-13.26</v>
      </c>
      <c r="M37" s="1"/>
      <c r="N37" s="5">
        <f t="shared" ref="N37:N42" si="19">IF(H37=0,0,L37/H37)</f>
        <v>-1</v>
      </c>
      <c r="O37" s="12"/>
      <c r="P37" s="1">
        <f>SUM(OSRRefP22_5x_0)</f>
        <v>0</v>
      </c>
      <c r="Q37" s="1"/>
      <c r="R37" s="5">
        <f t="shared" ref="R37:R42" si="20">IF(P$12=0,0,P37/P$12)</f>
        <v>0</v>
      </c>
      <c r="S37" s="1"/>
      <c r="T37" s="1">
        <f>SUM(OSRRefT22_5x_0)</f>
        <v>83.98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-83.98</v>
      </c>
      <c r="Y37" s="1"/>
      <c r="Z37" s="5">
        <f t="shared" ref="Z37:Z42" si="23">IF(T37=0,0,X37/T37)</f>
        <v>-1</v>
      </c>
    </row>
    <row r="38" spans="1:26" s="23" customFormat="1" hidden="1" outlineLevel="2" x14ac:dyDescent="0.25">
      <c r="A38" s="25"/>
      <c r="B38" s="10" t="str">
        <f>CONCATENATE("          ", "6286", " - ", "LAUNDRY EXPENSE")</f>
        <v xml:space="preserve">          6286 - LAUNDRY EXPENSE</v>
      </c>
      <c r="C38" s="10"/>
      <c r="D38" s="6"/>
      <c r="E38" s="2"/>
      <c r="F38" s="7">
        <f t="shared" si="16"/>
        <v>0</v>
      </c>
      <c r="G38" s="2"/>
      <c r="H38" s="6">
        <v>13.26</v>
      </c>
      <c r="I38" s="2"/>
      <c r="J38" s="7">
        <f t="shared" si="17"/>
        <v>0</v>
      </c>
      <c r="K38" s="2"/>
      <c r="L38" s="6">
        <f t="shared" si="18"/>
        <v>-13.26</v>
      </c>
      <c r="M38" s="2"/>
      <c r="N38" s="7">
        <f t="shared" si="19"/>
        <v>-1</v>
      </c>
      <c r="O38" s="10"/>
      <c r="P38" s="6"/>
      <c r="Q38" s="2"/>
      <c r="R38" s="7">
        <f t="shared" si="20"/>
        <v>0</v>
      </c>
      <c r="S38" s="2"/>
      <c r="T38" s="6">
        <v>83.98</v>
      </c>
      <c r="U38" s="2"/>
      <c r="V38" s="7">
        <f t="shared" si="21"/>
        <v>0</v>
      </c>
      <c r="W38" s="2"/>
      <c r="X38" s="6">
        <f t="shared" si="22"/>
        <v>-83.98</v>
      </c>
      <c r="Y38" s="2"/>
      <c r="Z38" s="7">
        <f t="shared" si="23"/>
        <v>-1</v>
      </c>
    </row>
    <row r="39" spans="1:26" s="26" customFormat="1" outlineLevel="1" collapsed="1" x14ac:dyDescent="0.25">
      <c r="A39" s="27"/>
      <c r="B39" s="12" t="str">
        <f>CONCATENATE("     ","Supplies                                          ")</f>
        <v xml:space="preserve">     Supplies                                          </v>
      </c>
      <c r="C39" s="12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2"/>
      <c r="P39" s="1">
        <f>SUM(OSRRefP22_6x_0)</f>
        <v>84.84</v>
      </c>
      <c r="Q39" s="1"/>
      <c r="R39" s="5">
        <f t="shared" si="20"/>
        <v>0</v>
      </c>
      <c r="S39" s="1"/>
      <c r="T39" s="1">
        <f>SUM(OSRRefT22_6x_0)</f>
        <v>1123.9000000000001</v>
      </c>
      <c r="U39" s="1"/>
      <c r="V39" s="5">
        <f t="shared" si="21"/>
        <v>0</v>
      </c>
      <c r="W39" s="1"/>
      <c r="X39" s="1">
        <f t="shared" si="22"/>
        <v>-1039.0600000000002</v>
      </c>
      <c r="Y39" s="1"/>
      <c r="Z39" s="5">
        <f t="shared" si="23"/>
        <v>-0.92451285701574881</v>
      </c>
    </row>
    <row r="40" spans="1:26" s="23" customFormat="1" hidden="1" outlineLevel="2" x14ac:dyDescent="0.25">
      <c r="A40" s="25"/>
      <c r="B40" s="10" t="str">
        <f>CONCATENATE("          ", "6234", " - ", "EXPENDABLE SUPPLIES &amp; EQUIPMEN")</f>
        <v xml:space="preserve">          6234 - EXPENDABLE SUPPLIES &amp; EQUIPMEN</v>
      </c>
      <c r="C40" s="10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0"/>
      <c r="P40" s="6"/>
      <c r="Q40" s="2"/>
      <c r="R40" s="7">
        <f t="shared" si="20"/>
        <v>0</v>
      </c>
      <c r="S40" s="2"/>
      <c r="T40" s="6">
        <v>1006.59</v>
      </c>
      <c r="U40" s="2"/>
      <c r="V40" s="7">
        <f t="shared" si="21"/>
        <v>0</v>
      </c>
      <c r="W40" s="2"/>
      <c r="X40" s="6">
        <f t="shared" si="22"/>
        <v>-1006.59</v>
      </c>
      <c r="Y40" s="2"/>
      <c r="Z40" s="7">
        <f t="shared" si="23"/>
        <v>-1</v>
      </c>
    </row>
    <row r="41" spans="1:26" s="23" customFormat="1" hidden="1" outlineLevel="2" x14ac:dyDescent="0.25">
      <c r="A41" s="25"/>
      <c r="B41" s="10" t="str">
        <f>CONCATENATE("          ", "6235", " - ", "COVID-19 EXPENSES")</f>
        <v xml:space="preserve">          6235 - COVID-19 EXPENSES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66.12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66.12</v>
      </c>
      <c r="Y41" s="2"/>
      <c r="Z41" s="7">
        <f t="shared" si="23"/>
        <v>0</v>
      </c>
    </row>
    <row r="42" spans="1:26" s="23" customFormat="1" hidden="1" outlineLevel="2" x14ac:dyDescent="0.25">
      <c r="A42" s="25"/>
      <c r="B42" s="10" t="str">
        <f>CONCATENATE("          ", "6241", " - ", "OFFICE EXPENSE")</f>
        <v xml:space="preserve">          6241 - OFFICE EXPENSE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>
        <v>18.72</v>
      </c>
      <c r="Q42" s="2"/>
      <c r="R42" s="7">
        <f t="shared" si="20"/>
        <v>0</v>
      </c>
      <c r="S42" s="2"/>
      <c r="T42" s="6">
        <v>117.31</v>
      </c>
      <c r="U42" s="2"/>
      <c r="V42" s="7">
        <f t="shared" si="21"/>
        <v>0</v>
      </c>
      <c r="W42" s="2"/>
      <c r="X42" s="6">
        <f t="shared" si="22"/>
        <v>-98.59</v>
      </c>
      <c r="Y42" s="2"/>
      <c r="Z42" s="7">
        <f t="shared" si="23"/>
        <v>-0.84042281135453079</v>
      </c>
    </row>
    <row r="43" spans="1:26" s="26" customFormat="1" outlineLevel="1" collapsed="1" x14ac:dyDescent="0.25">
      <c r="A43" s="27"/>
      <c r="B43" s="12" t="str">
        <f>CONCATENATE("     ","Telephone/Data Lines                              ")</f>
        <v xml:space="preserve">     Telephone/Data Lines                              </v>
      </c>
      <c r="C43" s="12"/>
      <c r="D43" s="1">
        <f>SUM(OSRRefD22_7x_0)</f>
        <v>173</v>
      </c>
      <c r="E43" s="1"/>
      <c r="F43" s="5">
        <f t="shared" ref="F43:F46" si="24">IF(D$12=0,0,D43/D$12)</f>
        <v>0</v>
      </c>
      <c r="G43" s="1"/>
      <c r="H43" s="1">
        <f>SUM(OSRRefH22_7x_0)</f>
        <v>74.7</v>
      </c>
      <c r="I43" s="1"/>
      <c r="J43" s="5">
        <f t="shared" ref="J43:J46" si="25">IF(H$12=0,0,H43/H$12)</f>
        <v>0</v>
      </c>
      <c r="K43" s="1"/>
      <c r="L43" s="1">
        <f t="shared" ref="L43:L46" si="26">+D43-H43</f>
        <v>98.3</v>
      </c>
      <c r="M43" s="1"/>
      <c r="N43" s="5">
        <f t="shared" ref="N43:N46" si="27">IF(H43=0,0,L43/H43)</f>
        <v>1.3159303882195448</v>
      </c>
      <c r="O43" s="12"/>
      <c r="P43" s="1">
        <f>SUM(OSRRefP22_7x_0)</f>
        <v>636</v>
      </c>
      <c r="Q43" s="1"/>
      <c r="R43" s="5">
        <f t="shared" ref="R43:R46" si="28">IF(P$12=0,0,P43/P$12)</f>
        <v>0</v>
      </c>
      <c r="S43" s="1"/>
      <c r="T43" s="1">
        <f>SUM(OSRRefT22_7x_0)</f>
        <v>609.20000000000005</v>
      </c>
      <c r="U43" s="1"/>
      <c r="V43" s="5">
        <f t="shared" ref="V43:V46" si="29">IF(T$12=0,0,T43/T$12)</f>
        <v>0</v>
      </c>
      <c r="W43" s="1"/>
      <c r="X43" s="1">
        <f t="shared" ref="X43:X46" si="30">+P43-T43</f>
        <v>26.799999999999955</v>
      </c>
      <c r="Y43" s="1"/>
      <c r="Z43" s="5">
        <f t="shared" ref="Z43:Z46" si="31">IF(T43=0,0,X43/T43)</f>
        <v>4.3992120814182453E-2</v>
      </c>
    </row>
    <row r="44" spans="1:26" s="23" customFormat="1" hidden="1" outlineLevel="2" x14ac:dyDescent="0.25">
      <c r="A44" s="25"/>
      <c r="B44" s="10" t="str">
        <f>CONCATENATE("          ", "6309", " - ", "TELEPHONE")</f>
        <v xml:space="preserve">          6309 - TELEPHONE</v>
      </c>
      <c r="C44" s="10"/>
      <c r="D44" s="6">
        <v>173</v>
      </c>
      <c r="E44" s="2"/>
      <c r="F44" s="7">
        <f t="shared" si="24"/>
        <v>0</v>
      </c>
      <c r="G44" s="2"/>
      <c r="H44" s="6">
        <v>74.7</v>
      </c>
      <c r="I44" s="2"/>
      <c r="J44" s="7">
        <f t="shared" si="25"/>
        <v>0</v>
      </c>
      <c r="K44" s="2"/>
      <c r="L44" s="6">
        <f t="shared" si="26"/>
        <v>98.3</v>
      </c>
      <c r="M44" s="2"/>
      <c r="N44" s="7">
        <f t="shared" si="27"/>
        <v>1.3159303882195448</v>
      </c>
      <c r="O44" s="10"/>
      <c r="P44" s="6">
        <v>636</v>
      </c>
      <c r="Q44" s="2"/>
      <c r="R44" s="7">
        <f t="shared" si="28"/>
        <v>0</v>
      </c>
      <c r="S44" s="2"/>
      <c r="T44" s="6">
        <v>609.20000000000005</v>
      </c>
      <c r="U44" s="2"/>
      <c r="V44" s="7">
        <f t="shared" si="29"/>
        <v>0</v>
      </c>
      <c r="W44" s="2"/>
      <c r="X44" s="6">
        <f t="shared" si="30"/>
        <v>26.799999999999955</v>
      </c>
      <c r="Y44" s="2"/>
      <c r="Z44" s="7">
        <f t="shared" si="31"/>
        <v>4.3992120814182453E-2</v>
      </c>
    </row>
    <row r="45" spans="1:26" s="26" customFormat="1" outlineLevel="1" collapsed="1" x14ac:dyDescent="0.25">
      <c r="A45" s="27"/>
      <c r="B45" s="12" t="str">
        <f>CONCATENATE("     ","Travel                                            ")</f>
        <v xml:space="preserve">     Travel                                            </v>
      </c>
      <c r="C45" s="12"/>
      <c r="D45" s="1">
        <f>SUM(OSRRefD22_8x_0)</f>
        <v>0</v>
      </c>
      <c r="E45" s="1"/>
      <c r="F45" s="5">
        <f t="shared" si="24"/>
        <v>0</v>
      </c>
      <c r="G45" s="1"/>
      <c r="H45" s="1">
        <f>SUM(OSRRefH22_8x_0)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2"/>
      <c r="P45" s="1">
        <f>SUM(OSRRefP22_8x_0)</f>
        <v>0</v>
      </c>
      <c r="Q45" s="1"/>
      <c r="R45" s="5">
        <f t="shared" si="28"/>
        <v>0</v>
      </c>
      <c r="S45" s="1"/>
      <c r="T45" s="1">
        <f>SUM(OSRRefT22_8x_0)</f>
        <v>256.86</v>
      </c>
      <c r="U45" s="1"/>
      <c r="V45" s="5">
        <f t="shared" si="29"/>
        <v>0</v>
      </c>
      <c r="W45" s="1"/>
      <c r="X45" s="1">
        <f t="shared" si="30"/>
        <v>-256.86</v>
      </c>
      <c r="Y45" s="1"/>
      <c r="Z45" s="5">
        <f t="shared" si="31"/>
        <v>-1</v>
      </c>
    </row>
    <row r="46" spans="1:26" s="23" customFormat="1" hidden="1" outlineLevel="2" x14ac:dyDescent="0.25">
      <c r="A46" s="25"/>
      <c r="B46" s="10" t="str">
        <f>CONCATENATE("          ", "6292", " - ", "TRAVEL/CONFERENCE")</f>
        <v xml:space="preserve">          6292 - TRAVEL/CONFERENCE</v>
      </c>
      <c r="C46" s="10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0"/>
      <c r="P46" s="6"/>
      <c r="Q46" s="2"/>
      <c r="R46" s="7">
        <f t="shared" si="28"/>
        <v>0</v>
      </c>
      <c r="S46" s="2"/>
      <c r="T46" s="6">
        <v>256.86</v>
      </c>
      <c r="U46" s="2"/>
      <c r="V46" s="7">
        <f t="shared" si="29"/>
        <v>0</v>
      </c>
      <c r="W46" s="2"/>
      <c r="X46" s="6">
        <f t="shared" si="30"/>
        <v>-256.86</v>
      </c>
      <c r="Y46" s="2"/>
      <c r="Z46" s="7">
        <f t="shared" si="31"/>
        <v>-1</v>
      </c>
    </row>
    <row r="47" spans="1:26" s="60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4" customFormat="1" x14ac:dyDescent="0.25">
      <c r="A48" s="11"/>
      <c r="B48" s="28" t="s">
        <v>292</v>
      </c>
      <c r="C48" s="11"/>
      <c r="D48" s="4">
        <f>SUM(0)</f>
        <v>0</v>
      </c>
      <c r="E48" s="4"/>
      <c r="F48" s="13">
        <f>IF(D$12=0,0,D48/D$12)</f>
        <v>0</v>
      </c>
      <c r="G48" s="4"/>
      <c r="H48" s="4">
        <f>SUM(0)</f>
        <v>0</v>
      </c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1"/>
      <c r="P48" s="4">
        <f>SUM(0)</f>
        <v>0</v>
      </c>
      <c r="Q48" s="4"/>
      <c r="R48" s="13">
        <f>IF(P$12=0,0,P48/P$12)</f>
        <v>0</v>
      </c>
      <c r="S48" s="4"/>
      <c r="T48" s="4">
        <f>SUM(0)</f>
        <v>0</v>
      </c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1"/>
      <c r="C49" s="11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1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4" customFormat="1" x14ac:dyDescent="0.25">
      <c r="A50" s="11"/>
      <c r="B50" s="29" t="s">
        <v>276</v>
      </c>
      <c r="C50" s="29"/>
      <c r="D50" s="22">
        <f>+D16-D18+D48</f>
        <v>-7931.51</v>
      </c>
      <c r="E50" s="14"/>
      <c r="F50" s="20">
        <f>IF(D$12=0,0,D50/D$12)</f>
        <v>0</v>
      </c>
      <c r="G50" s="14"/>
      <c r="H50" s="22">
        <f>+H16-H18+H48</f>
        <v>-5062.2699999999995</v>
      </c>
      <c r="I50" s="14"/>
      <c r="J50" s="20">
        <f>IF(H$12=0,0,H50/H$12)</f>
        <v>0</v>
      </c>
      <c r="K50" s="15"/>
      <c r="L50" s="22">
        <f>+D50-H50</f>
        <v>-2869.2400000000007</v>
      </c>
      <c r="M50" s="15"/>
      <c r="N50" s="20">
        <f>IF(H50=0,0,L50/H50)</f>
        <v>0.5667892072133649</v>
      </c>
      <c r="O50" s="28"/>
      <c r="P50" s="22">
        <f>+P16-P18+P48</f>
        <v>-70378.329999999987</v>
      </c>
      <c r="Q50" s="14"/>
      <c r="R50" s="20">
        <f>IF(P$12=0,0,P50/P$12)</f>
        <v>0</v>
      </c>
      <c r="S50" s="14"/>
      <c r="T50" s="22">
        <f>+T16-T18+T48</f>
        <v>-71795.889999999985</v>
      </c>
      <c r="U50" s="14"/>
      <c r="V50" s="20">
        <f>IF(T$12=0,0,T50/T$12)</f>
        <v>0</v>
      </c>
      <c r="W50" s="15"/>
      <c r="X50" s="22">
        <f>+P50-T50</f>
        <v>1417.5599999999977</v>
      </c>
      <c r="Y50" s="15"/>
      <c r="Z50" s="20">
        <f>IF(T50=0,0,X50/T50)</f>
        <v>-1.9744305697721665E-2</v>
      </c>
    </row>
    <row r="51" spans="1:26" x14ac:dyDescent="0.25">
      <c r="A51" s="9"/>
      <c r="B51" s="11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4" customFormat="1" x14ac:dyDescent="0.25">
      <c r="A52" s="51"/>
      <c r="B52" s="11" t="s">
        <v>127</v>
      </c>
      <c r="C52" s="11"/>
      <c r="D52" s="4"/>
      <c r="E52" s="4"/>
      <c r="F52" s="13">
        <f>IF(D$12=0,0,D52/D$12)</f>
        <v>0</v>
      </c>
      <c r="G52" s="4"/>
      <c r="H52" s="4"/>
      <c r="I52" s="4"/>
      <c r="J52" s="13">
        <f>IF(H$12=0,0,H52/H$12)</f>
        <v>0</v>
      </c>
      <c r="K52" s="4"/>
      <c r="L52" s="4">
        <f>+D52-H52</f>
        <v>0</v>
      </c>
      <c r="M52" s="4"/>
      <c r="N52" s="13">
        <f>IF(H52=0,0,L52/H52)</f>
        <v>0</v>
      </c>
      <c r="O52" s="11"/>
      <c r="P52" s="4"/>
      <c r="Q52" s="4"/>
      <c r="R52" s="13">
        <f>IF(P$12=0,0,P52/P$12)</f>
        <v>0</v>
      </c>
      <c r="S52" s="4"/>
      <c r="T52" s="4"/>
      <c r="U52" s="4"/>
      <c r="V52" s="13">
        <f>IF(T$12=0,0,T52/T$12)</f>
        <v>0</v>
      </c>
      <c r="W52" s="4"/>
      <c r="X52" s="4">
        <f>+P52-T52</f>
        <v>0</v>
      </c>
      <c r="Y52" s="4"/>
      <c r="Z52" s="13">
        <f>IF(T52=0,0,X52/T52)</f>
        <v>0</v>
      </c>
    </row>
    <row r="53" spans="1:26" x14ac:dyDescent="0.25">
      <c r="A53" s="9"/>
      <c r="B53" s="11"/>
      <c r="C53" s="11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1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4" customFormat="1" ht="15.75" thickBot="1" x14ac:dyDescent="0.3">
      <c r="A54" s="11"/>
      <c r="B54" s="29" t="s">
        <v>125</v>
      </c>
      <c r="C54" s="29"/>
      <c r="D54" s="30">
        <f>+D50-D52</f>
        <v>-7931.51</v>
      </c>
      <c r="E54" s="14"/>
      <c r="F54" s="36">
        <f>IF(D$12=0,0,D54/D$12)</f>
        <v>0</v>
      </c>
      <c r="G54" s="14"/>
      <c r="H54" s="30">
        <f>+H50-H52</f>
        <v>-5062.2699999999995</v>
      </c>
      <c r="I54" s="14"/>
      <c r="J54" s="36">
        <f>IF(H$12=0,0,H54/H$12)</f>
        <v>0</v>
      </c>
      <c r="K54" s="15"/>
      <c r="L54" s="30">
        <f>D54-H54</f>
        <v>-2869.2400000000007</v>
      </c>
      <c r="M54" s="15"/>
      <c r="N54" s="36">
        <f>IF(H54=0,0,L54/H54)</f>
        <v>0.5667892072133649</v>
      </c>
      <c r="O54" s="28"/>
      <c r="P54" s="30">
        <f>+P50-P52</f>
        <v>-70378.329999999987</v>
      </c>
      <c r="Q54" s="14"/>
      <c r="R54" s="36">
        <f>IF(P$12=0,0,P54/P$12)</f>
        <v>0</v>
      </c>
      <c r="S54" s="14"/>
      <c r="T54" s="30">
        <f>+T50-T52</f>
        <v>-71795.889999999985</v>
      </c>
      <c r="U54" s="14"/>
      <c r="V54" s="36">
        <f>IF(T$12=0,0,T54/T$12)</f>
        <v>0</v>
      </c>
      <c r="W54" s="15"/>
      <c r="X54" s="30">
        <f>P54-T54</f>
        <v>1417.5599999999977</v>
      </c>
      <c r="Y54" s="15"/>
      <c r="Z54" s="36">
        <f>IF(T54=0,0,X54/T54)</f>
        <v>-1.9744305697721665E-2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ht="15.75" thickBot="1" x14ac:dyDescent="0.3">
      <c r="A57" s="11"/>
      <c r="B57" s="29" t="s">
        <v>293</v>
      </c>
      <c r="C57" s="29"/>
      <c r="D57" s="35">
        <f>SUM(D54:D56)</f>
        <v>-7931.51</v>
      </c>
      <c r="E57" s="14"/>
      <c r="F57" s="34">
        <f>IF(D$12=0,0,D57/D$12)</f>
        <v>0</v>
      </c>
      <c r="G57" s="14"/>
      <c r="H57" s="35">
        <f>SUM(H54:H56)</f>
        <v>-5062.2699999999995</v>
      </c>
      <c r="I57" s="14"/>
      <c r="J57" s="34">
        <f>IF(H$12=0,0,H57/H$12)</f>
        <v>0</v>
      </c>
      <c r="K57" s="15"/>
      <c r="L57" s="35">
        <f>+D57-H57</f>
        <v>-2869.2400000000007</v>
      </c>
      <c r="M57" s="15"/>
      <c r="N57" s="34">
        <f>IF(H57=0,0,L57/H57)</f>
        <v>0.5667892072133649</v>
      </c>
      <c r="O57" s="28"/>
      <c r="P57" s="35">
        <f>SUM(P54:P56)</f>
        <v>-70378.329999999987</v>
      </c>
      <c r="Q57" s="14"/>
      <c r="R57" s="34">
        <f>IF(P$12=0,0,P57/P$12)</f>
        <v>0</v>
      </c>
      <c r="S57" s="14"/>
      <c r="T57" s="35">
        <f>SUM(T54:T56)</f>
        <v>-71795.889999999985</v>
      </c>
      <c r="U57" s="14"/>
      <c r="V57" s="34">
        <f>IF(T$12=0,0,T57/T$12)</f>
        <v>0</v>
      </c>
      <c r="W57" s="15"/>
      <c r="X57" s="35">
        <f>+P57-T57</f>
        <v>1417.5599999999977</v>
      </c>
      <c r="Y57" s="15"/>
      <c r="Z57" s="34">
        <f>IF(T57=0,0,X57/T57)</f>
        <v>-1.9744305697721665E-2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4">
        <v>44295.963243634258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8" t="s">
        <v>56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62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","206", " - ", "Graphics")</f>
        <v>Department 206 - Graphics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8835.7099999999991</v>
      </c>
      <c r="E18" s="21"/>
      <c r="F18" s="31">
        <f t="shared" ref="F18:F27" si="0">IF(D$12=0,0,D18/D$12)</f>
        <v>0</v>
      </c>
      <c r="G18" s="21"/>
      <c r="H18" s="21">
        <f>SUM(OSRRefH22x_0)</f>
        <v>13934.57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-5098.8600000000006</v>
      </c>
      <c r="M18" s="4"/>
      <c r="N18" s="31">
        <f t="shared" ref="N18:N27" si="3">IF(H18=0,0,L18/H18)</f>
        <v>-0.36591441285952853</v>
      </c>
      <c r="O18" s="11"/>
      <c r="P18" s="21">
        <f>SUM(OSRRefP22x_0)</f>
        <v>79663.009999999995</v>
      </c>
      <c r="Q18" s="21"/>
      <c r="R18" s="31">
        <f t="shared" ref="R18:R27" si="4">IF(P$12=0,0,P18/P$12)</f>
        <v>0</v>
      </c>
      <c r="S18" s="21"/>
      <c r="T18" s="21">
        <f>SUM(OSRRefT22x_0)</f>
        <v>77787.350000000006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1875.6599999999889</v>
      </c>
      <c r="Y18" s="4"/>
      <c r="Z18" s="31">
        <f t="shared" ref="Z18:Z27" si="7">IF(T18=0,0,X18/T18)</f>
        <v>2.4112660991793509E-2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2230.3000000000002</v>
      </c>
      <c r="E19" s="1"/>
      <c r="F19" s="5">
        <f t="shared" si="0"/>
        <v>0</v>
      </c>
      <c r="G19" s="1"/>
      <c r="H19" s="1">
        <f>SUM(OSRRefH22_0x_0)</f>
        <v>1640.81</v>
      </c>
      <c r="I19" s="1"/>
      <c r="J19" s="5">
        <f t="shared" si="1"/>
        <v>0</v>
      </c>
      <c r="K19" s="1"/>
      <c r="L19" s="1">
        <f t="shared" si="2"/>
        <v>589.49000000000024</v>
      </c>
      <c r="M19" s="1"/>
      <c r="N19" s="5">
        <f t="shared" si="3"/>
        <v>0.35926767876841331</v>
      </c>
      <c r="O19" s="12"/>
      <c r="P19" s="1">
        <f>SUM(OSRRefP22_0x_0)</f>
        <v>15751.419999999998</v>
      </c>
      <c r="Q19" s="1"/>
      <c r="R19" s="5">
        <f t="shared" si="4"/>
        <v>0</v>
      </c>
      <c r="S19" s="1"/>
      <c r="T19" s="1">
        <f>SUM(OSRRefT22_0x_0)</f>
        <v>16236.73</v>
      </c>
      <c r="U19" s="1"/>
      <c r="V19" s="5">
        <f t="shared" si="5"/>
        <v>0</v>
      </c>
      <c r="W19" s="1"/>
      <c r="X19" s="1">
        <f t="shared" si="6"/>
        <v>-485.31000000000131</v>
      </c>
      <c r="Y19" s="1"/>
      <c r="Z19" s="5">
        <f t="shared" si="7"/>
        <v>-2.9889639108367345E-2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374.94</v>
      </c>
      <c r="E20" s="2"/>
      <c r="F20" s="7">
        <f t="shared" si="0"/>
        <v>0</v>
      </c>
      <c r="G20" s="2"/>
      <c r="H20" s="6">
        <v>363.28</v>
      </c>
      <c r="I20" s="2"/>
      <c r="J20" s="7">
        <f t="shared" si="1"/>
        <v>0</v>
      </c>
      <c r="K20" s="2"/>
      <c r="L20" s="6">
        <f t="shared" si="2"/>
        <v>11.660000000000025</v>
      </c>
      <c r="M20" s="2"/>
      <c r="N20" s="7">
        <f t="shared" si="3"/>
        <v>3.2096454525434998E-2</v>
      </c>
      <c r="O20" s="10"/>
      <c r="P20" s="6">
        <v>3578.06</v>
      </c>
      <c r="Q20" s="2"/>
      <c r="R20" s="7">
        <f t="shared" si="4"/>
        <v>0</v>
      </c>
      <c r="S20" s="2"/>
      <c r="T20" s="6">
        <v>4197.46</v>
      </c>
      <c r="U20" s="2"/>
      <c r="V20" s="7">
        <f t="shared" si="5"/>
        <v>0</v>
      </c>
      <c r="W20" s="2"/>
      <c r="X20" s="6">
        <f t="shared" si="6"/>
        <v>-619.40000000000009</v>
      </c>
      <c r="Y20" s="2"/>
      <c r="Z20" s="7">
        <f t="shared" si="7"/>
        <v>-0.14756543242818279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19.62</v>
      </c>
      <c r="E21" s="2"/>
      <c r="F21" s="7">
        <f t="shared" si="0"/>
        <v>0</v>
      </c>
      <c r="G21" s="2"/>
      <c r="H21" s="6">
        <v>41.26</v>
      </c>
      <c r="I21" s="2"/>
      <c r="J21" s="7">
        <f t="shared" si="1"/>
        <v>0</v>
      </c>
      <c r="K21" s="2"/>
      <c r="L21" s="6">
        <f t="shared" si="2"/>
        <v>-21.639999999999997</v>
      </c>
      <c r="M21" s="2"/>
      <c r="N21" s="7">
        <f t="shared" si="3"/>
        <v>-0.5244789142026175</v>
      </c>
      <c r="O21" s="10"/>
      <c r="P21" s="6">
        <v>188.89</v>
      </c>
      <c r="Q21" s="2"/>
      <c r="R21" s="7">
        <f t="shared" si="4"/>
        <v>0</v>
      </c>
      <c r="S21" s="2"/>
      <c r="T21" s="6">
        <v>225.98</v>
      </c>
      <c r="U21" s="2"/>
      <c r="V21" s="7">
        <f t="shared" si="5"/>
        <v>0</v>
      </c>
      <c r="W21" s="2"/>
      <c r="X21" s="6">
        <f t="shared" si="6"/>
        <v>-37.090000000000003</v>
      </c>
      <c r="Y21" s="2"/>
      <c r="Z21" s="7">
        <f t="shared" si="7"/>
        <v>-0.16412956898840608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704.62</v>
      </c>
      <c r="E22" s="2"/>
      <c r="F22" s="7">
        <f t="shared" si="0"/>
        <v>0</v>
      </c>
      <c r="G22" s="2"/>
      <c r="H22" s="6">
        <v>700.87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5.350492958751266E-3</v>
      </c>
      <c r="O22" s="10"/>
      <c r="P22" s="6">
        <v>6319.08</v>
      </c>
      <c r="Q22" s="2"/>
      <c r="R22" s="7">
        <f t="shared" si="4"/>
        <v>0</v>
      </c>
      <c r="S22" s="2"/>
      <c r="T22" s="6">
        <v>6308.07</v>
      </c>
      <c r="U22" s="2"/>
      <c r="V22" s="7">
        <f t="shared" si="5"/>
        <v>0</v>
      </c>
      <c r="W22" s="2"/>
      <c r="X22" s="6">
        <f t="shared" si="6"/>
        <v>11.010000000000218</v>
      </c>
      <c r="Y22" s="2"/>
      <c r="Z22" s="7">
        <f t="shared" si="7"/>
        <v>1.7453832947320208E-3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15.46</v>
      </c>
      <c r="E23" s="2"/>
      <c r="F23" s="7">
        <f t="shared" si="0"/>
        <v>0</v>
      </c>
      <c r="G23" s="2"/>
      <c r="H23" s="6">
        <v>31.55</v>
      </c>
      <c r="I23" s="2"/>
      <c r="J23" s="7">
        <f t="shared" si="1"/>
        <v>0</v>
      </c>
      <c r="K23" s="2"/>
      <c r="L23" s="6">
        <f t="shared" si="2"/>
        <v>-16.09</v>
      </c>
      <c r="M23" s="2"/>
      <c r="N23" s="7">
        <f t="shared" si="3"/>
        <v>-0.50998415213946113</v>
      </c>
      <c r="O23" s="10"/>
      <c r="P23" s="6">
        <v>148.83000000000001</v>
      </c>
      <c r="Q23" s="2"/>
      <c r="R23" s="7">
        <f t="shared" si="4"/>
        <v>0</v>
      </c>
      <c r="S23" s="2"/>
      <c r="T23" s="6">
        <v>248.98</v>
      </c>
      <c r="U23" s="2"/>
      <c r="V23" s="7">
        <f t="shared" si="5"/>
        <v>0</v>
      </c>
      <c r="W23" s="2"/>
      <c r="X23" s="6">
        <f t="shared" si="6"/>
        <v>-100.14999999999998</v>
      </c>
      <c r="Y23" s="2"/>
      <c r="Z23" s="7">
        <f t="shared" si="7"/>
        <v>-0.40224114386697718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368.66</v>
      </c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368.66</v>
      </c>
      <c r="M24" s="2"/>
      <c r="N24" s="7">
        <f t="shared" si="3"/>
        <v>0</v>
      </c>
      <c r="O24" s="10"/>
      <c r="P24" s="6">
        <v>1179.1600000000001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1179.1600000000001</v>
      </c>
      <c r="Y24" s="2"/>
      <c r="Z24" s="7">
        <f t="shared" si="7"/>
        <v>0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>
        <v>414.9</v>
      </c>
      <c r="E25" s="2"/>
      <c r="F25" s="7">
        <f t="shared" si="0"/>
        <v>0</v>
      </c>
      <c r="G25" s="2"/>
      <c r="H25" s="6">
        <v>184.8</v>
      </c>
      <c r="I25" s="2"/>
      <c r="J25" s="7">
        <f t="shared" si="1"/>
        <v>0</v>
      </c>
      <c r="K25" s="2"/>
      <c r="L25" s="6">
        <f t="shared" si="2"/>
        <v>230.09999999999997</v>
      </c>
      <c r="M25" s="2"/>
      <c r="N25" s="7">
        <f t="shared" si="3"/>
        <v>1.2451298701298699</v>
      </c>
      <c r="O25" s="10"/>
      <c r="P25" s="6">
        <v>2123.4</v>
      </c>
      <c r="Q25" s="2"/>
      <c r="R25" s="7">
        <f t="shared" si="4"/>
        <v>0</v>
      </c>
      <c r="S25" s="2"/>
      <c r="T25" s="6">
        <v>1755.6</v>
      </c>
      <c r="U25" s="2"/>
      <c r="V25" s="7">
        <f t="shared" si="5"/>
        <v>0</v>
      </c>
      <c r="W25" s="2"/>
      <c r="X25" s="6">
        <f t="shared" si="6"/>
        <v>367.80000000000018</v>
      </c>
      <c r="Y25" s="2"/>
      <c r="Z25" s="7">
        <f t="shared" si="7"/>
        <v>0.20950102529049908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>
        <v>332.1</v>
      </c>
      <c r="E26" s="2"/>
      <c r="F26" s="7">
        <f t="shared" si="0"/>
        <v>0</v>
      </c>
      <c r="G26" s="2"/>
      <c r="H26" s="6">
        <v>221.4</v>
      </c>
      <c r="I26" s="2"/>
      <c r="J26" s="7">
        <f t="shared" si="1"/>
        <v>0</v>
      </c>
      <c r="K26" s="2"/>
      <c r="L26" s="6">
        <f t="shared" si="2"/>
        <v>110.70000000000002</v>
      </c>
      <c r="M26" s="2"/>
      <c r="N26" s="7">
        <f t="shared" si="3"/>
        <v>0.50000000000000011</v>
      </c>
      <c r="O26" s="10"/>
      <c r="P26" s="6">
        <v>2214</v>
      </c>
      <c r="Q26" s="2"/>
      <c r="R26" s="7">
        <f t="shared" si="4"/>
        <v>0</v>
      </c>
      <c r="S26" s="2"/>
      <c r="T26" s="6">
        <v>2103.3000000000002</v>
      </c>
      <c r="U26" s="2"/>
      <c r="V26" s="7">
        <f t="shared" si="5"/>
        <v>0</v>
      </c>
      <c r="W26" s="2"/>
      <c r="X26" s="6">
        <f t="shared" si="6"/>
        <v>110.69999999999982</v>
      </c>
      <c r="Y26" s="2"/>
      <c r="Z26" s="7">
        <f t="shared" si="7"/>
        <v>5.2631578947368328E-2</v>
      </c>
    </row>
    <row r="27" spans="1:26" s="23" customFormat="1" hidden="1" outlineLevel="2" x14ac:dyDescent="0.25">
      <c r="A27" s="25"/>
      <c r="B27" s="10" t="str">
        <f>CONCATENATE("          ", "6156", " - ", "EMPLOYEE MEALS")</f>
        <v xml:space="preserve">          6156 - EMPLOYEE MEALS</v>
      </c>
      <c r="C27" s="10"/>
      <c r="D27" s="6"/>
      <c r="E27" s="2"/>
      <c r="F27" s="7">
        <f t="shared" si="0"/>
        <v>0</v>
      </c>
      <c r="G27" s="2"/>
      <c r="H27" s="6">
        <v>97.65</v>
      </c>
      <c r="I27" s="2"/>
      <c r="J27" s="7">
        <f t="shared" si="1"/>
        <v>0</v>
      </c>
      <c r="K27" s="2"/>
      <c r="L27" s="6">
        <f t="shared" si="2"/>
        <v>-97.65</v>
      </c>
      <c r="M27" s="2"/>
      <c r="N27" s="7">
        <f t="shared" si="3"/>
        <v>-1</v>
      </c>
      <c r="O27" s="10"/>
      <c r="P27" s="6"/>
      <c r="Q27" s="2"/>
      <c r="R27" s="7">
        <f t="shared" si="4"/>
        <v>0</v>
      </c>
      <c r="S27" s="2"/>
      <c r="T27" s="6">
        <v>1397.34</v>
      </c>
      <c r="U27" s="2"/>
      <c r="V27" s="7">
        <f t="shared" si="5"/>
        <v>0</v>
      </c>
      <c r="W27" s="2"/>
      <c r="X27" s="6">
        <f t="shared" si="6"/>
        <v>-1397.34</v>
      </c>
      <c r="Y27" s="2"/>
      <c r="Z27" s="7">
        <f t="shared" si="7"/>
        <v>-1</v>
      </c>
    </row>
    <row r="28" spans="1:26" s="26" customFormat="1" outlineLevel="1" collapsed="1" x14ac:dyDescent="0.25">
      <c r="A28" s="27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6396.2</v>
      </c>
      <c r="E28" s="1"/>
      <c r="F28" s="5">
        <f t="shared" ref="F28:F32" si="8">IF(D$12=0,0,D28/D$12)</f>
        <v>0</v>
      </c>
      <c r="G28" s="1"/>
      <c r="H28" s="1">
        <f>SUM(OSRRefH22_1x_0)</f>
        <v>11541.38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-5145.1799999999994</v>
      </c>
      <c r="M28" s="1"/>
      <c r="N28" s="5">
        <f t="shared" ref="N28:N32" si="11">IF(H28=0,0,L28/H28)</f>
        <v>-0.44580284160126432</v>
      </c>
      <c r="O28" s="12"/>
      <c r="P28" s="1">
        <f>SUM(OSRRefP22_1x_0)</f>
        <v>60165.61</v>
      </c>
      <c r="Q28" s="1"/>
      <c r="R28" s="5">
        <f t="shared" ref="R28:R32" si="12">IF(P$12=0,0,P28/P$12)</f>
        <v>0</v>
      </c>
      <c r="S28" s="1"/>
      <c r="T28" s="1">
        <f>SUM(OSRRefT22_1x_0)</f>
        <v>99123.459999999992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-38957.849999999991</v>
      </c>
      <c r="Y28" s="1"/>
      <c r="Z28" s="5">
        <f t="shared" ref="Z28:Z32" si="15">IF(T28=0,0,X28/T28)</f>
        <v>-0.39302350825929599</v>
      </c>
    </row>
    <row r="29" spans="1:26" s="23" customFormat="1" hidden="1" outlineLevel="2" x14ac:dyDescent="0.25">
      <c r="A29" s="25"/>
      <c r="B29" s="10" t="str">
        <f>CONCATENATE("          ", "6004", " - ", "STAFF HOURLY")</f>
        <v xml:space="preserve">          6004 - STAFF HOURLY</v>
      </c>
      <c r="C29" s="10"/>
      <c r="D29" s="6">
        <v>4680</v>
      </c>
      <c r="E29" s="2"/>
      <c r="F29" s="7">
        <f t="shared" si="8"/>
        <v>0</v>
      </c>
      <c r="G29" s="2"/>
      <c r="H29" s="6">
        <v>4720.3500000000004</v>
      </c>
      <c r="I29" s="2"/>
      <c r="J29" s="7">
        <f t="shared" si="9"/>
        <v>0</v>
      </c>
      <c r="K29" s="2"/>
      <c r="L29" s="6">
        <f t="shared" si="10"/>
        <v>-40.350000000000364</v>
      </c>
      <c r="M29" s="2"/>
      <c r="N29" s="7">
        <f t="shared" si="11"/>
        <v>-8.5480949505863674E-3</v>
      </c>
      <c r="O29" s="10"/>
      <c r="P29" s="6">
        <v>46760.1</v>
      </c>
      <c r="Q29" s="2"/>
      <c r="R29" s="7">
        <f t="shared" si="12"/>
        <v>0</v>
      </c>
      <c r="S29" s="2"/>
      <c r="T29" s="6">
        <v>45529.5</v>
      </c>
      <c r="U29" s="2"/>
      <c r="V29" s="7">
        <f t="shared" si="13"/>
        <v>0</v>
      </c>
      <c r="W29" s="2"/>
      <c r="X29" s="6">
        <f t="shared" si="14"/>
        <v>1230.5999999999985</v>
      </c>
      <c r="Y29" s="2"/>
      <c r="Z29" s="7">
        <f t="shared" si="15"/>
        <v>2.7028629789477121E-2</v>
      </c>
    </row>
    <row r="30" spans="1:26" s="23" customFormat="1" hidden="1" outlineLevel="2" x14ac:dyDescent="0.25">
      <c r="A30" s="25"/>
      <c r="B30" s="10" t="str">
        <f>CONCATENATE("          ", "6006", " - ", "TEMPORARY PART TIME")</f>
        <v xml:space="preserve">          6006 - TEMPORARY PART TIME</v>
      </c>
      <c r="C30" s="10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0"/>
      <c r="P30" s="6"/>
      <c r="Q30" s="2"/>
      <c r="R30" s="7">
        <f t="shared" si="12"/>
        <v>0</v>
      </c>
      <c r="S30" s="2"/>
      <c r="T30" s="6">
        <v>2361.4299999999998</v>
      </c>
      <c r="U30" s="2"/>
      <c r="V30" s="7">
        <f t="shared" si="13"/>
        <v>0</v>
      </c>
      <c r="W30" s="2"/>
      <c r="X30" s="6">
        <f t="shared" si="14"/>
        <v>-2361.4299999999998</v>
      </c>
      <c r="Y30" s="2"/>
      <c r="Z30" s="7">
        <f t="shared" si="15"/>
        <v>-1</v>
      </c>
    </row>
    <row r="31" spans="1:26" s="23" customFormat="1" hidden="1" outlineLevel="2" x14ac:dyDescent="0.25">
      <c r="A31" s="25"/>
      <c r="B31" s="10" t="str">
        <f>CONCATENATE("          ", "6007", " - ", "STUDENT HOURLY")</f>
        <v xml:space="preserve">          6007 - STUDENT HOURLY</v>
      </c>
      <c r="C31" s="10"/>
      <c r="D31" s="6">
        <v>553</v>
      </c>
      <c r="E31" s="2"/>
      <c r="F31" s="7">
        <f t="shared" si="8"/>
        <v>0</v>
      </c>
      <c r="G31" s="2"/>
      <c r="H31" s="6">
        <v>5666.86</v>
      </c>
      <c r="I31" s="2"/>
      <c r="J31" s="7">
        <f t="shared" si="9"/>
        <v>0</v>
      </c>
      <c r="K31" s="2"/>
      <c r="L31" s="6">
        <f t="shared" si="10"/>
        <v>-5113.8599999999997</v>
      </c>
      <c r="M31" s="2"/>
      <c r="N31" s="7">
        <f t="shared" si="11"/>
        <v>-0.90241509407326104</v>
      </c>
      <c r="O31" s="10"/>
      <c r="P31" s="6">
        <v>1491</v>
      </c>
      <c r="Q31" s="2"/>
      <c r="R31" s="7">
        <f t="shared" si="12"/>
        <v>0</v>
      </c>
      <c r="S31" s="2"/>
      <c r="T31" s="6">
        <v>43076.5</v>
      </c>
      <c r="U31" s="2"/>
      <c r="V31" s="7">
        <f t="shared" si="13"/>
        <v>0</v>
      </c>
      <c r="W31" s="2"/>
      <c r="X31" s="6">
        <f t="shared" si="14"/>
        <v>-41585.5</v>
      </c>
      <c r="Y31" s="2"/>
      <c r="Z31" s="7">
        <f t="shared" si="15"/>
        <v>-0.96538716005246483</v>
      </c>
    </row>
    <row r="32" spans="1:26" s="23" customFormat="1" hidden="1" outlineLevel="2" x14ac:dyDescent="0.25">
      <c r="A32" s="25"/>
      <c r="B32" s="10" t="str">
        <f>CONCATENATE("          ", "6008", " - ", "STUDENT HOURLY-FICA EXEMPT")</f>
        <v xml:space="preserve">          6008 - STUDENT HOURLY-FICA EXEMPT</v>
      </c>
      <c r="C32" s="10"/>
      <c r="D32" s="6">
        <v>1163.2</v>
      </c>
      <c r="E32" s="2"/>
      <c r="F32" s="7">
        <f t="shared" si="8"/>
        <v>0</v>
      </c>
      <c r="G32" s="2"/>
      <c r="H32" s="6">
        <v>1154.17</v>
      </c>
      <c r="I32" s="2"/>
      <c r="J32" s="7">
        <f t="shared" si="9"/>
        <v>0</v>
      </c>
      <c r="K32" s="2"/>
      <c r="L32" s="6">
        <f t="shared" si="10"/>
        <v>9.0299999999999727</v>
      </c>
      <c r="M32" s="2"/>
      <c r="N32" s="7">
        <f t="shared" si="11"/>
        <v>7.8238041189772501E-3</v>
      </c>
      <c r="O32" s="10"/>
      <c r="P32" s="6">
        <v>11914.51</v>
      </c>
      <c r="Q32" s="2"/>
      <c r="R32" s="7">
        <f t="shared" si="12"/>
        <v>0</v>
      </c>
      <c r="S32" s="2"/>
      <c r="T32" s="6">
        <v>8156.03</v>
      </c>
      <c r="U32" s="2"/>
      <c r="V32" s="7">
        <f t="shared" si="13"/>
        <v>0</v>
      </c>
      <c r="W32" s="2"/>
      <c r="X32" s="6">
        <f t="shared" si="14"/>
        <v>3758.4800000000005</v>
      </c>
      <c r="Y32" s="2"/>
      <c r="Z32" s="7">
        <f t="shared" si="15"/>
        <v>0.46082223827033503</v>
      </c>
    </row>
    <row r="33" spans="1:26" s="26" customFormat="1" outlineLevel="1" collapsed="1" x14ac:dyDescent="0.25">
      <c r="A33" s="27"/>
      <c r="B33" s="12" t="str">
        <f>CONCATENATE("     ","Advertising/Promo                                 ")</f>
        <v xml:space="preserve">     Advertising/Promo                                 </v>
      </c>
      <c r="C33" s="12"/>
      <c r="D33" s="1">
        <f>SUM(OSRRefD22_2x_0)</f>
        <v>173.21</v>
      </c>
      <c r="E33" s="1"/>
      <c r="F33" s="5">
        <f t="shared" ref="F33:F43" si="16">IF(D$12=0,0,D33/D$12)</f>
        <v>0</v>
      </c>
      <c r="G33" s="1"/>
      <c r="H33" s="1">
        <f>SUM(OSRRefH22_2x_0)</f>
        <v>0.39</v>
      </c>
      <c r="I33" s="1"/>
      <c r="J33" s="5">
        <f t="shared" ref="J33:J43" si="17">IF(H$12=0,0,H33/H$12)</f>
        <v>0</v>
      </c>
      <c r="K33" s="1"/>
      <c r="L33" s="1">
        <f t="shared" ref="L33:L43" si="18">+D33-H33</f>
        <v>172.82000000000002</v>
      </c>
      <c r="M33" s="1"/>
      <c r="N33" s="5">
        <f t="shared" ref="N33:N43" si="19">IF(H33=0,0,L33/H33)</f>
        <v>443.1282051282052</v>
      </c>
      <c r="O33" s="12"/>
      <c r="P33" s="1">
        <f>SUM(OSRRefP22_2x_0)</f>
        <v>1558.89</v>
      </c>
      <c r="Q33" s="1"/>
      <c r="R33" s="5">
        <f t="shared" ref="R33:R43" si="20">IF(P$12=0,0,P33/P$12)</f>
        <v>0</v>
      </c>
      <c r="S33" s="1"/>
      <c r="T33" s="1">
        <f>SUM(OSRRefT22_2x_0)</f>
        <v>-48025.41</v>
      </c>
      <c r="U33" s="1"/>
      <c r="V33" s="5">
        <f t="shared" ref="V33:V43" si="21">IF(T$12=0,0,T33/T$12)</f>
        <v>0</v>
      </c>
      <c r="W33" s="1"/>
      <c r="X33" s="1">
        <f t="shared" ref="X33:X43" si="22">+P33-T33</f>
        <v>49584.3</v>
      </c>
      <c r="Y33" s="1"/>
      <c r="Z33" s="5">
        <f t="shared" ref="Z33:Z43" si="23">IF(T33=0,0,X33/T33)</f>
        <v>-1.0324596916507325</v>
      </c>
    </row>
    <row r="34" spans="1:26" s="23" customFormat="1" hidden="1" outlineLevel="2" x14ac:dyDescent="0.25">
      <c r="A34" s="25"/>
      <c r="B34" s="10" t="str">
        <f>CONCATENATE("          ", "6362", " - ", "ADVERTISING EXPENSE")</f>
        <v xml:space="preserve">          6362 - ADVERTISING EXPENSE</v>
      </c>
      <c r="C34" s="10"/>
      <c r="D34" s="6">
        <v>173.21</v>
      </c>
      <c r="E34" s="2"/>
      <c r="F34" s="7">
        <f t="shared" si="16"/>
        <v>0</v>
      </c>
      <c r="G34" s="2"/>
      <c r="H34" s="6">
        <v>0.39</v>
      </c>
      <c r="I34" s="2"/>
      <c r="J34" s="7">
        <f t="shared" si="17"/>
        <v>0</v>
      </c>
      <c r="K34" s="2"/>
      <c r="L34" s="6">
        <f t="shared" si="18"/>
        <v>172.82000000000002</v>
      </c>
      <c r="M34" s="2"/>
      <c r="N34" s="7">
        <f t="shared" si="19"/>
        <v>443.1282051282052</v>
      </c>
      <c r="O34" s="10"/>
      <c r="P34" s="6">
        <v>1558.89</v>
      </c>
      <c r="Q34" s="2"/>
      <c r="R34" s="7">
        <f t="shared" si="20"/>
        <v>0</v>
      </c>
      <c r="S34" s="2"/>
      <c r="T34" s="6">
        <v>-48025.41</v>
      </c>
      <c r="U34" s="2"/>
      <c r="V34" s="7">
        <f t="shared" si="21"/>
        <v>0</v>
      </c>
      <c r="W34" s="2"/>
      <c r="X34" s="6">
        <f t="shared" si="22"/>
        <v>49584.3</v>
      </c>
      <c r="Y34" s="2"/>
      <c r="Z34" s="7">
        <f t="shared" si="23"/>
        <v>-1.0324596916507325</v>
      </c>
    </row>
    <row r="35" spans="1:26" s="26" customFormat="1" outlineLevel="1" collapsed="1" x14ac:dyDescent="0.25">
      <c r="A35" s="27"/>
      <c r="B35" s="12" t="str">
        <f>CONCATENATE("     ","Depreciation                                      ")</f>
        <v xml:space="preserve">     Depreciation                                      </v>
      </c>
      <c r="C35" s="12"/>
      <c r="D35" s="1">
        <f>SUM(OSRRefD22_3x_0)</f>
        <v>0</v>
      </c>
      <c r="E35" s="1"/>
      <c r="F35" s="5">
        <f t="shared" si="16"/>
        <v>0</v>
      </c>
      <c r="G35" s="1"/>
      <c r="H35" s="1">
        <f>SUM(OSRRefH22_3x_0)</f>
        <v>295.67</v>
      </c>
      <c r="I35" s="1"/>
      <c r="J35" s="5">
        <f t="shared" si="17"/>
        <v>0</v>
      </c>
      <c r="K35" s="1"/>
      <c r="L35" s="1">
        <f t="shared" si="18"/>
        <v>-295.67</v>
      </c>
      <c r="M35" s="1"/>
      <c r="N35" s="5">
        <f t="shared" si="19"/>
        <v>-1</v>
      </c>
      <c r="O35" s="12"/>
      <c r="P35" s="1">
        <f>SUM(OSRRefP22_3x_0)</f>
        <v>1898.94</v>
      </c>
      <c r="Q35" s="1"/>
      <c r="R35" s="5">
        <f t="shared" si="20"/>
        <v>0</v>
      </c>
      <c r="S35" s="1"/>
      <c r="T35" s="1">
        <f>SUM(OSRRefT22_3x_0)</f>
        <v>2661.03</v>
      </c>
      <c r="U35" s="1"/>
      <c r="V35" s="5">
        <f t="shared" si="21"/>
        <v>0</v>
      </c>
      <c r="W35" s="1"/>
      <c r="X35" s="1">
        <f t="shared" si="22"/>
        <v>-762.09000000000015</v>
      </c>
      <c r="Y35" s="1"/>
      <c r="Z35" s="5">
        <f t="shared" si="23"/>
        <v>-0.28638910497063169</v>
      </c>
    </row>
    <row r="36" spans="1:26" s="23" customFormat="1" hidden="1" outlineLevel="2" x14ac:dyDescent="0.25">
      <c r="A36" s="25"/>
      <c r="B36" s="10" t="str">
        <f>CONCATENATE("          ", "6322", " - ", "EQUIPMENT DEPRECIATION EXPENSE")</f>
        <v xml:space="preserve">          6322 - EQUIPMENT DEPRECIATION EXPENSE</v>
      </c>
      <c r="C36" s="10"/>
      <c r="D36" s="6"/>
      <c r="E36" s="2"/>
      <c r="F36" s="7">
        <f t="shared" si="16"/>
        <v>0</v>
      </c>
      <c r="G36" s="2"/>
      <c r="H36" s="6">
        <v>295.67</v>
      </c>
      <c r="I36" s="2"/>
      <c r="J36" s="7">
        <f t="shared" si="17"/>
        <v>0</v>
      </c>
      <c r="K36" s="2"/>
      <c r="L36" s="6">
        <f t="shared" si="18"/>
        <v>-295.67</v>
      </c>
      <c r="M36" s="2"/>
      <c r="N36" s="7">
        <f t="shared" si="19"/>
        <v>-1</v>
      </c>
      <c r="O36" s="10"/>
      <c r="P36" s="6">
        <v>1898.94</v>
      </c>
      <c r="Q36" s="2"/>
      <c r="R36" s="7">
        <f t="shared" si="20"/>
        <v>0</v>
      </c>
      <c r="S36" s="2"/>
      <c r="T36" s="6">
        <v>2661.03</v>
      </c>
      <c r="U36" s="2"/>
      <c r="V36" s="7">
        <f t="shared" si="21"/>
        <v>0</v>
      </c>
      <c r="W36" s="2"/>
      <c r="X36" s="6">
        <f t="shared" si="22"/>
        <v>-762.09000000000015</v>
      </c>
      <c r="Y36" s="2"/>
      <c r="Z36" s="7">
        <f t="shared" si="23"/>
        <v>-0.28638910497063169</v>
      </c>
    </row>
    <row r="37" spans="1:26" s="26" customFormat="1" outlineLevel="1" collapsed="1" x14ac:dyDescent="0.25">
      <c r="A37" s="27"/>
      <c r="B37" s="12" t="str">
        <f>CONCATENATE("     ","Employees' Appreciation                           ")</f>
        <v xml:space="preserve">     Employees' Appreciation                           </v>
      </c>
      <c r="C37" s="12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66.52</v>
      </c>
      <c r="I37" s="1"/>
      <c r="J37" s="5">
        <f t="shared" si="17"/>
        <v>0</v>
      </c>
      <c r="K37" s="1"/>
      <c r="L37" s="1">
        <f t="shared" si="18"/>
        <v>-66.52</v>
      </c>
      <c r="M37" s="1"/>
      <c r="N37" s="5">
        <f t="shared" si="19"/>
        <v>-1</v>
      </c>
      <c r="O37" s="12"/>
      <c r="P37" s="1">
        <f>SUM(OSRRefP22_4x_0)</f>
        <v>0</v>
      </c>
      <c r="Q37" s="1"/>
      <c r="R37" s="5">
        <f t="shared" si="20"/>
        <v>0</v>
      </c>
      <c r="S37" s="1"/>
      <c r="T37" s="1">
        <f>SUM(OSRRefT22_4x_0)</f>
        <v>66.52</v>
      </c>
      <c r="U37" s="1"/>
      <c r="V37" s="5">
        <f t="shared" si="21"/>
        <v>0</v>
      </c>
      <c r="W37" s="1"/>
      <c r="X37" s="1">
        <f t="shared" si="22"/>
        <v>-66.52</v>
      </c>
      <c r="Y37" s="1"/>
      <c r="Z37" s="5">
        <f t="shared" si="23"/>
        <v>-1</v>
      </c>
    </row>
    <row r="38" spans="1:26" s="23" customFormat="1" hidden="1" outlineLevel="2" x14ac:dyDescent="0.25">
      <c r="A38" s="25"/>
      <c r="B38" s="10" t="str">
        <f>CONCATENATE("          ", "6277", " - ", "EMPLOYEE APPRECIATION")</f>
        <v xml:space="preserve">          6277 - EMPLOYEE APPRECIATION</v>
      </c>
      <c r="C38" s="10"/>
      <c r="D38" s="6"/>
      <c r="E38" s="2"/>
      <c r="F38" s="7">
        <f t="shared" si="16"/>
        <v>0</v>
      </c>
      <c r="G38" s="2"/>
      <c r="H38" s="6">
        <v>66.52</v>
      </c>
      <c r="I38" s="2"/>
      <c r="J38" s="7">
        <f t="shared" si="17"/>
        <v>0</v>
      </c>
      <c r="K38" s="2"/>
      <c r="L38" s="6">
        <f t="shared" si="18"/>
        <v>-66.52</v>
      </c>
      <c r="M38" s="2"/>
      <c r="N38" s="7">
        <f t="shared" si="19"/>
        <v>-1</v>
      </c>
      <c r="O38" s="10"/>
      <c r="P38" s="6"/>
      <c r="Q38" s="2"/>
      <c r="R38" s="7">
        <f t="shared" si="20"/>
        <v>0</v>
      </c>
      <c r="S38" s="2"/>
      <c r="T38" s="6">
        <v>66.52</v>
      </c>
      <c r="U38" s="2"/>
      <c r="V38" s="7">
        <f t="shared" si="21"/>
        <v>0</v>
      </c>
      <c r="W38" s="2"/>
      <c r="X38" s="6">
        <f t="shared" si="22"/>
        <v>-66.52</v>
      </c>
      <c r="Y38" s="2"/>
      <c r="Z38" s="7">
        <f t="shared" si="23"/>
        <v>-1</v>
      </c>
    </row>
    <row r="39" spans="1:26" s="26" customFormat="1" outlineLevel="1" collapsed="1" x14ac:dyDescent="0.25">
      <c r="A39" s="27"/>
      <c r="B39" s="12" t="str">
        <f>CONCATENATE("     ","General                                           ")</f>
        <v xml:space="preserve">     General                                           </v>
      </c>
      <c r="C39" s="12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173.21</v>
      </c>
      <c r="I39" s="1"/>
      <c r="J39" s="5">
        <f t="shared" si="17"/>
        <v>0</v>
      </c>
      <c r="K39" s="1"/>
      <c r="L39" s="1">
        <f t="shared" si="18"/>
        <v>-173.21</v>
      </c>
      <c r="M39" s="1"/>
      <c r="N39" s="5">
        <f t="shared" si="19"/>
        <v>-1</v>
      </c>
      <c r="O39" s="12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1373.22</v>
      </c>
      <c r="U39" s="1"/>
      <c r="V39" s="5">
        <f t="shared" si="21"/>
        <v>0</v>
      </c>
      <c r="W39" s="1"/>
      <c r="X39" s="1">
        <f t="shared" si="22"/>
        <v>-1373.22</v>
      </c>
      <c r="Y39" s="1"/>
      <c r="Z39" s="5">
        <f t="shared" si="23"/>
        <v>-1</v>
      </c>
    </row>
    <row r="40" spans="1:26" s="23" customFormat="1" hidden="1" outlineLevel="2" x14ac:dyDescent="0.25">
      <c r="A40" s="25"/>
      <c r="B40" s="10" t="str">
        <f>CONCATENATE("          ", "6279", " - ", "GENERAL EXPENSE")</f>
        <v xml:space="preserve">          6279 - GENERAL EXPENSE</v>
      </c>
      <c r="C40" s="10"/>
      <c r="D40" s="6"/>
      <c r="E40" s="2"/>
      <c r="F40" s="7">
        <f t="shared" si="16"/>
        <v>0</v>
      </c>
      <c r="G40" s="2"/>
      <c r="H40" s="6">
        <v>173.21</v>
      </c>
      <c r="I40" s="2"/>
      <c r="J40" s="7">
        <f t="shared" si="17"/>
        <v>0</v>
      </c>
      <c r="K40" s="2"/>
      <c r="L40" s="6">
        <f t="shared" si="18"/>
        <v>-173.21</v>
      </c>
      <c r="M40" s="2"/>
      <c r="N40" s="7">
        <f t="shared" si="19"/>
        <v>-1</v>
      </c>
      <c r="O40" s="10"/>
      <c r="P40" s="6"/>
      <c r="Q40" s="2"/>
      <c r="R40" s="7">
        <f t="shared" si="20"/>
        <v>0</v>
      </c>
      <c r="S40" s="2"/>
      <c r="T40" s="6">
        <v>1373.22</v>
      </c>
      <c r="U40" s="2"/>
      <c r="V40" s="7">
        <f t="shared" si="21"/>
        <v>0</v>
      </c>
      <c r="W40" s="2"/>
      <c r="X40" s="6">
        <f t="shared" si="22"/>
        <v>-1373.22</v>
      </c>
      <c r="Y40" s="2"/>
      <c r="Z40" s="7">
        <f t="shared" si="23"/>
        <v>-1</v>
      </c>
    </row>
    <row r="41" spans="1:26" s="26" customFormat="1" outlineLevel="1" collapsed="1" x14ac:dyDescent="0.25">
      <c r="A41" s="27"/>
      <c r="B41" s="12" t="str">
        <f>CONCATENATE("     ","Supplies                                          ")</f>
        <v xml:space="preserve">     Supplies                                          </v>
      </c>
      <c r="C41" s="12"/>
      <c r="D41" s="1">
        <f>SUM(OSRRefD22_6x_0)</f>
        <v>0</v>
      </c>
      <c r="E41" s="1"/>
      <c r="F41" s="5">
        <f t="shared" si="16"/>
        <v>0</v>
      </c>
      <c r="G41" s="1"/>
      <c r="H41" s="1">
        <f>SUM(OSRRefH22_6x_0)</f>
        <v>178.11</v>
      </c>
      <c r="I41" s="1"/>
      <c r="J41" s="5">
        <f t="shared" si="17"/>
        <v>0</v>
      </c>
      <c r="K41" s="1"/>
      <c r="L41" s="1">
        <f t="shared" si="18"/>
        <v>-178.11</v>
      </c>
      <c r="M41" s="1"/>
      <c r="N41" s="5">
        <f t="shared" si="19"/>
        <v>-1</v>
      </c>
      <c r="O41" s="12"/>
      <c r="P41" s="1">
        <f>SUM(OSRRefP22_6x_0)</f>
        <v>0</v>
      </c>
      <c r="Q41" s="1"/>
      <c r="R41" s="5">
        <f t="shared" si="20"/>
        <v>0</v>
      </c>
      <c r="S41" s="1"/>
      <c r="T41" s="1">
        <f>SUM(OSRRefT22_6x_0)</f>
        <v>1806.04</v>
      </c>
      <c r="U41" s="1"/>
      <c r="V41" s="5">
        <f t="shared" si="21"/>
        <v>0</v>
      </c>
      <c r="W41" s="1"/>
      <c r="X41" s="1">
        <f t="shared" si="22"/>
        <v>-1806.04</v>
      </c>
      <c r="Y41" s="1"/>
      <c r="Z41" s="5">
        <f t="shared" si="23"/>
        <v>-1</v>
      </c>
    </row>
    <row r="42" spans="1:26" s="23" customFormat="1" hidden="1" outlineLevel="2" x14ac:dyDescent="0.25">
      <c r="A42" s="25"/>
      <c r="B42" s="10" t="str">
        <f>CONCATENATE("          ", "6241", " - ", "OFFICE EXPENSE")</f>
        <v xml:space="preserve">          6241 - OFFICE EXPENSE</v>
      </c>
      <c r="C42" s="10"/>
      <c r="D42" s="6"/>
      <c r="E42" s="2"/>
      <c r="F42" s="7">
        <f t="shared" si="16"/>
        <v>0</v>
      </c>
      <c r="G42" s="2"/>
      <c r="H42" s="6">
        <v>178.11</v>
      </c>
      <c r="I42" s="2"/>
      <c r="J42" s="7">
        <f t="shared" si="17"/>
        <v>0</v>
      </c>
      <c r="K42" s="2"/>
      <c r="L42" s="6">
        <f t="shared" si="18"/>
        <v>-178.11</v>
      </c>
      <c r="M42" s="2"/>
      <c r="N42" s="7">
        <f t="shared" si="19"/>
        <v>-1</v>
      </c>
      <c r="O42" s="10"/>
      <c r="P42" s="6"/>
      <c r="Q42" s="2"/>
      <c r="R42" s="7">
        <f t="shared" si="20"/>
        <v>0</v>
      </c>
      <c r="S42" s="2"/>
      <c r="T42" s="6">
        <v>1459.62</v>
      </c>
      <c r="U42" s="2"/>
      <c r="V42" s="7">
        <f t="shared" si="21"/>
        <v>0</v>
      </c>
      <c r="W42" s="2"/>
      <c r="X42" s="6">
        <f t="shared" si="22"/>
        <v>-1459.62</v>
      </c>
      <c r="Y42" s="2"/>
      <c r="Z42" s="7">
        <f t="shared" si="23"/>
        <v>-1</v>
      </c>
    </row>
    <row r="43" spans="1:26" s="23" customFormat="1" hidden="1" outlineLevel="2" x14ac:dyDescent="0.25">
      <c r="A43" s="25"/>
      <c r="B43" s="10" t="str">
        <f>CONCATENATE("          ", "6245", " - ", "PRINTING")</f>
        <v xml:space="preserve">          6245 - PRINTING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346.42</v>
      </c>
      <c r="U43" s="2"/>
      <c r="V43" s="7">
        <f t="shared" si="21"/>
        <v>0</v>
      </c>
      <c r="W43" s="2"/>
      <c r="X43" s="6">
        <f t="shared" si="22"/>
        <v>-346.42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2" t="str">
        <f>CONCATENATE("     ","Telephone/Data Lines                              ")</f>
        <v xml:space="preserve">     Telephone/Data Lines                              </v>
      </c>
      <c r="C44" s="12"/>
      <c r="D44" s="1">
        <f>SUM(OSRRefD22_7x_0)</f>
        <v>36</v>
      </c>
      <c r="E44" s="1"/>
      <c r="F44" s="5">
        <f t="shared" ref="F44:F47" si="24">IF(D$12=0,0,D44/D$12)</f>
        <v>0</v>
      </c>
      <c r="G44" s="1"/>
      <c r="H44" s="1">
        <f>SUM(OSRRefH22_7x_0)</f>
        <v>38.479999999999997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-2.4799999999999969</v>
      </c>
      <c r="M44" s="1"/>
      <c r="N44" s="5">
        <f t="shared" ref="N44:N47" si="27">IF(H44=0,0,L44/H44)</f>
        <v>-6.4449064449064369E-2</v>
      </c>
      <c r="O44" s="12"/>
      <c r="P44" s="1">
        <f>SUM(OSRRefP22_7x_0)</f>
        <v>288.14999999999998</v>
      </c>
      <c r="Q44" s="1"/>
      <c r="R44" s="5">
        <f t="shared" ref="R44:R47" si="28">IF(P$12=0,0,P44/P$12)</f>
        <v>0</v>
      </c>
      <c r="S44" s="1"/>
      <c r="T44" s="1">
        <f>SUM(OSRRefT22_7x_0)</f>
        <v>624.38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-336.23</v>
      </c>
      <c r="Y44" s="1"/>
      <c r="Z44" s="5">
        <f t="shared" ref="Z44:Z47" si="31">IF(T44=0,0,X44/T44)</f>
        <v>-0.53850219417662326</v>
      </c>
    </row>
    <row r="45" spans="1:26" s="23" customFormat="1" hidden="1" outlineLevel="2" x14ac:dyDescent="0.25">
      <c r="A45" s="25"/>
      <c r="B45" s="10" t="str">
        <f>CONCATENATE("          ", "6309", " - ", "TELEPHONE")</f>
        <v xml:space="preserve">          6309 - TELEPHONE</v>
      </c>
      <c r="C45" s="10"/>
      <c r="D45" s="6">
        <v>36</v>
      </c>
      <c r="E45" s="2"/>
      <c r="F45" s="7">
        <f t="shared" si="24"/>
        <v>0</v>
      </c>
      <c r="G45" s="2"/>
      <c r="H45" s="6">
        <v>38.479999999999997</v>
      </c>
      <c r="I45" s="2"/>
      <c r="J45" s="7">
        <f t="shared" si="25"/>
        <v>0</v>
      </c>
      <c r="K45" s="2"/>
      <c r="L45" s="6">
        <f t="shared" si="26"/>
        <v>-2.4799999999999969</v>
      </c>
      <c r="M45" s="2"/>
      <c r="N45" s="7">
        <f t="shared" si="27"/>
        <v>-6.4449064449064369E-2</v>
      </c>
      <c r="O45" s="10"/>
      <c r="P45" s="6">
        <v>288.14999999999998</v>
      </c>
      <c r="Q45" s="2"/>
      <c r="R45" s="7">
        <f t="shared" si="28"/>
        <v>0</v>
      </c>
      <c r="S45" s="2"/>
      <c r="T45" s="6">
        <v>624.38</v>
      </c>
      <c r="U45" s="2"/>
      <c r="V45" s="7">
        <f t="shared" si="29"/>
        <v>0</v>
      </c>
      <c r="W45" s="2"/>
      <c r="X45" s="6">
        <f t="shared" si="30"/>
        <v>-336.23</v>
      </c>
      <c r="Y45" s="2"/>
      <c r="Z45" s="7">
        <f t="shared" si="31"/>
        <v>-0.53850219417662326</v>
      </c>
    </row>
    <row r="46" spans="1:26" s="26" customFormat="1" outlineLevel="1" collapsed="1" x14ac:dyDescent="0.25">
      <c r="A46" s="27"/>
      <c r="B46" s="12" t="str">
        <f>CONCATENATE("     ","Travel                                            ")</f>
        <v xml:space="preserve">     Travel                                            </v>
      </c>
      <c r="C46" s="12"/>
      <c r="D46" s="1">
        <f>SUM(OSRRefD22_8x_0)</f>
        <v>0</v>
      </c>
      <c r="E46" s="1"/>
      <c r="F46" s="5">
        <f t="shared" si="24"/>
        <v>0</v>
      </c>
      <c r="G46" s="1"/>
      <c r="H46" s="1">
        <f>SUM(OSRRefH22_8x_0)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SUM(OSRRefP22_8x_0)</f>
        <v>0</v>
      </c>
      <c r="Q46" s="1"/>
      <c r="R46" s="5">
        <f t="shared" si="28"/>
        <v>0</v>
      </c>
      <c r="S46" s="1"/>
      <c r="T46" s="1">
        <f>SUM(OSRRefT22_8x_0)</f>
        <v>3921.38</v>
      </c>
      <c r="U46" s="1"/>
      <c r="V46" s="5">
        <f t="shared" si="29"/>
        <v>0</v>
      </c>
      <c r="W46" s="1"/>
      <c r="X46" s="1">
        <f t="shared" si="30"/>
        <v>-3921.38</v>
      </c>
      <c r="Y46" s="1"/>
      <c r="Z46" s="5">
        <f t="shared" si="31"/>
        <v>-1</v>
      </c>
    </row>
    <row r="47" spans="1:26" s="23" customFormat="1" hidden="1" outlineLevel="2" x14ac:dyDescent="0.25">
      <c r="A47" s="25"/>
      <c r="B47" s="10" t="str">
        <f>CONCATENATE("          ", "6292", " - ", "TRAVEL/CONFERENCE")</f>
        <v xml:space="preserve">          6292 - TRAVEL/CONFERENCE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3921.38</v>
      </c>
      <c r="U47" s="2"/>
      <c r="V47" s="7">
        <f t="shared" si="29"/>
        <v>0</v>
      </c>
      <c r="W47" s="2"/>
      <c r="X47" s="6">
        <f t="shared" si="30"/>
        <v>-3921.38</v>
      </c>
      <c r="Y47" s="2"/>
      <c r="Z47" s="7">
        <f t="shared" si="31"/>
        <v>-1</v>
      </c>
    </row>
    <row r="48" spans="1:26" s="60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8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9" t="s">
        <v>276</v>
      </c>
      <c r="C51" s="29"/>
      <c r="D51" s="22">
        <f>+D16-D18+D49</f>
        <v>-8835.7099999999991</v>
      </c>
      <c r="E51" s="14"/>
      <c r="F51" s="20">
        <f>IF(D$12=0,0,D51/D$12)</f>
        <v>0</v>
      </c>
      <c r="G51" s="14"/>
      <c r="H51" s="22">
        <f>+H16-H18+H49</f>
        <v>-13934.57</v>
      </c>
      <c r="I51" s="14"/>
      <c r="J51" s="20">
        <f>IF(H$12=0,0,H51/H$12)</f>
        <v>0</v>
      </c>
      <c r="K51" s="15"/>
      <c r="L51" s="22">
        <f>+D51-H51</f>
        <v>5098.8600000000006</v>
      </c>
      <c r="M51" s="15"/>
      <c r="N51" s="20">
        <f>IF(H51=0,0,L51/H51)</f>
        <v>-0.36591441285952853</v>
      </c>
      <c r="O51" s="28"/>
      <c r="P51" s="22">
        <f>+P16-P18+P49</f>
        <v>-79663.009999999995</v>
      </c>
      <c r="Q51" s="14"/>
      <c r="R51" s="20">
        <f>IF(P$12=0,0,P51/P$12)</f>
        <v>0</v>
      </c>
      <c r="S51" s="14"/>
      <c r="T51" s="22">
        <f>+T16-T18+T49</f>
        <v>-77787.350000000006</v>
      </c>
      <c r="U51" s="14"/>
      <c r="V51" s="20">
        <f>IF(T$12=0,0,T51/T$12)</f>
        <v>0</v>
      </c>
      <c r="W51" s="15"/>
      <c r="X51" s="22">
        <f>+P51-T51</f>
        <v>-1875.6599999999889</v>
      </c>
      <c r="Y51" s="15"/>
      <c r="Z51" s="20">
        <f>IF(T51=0,0,X51/T51)</f>
        <v>2.4112660991793509E-2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/>
      <c r="I53" s="4"/>
      <c r="J53" s="13">
        <f>IF(H$12=0,0,H53/H$12)</f>
        <v>0</v>
      </c>
      <c r="K53" s="4"/>
      <c r="L53" s="4">
        <f>+D53-H53</f>
        <v>0</v>
      </c>
      <c r="M53" s="4"/>
      <c r="N53" s="13">
        <f>IF(H53=0,0,L53/H53)</f>
        <v>0</v>
      </c>
      <c r="O53" s="11"/>
      <c r="P53" s="4"/>
      <c r="Q53" s="4"/>
      <c r="R53" s="13">
        <f>IF(P$12=0,0,P53/P$12)</f>
        <v>0</v>
      </c>
      <c r="S53" s="4"/>
      <c r="T53" s="4"/>
      <c r="U53" s="4"/>
      <c r="V53" s="13">
        <f>IF(T$12=0,0,T53/T$12)</f>
        <v>0</v>
      </c>
      <c r="W53" s="4"/>
      <c r="X53" s="4">
        <f>+P53-T53</f>
        <v>0</v>
      </c>
      <c r="Y53" s="4"/>
      <c r="Z53" s="13">
        <f>IF(T53=0,0,X53/T53)</f>
        <v>0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9" t="s">
        <v>125</v>
      </c>
      <c r="C55" s="29"/>
      <c r="D55" s="30">
        <f>+D51-D53</f>
        <v>-8835.7099999999991</v>
      </c>
      <c r="E55" s="14"/>
      <c r="F55" s="36">
        <f>IF(D$12=0,0,D55/D$12)</f>
        <v>0</v>
      </c>
      <c r="G55" s="14"/>
      <c r="H55" s="30">
        <f>+H51-H53</f>
        <v>-13934.57</v>
      </c>
      <c r="I55" s="14"/>
      <c r="J55" s="36">
        <f>IF(H$12=0,0,H55/H$12)</f>
        <v>0</v>
      </c>
      <c r="K55" s="15"/>
      <c r="L55" s="30">
        <f>D55-H55</f>
        <v>5098.8600000000006</v>
      </c>
      <c r="M55" s="15"/>
      <c r="N55" s="36">
        <f>IF(H55=0,0,L55/H55)</f>
        <v>-0.36591441285952853</v>
      </c>
      <c r="O55" s="28"/>
      <c r="P55" s="30">
        <f>+P51-P53</f>
        <v>-79663.009999999995</v>
      </c>
      <c r="Q55" s="14"/>
      <c r="R55" s="36">
        <f>IF(P$12=0,0,P55/P$12)</f>
        <v>0</v>
      </c>
      <c r="S55" s="14"/>
      <c r="T55" s="30">
        <f>+T51-T53</f>
        <v>-77787.350000000006</v>
      </c>
      <c r="U55" s="14"/>
      <c r="V55" s="36">
        <f>IF(T$12=0,0,T55/T$12)</f>
        <v>0</v>
      </c>
      <c r="W55" s="15"/>
      <c r="X55" s="30">
        <f>P55-T55</f>
        <v>-1875.6599999999889</v>
      </c>
      <c r="Y55" s="15"/>
      <c r="Z55" s="36">
        <f>IF(T55=0,0,X55/T55)</f>
        <v>2.4112660991793509E-2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9" t="s">
        <v>293</v>
      </c>
      <c r="C58" s="29"/>
      <c r="D58" s="35">
        <f>SUM(D55:D57)</f>
        <v>-8835.7099999999991</v>
      </c>
      <c r="E58" s="14"/>
      <c r="F58" s="34">
        <f>IF(D$12=0,0,D58/D$12)</f>
        <v>0</v>
      </c>
      <c r="G58" s="14"/>
      <c r="H58" s="35">
        <f>SUM(H55:H57)</f>
        <v>-13934.57</v>
      </c>
      <c r="I58" s="14"/>
      <c r="J58" s="34">
        <f>IF(H$12=0,0,H58/H$12)</f>
        <v>0</v>
      </c>
      <c r="K58" s="15"/>
      <c r="L58" s="35">
        <f>+D58-H58</f>
        <v>5098.8600000000006</v>
      </c>
      <c r="M58" s="15"/>
      <c r="N58" s="34">
        <f>IF(H58=0,0,L58/H58)</f>
        <v>-0.36591441285952853</v>
      </c>
      <c r="O58" s="28"/>
      <c r="P58" s="35">
        <f>SUM(P55:P57)</f>
        <v>-79663.009999999995</v>
      </c>
      <c r="Q58" s="14"/>
      <c r="R58" s="34">
        <f>IF(P$12=0,0,P58/P$12)</f>
        <v>0</v>
      </c>
      <c r="S58" s="14"/>
      <c r="T58" s="35">
        <f>SUM(T55:T57)</f>
        <v>-77787.350000000006</v>
      </c>
      <c r="U58" s="14"/>
      <c r="V58" s="34">
        <f>IF(T$12=0,0,T58/T$12)</f>
        <v>0</v>
      </c>
      <c r="W58" s="15"/>
      <c r="X58" s="35">
        <f>+P58-T58</f>
        <v>-1875.6599999999889</v>
      </c>
      <c r="Y58" s="15"/>
      <c r="Z58" s="34">
        <f>IF(T58=0,0,X58/T58)</f>
        <v>2.4112660991793509E-2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4">
        <v>44295.963243634258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8" t="s">
        <v>56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62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106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183995.22000000006</v>
      </c>
      <c r="E12" s="4"/>
      <c r="F12" s="13"/>
      <c r="G12" s="4"/>
      <c r="H12" s="4">
        <f>SUM(OSRRefH13x_0)</f>
        <v>394517.29999999993</v>
      </c>
      <c r="I12" s="4"/>
      <c r="J12" s="13"/>
      <c r="K12" s="4"/>
      <c r="L12" s="4">
        <f t="shared" ref="L12:L111" si="0">+D12-H12</f>
        <v>-210522.07999999987</v>
      </c>
      <c r="M12" s="4"/>
      <c r="N12" s="13">
        <f t="shared" ref="N12:N111" si="1">IF(H12=0,0,L12/H12)</f>
        <v>-0.53361938754016591</v>
      </c>
      <c r="O12" s="11"/>
      <c r="P12" s="4">
        <f>SUM(OSRRefP13x_0)</f>
        <v>4266994.2300000023</v>
      </c>
      <c r="Q12" s="4"/>
      <c r="R12" s="13"/>
      <c r="S12" s="4"/>
      <c r="T12" s="4">
        <f>SUM(OSRRefT13x_0)</f>
        <v>10962823.610000001</v>
      </c>
      <c r="U12" s="4"/>
      <c r="V12" s="13"/>
      <c r="W12" s="4"/>
      <c r="X12" s="4">
        <f t="shared" ref="X12:X111" si="2">+P12-T12</f>
        <v>-6695829.379999999</v>
      </c>
      <c r="Y12" s="4"/>
      <c r="Z12" s="13">
        <f t="shared" ref="Z12:Z111" si="3">IF(T12=0,0,X12/T12)</f>
        <v>-0.61077598419920198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-11562.13</f>
        <v>-11562.13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-11562.13</v>
      </c>
      <c r="M13" s="2"/>
      <c r="N13" s="19">
        <f t="shared" si="1"/>
        <v>0</v>
      </c>
      <c r="O13" s="10"/>
      <c r="P13" s="2">
        <f>-119923.26</f>
        <v>-119923.26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-119923.26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--7739.23</f>
        <v>7739.23</v>
      </c>
      <c r="E14" s="2"/>
      <c r="F14" s="19"/>
      <c r="G14" s="2"/>
      <c r="H14" s="2">
        <f>--6131.56</f>
        <v>6131.56</v>
      </c>
      <c r="I14" s="2"/>
      <c r="J14" s="19"/>
      <c r="K14" s="2"/>
      <c r="L14" s="2">
        <f t="shared" si="0"/>
        <v>1607.6699999999992</v>
      </c>
      <c r="M14" s="2"/>
      <c r="N14" s="19">
        <f t="shared" si="1"/>
        <v>0.26219591751528143</v>
      </c>
      <c r="O14" s="10"/>
      <c r="P14" s="2">
        <f>--1232463.24</f>
        <v>1232463.24</v>
      </c>
      <c r="Q14" s="2"/>
      <c r="R14" s="19"/>
      <c r="S14" s="2"/>
      <c r="T14" s="2">
        <f>--2396893.28</f>
        <v>2396893.2799999998</v>
      </c>
      <c r="U14" s="2"/>
      <c r="V14" s="19"/>
      <c r="W14" s="2"/>
      <c r="X14" s="2">
        <f t="shared" si="2"/>
        <v>-1164430.0399999998</v>
      </c>
      <c r="Y14" s="2"/>
      <c r="Z14" s="19">
        <f t="shared" si="3"/>
        <v>-0.48580804565483193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--1662.85</f>
        <v>1662.85</v>
      </c>
      <c r="E15" s="2"/>
      <c r="F15" s="19"/>
      <c r="G15" s="2"/>
      <c r="H15" s="2">
        <f>--4341.5</f>
        <v>4341.5</v>
      </c>
      <c r="I15" s="2"/>
      <c r="J15" s="19"/>
      <c r="K15" s="2"/>
      <c r="L15" s="2">
        <f t="shared" si="0"/>
        <v>-2678.65</v>
      </c>
      <c r="M15" s="2"/>
      <c r="N15" s="19">
        <f t="shared" si="1"/>
        <v>-0.61698721639986187</v>
      </c>
      <c r="O15" s="10"/>
      <c r="P15" s="2">
        <f>--576797.33</f>
        <v>576797.32999999996</v>
      </c>
      <c r="Q15" s="2"/>
      <c r="R15" s="19"/>
      <c r="S15" s="2"/>
      <c r="T15" s="2">
        <f>--1244314.69</f>
        <v>1244314.69</v>
      </c>
      <c r="U15" s="2"/>
      <c r="V15" s="19"/>
      <c r="W15" s="2"/>
      <c r="X15" s="2">
        <f t="shared" si="2"/>
        <v>-667517.36</v>
      </c>
      <c r="Y15" s="2"/>
      <c r="Z15" s="19">
        <f t="shared" si="3"/>
        <v>-0.53645381298198769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--49.99</f>
        <v>49.99</v>
      </c>
      <c r="E16" s="2"/>
      <c r="F16" s="19"/>
      <c r="G16" s="2"/>
      <c r="H16" s="2">
        <f>--78</f>
        <v>78</v>
      </c>
      <c r="I16" s="2"/>
      <c r="J16" s="19"/>
      <c r="K16" s="2"/>
      <c r="L16" s="2">
        <f t="shared" si="0"/>
        <v>-28.009999999999998</v>
      </c>
      <c r="M16" s="2"/>
      <c r="N16" s="19">
        <f t="shared" si="1"/>
        <v>-0.35910256410256408</v>
      </c>
      <c r="O16" s="10"/>
      <c r="P16" s="2">
        <f>--17977.88</f>
        <v>17977.88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-15717.009999999998</v>
      </c>
      <c r="Y16" s="2"/>
      <c r="Z16" s="19">
        <f t="shared" si="3"/>
        <v>-0.46645084759143002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>--253.6</f>
        <v>253.6</v>
      </c>
      <c r="I18" s="2"/>
      <c r="J18" s="19"/>
      <c r="K18" s="2"/>
      <c r="L18" s="2">
        <f t="shared" si="0"/>
        <v>-253.6</v>
      </c>
      <c r="M18" s="2"/>
      <c r="N18" s="19">
        <f t="shared" si="1"/>
        <v>-1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--29.21</f>
        <v>29.21</v>
      </c>
      <c r="E19" s="2"/>
      <c r="F19" s="19"/>
      <c r="G19" s="2"/>
      <c r="H19" s="2">
        <f>--412.75</f>
        <v>412.75</v>
      </c>
      <c r="I19" s="2"/>
      <c r="J19" s="19"/>
      <c r="K19" s="2"/>
      <c r="L19" s="2">
        <f t="shared" si="0"/>
        <v>-383.54</v>
      </c>
      <c r="M19" s="2"/>
      <c r="N19" s="19">
        <f t="shared" si="1"/>
        <v>-0.9292307692307693</v>
      </c>
      <c r="O19" s="10"/>
      <c r="P19" s="2">
        <f>--1202.02</f>
        <v>1202.02</v>
      </c>
      <c r="Q19" s="2"/>
      <c r="R19" s="19"/>
      <c r="S19" s="2"/>
      <c r="T19" s="2">
        <f>--2695</f>
        <v>2695</v>
      </c>
      <c r="U19" s="2"/>
      <c r="V19" s="19"/>
      <c r="W19" s="2"/>
      <c r="X19" s="2">
        <f t="shared" si="2"/>
        <v>-1492.98</v>
      </c>
      <c r="Y19" s="2"/>
      <c r="Z19" s="19">
        <f t="shared" si="3"/>
        <v>-0.5539814471243043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--35.82</f>
        <v>35.82</v>
      </c>
      <c r="E20" s="2"/>
      <c r="F20" s="19"/>
      <c r="G20" s="2"/>
      <c r="H20" s="2">
        <f>--67.24</f>
        <v>67.239999999999995</v>
      </c>
      <c r="I20" s="2"/>
      <c r="J20" s="19"/>
      <c r="K20" s="2"/>
      <c r="L20" s="2">
        <f t="shared" si="0"/>
        <v>-31.419999999999995</v>
      </c>
      <c r="M20" s="2"/>
      <c r="N20" s="19">
        <f t="shared" si="1"/>
        <v>-0.46728138013087445</v>
      </c>
      <c r="O20" s="10"/>
      <c r="P20" s="2">
        <f>--447.7</f>
        <v>447.7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-771.48</v>
      </c>
      <c r="Y20" s="2"/>
      <c r="Z20" s="19">
        <f t="shared" si="3"/>
        <v>-0.63278597089847277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--10.98</f>
        <v>10.98</v>
      </c>
      <c r="I21" s="2"/>
      <c r="J21" s="19"/>
      <c r="K21" s="2"/>
      <c r="L21" s="2">
        <f t="shared" si="0"/>
        <v>-10.98</v>
      </c>
      <c r="M21" s="2"/>
      <c r="N21" s="19">
        <f t="shared" si="1"/>
        <v>-1</v>
      </c>
      <c r="O21" s="10"/>
      <c r="P21" s="2">
        <f>0</f>
        <v>0</v>
      </c>
      <c r="Q21" s="2"/>
      <c r="R21" s="19"/>
      <c r="S21" s="2"/>
      <c r="T21" s="2">
        <f>--282.57</f>
        <v>282.57</v>
      </c>
      <c r="U21" s="2"/>
      <c r="V21" s="19"/>
      <c r="W21" s="2"/>
      <c r="X21" s="2">
        <f t="shared" si="2"/>
        <v>-282.57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--67.3</f>
        <v>67.3</v>
      </c>
      <c r="E22" s="2"/>
      <c r="F22" s="19"/>
      <c r="G22" s="2"/>
      <c r="H22" s="2">
        <f>--56.6</f>
        <v>56.6</v>
      </c>
      <c r="I22" s="2"/>
      <c r="J22" s="19"/>
      <c r="K22" s="2"/>
      <c r="L22" s="2">
        <f t="shared" si="0"/>
        <v>10.699999999999996</v>
      </c>
      <c r="M22" s="2"/>
      <c r="N22" s="19">
        <f t="shared" si="1"/>
        <v>0.18904593639575965</v>
      </c>
      <c r="O22" s="10"/>
      <c r="P22" s="2">
        <f>--400.14</f>
        <v>400.14</v>
      </c>
      <c r="Q22" s="2"/>
      <c r="R22" s="19"/>
      <c r="S22" s="2"/>
      <c r="T22" s="2">
        <f>--4154.31</f>
        <v>4154.3100000000004</v>
      </c>
      <c r="U22" s="2"/>
      <c r="V22" s="19"/>
      <c r="W22" s="2"/>
      <c r="X22" s="2">
        <f t="shared" si="2"/>
        <v>-3754.1700000000005</v>
      </c>
      <c r="Y22" s="2"/>
      <c r="Z22" s="19">
        <f t="shared" si="3"/>
        <v>-0.90368075564895256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6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5"/>
        <v>0</v>
      </c>
      <c r="E24" s="2"/>
      <c r="F24" s="19"/>
      <c r="G24" s="2"/>
      <c r="H24" s="2">
        <f>--2919.17</f>
        <v>2919.17</v>
      </c>
      <c r="I24" s="2"/>
      <c r="J24" s="19"/>
      <c r="K24" s="2"/>
      <c r="L24" s="2">
        <f t="shared" si="0"/>
        <v>-2919.17</v>
      </c>
      <c r="M24" s="2"/>
      <c r="N24" s="19">
        <f t="shared" si="1"/>
        <v>-1</v>
      </c>
      <c r="O24" s="10"/>
      <c r="P24" s="2">
        <f t="shared" si="6"/>
        <v>0</v>
      </c>
      <c r="Q24" s="2"/>
      <c r="R24" s="19"/>
      <c r="S24" s="2"/>
      <c r="T24" s="2">
        <f>--54702.86</f>
        <v>54702.86</v>
      </c>
      <c r="U24" s="2"/>
      <c r="V24" s="19"/>
      <c r="W24" s="2"/>
      <c r="X24" s="2">
        <f t="shared" si="2"/>
        <v>-54702.86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--16.37</f>
        <v>16.37</v>
      </c>
      <c r="E25" s="2"/>
      <c r="F25" s="19"/>
      <c r="G25" s="2"/>
      <c r="H25" s="2">
        <f>--4393.86</f>
        <v>4393.8599999999997</v>
      </c>
      <c r="I25" s="2"/>
      <c r="J25" s="19"/>
      <c r="K25" s="2"/>
      <c r="L25" s="2">
        <f t="shared" si="0"/>
        <v>-4377.49</v>
      </c>
      <c r="M25" s="2"/>
      <c r="N25" s="19">
        <f t="shared" si="1"/>
        <v>-0.99627434647439839</v>
      </c>
      <c r="O25" s="10"/>
      <c r="P25" s="2">
        <f>--464.75</f>
        <v>464.75</v>
      </c>
      <c r="Q25" s="2"/>
      <c r="R25" s="19"/>
      <c r="S25" s="2"/>
      <c r="T25" s="2">
        <f>--79868.06</f>
        <v>79868.06</v>
      </c>
      <c r="U25" s="2"/>
      <c r="V25" s="19"/>
      <c r="W25" s="2"/>
      <c r="X25" s="2">
        <f t="shared" si="2"/>
        <v>-79403.31</v>
      </c>
      <c r="Y25" s="2"/>
      <c r="Z25" s="19">
        <f t="shared" si="3"/>
        <v>-0.99418102806052888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--3028</f>
        <v>3028</v>
      </c>
      <c r="E26" s="2"/>
      <c r="F26" s="19"/>
      <c r="G26" s="2"/>
      <c r="H26" s="2">
        <f>--8153.25</f>
        <v>8153.25</v>
      </c>
      <c r="I26" s="2"/>
      <c r="J26" s="19"/>
      <c r="K26" s="2"/>
      <c r="L26" s="2">
        <f t="shared" si="0"/>
        <v>-5125.25</v>
      </c>
      <c r="M26" s="2"/>
      <c r="N26" s="19">
        <f t="shared" si="1"/>
        <v>-0.62861435623830986</v>
      </c>
      <c r="O26" s="10"/>
      <c r="P26" s="2">
        <f>--57512.32</f>
        <v>57512.32</v>
      </c>
      <c r="Q26" s="2"/>
      <c r="R26" s="19"/>
      <c r="S26" s="2"/>
      <c r="T26" s="2">
        <f>--269846.58</f>
        <v>269846.58</v>
      </c>
      <c r="U26" s="2"/>
      <c r="V26" s="19"/>
      <c r="W26" s="2"/>
      <c r="X26" s="2">
        <f t="shared" si="2"/>
        <v>-212334.26</v>
      </c>
      <c r="Y26" s="2"/>
      <c r="Z26" s="19">
        <f t="shared" si="3"/>
        <v>-0.78687030237700251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--3372.76</f>
        <v>3372.76</v>
      </c>
      <c r="E27" s="2"/>
      <c r="F27" s="19"/>
      <c r="G27" s="2"/>
      <c r="H27" s="2">
        <f>--17260.82</f>
        <v>17260.82</v>
      </c>
      <c r="I27" s="2"/>
      <c r="J27" s="19"/>
      <c r="K27" s="2"/>
      <c r="L27" s="2">
        <f t="shared" si="0"/>
        <v>-13888.06</v>
      </c>
      <c r="M27" s="2"/>
      <c r="N27" s="19">
        <f t="shared" si="1"/>
        <v>-0.80460024494780669</v>
      </c>
      <c r="O27" s="10"/>
      <c r="P27" s="2">
        <f>--44249.38</f>
        <v>44249.38</v>
      </c>
      <c r="Q27" s="2"/>
      <c r="R27" s="19"/>
      <c r="S27" s="2"/>
      <c r="T27" s="2">
        <f>--292597.05</f>
        <v>292597.05</v>
      </c>
      <c r="U27" s="2"/>
      <c r="V27" s="19"/>
      <c r="W27" s="2"/>
      <c r="X27" s="2">
        <f t="shared" si="2"/>
        <v>-248347.66999999998</v>
      </c>
      <c r="Y27" s="2"/>
      <c r="Z27" s="19">
        <f t="shared" si="3"/>
        <v>-0.84877024563303016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--434.03</f>
        <v>434.03</v>
      </c>
      <c r="E28" s="2"/>
      <c r="F28" s="19"/>
      <c r="G28" s="2"/>
      <c r="H28" s="2">
        <f>--44.3</f>
        <v>44.3</v>
      </c>
      <c r="I28" s="2"/>
      <c r="J28" s="19"/>
      <c r="K28" s="2"/>
      <c r="L28" s="2">
        <f t="shared" si="0"/>
        <v>389.72999999999996</v>
      </c>
      <c r="M28" s="2"/>
      <c r="N28" s="19">
        <f t="shared" si="1"/>
        <v>8.7975169300225726</v>
      </c>
      <c r="O28" s="10"/>
      <c r="P28" s="2">
        <f>--3614.87</f>
        <v>3614.87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3128.5299999999997</v>
      </c>
      <c r="Y28" s="2"/>
      <c r="Z28" s="19">
        <f t="shared" si="3"/>
        <v>6.4328042110457702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7">0</f>
        <v>0</v>
      </c>
      <c r="E29" s="2"/>
      <c r="F29" s="19"/>
      <c r="G29" s="2"/>
      <c r="H29" s="2">
        <f>--19182.55</f>
        <v>19182.55</v>
      </c>
      <c r="I29" s="2"/>
      <c r="J29" s="19"/>
      <c r="K29" s="2"/>
      <c r="L29" s="2">
        <f t="shared" si="0"/>
        <v>-19182.55</v>
      </c>
      <c r="M29" s="2"/>
      <c r="N29" s="19">
        <f t="shared" si="1"/>
        <v>-1</v>
      </c>
      <c r="O29" s="10"/>
      <c r="P29" s="2">
        <f>--444.59</f>
        <v>444.59</v>
      </c>
      <c r="Q29" s="2"/>
      <c r="R29" s="19"/>
      <c r="S29" s="2"/>
      <c r="T29" s="2">
        <f>--277653.17</f>
        <v>277653.17</v>
      </c>
      <c r="U29" s="2"/>
      <c r="V29" s="19"/>
      <c r="W29" s="2"/>
      <c r="X29" s="2">
        <f t="shared" si="2"/>
        <v>-277208.57999999996</v>
      </c>
      <c r="Y29" s="2"/>
      <c r="Z29" s="19">
        <f t="shared" si="3"/>
        <v>-0.99839875770191988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7"/>
        <v>0</v>
      </c>
      <c r="E30" s="2"/>
      <c r="F30" s="19"/>
      <c r="G30" s="2"/>
      <c r="H30" s="2">
        <f>--25.55</f>
        <v>25.55</v>
      </c>
      <c r="I30" s="2"/>
      <c r="J30" s="19"/>
      <c r="K30" s="2"/>
      <c r="L30" s="2">
        <f t="shared" si="0"/>
        <v>-25.55</v>
      </c>
      <c r="M30" s="2"/>
      <c r="N30" s="19">
        <f t="shared" si="1"/>
        <v>-1</v>
      </c>
      <c r="O30" s="10"/>
      <c r="P30" s="2">
        <f>0</f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7"/>
        <v>0</v>
      </c>
      <c r="E31" s="2"/>
      <c r="F31" s="19"/>
      <c r="G31" s="2"/>
      <c r="H31" s="2">
        <f>--758.61</f>
        <v>758.61</v>
      </c>
      <c r="I31" s="2"/>
      <c r="J31" s="19"/>
      <c r="K31" s="2"/>
      <c r="L31" s="2">
        <f t="shared" si="0"/>
        <v>-758.61</v>
      </c>
      <c r="M31" s="2"/>
      <c r="N31" s="19">
        <f t="shared" si="1"/>
        <v>-1</v>
      </c>
      <c r="O31" s="10"/>
      <c r="P31" s="2">
        <f>--6.78</f>
        <v>6.78</v>
      </c>
      <c r="Q31" s="2"/>
      <c r="R31" s="19"/>
      <c r="S31" s="2"/>
      <c r="T31" s="2">
        <f>--10922.06</f>
        <v>10922.06</v>
      </c>
      <c r="U31" s="2"/>
      <c r="V31" s="19"/>
      <c r="W31" s="2"/>
      <c r="X31" s="2">
        <f t="shared" si="2"/>
        <v>-10915.279999999999</v>
      </c>
      <c r="Y31" s="2"/>
      <c r="Z31" s="19">
        <f t="shared" si="3"/>
        <v>-0.99937923798257833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7"/>
        <v>0</v>
      </c>
      <c r="E32" s="2"/>
      <c r="F32" s="19"/>
      <c r="G32" s="2"/>
      <c r="H32" s="2">
        <f>--101.32</f>
        <v>101.32</v>
      </c>
      <c r="I32" s="2"/>
      <c r="J32" s="19"/>
      <c r="K32" s="2"/>
      <c r="L32" s="2">
        <f t="shared" si="0"/>
        <v>-101.32</v>
      </c>
      <c r="M32" s="2"/>
      <c r="N32" s="19">
        <f t="shared" si="1"/>
        <v>-1</v>
      </c>
      <c r="O32" s="10"/>
      <c r="P32" s="2">
        <f t="shared" ref="P32:P33" si="8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7"/>
        <v>0</v>
      </c>
      <c r="E33" s="2"/>
      <c r="F33" s="19"/>
      <c r="G33" s="2"/>
      <c r="H33" s="2">
        <f>--24.8</f>
        <v>24.8</v>
      </c>
      <c r="I33" s="2"/>
      <c r="J33" s="19"/>
      <c r="K33" s="2"/>
      <c r="L33" s="2">
        <f t="shared" si="0"/>
        <v>-24.8</v>
      </c>
      <c r="M33" s="2"/>
      <c r="N33" s="19">
        <f t="shared" si="1"/>
        <v>-1</v>
      </c>
      <c r="O33" s="10"/>
      <c r="P33" s="2">
        <f t="shared" si="8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--82653.17</f>
        <v>82653.17</v>
      </c>
      <c r="E34" s="2"/>
      <c r="F34" s="19"/>
      <c r="G34" s="2"/>
      <c r="H34" s="2">
        <f>--93833.27</f>
        <v>93833.27</v>
      </c>
      <c r="I34" s="2"/>
      <c r="J34" s="19"/>
      <c r="K34" s="2"/>
      <c r="L34" s="2">
        <f t="shared" si="0"/>
        <v>-11180.100000000006</v>
      </c>
      <c r="M34" s="2"/>
      <c r="N34" s="19">
        <f t="shared" si="1"/>
        <v>-0.11914857065090032</v>
      </c>
      <c r="O34" s="10"/>
      <c r="P34" s="2">
        <f>--754001.15</f>
        <v>754001.15</v>
      </c>
      <c r="Q34" s="2"/>
      <c r="R34" s="19"/>
      <c r="S34" s="2"/>
      <c r="T34" s="2">
        <f>--1776128.49</f>
        <v>1776128.49</v>
      </c>
      <c r="U34" s="2"/>
      <c r="V34" s="19"/>
      <c r="W34" s="2"/>
      <c r="X34" s="2">
        <f t="shared" si="2"/>
        <v>-1022127.34</v>
      </c>
      <c r="Y34" s="2"/>
      <c r="Z34" s="19">
        <f t="shared" si="3"/>
        <v>-0.57548051605207906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--47817.47</f>
        <v>47817.47</v>
      </c>
      <c r="E35" s="2"/>
      <c r="F35" s="19"/>
      <c r="G35" s="2"/>
      <c r="H35" s="2">
        <f>--25196.53</f>
        <v>25196.53</v>
      </c>
      <c r="I35" s="2"/>
      <c r="J35" s="19"/>
      <c r="K35" s="2"/>
      <c r="L35" s="2">
        <f t="shared" si="0"/>
        <v>22620.940000000002</v>
      </c>
      <c r="M35" s="2"/>
      <c r="N35" s="19">
        <f t="shared" si="1"/>
        <v>0.89777997208345761</v>
      </c>
      <c r="O35" s="10"/>
      <c r="P35" s="2">
        <f>--324016.78</f>
        <v>324016.78000000003</v>
      </c>
      <c r="Q35" s="2"/>
      <c r="R35" s="19"/>
      <c r="S35" s="2"/>
      <c r="T35" s="2">
        <f>--467017.72</f>
        <v>467017.72</v>
      </c>
      <c r="U35" s="2"/>
      <c r="V35" s="19"/>
      <c r="W35" s="2"/>
      <c r="X35" s="2">
        <f t="shared" si="2"/>
        <v>-143000.93999999994</v>
      </c>
      <c r="Y35" s="2"/>
      <c r="Z35" s="19">
        <f t="shared" si="3"/>
        <v>-0.30620024439329613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--11053.28</f>
        <v>11053.28</v>
      </c>
      <c r="E36" s="2"/>
      <c r="F36" s="19"/>
      <c r="G36" s="2"/>
      <c r="H36" s="2">
        <f>--18014.27</f>
        <v>18014.27</v>
      </c>
      <c r="I36" s="2"/>
      <c r="J36" s="19"/>
      <c r="K36" s="2"/>
      <c r="L36" s="2">
        <f t="shared" si="0"/>
        <v>-6960.99</v>
      </c>
      <c r="M36" s="2"/>
      <c r="N36" s="19">
        <f t="shared" si="1"/>
        <v>-0.38641532518386812</v>
      </c>
      <c r="O36" s="10"/>
      <c r="P36" s="2">
        <f>--90048.2</f>
        <v>90048.2</v>
      </c>
      <c r="Q36" s="2"/>
      <c r="R36" s="19"/>
      <c r="S36" s="2"/>
      <c r="T36" s="2">
        <f>--277580.41</f>
        <v>277580.40999999997</v>
      </c>
      <c r="U36" s="2"/>
      <c r="V36" s="19"/>
      <c r="W36" s="2"/>
      <c r="X36" s="2">
        <f t="shared" si="2"/>
        <v>-187532.20999999996</v>
      </c>
      <c r="Y36" s="2"/>
      <c r="Z36" s="19">
        <f t="shared" si="3"/>
        <v>-0.67559598316033898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--8285.51</f>
        <v>8285.51</v>
      </c>
      <c r="E37" s="2"/>
      <c r="F37" s="19"/>
      <c r="G37" s="2"/>
      <c r="H37" s="2">
        <f>--666.52</f>
        <v>666.52</v>
      </c>
      <c r="I37" s="2"/>
      <c r="J37" s="19"/>
      <c r="K37" s="2"/>
      <c r="L37" s="2">
        <f t="shared" si="0"/>
        <v>7618.99</v>
      </c>
      <c r="M37" s="2"/>
      <c r="N37" s="19">
        <f t="shared" si="1"/>
        <v>11.430999819960391</v>
      </c>
      <c r="O37" s="10"/>
      <c r="P37" s="2">
        <f>--132436.17</f>
        <v>132436.17000000001</v>
      </c>
      <c r="Q37" s="2"/>
      <c r="R37" s="19"/>
      <c r="S37" s="2"/>
      <c r="T37" s="2">
        <f>--76568.23</f>
        <v>76568.23</v>
      </c>
      <c r="U37" s="2"/>
      <c r="V37" s="19"/>
      <c r="W37" s="2"/>
      <c r="X37" s="2">
        <f t="shared" si="2"/>
        <v>55867.940000000017</v>
      </c>
      <c r="Y37" s="2"/>
      <c r="Z37" s="19">
        <f t="shared" si="3"/>
        <v>0.72964909858827898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--1774.45</f>
        <v>1774.45</v>
      </c>
      <c r="E38" s="2"/>
      <c r="F38" s="19"/>
      <c r="G38" s="2"/>
      <c r="H38" s="2">
        <f>--3732.24</f>
        <v>3732.24</v>
      </c>
      <c r="I38" s="2"/>
      <c r="J38" s="19"/>
      <c r="K38" s="2"/>
      <c r="L38" s="2">
        <f t="shared" si="0"/>
        <v>-1957.7899999999997</v>
      </c>
      <c r="M38" s="2"/>
      <c r="N38" s="19">
        <f t="shared" si="1"/>
        <v>-0.52456165734250737</v>
      </c>
      <c r="O38" s="10"/>
      <c r="P38" s="2">
        <f>--31346.85</f>
        <v>31346.85</v>
      </c>
      <c r="Q38" s="2"/>
      <c r="R38" s="19"/>
      <c r="S38" s="2"/>
      <c r="T38" s="2">
        <f>--66666.73</f>
        <v>66666.73</v>
      </c>
      <c r="U38" s="2"/>
      <c r="V38" s="19"/>
      <c r="W38" s="2"/>
      <c r="X38" s="2">
        <f t="shared" si="2"/>
        <v>-35319.879999999997</v>
      </c>
      <c r="Y38" s="2"/>
      <c r="Z38" s="19">
        <f t="shared" si="3"/>
        <v>-0.52979769669218812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--8707.87</f>
        <v>8707.8700000000008</v>
      </c>
      <c r="E39" s="2"/>
      <c r="F39" s="19"/>
      <c r="G39" s="2"/>
      <c r="H39" s="2">
        <f>--3847.78</f>
        <v>3847.78</v>
      </c>
      <c r="I39" s="2"/>
      <c r="J39" s="19"/>
      <c r="K39" s="2"/>
      <c r="L39" s="2">
        <f t="shared" si="0"/>
        <v>4860.09</v>
      </c>
      <c r="M39" s="2"/>
      <c r="N39" s="19">
        <f t="shared" si="1"/>
        <v>1.2630893658161328</v>
      </c>
      <c r="O39" s="10"/>
      <c r="P39" s="2">
        <f>--144197.44</f>
        <v>144197.44</v>
      </c>
      <c r="Q39" s="2"/>
      <c r="R39" s="19"/>
      <c r="S39" s="2"/>
      <c r="T39" s="2">
        <f>--74400.82</f>
        <v>74400.820000000007</v>
      </c>
      <c r="U39" s="2"/>
      <c r="V39" s="19"/>
      <c r="W39" s="2"/>
      <c r="X39" s="2">
        <f t="shared" si="2"/>
        <v>69796.62</v>
      </c>
      <c r="Y39" s="2"/>
      <c r="Z39" s="19">
        <f t="shared" si="3"/>
        <v>0.93811627344967419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 t="shared" ref="D40:D46" si="9">0</f>
        <v>0</v>
      </c>
      <c r="E40" s="2"/>
      <c r="F40" s="19"/>
      <c r="G40" s="2"/>
      <c r="H40" s="2">
        <f>--490.15</f>
        <v>490.15</v>
      </c>
      <c r="I40" s="2"/>
      <c r="J40" s="19"/>
      <c r="K40" s="2"/>
      <c r="L40" s="2">
        <f t="shared" si="0"/>
        <v>-490.15</v>
      </c>
      <c r="M40" s="2"/>
      <c r="N40" s="19">
        <f t="shared" si="1"/>
        <v>-1</v>
      </c>
      <c r="O40" s="10"/>
      <c r="P40" s="2">
        <f t="shared" ref="P40:P41" si="10"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"4051", " - ", "TAXABLE SALES-FOOD")</f>
        <v xml:space="preserve">          4051 - TAXABLE SALES-FOOD</v>
      </c>
      <c r="C41" s="10"/>
      <c r="D41" s="2">
        <f t="shared" si="9"/>
        <v>0</v>
      </c>
      <c r="E41" s="2"/>
      <c r="F41" s="19"/>
      <c r="G41" s="2"/>
      <c r="H41" s="2">
        <f>--8490.18</f>
        <v>8490.18</v>
      </c>
      <c r="I41" s="2"/>
      <c r="J41" s="19"/>
      <c r="K41" s="2"/>
      <c r="L41" s="2">
        <f t="shared" si="0"/>
        <v>-8490.18</v>
      </c>
      <c r="M41" s="2"/>
      <c r="N41" s="19">
        <f t="shared" si="1"/>
        <v>-1</v>
      </c>
      <c r="O41" s="10"/>
      <c r="P41" s="2">
        <f t="shared" si="10"/>
        <v>0</v>
      </c>
      <c r="Q41" s="2"/>
      <c r="R41" s="19"/>
      <c r="S41" s="2"/>
      <c r="T41" s="2">
        <f>--149404.53</f>
        <v>149404.53</v>
      </c>
      <c r="U41" s="2"/>
      <c r="V41" s="19"/>
      <c r="W41" s="2"/>
      <c r="X41" s="2">
        <f t="shared" si="2"/>
        <v>-149404.53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"4081", " - ", "TAXABLE SALES-ELECTRONICS")</f>
        <v xml:space="preserve">          4081 - TAXABLE SALES-ELECTRONICS</v>
      </c>
      <c r="C42" s="10"/>
      <c r="D42" s="2">
        <f t="shared" si="9"/>
        <v>0</v>
      </c>
      <c r="E42" s="2"/>
      <c r="F42" s="19"/>
      <c r="G42" s="2"/>
      <c r="H42" s="2">
        <f>--64.95</f>
        <v>64.95</v>
      </c>
      <c r="I42" s="2"/>
      <c r="J42" s="19"/>
      <c r="K42" s="2"/>
      <c r="L42" s="2">
        <f t="shared" si="0"/>
        <v>-64.95</v>
      </c>
      <c r="M42" s="2"/>
      <c r="N42" s="19">
        <f t="shared" si="1"/>
        <v>-1</v>
      </c>
      <c r="O42" s="10"/>
      <c r="P42" s="2">
        <f>--71.95</f>
        <v>71.95</v>
      </c>
      <c r="Q42" s="2"/>
      <c r="R42" s="19"/>
      <c r="S42" s="2"/>
      <c r="T42" s="2">
        <f>--3174.93</f>
        <v>3174.93</v>
      </c>
      <c r="U42" s="2"/>
      <c r="V42" s="19"/>
      <c r="W42" s="2"/>
      <c r="X42" s="2">
        <f t="shared" si="2"/>
        <v>-3102.98</v>
      </c>
      <c r="Y42" s="2"/>
      <c r="Z42" s="19">
        <f t="shared" si="3"/>
        <v>-0.97733808304435066</v>
      </c>
    </row>
    <row r="43" spans="1:26" s="23" customFormat="1" hidden="1" outlineLevel="1" x14ac:dyDescent="0.25">
      <c r="A43" s="44"/>
      <c r="B43" s="10" t="str">
        <f>CONCATENATE("          ", "4082", " - ", "TAXABLE SALES-COMPUTER HARDWAR")</f>
        <v xml:space="preserve">          4082 - TAXABLE SALES-COMPUTER HARDWAR</v>
      </c>
      <c r="C43" s="10"/>
      <c r="D43" s="2">
        <f t="shared" si="9"/>
        <v>0</v>
      </c>
      <c r="E43" s="2"/>
      <c r="F43" s="19"/>
      <c r="G43" s="2"/>
      <c r="H43" s="2">
        <f>--67.96</f>
        <v>67.959999999999994</v>
      </c>
      <c r="I43" s="2"/>
      <c r="J43" s="19"/>
      <c r="K43" s="2"/>
      <c r="L43" s="2">
        <f t="shared" si="0"/>
        <v>-67.959999999999994</v>
      </c>
      <c r="M43" s="2"/>
      <c r="N43" s="19">
        <f t="shared" si="1"/>
        <v>-1</v>
      </c>
      <c r="O43" s="10"/>
      <c r="P43" s="2">
        <f>0</f>
        <v>0</v>
      </c>
      <c r="Q43" s="2"/>
      <c r="R43" s="19"/>
      <c r="S43" s="2"/>
      <c r="T43" s="2">
        <f>--363.94</f>
        <v>363.94</v>
      </c>
      <c r="U43" s="2"/>
      <c r="V43" s="19"/>
      <c r="W43" s="2"/>
      <c r="X43" s="2">
        <f t="shared" si="2"/>
        <v>-363.94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"4083", " - ", "TAXABLE SALES-COMPUTER EQUIPME")</f>
        <v xml:space="preserve">          4083 - TAXABLE SALES-COMPUTER EQUIPME</v>
      </c>
      <c r="C44" s="10"/>
      <c r="D44" s="2">
        <f t="shared" si="9"/>
        <v>0</v>
      </c>
      <c r="E44" s="2"/>
      <c r="F44" s="19"/>
      <c r="G44" s="2"/>
      <c r="H44" s="2">
        <f>--29.97</f>
        <v>29.97</v>
      </c>
      <c r="I44" s="2"/>
      <c r="J44" s="19"/>
      <c r="K44" s="2"/>
      <c r="L44" s="2">
        <f t="shared" si="0"/>
        <v>-29.97</v>
      </c>
      <c r="M44" s="2"/>
      <c r="N44" s="19">
        <f t="shared" si="1"/>
        <v>-1</v>
      </c>
      <c r="O44" s="10"/>
      <c r="P44" s="2">
        <f>--9.99</f>
        <v>9.99</v>
      </c>
      <c r="Q44" s="2"/>
      <c r="R44" s="19"/>
      <c r="S44" s="2"/>
      <c r="T44" s="2">
        <f>--914.33</f>
        <v>914.33</v>
      </c>
      <c r="U44" s="2"/>
      <c r="V44" s="19"/>
      <c r="W44" s="2"/>
      <c r="X44" s="2">
        <f t="shared" si="2"/>
        <v>-904.34</v>
      </c>
      <c r="Y44" s="2"/>
      <c r="Z44" s="19">
        <f t="shared" si="3"/>
        <v>-0.98907396672973646</v>
      </c>
    </row>
    <row r="45" spans="1:26" s="23" customFormat="1" hidden="1" outlineLevel="1" x14ac:dyDescent="0.25">
      <c r="A45" s="44"/>
      <c r="B45" s="10" t="str">
        <f>CONCATENATE("          ", "4086", " - ", "TAXABLE SALES-COMPUTER SUPPLIE")</f>
        <v xml:space="preserve">          4086 - TAXABLE SALES-COMPUTER SUPPLIE</v>
      </c>
      <c r="C45" s="10"/>
      <c r="D45" s="2">
        <f t="shared" si="9"/>
        <v>0</v>
      </c>
      <c r="E45" s="2"/>
      <c r="F45" s="19"/>
      <c r="G45" s="2"/>
      <c r="H45" s="2">
        <f>--9</f>
        <v>9</v>
      </c>
      <c r="I45" s="2"/>
      <c r="J45" s="19"/>
      <c r="K45" s="2"/>
      <c r="L45" s="2">
        <f t="shared" si="0"/>
        <v>-9</v>
      </c>
      <c r="M45" s="2"/>
      <c r="N45" s="19">
        <f t="shared" si="1"/>
        <v>-1</v>
      </c>
      <c r="O45" s="10"/>
      <c r="P45" s="2">
        <f t="shared" ref="P45:P46" si="11">0</f>
        <v>0</v>
      </c>
      <c r="Q45" s="2"/>
      <c r="R45" s="19"/>
      <c r="S45" s="2"/>
      <c r="T45" s="2">
        <f>--813.74</f>
        <v>813.74</v>
      </c>
      <c r="U45" s="2"/>
      <c r="V45" s="19"/>
      <c r="W45" s="2"/>
      <c r="X45" s="2">
        <f t="shared" si="2"/>
        <v>-813.74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"4092", " - ", "TAXABLE SALES-GRAD MERCH")</f>
        <v xml:space="preserve">          4092 - TAXABLE SALES-GRAD MERCH</v>
      </c>
      <c r="C46" s="10"/>
      <c r="D46" s="2">
        <f t="shared" si="9"/>
        <v>0</v>
      </c>
      <c r="E46" s="2"/>
      <c r="F46" s="19"/>
      <c r="G46" s="2"/>
      <c r="H46" s="2">
        <f>--10952.9</f>
        <v>10952.9</v>
      </c>
      <c r="I46" s="2"/>
      <c r="J46" s="19"/>
      <c r="K46" s="2"/>
      <c r="L46" s="2">
        <f t="shared" si="0"/>
        <v>-10952.9</v>
      </c>
      <c r="M46" s="2"/>
      <c r="N46" s="19">
        <f t="shared" si="1"/>
        <v>-1</v>
      </c>
      <c r="O46" s="10"/>
      <c r="P46" s="2">
        <f t="shared" si="11"/>
        <v>0</v>
      </c>
      <c r="Q46" s="2"/>
      <c r="R46" s="19"/>
      <c r="S46" s="2"/>
      <c r="T46" s="2">
        <f>--18612.27</f>
        <v>18612.27</v>
      </c>
      <c r="U46" s="2"/>
      <c r="V46" s="19"/>
      <c r="W46" s="2"/>
      <c r="X46" s="2">
        <f t="shared" si="2"/>
        <v>-18612.27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"4095", " - ", "TAXABLE SALES-CUSTOMER SERVICE")</f>
        <v xml:space="preserve">          4095 - TAXABLE SALES-CUSTOMER SERVICE</v>
      </c>
      <c r="C47" s="10"/>
      <c r="D47" s="2">
        <f>--775.28</f>
        <v>775.28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775.28</v>
      </c>
      <c r="M47" s="2"/>
      <c r="N47" s="19">
        <f t="shared" si="1"/>
        <v>0</v>
      </c>
      <c r="O47" s="10"/>
      <c r="P47" s="2">
        <f>--915.13</f>
        <v>915.13</v>
      </c>
      <c r="Q47" s="2"/>
      <c r="R47" s="19"/>
      <c r="S47" s="2"/>
      <c r="T47" s="2">
        <f>--309.26</f>
        <v>309.26</v>
      </c>
      <c r="U47" s="2"/>
      <c r="V47" s="19"/>
      <c r="W47" s="2"/>
      <c r="X47" s="2">
        <f t="shared" si="2"/>
        <v>605.87</v>
      </c>
      <c r="Y47" s="2"/>
      <c r="Z47" s="19">
        <f t="shared" si="3"/>
        <v>1.9590959063571105</v>
      </c>
    </row>
    <row r="48" spans="1:26" s="23" customFormat="1" hidden="1" outlineLevel="1" x14ac:dyDescent="0.25">
      <c r="A48" s="44"/>
      <c r="B48" s="10" t="str">
        <f>CONCATENATE("          ", "4100", " - ", "NON-TAXABLE SALES")</f>
        <v xml:space="preserve">          4100 - NON-TAXABLE SALES</v>
      </c>
      <c r="C48" s="10"/>
      <c r="D48" s="2">
        <f>--2050.54</f>
        <v>2050.54</v>
      </c>
      <c r="E48" s="2"/>
      <c r="F48" s="19"/>
      <c r="G48" s="2"/>
      <c r="H48" s="2">
        <f>--1572.53</f>
        <v>1572.53</v>
      </c>
      <c r="I48" s="2"/>
      <c r="J48" s="19"/>
      <c r="K48" s="2"/>
      <c r="L48" s="2">
        <f t="shared" si="0"/>
        <v>478.01</v>
      </c>
      <c r="M48" s="2"/>
      <c r="N48" s="19">
        <f t="shared" si="1"/>
        <v>0.30397512289113721</v>
      </c>
      <c r="O48" s="10"/>
      <c r="P48" s="2">
        <f>--286224.1</f>
        <v>286224.09999999998</v>
      </c>
      <c r="Q48" s="2"/>
      <c r="R48" s="19"/>
      <c r="S48" s="2"/>
      <c r="T48" s="2">
        <f>--574312.65</f>
        <v>574312.65</v>
      </c>
      <c r="U48" s="2"/>
      <c r="V48" s="19"/>
      <c r="W48" s="2"/>
      <c r="X48" s="2">
        <f t="shared" si="2"/>
        <v>-288088.55000000005</v>
      </c>
      <c r="Y48" s="2"/>
      <c r="Z48" s="19">
        <f t="shared" si="3"/>
        <v>-0.5016232012302011</v>
      </c>
    </row>
    <row r="49" spans="1:26" s="23" customFormat="1" hidden="1" outlineLevel="1" x14ac:dyDescent="0.25">
      <c r="A49" s="44"/>
      <c r="B49" s="10" t="str">
        <f>CONCATENATE("          ", "4101", " - ", "NON-TAXABLE SALES-NEW TEXT")</f>
        <v xml:space="preserve">          4101 - NON-TAXABLE SALES-NEW TEXT</v>
      </c>
      <c r="C49" s="10"/>
      <c r="D49" s="2">
        <f>--1044.17</f>
        <v>1044.17</v>
      </c>
      <c r="E49" s="2"/>
      <c r="F49" s="19"/>
      <c r="G49" s="2"/>
      <c r="H49" s="2">
        <f>--2453.65</f>
        <v>2453.65</v>
      </c>
      <c r="I49" s="2"/>
      <c r="J49" s="19"/>
      <c r="K49" s="2"/>
      <c r="L49" s="2">
        <f t="shared" si="0"/>
        <v>-1409.48</v>
      </c>
      <c r="M49" s="2"/>
      <c r="N49" s="19">
        <f t="shared" si="1"/>
        <v>-0.57444215760193995</v>
      </c>
      <c r="O49" s="10"/>
      <c r="P49" s="2">
        <f>--112055.71</f>
        <v>112055.71</v>
      </c>
      <c r="Q49" s="2"/>
      <c r="R49" s="19"/>
      <c r="S49" s="2"/>
      <c r="T49" s="2">
        <f>--142191.42</f>
        <v>142191.42000000001</v>
      </c>
      <c r="U49" s="2"/>
      <c r="V49" s="19"/>
      <c r="W49" s="2"/>
      <c r="X49" s="2">
        <f t="shared" si="2"/>
        <v>-30135.710000000006</v>
      </c>
      <c r="Y49" s="2"/>
      <c r="Z49" s="19">
        <f t="shared" si="3"/>
        <v>-0.21193761198812139</v>
      </c>
    </row>
    <row r="50" spans="1:26" s="23" customFormat="1" hidden="1" outlineLevel="1" x14ac:dyDescent="0.25">
      <c r="A50" s="44"/>
      <c r="B50" s="10" t="str">
        <f>CONCATENATE("          ", "4102", " - ", "NON-TAXABLE SALES-USED TEXT")</f>
        <v xml:space="preserve">          4102 - NON-TAXABLE SALES-USED TEXT</v>
      </c>
      <c r="C50" s="10"/>
      <c r="D50" s="2">
        <f>--1572.06</f>
        <v>1572.06</v>
      </c>
      <c r="E50" s="2"/>
      <c r="F50" s="19"/>
      <c r="G50" s="2"/>
      <c r="H50" s="2">
        <f>--388.84</f>
        <v>388.84</v>
      </c>
      <c r="I50" s="2"/>
      <c r="J50" s="19"/>
      <c r="K50" s="2"/>
      <c r="L50" s="2">
        <f t="shared" si="0"/>
        <v>1183.22</v>
      </c>
      <c r="M50" s="2"/>
      <c r="N50" s="19">
        <f t="shared" si="1"/>
        <v>3.0429482563522274</v>
      </c>
      <c r="O50" s="10"/>
      <c r="P50" s="2">
        <f>--47959.43</f>
        <v>47959.43</v>
      </c>
      <c r="Q50" s="2"/>
      <c r="R50" s="19"/>
      <c r="S50" s="2"/>
      <c r="T50" s="2">
        <f>--68855.7</f>
        <v>68855.7</v>
      </c>
      <c r="U50" s="2"/>
      <c r="V50" s="19"/>
      <c r="W50" s="2"/>
      <c r="X50" s="2">
        <f t="shared" si="2"/>
        <v>-20896.269999999997</v>
      </c>
      <c r="Y50" s="2"/>
      <c r="Z50" s="19">
        <f t="shared" si="3"/>
        <v>-0.30347916004049041</v>
      </c>
    </row>
    <row r="51" spans="1:26" s="23" customFormat="1" hidden="1" outlineLevel="1" x14ac:dyDescent="0.25">
      <c r="A51" s="44"/>
      <c r="B51" s="10" t="str">
        <f>CONCATENATE("          ", "4103", " - ", "NON-TAXABLE SALES-RENTAL TEXT")</f>
        <v xml:space="preserve">          4103 - NON-TAXABLE SALES-RENTAL TEXT</v>
      </c>
      <c r="C51" s="10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>--1138.95</f>
        <v>1138.95</v>
      </c>
      <c r="Q51" s="2"/>
      <c r="R51" s="19"/>
      <c r="S51" s="2"/>
      <c r="T51" s="2">
        <f>--664.97</f>
        <v>664.97</v>
      </c>
      <c r="U51" s="2"/>
      <c r="V51" s="19"/>
      <c r="W51" s="2"/>
      <c r="X51" s="2">
        <f t="shared" si="2"/>
        <v>473.98</v>
      </c>
      <c r="Y51" s="2"/>
      <c r="Z51" s="19">
        <f t="shared" si="3"/>
        <v>0.71278403537001667</v>
      </c>
    </row>
    <row r="52" spans="1:26" s="23" customFormat="1" hidden="1" outlineLevel="1" x14ac:dyDescent="0.25">
      <c r="A52" s="44"/>
      <c r="B52" s="10" t="str">
        <f>CONCATENATE("          ", "4104", " - ", "NON-TAXABLE SALES-DIGITAL TEXT")</f>
        <v xml:space="preserve">          4104 - NON-TAXABLE SALES-DIGITAL TEXT</v>
      </c>
      <c r="C52" s="10"/>
      <c r="D52" s="2">
        <f>--1097.13</f>
        <v>1097.1300000000001</v>
      </c>
      <c r="E52" s="2"/>
      <c r="F52" s="19"/>
      <c r="G52" s="2"/>
      <c r="H52" s="2">
        <f>--961.31</f>
        <v>961.31</v>
      </c>
      <c r="I52" s="2"/>
      <c r="J52" s="19"/>
      <c r="K52" s="2"/>
      <c r="L52" s="2">
        <f t="shared" si="0"/>
        <v>135.82000000000016</v>
      </c>
      <c r="M52" s="2"/>
      <c r="N52" s="19">
        <f t="shared" si="1"/>
        <v>0.14128636964142699</v>
      </c>
      <c r="O52" s="10"/>
      <c r="P52" s="2">
        <f>--476971.18</f>
        <v>476971.18</v>
      </c>
      <c r="Q52" s="2"/>
      <c r="R52" s="19"/>
      <c r="S52" s="2"/>
      <c r="T52" s="2">
        <f>--524351.65</f>
        <v>524351.65</v>
      </c>
      <c r="U52" s="2"/>
      <c r="V52" s="19"/>
      <c r="W52" s="2"/>
      <c r="X52" s="2">
        <f t="shared" si="2"/>
        <v>-47380.47000000003</v>
      </c>
      <c r="Y52" s="2"/>
      <c r="Z52" s="19">
        <f t="shared" si="3"/>
        <v>-9.0360104712171749E-2</v>
      </c>
    </row>
    <row r="53" spans="1:26" s="23" customFormat="1" hidden="1" outlineLevel="1" x14ac:dyDescent="0.25">
      <c r="A53" s="44"/>
      <c r="B53" s="10" t="str">
        <f>CONCATENATE("          ", "4111", " - ", "NON-TAXABLE SALES-NO VALUE TEX")</f>
        <v xml:space="preserve">          4111 - NON-TAXABLE SALES-NO VALUE TEX</v>
      </c>
      <c r="C53" s="10"/>
      <c r="D53" s="2">
        <f>0</f>
        <v>0</v>
      </c>
      <c r="E53" s="2"/>
      <c r="F53" s="19"/>
      <c r="G53" s="2"/>
      <c r="H53" s="2">
        <f>--369.34</f>
        <v>369.34</v>
      </c>
      <c r="I53" s="2"/>
      <c r="J53" s="19"/>
      <c r="K53" s="2"/>
      <c r="L53" s="2">
        <f t="shared" si="0"/>
        <v>-369.34</v>
      </c>
      <c r="M53" s="2"/>
      <c r="N53" s="19">
        <f t="shared" si="1"/>
        <v>-1</v>
      </c>
      <c r="O53" s="10"/>
      <c r="P53" s="2">
        <f>0</f>
        <v>0</v>
      </c>
      <c r="Q53" s="2"/>
      <c r="R53" s="19"/>
      <c r="S53" s="2"/>
      <c r="T53" s="2">
        <f>--14729.33</f>
        <v>14729.33</v>
      </c>
      <c r="U53" s="2"/>
      <c r="V53" s="19"/>
      <c r="W53" s="2"/>
      <c r="X53" s="2">
        <f t="shared" si="2"/>
        <v>-14729.33</v>
      </c>
      <c r="Y53" s="2"/>
      <c r="Z53" s="19">
        <f t="shared" si="3"/>
        <v>-1</v>
      </c>
    </row>
    <row r="54" spans="1:26" s="23" customFormat="1" hidden="1" outlineLevel="1" x14ac:dyDescent="0.25">
      <c r="A54" s="44"/>
      <c r="B54" s="10" t="str">
        <f>CONCATENATE("          ", "4113", " - ", "NON-TAXABLE SALES-TRADE BOOKS")</f>
        <v xml:space="preserve">          4113 - NON-TAXABLE SALES-TRADE BOOKS</v>
      </c>
      <c r="C54" s="10"/>
      <c r="D54" s="2">
        <f>--1250</f>
        <v>1250</v>
      </c>
      <c r="E54" s="2"/>
      <c r="F54" s="19"/>
      <c r="G54" s="2"/>
      <c r="H54" s="2">
        <f>--2440</f>
        <v>2440</v>
      </c>
      <c r="I54" s="2"/>
      <c r="J54" s="19"/>
      <c r="K54" s="2"/>
      <c r="L54" s="2">
        <f t="shared" si="0"/>
        <v>-1190</v>
      </c>
      <c r="M54" s="2"/>
      <c r="N54" s="19">
        <f t="shared" si="1"/>
        <v>-0.48770491803278687</v>
      </c>
      <c r="O54" s="10"/>
      <c r="P54" s="2">
        <f>--11389.25</f>
        <v>11389.25</v>
      </c>
      <c r="Q54" s="2"/>
      <c r="R54" s="19"/>
      <c r="S54" s="2"/>
      <c r="T54" s="2">
        <f>--5801.92</f>
        <v>5801.92</v>
      </c>
      <c r="U54" s="2"/>
      <c r="V54" s="19"/>
      <c r="W54" s="2"/>
      <c r="X54" s="2">
        <f t="shared" si="2"/>
        <v>5587.33</v>
      </c>
      <c r="Y54" s="2"/>
      <c r="Z54" s="19">
        <f t="shared" si="3"/>
        <v>0.96301396778997295</v>
      </c>
    </row>
    <row r="55" spans="1:26" s="23" customFormat="1" hidden="1" outlineLevel="1" x14ac:dyDescent="0.25">
      <c r="A55" s="44"/>
      <c r="B55" s="10" t="str">
        <f>CONCATENATE("          ", "4118", " - ", "NON-TAXABLE SALES-STUDY GUIDES")</f>
        <v xml:space="preserve">          4118 - NON-TAXABLE SALES-STUDY GUIDES</v>
      </c>
      <c r="C55" s="10"/>
      <c r="D55" s="2">
        <f t="shared" ref="D55:D57" si="12">0</f>
        <v>0</v>
      </c>
      <c r="E55" s="2"/>
      <c r="F55" s="19"/>
      <c r="G55" s="2"/>
      <c r="H55" s="2">
        <f>--7.02</f>
        <v>7.02</v>
      </c>
      <c r="I55" s="2"/>
      <c r="J55" s="19"/>
      <c r="K55" s="2"/>
      <c r="L55" s="2">
        <f t="shared" si="0"/>
        <v>-7.02</v>
      </c>
      <c r="M55" s="2"/>
      <c r="N55" s="19">
        <f t="shared" si="1"/>
        <v>-1</v>
      </c>
      <c r="O55" s="10"/>
      <c r="P55" s="2">
        <f>--771.73</f>
        <v>771.73</v>
      </c>
      <c r="Q55" s="2"/>
      <c r="R55" s="19"/>
      <c r="S55" s="2"/>
      <c r="T55" s="2">
        <f>--68.92</f>
        <v>68.92</v>
      </c>
      <c r="U55" s="2"/>
      <c r="V55" s="19"/>
      <c r="W55" s="2"/>
      <c r="X55" s="2">
        <f t="shared" si="2"/>
        <v>702.81000000000006</v>
      </c>
      <c r="Y55" s="2"/>
      <c r="Z55" s="19">
        <f t="shared" si="3"/>
        <v>10.197475333720256</v>
      </c>
    </row>
    <row r="56" spans="1:26" s="23" customFormat="1" hidden="1" outlineLevel="1" x14ac:dyDescent="0.25">
      <c r="A56" s="44"/>
      <c r="B56" s="10" t="str">
        <f>CONCATENATE("          ", "4125", " - ", "NON-TAXABLE SALES-TEST FORMS")</f>
        <v xml:space="preserve">          4125 - NON-TAXABLE SALES-TEST FORMS</v>
      </c>
      <c r="C56" s="10"/>
      <c r="D56" s="2">
        <f t="shared" si="12"/>
        <v>0</v>
      </c>
      <c r="E56" s="2"/>
      <c r="F56" s="19"/>
      <c r="G56" s="2"/>
      <c r="H56" s="2">
        <f>--4.54</f>
        <v>4.54</v>
      </c>
      <c r="I56" s="2"/>
      <c r="J56" s="19"/>
      <c r="K56" s="2"/>
      <c r="L56" s="2">
        <f t="shared" si="0"/>
        <v>-4.54</v>
      </c>
      <c r="M56" s="2"/>
      <c r="N56" s="19">
        <f t="shared" si="1"/>
        <v>-1</v>
      </c>
      <c r="O56" s="10"/>
      <c r="P56" s="2">
        <f>0</f>
        <v>0</v>
      </c>
      <c r="Q56" s="2"/>
      <c r="R56" s="19"/>
      <c r="S56" s="2"/>
      <c r="T56" s="2">
        <f>--267.61</f>
        <v>267.61</v>
      </c>
      <c r="U56" s="2"/>
      <c r="V56" s="19"/>
      <c r="W56" s="2"/>
      <c r="X56" s="2">
        <f t="shared" si="2"/>
        <v>-267.61</v>
      </c>
      <c r="Y56" s="2"/>
      <c r="Z56" s="19">
        <f t="shared" si="3"/>
        <v>-1</v>
      </c>
    </row>
    <row r="57" spans="1:26" s="23" customFormat="1" hidden="1" outlineLevel="1" x14ac:dyDescent="0.25">
      <c r="A57" s="44"/>
      <c r="B57" s="10" t="str">
        <f>CONCATENATE("          ", "4126", " - ", "NON-TAXABLE SALES-WRITING INST")</f>
        <v xml:space="preserve">          4126 - NON-TAXABLE SALES-WRITING INST</v>
      </c>
      <c r="C57" s="10"/>
      <c r="D57" s="2">
        <f t="shared" si="12"/>
        <v>0</v>
      </c>
      <c r="E57" s="2"/>
      <c r="F57" s="19"/>
      <c r="G57" s="2"/>
      <c r="H57" s="2">
        <f>--110.71</f>
        <v>110.71</v>
      </c>
      <c r="I57" s="2"/>
      <c r="J57" s="19"/>
      <c r="K57" s="2"/>
      <c r="L57" s="2">
        <f t="shared" si="0"/>
        <v>-110.71</v>
      </c>
      <c r="M57" s="2"/>
      <c r="N57" s="19">
        <f t="shared" si="1"/>
        <v>-1</v>
      </c>
      <c r="O57" s="10"/>
      <c r="P57" s="2">
        <f>--52.68</f>
        <v>52.68</v>
      </c>
      <c r="Q57" s="2"/>
      <c r="R57" s="19"/>
      <c r="S57" s="2"/>
      <c r="T57" s="2">
        <f>--3017.29</f>
        <v>3017.29</v>
      </c>
      <c r="U57" s="2"/>
      <c r="V57" s="19"/>
      <c r="W57" s="2"/>
      <c r="X57" s="2">
        <f t="shared" si="2"/>
        <v>-2964.61</v>
      </c>
      <c r="Y57" s="2"/>
      <c r="Z57" s="19">
        <f t="shared" si="3"/>
        <v>-0.98254062420251287</v>
      </c>
    </row>
    <row r="58" spans="1:26" s="23" customFormat="1" hidden="1" outlineLevel="1" x14ac:dyDescent="0.25">
      <c r="A58" s="44"/>
      <c r="B58" s="10" t="str">
        <f>CONCATENATE("          ", "4127", " - ", "NON-TAXABLE SALES-SCHOOL SUPPL")</f>
        <v xml:space="preserve">          4127 - NON-TAXABLE SALES-SCHOOL SUPPL</v>
      </c>
      <c r="C58" s="10"/>
      <c r="D58" s="2">
        <f>--389.95</f>
        <v>389.95</v>
      </c>
      <c r="E58" s="2"/>
      <c r="F58" s="19"/>
      <c r="G58" s="2"/>
      <c r="H58" s="2">
        <f>--53.81</f>
        <v>53.81</v>
      </c>
      <c r="I58" s="2"/>
      <c r="J58" s="19"/>
      <c r="K58" s="2"/>
      <c r="L58" s="2">
        <f t="shared" si="0"/>
        <v>336.14</v>
      </c>
      <c r="M58" s="2"/>
      <c r="N58" s="19">
        <f t="shared" si="1"/>
        <v>6.246794276156848</v>
      </c>
      <c r="O58" s="10"/>
      <c r="P58" s="2">
        <f>--6607.31</f>
        <v>6607.31</v>
      </c>
      <c r="Q58" s="2"/>
      <c r="R58" s="19"/>
      <c r="S58" s="2"/>
      <c r="T58" s="2">
        <f>--4716.22</f>
        <v>4716.22</v>
      </c>
      <c r="U58" s="2"/>
      <c r="V58" s="19"/>
      <c r="W58" s="2"/>
      <c r="X58" s="2">
        <f t="shared" si="2"/>
        <v>1891.0900000000001</v>
      </c>
      <c r="Y58" s="2"/>
      <c r="Z58" s="19">
        <f t="shared" si="3"/>
        <v>0.40097578145209511</v>
      </c>
    </row>
    <row r="59" spans="1:26" s="23" customFormat="1" hidden="1" outlineLevel="1" x14ac:dyDescent="0.25">
      <c r="A59" s="44"/>
      <c r="B59" s="10" t="str">
        <f>CONCATENATE("          ", "4128", " - ", "NON-TAXABLE SALES-ART/TECH")</f>
        <v xml:space="preserve">          4128 - NON-TAXABLE SALES-ART/TECH</v>
      </c>
      <c r="C59" s="10"/>
      <c r="D59" s="2">
        <f>0</f>
        <v>0</v>
      </c>
      <c r="E59" s="2"/>
      <c r="F59" s="19"/>
      <c r="G59" s="2"/>
      <c r="H59" s="2">
        <f>--52.12</f>
        <v>52.12</v>
      </c>
      <c r="I59" s="2"/>
      <c r="J59" s="19"/>
      <c r="K59" s="2"/>
      <c r="L59" s="2">
        <f t="shared" si="0"/>
        <v>-52.12</v>
      </c>
      <c r="M59" s="2"/>
      <c r="N59" s="19">
        <f t="shared" si="1"/>
        <v>-1</v>
      </c>
      <c r="O59" s="10"/>
      <c r="P59" s="2">
        <f>--38.58</f>
        <v>38.58</v>
      </c>
      <c r="Q59" s="2"/>
      <c r="R59" s="19"/>
      <c r="S59" s="2"/>
      <c r="T59" s="2">
        <f>--730.62</f>
        <v>730.62</v>
      </c>
      <c r="U59" s="2"/>
      <c r="V59" s="19"/>
      <c r="W59" s="2"/>
      <c r="X59" s="2">
        <f t="shared" si="2"/>
        <v>-692.04</v>
      </c>
      <c r="Y59" s="2"/>
      <c r="Z59" s="19">
        <f t="shared" si="3"/>
        <v>-0.94719553256138611</v>
      </c>
    </row>
    <row r="60" spans="1:26" s="23" customFormat="1" hidden="1" outlineLevel="1" x14ac:dyDescent="0.25">
      <c r="A60" s="44"/>
      <c r="B60" s="10" t="str">
        <f>CONCATENATE("          ", "4131", " - ", "NON-TAXABLE SALES-FOOD")</f>
        <v xml:space="preserve">          4131 - NON-TAXABLE SALES-FOOD</v>
      </c>
      <c r="C60" s="10"/>
      <c r="D60" s="2">
        <f>--829.28</f>
        <v>829.28</v>
      </c>
      <c r="E60" s="2"/>
      <c r="F60" s="19"/>
      <c r="G60" s="2"/>
      <c r="H60" s="2">
        <f>--4482.02</f>
        <v>4482.0200000000004</v>
      </c>
      <c r="I60" s="2"/>
      <c r="J60" s="19"/>
      <c r="K60" s="2"/>
      <c r="L60" s="2">
        <f t="shared" si="0"/>
        <v>-3652.7400000000007</v>
      </c>
      <c r="M60" s="2"/>
      <c r="N60" s="19">
        <f t="shared" si="1"/>
        <v>-0.81497628301524772</v>
      </c>
      <c r="O60" s="10"/>
      <c r="P60" s="2">
        <f>--10404.43</f>
        <v>10404.43</v>
      </c>
      <c r="Q60" s="2"/>
      <c r="R60" s="19"/>
      <c r="S60" s="2"/>
      <c r="T60" s="2">
        <f>--57883.57</f>
        <v>57883.57</v>
      </c>
      <c r="U60" s="2"/>
      <c r="V60" s="19"/>
      <c r="W60" s="2"/>
      <c r="X60" s="2">
        <f t="shared" si="2"/>
        <v>-47479.14</v>
      </c>
      <c r="Y60" s="2"/>
      <c r="Z60" s="19">
        <f t="shared" si="3"/>
        <v>-0.82025244814720311</v>
      </c>
    </row>
    <row r="61" spans="1:26" s="23" customFormat="1" hidden="1" outlineLevel="1" x14ac:dyDescent="0.25">
      <c r="A61" s="44"/>
      <c r="B61" s="10" t="str">
        <f>CONCATENATE("          ", "4132", " - ", "NON-TAXABLE SALES-JUICE")</f>
        <v xml:space="preserve">          4132 - NON-TAXABLE SALES-JUICE</v>
      </c>
      <c r="C61" s="10"/>
      <c r="D61" s="2">
        <f t="shared" ref="D61:D65" si="13">0</f>
        <v>0</v>
      </c>
      <c r="E61" s="2"/>
      <c r="F61" s="19"/>
      <c r="G61" s="2"/>
      <c r="H61" s="2">
        <f>--79319.9</f>
        <v>79319.899999999994</v>
      </c>
      <c r="I61" s="2"/>
      <c r="J61" s="19"/>
      <c r="K61" s="2"/>
      <c r="L61" s="2">
        <f t="shared" si="0"/>
        <v>-79319.899999999994</v>
      </c>
      <c r="M61" s="2"/>
      <c r="N61" s="19">
        <f t="shared" si="1"/>
        <v>-1</v>
      </c>
      <c r="O61" s="10"/>
      <c r="P61" s="2">
        <f>--2054.37</f>
        <v>2054.37</v>
      </c>
      <c r="Q61" s="2"/>
      <c r="R61" s="19"/>
      <c r="S61" s="2"/>
      <c r="T61" s="2">
        <f>--1109977.73</f>
        <v>1109977.73</v>
      </c>
      <c r="U61" s="2"/>
      <c r="V61" s="19"/>
      <c r="W61" s="2"/>
      <c r="X61" s="2">
        <f t="shared" si="2"/>
        <v>-1107923.3599999999</v>
      </c>
      <c r="Y61" s="2"/>
      <c r="Z61" s="19">
        <f t="shared" si="3"/>
        <v>-0.99814917908307932</v>
      </c>
    </row>
    <row r="62" spans="1:26" s="23" customFormat="1" hidden="1" outlineLevel="1" x14ac:dyDescent="0.25">
      <c r="A62" s="44"/>
      <c r="B62" s="10" t="str">
        <f>CONCATENATE("          ", "4133", " - ", "NON-TAXABLE SALES-CANDY")</f>
        <v xml:space="preserve">          4133 - NON-TAXABLE SALES-CANDY</v>
      </c>
      <c r="C62" s="10"/>
      <c r="D62" s="2">
        <f t="shared" si="13"/>
        <v>0</v>
      </c>
      <c r="E62" s="2"/>
      <c r="F62" s="19"/>
      <c r="G62" s="2"/>
      <c r="H62" s="2">
        <f>--1261.31</f>
        <v>1261.31</v>
      </c>
      <c r="I62" s="2"/>
      <c r="J62" s="19"/>
      <c r="K62" s="2"/>
      <c r="L62" s="2">
        <f t="shared" si="0"/>
        <v>-1261.31</v>
      </c>
      <c r="M62" s="2"/>
      <c r="N62" s="19">
        <f t="shared" si="1"/>
        <v>-1</v>
      </c>
      <c r="O62" s="10"/>
      <c r="P62" s="2">
        <f>--80.71</f>
        <v>80.709999999999994</v>
      </c>
      <c r="Q62" s="2"/>
      <c r="R62" s="19"/>
      <c r="S62" s="2"/>
      <c r="T62" s="2">
        <f>--18085.88</f>
        <v>18085.88</v>
      </c>
      <c r="U62" s="2"/>
      <c r="V62" s="19"/>
      <c r="W62" s="2"/>
      <c r="X62" s="2">
        <f t="shared" si="2"/>
        <v>-18005.170000000002</v>
      </c>
      <c r="Y62" s="2"/>
      <c r="Z62" s="19">
        <f t="shared" si="3"/>
        <v>-0.99553740265886981</v>
      </c>
    </row>
    <row r="63" spans="1:26" s="23" customFormat="1" hidden="1" outlineLevel="1" x14ac:dyDescent="0.25">
      <c r="A63" s="44"/>
      <c r="B63" s="10" t="str">
        <f>CONCATENATE("          ", "4134", " - ", "NON-TAXABLE SALES-SODA")</f>
        <v xml:space="preserve">          4134 - NON-TAXABLE SALES-SODA</v>
      </c>
      <c r="C63" s="10"/>
      <c r="D63" s="2">
        <f t="shared" si="13"/>
        <v>0</v>
      </c>
      <c r="E63" s="2"/>
      <c r="F63" s="19"/>
      <c r="G63" s="2"/>
      <c r="H63" s="2">
        <f>--26.93</f>
        <v>26.93</v>
      </c>
      <c r="I63" s="2"/>
      <c r="J63" s="19"/>
      <c r="K63" s="2"/>
      <c r="L63" s="2">
        <f t="shared" si="0"/>
        <v>-26.93</v>
      </c>
      <c r="M63" s="2"/>
      <c r="N63" s="19">
        <f t="shared" si="1"/>
        <v>-1</v>
      </c>
      <c r="O63" s="10"/>
      <c r="P63" s="2">
        <f>--45.53</f>
        <v>45.53</v>
      </c>
      <c r="Q63" s="2"/>
      <c r="R63" s="19"/>
      <c r="S63" s="2"/>
      <c r="T63" s="2">
        <f>--37.23</f>
        <v>37.229999999999997</v>
      </c>
      <c r="U63" s="2"/>
      <c r="V63" s="19"/>
      <c r="W63" s="2"/>
      <c r="X63" s="2">
        <f t="shared" si="2"/>
        <v>8.3000000000000043</v>
      </c>
      <c r="Y63" s="2"/>
      <c r="Z63" s="19">
        <f t="shared" si="3"/>
        <v>0.22293849046467915</v>
      </c>
    </row>
    <row r="64" spans="1:26" s="23" customFormat="1" hidden="1" outlineLevel="1" x14ac:dyDescent="0.25">
      <c r="A64" s="44"/>
      <c r="B64" s="10" t="str">
        <f>CONCATENATE("          ", "4135", " - ", "NON-TAXABLE SALES")</f>
        <v xml:space="preserve">          4135 - NON-TAXABLE SALES</v>
      </c>
      <c r="C64" s="10"/>
      <c r="D64" s="2">
        <f t="shared" si="13"/>
        <v>0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0"/>
      <c r="P64" s="2">
        <f>0</f>
        <v>0</v>
      </c>
      <c r="Q64" s="2"/>
      <c r="R64" s="19"/>
      <c r="S64" s="2"/>
      <c r="T64" s="2">
        <f>--161.4</f>
        <v>161.4</v>
      </c>
      <c r="U64" s="2"/>
      <c r="V64" s="19"/>
      <c r="W64" s="2"/>
      <c r="X64" s="2">
        <f t="shared" si="2"/>
        <v>-161.4</v>
      </c>
      <c r="Y64" s="2"/>
      <c r="Z64" s="19">
        <f t="shared" si="3"/>
        <v>-1</v>
      </c>
    </row>
    <row r="65" spans="1:26" s="23" customFormat="1" hidden="1" outlineLevel="1" x14ac:dyDescent="0.25">
      <c r="A65" s="44"/>
      <c r="B65" s="10" t="str">
        <f>CONCATENATE("          ", "4137", " - ", "NON-TAXABLE SALES-WATER")</f>
        <v xml:space="preserve">          4137 - NON-TAXABLE SALES-WATER</v>
      </c>
      <c r="C65" s="10"/>
      <c r="D65" s="2">
        <f t="shared" si="13"/>
        <v>0</v>
      </c>
      <c r="E65" s="2"/>
      <c r="F65" s="19"/>
      <c r="G65" s="2"/>
      <c r="H65" s="2">
        <f>--727.4</f>
        <v>727.4</v>
      </c>
      <c r="I65" s="2"/>
      <c r="J65" s="19"/>
      <c r="K65" s="2"/>
      <c r="L65" s="2">
        <f t="shared" si="0"/>
        <v>-727.4</v>
      </c>
      <c r="M65" s="2"/>
      <c r="N65" s="19">
        <f t="shared" si="1"/>
        <v>-1</v>
      </c>
      <c r="O65" s="10"/>
      <c r="P65" s="2">
        <f>--68.25</f>
        <v>68.25</v>
      </c>
      <c r="Q65" s="2"/>
      <c r="R65" s="19"/>
      <c r="S65" s="2"/>
      <c r="T65" s="2">
        <f>--10087.85</f>
        <v>10087.85</v>
      </c>
      <c r="U65" s="2"/>
      <c r="V65" s="19"/>
      <c r="W65" s="2"/>
      <c r="X65" s="2">
        <f t="shared" si="2"/>
        <v>-10019.6</v>
      </c>
      <c r="Y65" s="2"/>
      <c r="Z65" s="19">
        <f t="shared" si="3"/>
        <v>-0.99323443548427071</v>
      </c>
    </row>
    <row r="66" spans="1:26" s="23" customFormat="1" hidden="1" outlineLevel="1" x14ac:dyDescent="0.25">
      <c r="A66" s="44"/>
      <c r="B66" s="10" t="str">
        <f>CONCATENATE("          ", "4140", " - ", "NON-TAXABLE SALES-LOGO CLOTHIN")</f>
        <v xml:space="preserve">          4140 - NON-TAXABLE SALES-LOGO CLOTHIN</v>
      </c>
      <c r="C66" s="10"/>
      <c r="D66" s="2">
        <f>--16626.41</f>
        <v>16626.41</v>
      </c>
      <c r="E66" s="2"/>
      <c r="F66" s="19"/>
      <c r="G66" s="2"/>
      <c r="H66" s="2">
        <f>--5466.31</f>
        <v>5466.31</v>
      </c>
      <c r="I66" s="2"/>
      <c r="J66" s="19"/>
      <c r="K66" s="2"/>
      <c r="L66" s="2">
        <f t="shared" si="0"/>
        <v>11160.099999999999</v>
      </c>
      <c r="M66" s="2"/>
      <c r="N66" s="19">
        <f t="shared" si="1"/>
        <v>2.0416149102410945</v>
      </c>
      <c r="O66" s="10"/>
      <c r="P66" s="2">
        <f>--131751.69</f>
        <v>131751.69</v>
      </c>
      <c r="Q66" s="2"/>
      <c r="R66" s="19"/>
      <c r="S66" s="2"/>
      <c r="T66" s="2">
        <f>--48048.98</f>
        <v>48048.98</v>
      </c>
      <c r="U66" s="2"/>
      <c r="V66" s="19"/>
      <c r="W66" s="2"/>
      <c r="X66" s="2">
        <f t="shared" si="2"/>
        <v>83702.709999999992</v>
      </c>
      <c r="Y66" s="2"/>
      <c r="Z66" s="19">
        <f t="shared" si="3"/>
        <v>1.7420288630476648</v>
      </c>
    </row>
    <row r="67" spans="1:26" s="23" customFormat="1" hidden="1" outlineLevel="1" x14ac:dyDescent="0.25">
      <c r="A67" s="44"/>
      <c r="B67" s="10" t="str">
        <f>CONCATENATE("          ", "4141", " - ", "NON-TAXABLE SALES-LOGO GIFTS")</f>
        <v xml:space="preserve">          4141 - NON-TAXABLE SALES-LOGO GIFTS</v>
      </c>
      <c r="C67" s="10"/>
      <c r="D67" s="2">
        <f>--1055.22</f>
        <v>1055.22</v>
      </c>
      <c r="E67" s="2"/>
      <c r="F67" s="19"/>
      <c r="G67" s="2"/>
      <c r="H67" s="2">
        <f>--242.39</f>
        <v>242.39</v>
      </c>
      <c r="I67" s="2"/>
      <c r="J67" s="19"/>
      <c r="K67" s="2"/>
      <c r="L67" s="2">
        <f t="shared" si="0"/>
        <v>812.83</v>
      </c>
      <c r="M67" s="2"/>
      <c r="N67" s="19">
        <f t="shared" si="1"/>
        <v>3.3533974173852061</v>
      </c>
      <c r="O67" s="10"/>
      <c r="P67" s="2">
        <f>--9568.24</f>
        <v>9568.24</v>
      </c>
      <c r="Q67" s="2"/>
      <c r="R67" s="19"/>
      <c r="S67" s="2"/>
      <c r="T67" s="2">
        <f>--10914.56</f>
        <v>10914.56</v>
      </c>
      <c r="U67" s="2"/>
      <c r="V67" s="19"/>
      <c r="W67" s="2"/>
      <c r="X67" s="2">
        <f t="shared" si="2"/>
        <v>-1346.3199999999997</v>
      </c>
      <c r="Y67" s="2"/>
      <c r="Z67" s="19">
        <f t="shared" si="3"/>
        <v>-0.12335082678550485</v>
      </c>
    </row>
    <row r="68" spans="1:26" s="23" customFormat="1" hidden="1" outlineLevel="1" x14ac:dyDescent="0.25">
      <c r="A68" s="44"/>
      <c r="B68" s="10" t="str">
        <f>CONCATENATE("          ", "4142", " - ", "NON-TAXABLE SALES-EVERYDAY GIF")</f>
        <v xml:space="preserve">          4142 - NON-TAXABLE SALES-EVERYDAY GIF</v>
      </c>
      <c r="C68" s="10"/>
      <c r="D68" s="2">
        <f>--16.9</f>
        <v>16.899999999999999</v>
      </c>
      <c r="E68" s="2"/>
      <c r="F68" s="19"/>
      <c r="G68" s="2"/>
      <c r="H68" s="2">
        <f>--48.58</f>
        <v>48.58</v>
      </c>
      <c r="I68" s="2"/>
      <c r="J68" s="19"/>
      <c r="K68" s="2"/>
      <c r="L68" s="2">
        <f t="shared" si="0"/>
        <v>-31.68</v>
      </c>
      <c r="M68" s="2"/>
      <c r="N68" s="19">
        <f t="shared" si="1"/>
        <v>-0.65212021407986831</v>
      </c>
      <c r="O68" s="10"/>
      <c r="P68" s="2">
        <f>--2281.37</f>
        <v>2281.37</v>
      </c>
      <c r="Q68" s="2"/>
      <c r="R68" s="19"/>
      <c r="S68" s="2"/>
      <c r="T68" s="2">
        <f>--13741.43</f>
        <v>13741.43</v>
      </c>
      <c r="U68" s="2"/>
      <c r="V68" s="19"/>
      <c r="W68" s="2"/>
      <c r="X68" s="2">
        <f t="shared" si="2"/>
        <v>-11460.060000000001</v>
      </c>
      <c r="Y68" s="2"/>
      <c r="Z68" s="19">
        <f t="shared" si="3"/>
        <v>-0.83397870527303208</v>
      </c>
    </row>
    <row r="69" spans="1:26" s="23" customFormat="1" hidden="1" outlineLevel="1" x14ac:dyDescent="0.25">
      <c r="A69" s="44"/>
      <c r="B69" s="10" t="str">
        <f>CONCATENATE("          ", "4143", " - ", "NON-TAXABLE SALES-CARDS")</f>
        <v xml:space="preserve">          4143 - NON-TAXABLE SALES-CARDS</v>
      </c>
      <c r="C69" s="10"/>
      <c r="D69" s="2">
        <f>--261.82</f>
        <v>261.82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261.82</v>
      </c>
      <c r="M69" s="2"/>
      <c r="N69" s="19">
        <f t="shared" si="1"/>
        <v>0</v>
      </c>
      <c r="O69" s="10"/>
      <c r="P69" s="2">
        <f>--2381.48</f>
        <v>2381.48</v>
      </c>
      <c r="Q69" s="2"/>
      <c r="R69" s="19"/>
      <c r="S69" s="2"/>
      <c r="T69" s="2">
        <f>--9.99</f>
        <v>9.99</v>
      </c>
      <c r="U69" s="2"/>
      <c r="V69" s="19"/>
      <c r="W69" s="2"/>
      <c r="X69" s="2">
        <f t="shared" si="2"/>
        <v>2371.4900000000002</v>
      </c>
      <c r="Y69" s="2"/>
      <c r="Z69" s="19">
        <f t="shared" si="3"/>
        <v>237.38638638638639</v>
      </c>
    </row>
    <row r="70" spans="1:26" s="23" customFormat="1" hidden="1" outlineLevel="1" x14ac:dyDescent="0.25">
      <c r="A70" s="44"/>
      <c r="B70" s="10" t="str">
        <f>CONCATENATE("          ", "4144", " - ", "NON-TAXABLE SALES-ACCESSORIES")</f>
        <v xml:space="preserve">          4144 - NON-TAXABLE SALES-ACCESSORIES</v>
      </c>
      <c r="C70" s="10"/>
      <c r="D70" s="2">
        <f>--29.9</f>
        <v>29.9</v>
      </c>
      <c r="E70" s="2"/>
      <c r="F70" s="19"/>
      <c r="G70" s="2"/>
      <c r="H70" s="2">
        <f>--150</f>
        <v>150</v>
      </c>
      <c r="I70" s="2"/>
      <c r="J70" s="19"/>
      <c r="K70" s="2"/>
      <c r="L70" s="2">
        <f t="shared" si="0"/>
        <v>-120.1</v>
      </c>
      <c r="M70" s="2"/>
      <c r="N70" s="19">
        <f t="shared" si="1"/>
        <v>-0.80066666666666664</v>
      </c>
      <c r="O70" s="10"/>
      <c r="P70" s="2">
        <f>--679.25</f>
        <v>679.25</v>
      </c>
      <c r="Q70" s="2"/>
      <c r="R70" s="19"/>
      <c r="S70" s="2"/>
      <c r="T70" s="2">
        <f>--2040.27</f>
        <v>2040.27</v>
      </c>
      <c r="U70" s="2"/>
      <c r="V70" s="19"/>
      <c r="W70" s="2"/>
      <c r="X70" s="2">
        <f t="shared" si="2"/>
        <v>-1361.02</v>
      </c>
      <c r="Y70" s="2"/>
      <c r="Z70" s="19">
        <f t="shared" si="3"/>
        <v>-0.66707837688149119</v>
      </c>
    </row>
    <row r="71" spans="1:26" s="23" customFormat="1" hidden="1" outlineLevel="1" x14ac:dyDescent="0.25">
      <c r="A71" s="44"/>
      <c r="B71" s="10" t="str">
        <f>CONCATENATE("          ", "4145", " - ", "NON-TAXABLE SALES-SPECIAL ORDE")</f>
        <v xml:space="preserve">          4145 - NON-TAXABLE SALES-SPECIAL ORDE</v>
      </c>
      <c r="C71" s="10"/>
      <c r="D71" s="2">
        <f>0</f>
        <v>0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0"/>
      <c r="P71" s="2">
        <f>--53716.09</f>
        <v>53716.09</v>
      </c>
      <c r="Q71" s="2"/>
      <c r="R71" s="19"/>
      <c r="S71" s="2"/>
      <c r="T71" s="2">
        <f>--140</f>
        <v>140</v>
      </c>
      <c r="U71" s="2"/>
      <c r="V71" s="19"/>
      <c r="W71" s="2"/>
      <c r="X71" s="2">
        <f t="shared" si="2"/>
        <v>53576.09</v>
      </c>
      <c r="Y71" s="2"/>
      <c r="Z71" s="19">
        <f t="shared" si="3"/>
        <v>382.6863571428571</v>
      </c>
    </row>
    <row r="72" spans="1:26" s="23" customFormat="1" hidden="1" outlineLevel="1" x14ac:dyDescent="0.25">
      <c r="A72" s="44"/>
      <c r="B72" s="10" t="str">
        <f>CONCATENATE("          ", "4146", " - ", "NON-TAXABLE SALES-COIN OP MACH")</f>
        <v xml:space="preserve">          4146 - NON-TAXABLE SALES-COIN OP MACH</v>
      </c>
      <c r="C72" s="10"/>
      <c r="D72" s="2">
        <f>--90.7</f>
        <v>90.7</v>
      </c>
      <c r="E72" s="2"/>
      <c r="F72" s="19"/>
      <c r="G72" s="2"/>
      <c r="H72" s="2">
        <f>--13383.2</f>
        <v>13383.2</v>
      </c>
      <c r="I72" s="2"/>
      <c r="J72" s="19"/>
      <c r="K72" s="2"/>
      <c r="L72" s="2">
        <f t="shared" si="0"/>
        <v>-13292.5</v>
      </c>
      <c r="M72" s="2"/>
      <c r="N72" s="19">
        <f t="shared" si="1"/>
        <v>-0.99322284655388837</v>
      </c>
      <c r="O72" s="10"/>
      <c r="P72" s="2">
        <f>--299.1</f>
        <v>299.10000000000002</v>
      </c>
      <c r="Q72" s="2"/>
      <c r="R72" s="19"/>
      <c r="S72" s="2"/>
      <c r="T72" s="2">
        <f>--205786.95</f>
        <v>205786.95</v>
      </c>
      <c r="U72" s="2"/>
      <c r="V72" s="19"/>
      <c r="W72" s="2"/>
      <c r="X72" s="2">
        <f t="shared" si="2"/>
        <v>-205487.85</v>
      </c>
      <c r="Y72" s="2"/>
      <c r="Z72" s="19">
        <f t="shared" si="3"/>
        <v>-0.99854655506580958</v>
      </c>
    </row>
    <row r="73" spans="1:26" s="23" customFormat="1" hidden="1" outlineLevel="1" x14ac:dyDescent="0.25">
      <c r="A73" s="44"/>
      <c r="B73" s="10" t="str">
        <f>CONCATENATE("          ", "4147", " - ", "NON-TAXABLE SALES-MISC")</f>
        <v xml:space="preserve">          4147 - NON-TAXABLE SALES-MISC</v>
      </c>
      <c r="C73" s="10"/>
      <c r="D73" s="2">
        <f>--11</f>
        <v>11</v>
      </c>
      <c r="E73" s="2"/>
      <c r="F73" s="19"/>
      <c r="G73" s="2"/>
      <c r="H73" s="2">
        <f>--933.53</f>
        <v>933.53</v>
      </c>
      <c r="I73" s="2"/>
      <c r="J73" s="19"/>
      <c r="K73" s="2"/>
      <c r="L73" s="2">
        <f t="shared" si="0"/>
        <v>-922.53</v>
      </c>
      <c r="M73" s="2"/>
      <c r="N73" s="19">
        <f t="shared" si="1"/>
        <v>-0.98821676860947161</v>
      </c>
      <c r="O73" s="10"/>
      <c r="P73" s="2">
        <f>--143.5</f>
        <v>143.5</v>
      </c>
      <c r="Q73" s="2"/>
      <c r="R73" s="19"/>
      <c r="S73" s="2"/>
      <c r="T73" s="2">
        <f>--3436.37</f>
        <v>3436.37</v>
      </c>
      <c r="U73" s="2"/>
      <c r="V73" s="19"/>
      <c r="W73" s="2"/>
      <c r="X73" s="2">
        <f t="shared" si="2"/>
        <v>-3292.87</v>
      </c>
      <c r="Y73" s="2"/>
      <c r="Z73" s="19">
        <f t="shared" si="3"/>
        <v>-0.95824081807255912</v>
      </c>
    </row>
    <row r="74" spans="1:26" s="23" customFormat="1" hidden="1" outlineLevel="1" x14ac:dyDescent="0.25">
      <c r="A74" s="44"/>
      <c r="B74" s="10" t="str">
        <f>CONCATENATE("          ", "4151", " - ", "NON-TAXABLE SALES-FOOD")</f>
        <v xml:space="preserve">          4151 - NON-TAXABLE SALES-FOOD</v>
      </c>
      <c r="C74" s="10"/>
      <c r="D74" s="2">
        <f>0</f>
        <v>0</v>
      </c>
      <c r="E74" s="2"/>
      <c r="F74" s="19"/>
      <c r="G74" s="2"/>
      <c r="H74" s="2">
        <f>--56591.85</f>
        <v>56591.85</v>
      </c>
      <c r="I74" s="2"/>
      <c r="J74" s="19"/>
      <c r="K74" s="2"/>
      <c r="L74" s="2">
        <f t="shared" si="0"/>
        <v>-56591.85</v>
      </c>
      <c r="M74" s="2"/>
      <c r="N74" s="19">
        <f t="shared" si="1"/>
        <v>-1</v>
      </c>
      <c r="O74" s="10"/>
      <c r="P74" s="2">
        <f>0</f>
        <v>0</v>
      </c>
      <c r="Q74" s="2"/>
      <c r="R74" s="19"/>
      <c r="S74" s="2"/>
      <c r="T74" s="2">
        <f>--828068.07</f>
        <v>828068.07</v>
      </c>
      <c r="U74" s="2"/>
      <c r="V74" s="19"/>
      <c r="W74" s="2"/>
      <c r="X74" s="2">
        <f t="shared" si="2"/>
        <v>-828068.07</v>
      </c>
      <c r="Y74" s="2"/>
      <c r="Z74" s="19">
        <f t="shared" si="3"/>
        <v>-1</v>
      </c>
    </row>
    <row r="75" spans="1:26" s="23" customFormat="1" hidden="1" outlineLevel="1" x14ac:dyDescent="0.25">
      <c r="A75" s="44"/>
      <c r="B75" s="10" t="str">
        <f>CONCATENATE("          ", "4153", " - ", "NON-TAXABLE SALES-FOOD")</f>
        <v xml:space="preserve">          4153 - NON-TAXABLE SALES-FOOD</v>
      </c>
      <c r="C75" s="10"/>
      <c r="D75" s="2">
        <f>--100.55</f>
        <v>100.55</v>
      </c>
      <c r="E75" s="2"/>
      <c r="F75" s="19"/>
      <c r="G75" s="2"/>
      <c r="H75" s="2">
        <f t="shared" ref="H75:H76" si="14">0</f>
        <v>0</v>
      </c>
      <c r="I75" s="2"/>
      <c r="J75" s="19"/>
      <c r="K75" s="2"/>
      <c r="L75" s="2">
        <f t="shared" si="0"/>
        <v>100.55</v>
      </c>
      <c r="M75" s="2"/>
      <c r="N75" s="19">
        <f t="shared" si="1"/>
        <v>0</v>
      </c>
      <c r="O75" s="10"/>
      <c r="P75" s="2">
        <f>--344.55</f>
        <v>344.55</v>
      </c>
      <c r="Q75" s="2"/>
      <c r="R75" s="19"/>
      <c r="S75" s="2"/>
      <c r="T75" s="2">
        <f>--12812.5</f>
        <v>12812.5</v>
      </c>
      <c r="U75" s="2"/>
      <c r="V75" s="19"/>
      <c r="W75" s="2"/>
      <c r="X75" s="2">
        <f t="shared" si="2"/>
        <v>-12467.95</v>
      </c>
      <c r="Y75" s="2"/>
      <c r="Z75" s="19">
        <f t="shared" si="3"/>
        <v>-0.97310829268292687</v>
      </c>
    </row>
    <row r="76" spans="1:26" s="23" customFormat="1" hidden="1" outlineLevel="1" x14ac:dyDescent="0.25">
      <c r="A76" s="44"/>
      <c r="B76" s="10" t="str">
        <f>CONCATENATE("          ", "4186", " - ", "NON-TAXABLE SALES-COMPUTER SUP")</f>
        <v xml:space="preserve">          4186 - NON-TAXABLE SALES-COMPUTER SUP</v>
      </c>
      <c r="C76" s="10"/>
      <c r="D76" s="2">
        <f>0</f>
        <v>0</v>
      </c>
      <c r="E76" s="2"/>
      <c r="F76" s="19"/>
      <c r="G76" s="2"/>
      <c r="H76" s="2">
        <f t="shared" si="14"/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0"/>
      <c r="P76" s="2">
        <f>0</f>
        <v>0</v>
      </c>
      <c r="Q76" s="2"/>
      <c r="R76" s="19"/>
      <c r="S76" s="2"/>
      <c r="T76" s="2">
        <f>-30.97</f>
        <v>-30.97</v>
      </c>
      <c r="U76" s="2"/>
      <c r="V76" s="19"/>
      <c r="W76" s="2"/>
      <c r="X76" s="2">
        <f t="shared" si="2"/>
        <v>30.97</v>
      </c>
      <c r="Y76" s="2"/>
      <c r="Z76" s="19">
        <f t="shared" si="3"/>
        <v>-1</v>
      </c>
    </row>
    <row r="77" spans="1:26" s="23" customFormat="1" hidden="1" outlineLevel="1" x14ac:dyDescent="0.25">
      <c r="A77" s="44"/>
      <c r="B77" s="10" t="str">
        <f>CONCATENATE("          ", "4201", " - ", "SALES RETURN TAXABLE-NEW TEXT")</f>
        <v xml:space="preserve">          4201 - SALES RETURN TAXABLE-NEW TEXT</v>
      </c>
      <c r="C77" s="10"/>
      <c r="D77" s="2">
        <f>-596.94</f>
        <v>-596.94000000000005</v>
      </c>
      <c r="E77" s="2"/>
      <c r="F77" s="19"/>
      <c r="G77" s="2"/>
      <c r="H77" s="2">
        <f>-420.3</f>
        <v>-420.3</v>
      </c>
      <c r="I77" s="2"/>
      <c r="J77" s="19"/>
      <c r="K77" s="2"/>
      <c r="L77" s="2">
        <f t="shared" si="0"/>
        <v>-176.64000000000004</v>
      </c>
      <c r="M77" s="2"/>
      <c r="N77" s="19">
        <f t="shared" si="1"/>
        <v>0.42027123483226275</v>
      </c>
      <c r="O77" s="10"/>
      <c r="P77" s="2">
        <f>-51261.17</f>
        <v>-51261.17</v>
      </c>
      <c r="Q77" s="2"/>
      <c r="R77" s="19"/>
      <c r="S77" s="2"/>
      <c r="T77" s="2">
        <f>-121160.71</f>
        <v>-121160.71</v>
      </c>
      <c r="U77" s="2"/>
      <c r="V77" s="19"/>
      <c r="W77" s="2"/>
      <c r="X77" s="2">
        <f t="shared" si="2"/>
        <v>69899.540000000008</v>
      </c>
      <c r="Y77" s="2"/>
      <c r="Z77" s="19">
        <f t="shared" si="3"/>
        <v>-0.57691589955192579</v>
      </c>
    </row>
    <row r="78" spans="1:26" s="23" customFormat="1" hidden="1" outlineLevel="1" x14ac:dyDescent="0.25">
      <c r="A78" s="44"/>
      <c r="B78" s="10" t="str">
        <f>CONCATENATE("          ", "4202", " - ", "SALES RETURN TAXABLE-USED TEXT")</f>
        <v xml:space="preserve">          4202 - SALES RETURN TAXABLE-USED TEXT</v>
      </c>
      <c r="C78" s="10"/>
      <c r="D78" s="2">
        <f>-153.8</f>
        <v>-153.80000000000001</v>
      </c>
      <c r="E78" s="2"/>
      <c r="F78" s="19"/>
      <c r="G78" s="2"/>
      <c r="H78" s="2">
        <f>-133.45</f>
        <v>-133.44999999999999</v>
      </c>
      <c r="I78" s="2"/>
      <c r="J78" s="19"/>
      <c r="K78" s="2"/>
      <c r="L78" s="2">
        <f t="shared" si="0"/>
        <v>-20.350000000000023</v>
      </c>
      <c r="M78" s="2"/>
      <c r="N78" s="19">
        <f t="shared" si="1"/>
        <v>0.15249156987635837</v>
      </c>
      <c r="O78" s="10"/>
      <c r="P78" s="2">
        <f>-19889.31</f>
        <v>-19889.310000000001</v>
      </c>
      <c r="Q78" s="2"/>
      <c r="R78" s="19"/>
      <c r="S78" s="2"/>
      <c r="T78" s="2">
        <f>-45520.76</f>
        <v>-45520.76</v>
      </c>
      <c r="U78" s="2"/>
      <c r="V78" s="19"/>
      <c r="W78" s="2"/>
      <c r="X78" s="2">
        <f t="shared" si="2"/>
        <v>25631.45</v>
      </c>
      <c r="Y78" s="2"/>
      <c r="Z78" s="19">
        <f t="shared" si="3"/>
        <v>-0.56307166224816985</v>
      </c>
    </row>
    <row r="79" spans="1:26" s="23" customFormat="1" hidden="1" outlineLevel="1" x14ac:dyDescent="0.25">
      <c r="A79" s="44"/>
      <c r="B79" s="10" t="str">
        <f>CONCATENATE("          ", "4203", " - ", "SALES RETURN TAXABLE-RENTAL TE")</f>
        <v xml:space="preserve">          4203 - SALES RETURN TAXABLE-RENTAL TE</v>
      </c>
      <c r="C79" s="10"/>
      <c r="D79" s="2">
        <f t="shared" ref="D79:D83" si="15">0</f>
        <v>0</v>
      </c>
      <c r="E79" s="2"/>
      <c r="F79" s="19"/>
      <c r="G79" s="2"/>
      <c r="H79" s="2">
        <f t="shared" ref="H79:H80" si="16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0"/>
      <c r="P79" s="2">
        <f>0</f>
        <v>0</v>
      </c>
      <c r="Q79" s="2"/>
      <c r="R79" s="19"/>
      <c r="S79" s="2"/>
      <c r="T79" s="2">
        <f>-144.99</f>
        <v>-144.99</v>
      </c>
      <c r="U79" s="2"/>
      <c r="V79" s="19"/>
      <c r="W79" s="2"/>
      <c r="X79" s="2">
        <f t="shared" si="2"/>
        <v>144.99</v>
      </c>
      <c r="Y79" s="2"/>
      <c r="Z79" s="19">
        <f t="shared" si="3"/>
        <v>-1</v>
      </c>
    </row>
    <row r="80" spans="1:26" s="23" customFormat="1" hidden="1" outlineLevel="1" x14ac:dyDescent="0.25">
      <c r="A80" s="44"/>
      <c r="B80" s="10" t="str">
        <f>CONCATENATE("          ", "4204", " - ", "SALES RETURN TAXABLE-DIGITAL T")</f>
        <v xml:space="preserve">          4204 - SALES RETURN TAXABLE-DIGITAL T</v>
      </c>
      <c r="C80" s="10"/>
      <c r="D80" s="2">
        <f t="shared" si="15"/>
        <v>0</v>
      </c>
      <c r="E80" s="2"/>
      <c r="F80" s="19"/>
      <c r="G80" s="2"/>
      <c r="H80" s="2">
        <f t="shared" si="16"/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0"/>
      <c r="P80" s="2">
        <f>-1763.1</f>
        <v>-1763.1</v>
      </c>
      <c r="Q80" s="2"/>
      <c r="R80" s="19"/>
      <c r="S80" s="2"/>
      <c r="T80" s="2">
        <f>-17255.33</f>
        <v>-17255.330000000002</v>
      </c>
      <c r="U80" s="2"/>
      <c r="V80" s="19"/>
      <c r="W80" s="2"/>
      <c r="X80" s="2">
        <f t="shared" si="2"/>
        <v>15492.230000000001</v>
      </c>
      <c r="Y80" s="2"/>
      <c r="Z80" s="19">
        <f t="shared" si="3"/>
        <v>-0.89782287559843832</v>
      </c>
    </row>
    <row r="81" spans="1:26" s="23" customFormat="1" hidden="1" outlineLevel="1" x14ac:dyDescent="0.25">
      <c r="A81" s="44"/>
      <c r="B81" s="10" t="str">
        <f>CONCATENATE("          ", "4213", " - ", "NON-TAXABLE SALES-TRADE BOOKS")</f>
        <v xml:space="preserve">          4213 - NON-TAXABLE SALES-TRADE BOOKS</v>
      </c>
      <c r="C81" s="10"/>
      <c r="D81" s="2">
        <f t="shared" si="15"/>
        <v>0</v>
      </c>
      <c r="E81" s="2"/>
      <c r="F81" s="19"/>
      <c r="G81" s="2"/>
      <c r="H81" s="2">
        <f>-374.85</f>
        <v>-374.85</v>
      </c>
      <c r="I81" s="2"/>
      <c r="J81" s="19"/>
      <c r="K81" s="2"/>
      <c r="L81" s="2">
        <f t="shared" si="0"/>
        <v>374.85</v>
      </c>
      <c r="M81" s="2"/>
      <c r="N81" s="19">
        <f t="shared" si="1"/>
        <v>-1</v>
      </c>
      <c r="O81" s="10"/>
      <c r="P81" s="2">
        <f>-69.93</f>
        <v>-69.930000000000007</v>
      </c>
      <c r="Q81" s="2"/>
      <c r="R81" s="19"/>
      <c r="S81" s="2"/>
      <c r="T81" s="2">
        <f>-594.91</f>
        <v>-594.91</v>
      </c>
      <c r="U81" s="2"/>
      <c r="V81" s="19"/>
      <c r="W81" s="2"/>
      <c r="X81" s="2">
        <f t="shared" si="2"/>
        <v>524.98</v>
      </c>
      <c r="Y81" s="2"/>
      <c r="Z81" s="19">
        <f t="shared" si="3"/>
        <v>-0.88245280798776293</v>
      </c>
    </row>
    <row r="82" spans="1:26" s="23" customFormat="1" hidden="1" outlineLevel="1" x14ac:dyDescent="0.25">
      <c r="A82" s="44"/>
      <c r="B82" s="10" t="str">
        <f>CONCATENATE("          ", "4214", " - ", "SALES RETURN TAXABLE-REMAINDER")</f>
        <v xml:space="preserve">          4214 - SALES RETURN TAXABLE-REMAINDER</v>
      </c>
      <c r="C82" s="10"/>
      <c r="D82" s="2">
        <f t="shared" si="15"/>
        <v>0</v>
      </c>
      <c r="E82" s="2"/>
      <c r="F82" s="19"/>
      <c r="G82" s="2"/>
      <c r="H82" s="2">
        <f t="shared" ref="H82:H84" si="17"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0"/>
      <c r="P82" s="2">
        <f t="shared" ref="P82:P83" si="18">0</f>
        <v>0</v>
      </c>
      <c r="Q82" s="2"/>
      <c r="R82" s="19"/>
      <c r="S82" s="2"/>
      <c r="T82" s="2">
        <f>-11.94</f>
        <v>-11.94</v>
      </c>
      <c r="U82" s="2"/>
      <c r="V82" s="19"/>
      <c r="W82" s="2"/>
      <c r="X82" s="2">
        <f t="shared" si="2"/>
        <v>11.94</v>
      </c>
      <c r="Y82" s="2"/>
      <c r="Z82" s="19">
        <f t="shared" si="3"/>
        <v>-1</v>
      </c>
    </row>
    <row r="83" spans="1:26" s="23" customFormat="1" hidden="1" outlineLevel="1" x14ac:dyDescent="0.25">
      <c r="A83" s="44"/>
      <c r="B83" s="10" t="str">
        <f>CONCATENATE("          ", "4217", " - ", "NON-TAXABLE SALES-DORM/HOUSEWA")</f>
        <v xml:space="preserve">          4217 - NON-TAXABLE SALES-DORM/HOUSEWA</v>
      </c>
      <c r="C83" s="10"/>
      <c r="D83" s="2">
        <f t="shared" si="15"/>
        <v>0</v>
      </c>
      <c r="E83" s="2"/>
      <c r="F83" s="19"/>
      <c r="G83" s="2"/>
      <c r="H83" s="2">
        <f t="shared" si="17"/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0"/>
      <c r="P83" s="2">
        <f t="shared" si="18"/>
        <v>0</v>
      </c>
      <c r="Q83" s="2"/>
      <c r="R83" s="19"/>
      <c r="S83" s="2"/>
      <c r="T83" s="2">
        <f>-2.98</f>
        <v>-2.98</v>
      </c>
      <c r="U83" s="2"/>
      <c r="V83" s="19"/>
      <c r="W83" s="2"/>
      <c r="X83" s="2">
        <f t="shared" si="2"/>
        <v>2.98</v>
      </c>
      <c r="Y83" s="2"/>
      <c r="Z83" s="19">
        <f t="shared" si="3"/>
        <v>-1</v>
      </c>
    </row>
    <row r="84" spans="1:26" s="23" customFormat="1" hidden="1" outlineLevel="1" x14ac:dyDescent="0.25">
      <c r="A84" s="44"/>
      <c r="B84" s="10" t="str">
        <f>CONCATENATE("          ", "4218", " - ", "SALES RETURN TAXABLE-STUDY GUI")</f>
        <v xml:space="preserve">          4218 - SALES RETURN TAXABLE-STUDY GUI</v>
      </c>
      <c r="C84" s="10"/>
      <c r="D84" s="2">
        <f>-5.21</f>
        <v>-5.21</v>
      </c>
      <c r="E84" s="2"/>
      <c r="F84" s="19"/>
      <c r="G84" s="2"/>
      <c r="H84" s="2">
        <f t="shared" si="17"/>
        <v>0</v>
      </c>
      <c r="I84" s="2"/>
      <c r="J84" s="19"/>
      <c r="K84" s="2"/>
      <c r="L84" s="2">
        <f t="shared" si="0"/>
        <v>-5.21</v>
      </c>
      <c r="M84" s="2"/>
      <c r="N84" s="19">
        <f t="shared" si="1"/>
        <v>0</v>
      </c>
      <c r="O84" s="10"/>
      <c r="P84" s="2">
        <f>-5.21</f>
        <v>-5.21</v>
      </c>
      <c r="Q84" s="2"/>
      <c r="R84" s="19"/>
      <c r="S84" s="2"/>
      <c r="T84" s="2">
        <f>-39.25</f>
        <v>-39.25</v>
      </c>
      <c r="U84" s="2"/>
      <c r="V84" s="19"/>
      <c r="W84" s="2"/>
      <c r="X84" s="2">
        <f t="shared" si="2"/>
        <v>34.04</v>
      </c>
      <c r="Y84" s="2"/>
      <c r="Z84" s="19">
        <f t="shared" si="3"/>
        <v>-0.86726114649681529</v>
      </c>
    </row>
    <row r="85" spans="1:26" s="23" customFormat="1" hidden="1" outlineLevel="1" x14ac:dyDescent="0.25">
      <c r="A85" s="44"/>
      <c r="B85" s="10" t="str">
        <f>CONCATENATE("          ", "4225", " - ", "SALES RETURN TAXABLE-TEST FORM")</f>
        <v xml:space="preserve">          4225 - SALES RETURN TAXABLE-TEST FORM</v>
      </c>
      <c r="C85" s="10"/>
      <c r="D85" s="2">
        <f t="shared" ref="D85:D86" si="19">0</f>
        <v>0</v>
      </c>
      <c r="E85" s="2"/>
      <c r="F85" s="19"/>
      <c r="G85" s="2"/>
      <c r="H85" s="2">
        <f>-8.16</f>
        <v>-8.16</v>
      </c>
      <c r="I85" s="2"/>
      <c r="J85" s="19"/>
      <c r="K85" s="2"/>
      <c r="L85" s="2">
        <f t="shared" si="0"/>
        <v>8.16</v>
      </c>
      <c r="M85" s="2"/>
      <c r="N85" s="19">
        <f t="shared" si="1"/>
        <v>-1</v>
      </c>
      <c r="O85" s="10"/>
      <c r="P85" s="2">
        <f>0</f>
        <v>0</v>
      </c>
      <c r="Q85" s="2"/>
      <c r="R85" s="19"/>
      <c r="S85" s="2"/>
      <c r="T85" s="2">
        <f>-176.41</f>
        <v>-176.41</v>
      </c>
      <c r="U85" s="2"/>
      <c r="V85" s="19"/>
      <c r="W85" s="2"/>
      <c r="X85" s="2">
        <f t="shared" si="2"/>
        <v>176.41</v>
      </c>
      <c r="Y85" s="2"/>
      <c r="Z85" s="19">
        <f t="shared" si="3"/>
        <v>-1</v>
      </c>
    </row>
    <row r="86" spans="1:26" s="23" customFormat="1" hidden="1" outlineLevel="1" x14ac:dyDescent="0.25">
      <c r="A86" s="44"/>
      <c r="B86" s="10" t="str">
        <f>CONCATENATE("          ", "4226", " - ", "SALES RETURN TAXABLE-WRITING I")</f>
        <v xml:space="preserve">          4226 - SALES RETURN TAXABLE-WRITING I</v>
      </c>
      <c r="C86" s="10"/>
      <c r="D86" s="2">
        <f t="shared" si="19"/>
        <v>0</v>
      </c>
      <c r="E86" s="2"/>
      <c r="F86" s="19"/>
      <c r="G86" s="2"/>
      <c r="H86" s="2">
        <f>-11.25</f>
        <v>-11.25</v>
      </c>
      <c r="I86" s="2"/>
      <c r="J86" s="19"/>
      <c r="K86" s="2"/>
      <c r="L86" s="2">
        <f t="shared" si="0"/>
        <v>11.25</v>
      </c>
      <c r="M86" s="2"/>
      <c r="N86" s="19">
        <f t="shared" si="1"/>
        <v>-1</v>
      </c>
      <c r="O86" s="10"/>
      <c r="P86" s="2">
        <f>-34.23</f>
        <v>-34.229999999999997</v>
      </c>
      <c r="Q86" s="2"/>
      <c r="R86" s="19"/>
      <c r="S86" s="2"/>
      <c r="T86" s="2">
        <f>-765.04</f>
        <v>-765.04</v>
      </c>
      <c r="U86" s="2"/>
      <c r="V86" s="19"/>
      <c r="W86" s="2"/>
      <c r="X86" s="2">
        <f t="shared" si="2"/>
        <v>730.81</v>
      </c>
      <c r="Y86" s="2"/>
      <c r="Z86" s="19">
        <f t="shared" si="3"/>
        <v>-0.95525724145142732</v>
      </c>
    </row>
    <row r="87" spans="1:26" s="23" customFormat="1" hidden="1" outlineLevel="1" x14ac:dyDescent="0.25">
      <c r="A87" s="44"/>
      <c r="B87" s="10" t="str">
        <f>CONCATENATE("          ", "4227", " - ", "SALES RETURN TAXABLE-SCHOOL SU")</f>
        <v xml:space="preserve">          4227 - SALES RETURN TAXABLE-SCHOOL SU</v>
      </c>
      <c r="C87" s="10"/>
      <c r="D87" s="2">
        <f>-64.39</f>
        <v>-64.39</v>
      </c>
      <c r="E87" s="2"/>
      <c r="F87" s="19"/>
      <c r="G87" s="2"/>
      <c r="H87" s="2">
        <f>-979.19</f>
        <v>-979.19</v>
      </c>
      <c r="I87" s="2"/>
      <c r="J87" s="19"/>
      <c r="K87" s="2"/>
      <c r="L87" s="2">
        <f t="shared" si="0"/>
        <v>914.80000000000007</v>
      </c>
      <c r="M87" s="2"/>
      <c r="N87" s="19">
        <f t="shared" si="1"/>
        <v>-0.93424156700946703</v>
      </c>
      <c r="O87" s="10"/>
      <c r="P87" s="2">
        <f>-846.12</f>
        <v>-846.12</v>
      </c>
      <c r="Q87" s="2"/>
      <c r="R87" s="19"/>
      <c r="S87" s="2"/>
      <c r="T87" s="2">
        <f>-8593.61</f>
        <v>-8593.61</v>
      </c>
      <c r="U87" s="2"/>
      <c r="V87" s="19"/>
      <c r="W87" s="2"/>
      <c r="X87" s="2">
        <f t="shared" si="2"/>
        <v>7747.4900000000007</v>
      </c>
      <c r="Y87" s="2"/>
      <c r="Z87" s="19">
        <f t="shared" si="3"/>
        <v>-0.90154079601005865</v>
      </c>
    </row>
    <row r="88" spans="1:26" s="23" customFormat="1" hidden="1" outlineLevel="1" x14ac:dyDescent="0.25">
      <c r="A88" s="44"/>
      <c r="B88" s="10" t="str">
        <f>CONCATENATE("          ", "4228", " - ", "SALES RETURN TAXABLE-ART/TECH")</f>
        <v xml:space="preserve">          4228 - SALES RETURN TAXABLE-ART/TECH</v>
      </c>
      <c r="C88" s="10"/>
      <c r="D88" s="2">
        <f>-98.38</f>
        <v>-98.38</v>
      </c>
      <c r="E88" s="2"/>
      <c r="F88" s="19"/>
      <c r="G88" s="2"/>
      <c r="H88" s="2">
        <f>-139.18</f>
        <v>-139.18</v>
      </c>
      <c r="I88" s="2"/>
      <c r="J88" s="19"/>
      <c r="K88" s="2"/>
      <c r="L88" s="2">
        <f t="shared" si="0"/>
        <v>40.800000000000011</v>
      </c>
      <c r="M88" s="2"/>
      <c r="N88" s="19">
        <f t="shared" si="1"/>
        <v>-0.29314556689179488</v>
      </c>
      <c r="O88" s="10"/>
      <c r="P88" s="2">
        <f>-12837.62</f>
        <v>-12837.62</v>
      </c>
      <c r="Q88" s="2"/>
      <c r="R88" s="19"/>
      <c r="S88" s="2"/>
      <c r="T88" s="2">
        <f>-4739.1</f>
        <v>-4739.1000000000004</v>
      </c>
      <c r="U88" s="2"/>
      <c r="V88" s="19"/>
      <c r="W88" s="2"/>
      <c r="X88" s="2">
        <f t="shared" si="2"/>
        <v>-8098.52</v>
      </c>
      <c r="Y88" s="2"/>
      <c r="Z88" s="19">
        <f t="shared" si="3"/>
        <v>1.7088729927623387</v>
      </c>
    </row>
    <row r="89" spans="1:26" s="23" customFormat="1" hidden="1" outlineLevel="1" x14ac:dyDescent="0.25">
      <c r="A89" s="44"/>
      <c r="B89" s="10" t="str">
        <f>CONCATENATE("          ", "4233", " - ", "SALES RETURN TAXABLE-CANDY")</f>
        <v xml:space="preserve">          4233 - SALES RETURN TAXABLE-CANDY</v>
      </c>
      <c r="C89" s="10"/>
      <c r="D89" s="2">
        <f>0</f>
        <v>0</v>
      </c>
      <c r="E89" s="2"/>
      <c r="F89" s="19"/>
      <c r="G89" s="2"/>
      <c r="H89" s="2">
        <f>-6.96</f>
        <v>-6.96</v>
      </c>
      <c r="I89" s="2"/>
      <c r="J89" s="19"/>
      <c r="K89" s="2"/>
      <c r="L89" s="2">
        <f t="shared" si="0"/>
        <v>6.96</v>
      </c>
      <c r="M89" s="2"/>
      <c r="N89" s="19">
        <f t="shared" si="1"/>
        <v>-1</v>
      </c>
      <c r="O89" s="10"/>
      <c r="P89" s="2">
        <f>0</f>
        <v>0</v>
      </c>
      <c r="Q89" s="2"/>
      <c r="R89" s="19"/>
      <c r="S89" s="2"/>
      <c r="T89" s="2">
        <f>-8.25</f>
        <v>-8.25</v>
      </c>
      <c r="U89" s="2"/>
      <c r="V89" s="19"/>
      <c r="W89" s="2"/>
      <c r="X89" s="2">
        <f t="shared" si="2"/>
        <v>8.25</v>
      </c>
      <c r="Y89" s="2"/>
      <c r="Z89" s="19">
        <f t="shared" si="3"/>
        <v>-1</v>
      </c>
    </row>
    <row r="90" spans="1:26" s="23" customFormat="1" hidden="1" outlineLevel="1" x14ac:dyDescent="0.25">
      <c r="A90" s="44"/>
      <c r="B90" s="10" t="str">
        <f>CONCATENATE("          ", "4240", " - ", "SALES RETURN TAXABLE-LOGO CLOT")</f>
        <v xml:space="preserve">          4240 - SALES RETURN TAXABLE-LOGO CLOT</v>
      </c>
      <c r="C90" s="10"/>
      <c r="D90" s="2">
        <f>-3924.84</f>
        <v>-3924.84</v>
      </c>
      <c r="E90" s="2"/>
      <c r="F90" s="19"/>
      <c r="G90" s="2"/>
      <c r="H90" s="2">
        <f>-3000.56</f>
        <v>-3000.56</v>
      </c>
      <c r="I90" s="2"/>
      <c r="J90" s="19"/>
      <c r="K90" s="2"/>
      <c r="L90" s="2">
        <f t="shared" si="0"/>
        <v>-924.2800000000002</v>
      </c>
      <c r="M90" s="2"/>
      <c r="N90" s="19">
        <f t="shared" si="1"/>
        <v>0.30803583331111534</v>
      </c>
      <c r="O90" s="10"/>
      <c r="P90" s="2">
        <f>-35054.35</f>
        <v>-35054.35</v>
      </c>
      <c r="Q90" s="2"/>
      <c r="R90" s="19"/>
      <c r="S90" s="2"/>
      <c r="T90" s="2">
        <f>-72812.23</f>
        <v>-72812.23</v>
      </c>
      <c r="U90" s="2"/>
      <c r="V90" s="19"/>
      <c r="W90" s="2"/>
      <c r="X90" s="2">
        <f t="shared" si="2"/>
        <v>37757.879999999997</v>
      </c>
      <c r="Y90" s="2"/>
      <c r="Z90" s="19">
        <f t="shared" si="3"/>
        <v>-0.51856508171772786</v>
      </c>
    </row>
    <row r="91" spans="1:26" s="23" customFormat="1" hidden="1" outlineLevel="1" x14ac:dyDescent="0.25">
      <c r="A91" s="44"/>
      <c r="B91" s="10" t="str">
        <f>CONCATENATE("          ", "4241", " - ", "SALES RETURN TAXABLE-LOGO GIFT")</f>
        <v xml:space="preserve">          4241 - SALES RETURN TAXABLE-LOGO GIFT</v>
      </c>
      <c r="C91" s="10"/>
      <c r="D91" s="2">
        <f>-1222.82</f>
        <v>-1222.82</v>
      </c>
      <c r="E91" s="2"/>
      <c r="F91" s="19"/>
      <c r="G91" s="2"/>
      <c r="H91" s="2">
        <f>-214.4</f>
        <v>-214.4</v>
      </c>
      <c r="I91" s="2"/>
      <c r="J91" s="19"/>
      <c r="K91" s="2"/>
      <c r="L91" s="2">
        <f t="shared" si="0"/>
        <v>-1008.42</v>
      </c>
      <c r="M91" s="2"/>
      <c r="N91" s="19">
        <f t="shared" si="1"/>
        <v>4.7034514925373134</v>
      </c>
      <c r="O91" s="10"/>
      <c r="P91" s="2">
        <f>-6518.34</f>
        <v>-6518.34</v>
      </c>
      <c r="Q91" s="2"/>
      <c r="R91" s="19"/>
      <c r="S91" s="2"/>
      <c r="T91" s="2">
        <f>-6141.38</f>
        <v>-6141.38</v>
      </c>
      <c r="U91" s="2"/>
      <c r="V91" s="19"/>
      <c r="W91" s="2"/>
      <c r="X91" s="2">
        <f t="shared" si="2"/>
        <v>-376.96000000000004</v>
      </c>
      <c r="Y91" s="2"/>
      <c r="Z91" s="19">
        <f t="shared" si="3"/>
        <v>6.138034122623906E-2</v>
      </c>
    </row>
    <row r="92" spans="1:26" s="23" customFormat="1" hidden="1" outlineLevel="1" x14ac:dyDescent="0.25">
      <c r="A92" s="44"/>
      <c r="B92" s="10" t="str">
        <f>CONCATENATE("          ", "4242", " - ", "SALES RETURN TAXABLE-EVERYDAY")</f>
        <v xml:space="preserve">          4242 - SALES RETURN TAXABLE-EVERYDAY</v>
      </c>
      <c r="C92" s="10"/>
      <c r="D92" s="2">
        <f>-565.08</f>
        <v>-565.08000000000004</v>
      </c>
      <c r="E92" s="2"/>
      <c r="F92" s="19"/>
      <c r="G92" s="2"/>
      <c r="H92" s="2">
        <f>-284.33</f>
        <v>-284.33</v>
      </c>
      <c r="I92" s="2"/>
      <c r="J92" s="19"/>
      <c r="K92" s="2"/>
      <c r="L92" s="2">
        <f t="shared" si="0"/>
        <v>-280.75000000000006</v>
      </c>
      <c r="M92" s="2"/>
      <c r="N92" s="19">
        <f t="shared" si="1"/>
        <v>0.98740899658847137</v>
      </c>
      <c r="O92" s="10"/>
      <c r="P92" s="2">
        <f>-2303.82</f>
        <v>-2303.8200000000002</v>
      </c>
      <c r="Q92" s="2"/>
      <c r="R92" s="19"/>
      <c r="S92" s="2"/>
      <c r="T92" s="2">
        <f>-4178.41</f>
        <v>-4178.41</v>
      </c>
      <c r="U92" s="2"/>
      <c r="V92" s="19"/>
      <c r="W92" s="2"/>
      <c r="X92" s="2">
        <f t="shared" si="2"/>
        <v>1874.5899999999997</v>
      </c>
      <c r="Y92" s="2"/>
      <c r="Z92" s="19">
        <f t="shared" si="3"/>
        <v>-0.44863716102536605</v>
      </c>
    </row>
    <row r="93" spans="1:26" s="23" customFormat="1" hidden="1" outlineLevel="1" x14ac:dyDescent="0.25">
      <c r="A93" s="44"/>
      <c r="B93" s="10" t="str">
        <f>CONCATENATE("          ", "4243", " - ", "SALES RETURN TAXABLE-CARDS")</f>
        <v xml:space="preserve">          4243 - SALES RETURN TAXABLE-CARDS</v>
      </c>
      <c r="C93" s="10"/>
      <c r="D93" s="2">
        <f>-572.63</f>
        <v>-572.63</v>
      </c>
      <c r="E93" s="2"/>
      <c r="F93" s="19"/>
      <c r="G93" s="2"/>
      <c r="H93" s="2">
        <f>-159.92</f>
        <v>-159.91999999999999</v>
      </c>
      <c r="I93" s="2"/>
      <c r="J93" s="19"/>
      <c r="K93" s="2"/>
      <c r="L93" s="2">
        <f t="shared" si="0"/>
        <v>-412.71000000000004</v>
      </c>
      <c r="M93" s="2"/>
      <c r="N93" s="19">
        <f t="shared" si="1"/>
        <v>2.5807278639319664</v>
      </c>
      <c r="O93" s="10"/>
      <c r="P93" s="2">
        <f>-5942.23</f>
        <v>-5942.23</v>
      </c>
      <c r="Q93" s="2"/>
      <c r="R93" s="19"/>
      <c r="S93" s="2"/>
      <c r="T93" s="2">
        <f>-2993.31</f>
        <v>-2993.31</v>
      </c>
      <c r="U93" s="2"/>
      <c r="V93" s="19"/>
      <c r="W93" s="2"/>
      <c r="X93" s="2">
        <f t="shared" si="2"/>
        <v>-2948.9199999999996</v>
      </c>
      <c r="Y93" s="2"/>
      <c r="Z93" s="19">
        <f t="shared" si="3"/>
        <v>0.98517026301986754</v>
      </c>
    </row>
    <row r="94" spans="1:26" s="23" customFormat="1" hidden="1" outlineLevel="1" x14ac:dyDescent="0.25">
      <c r="A94" s="44"/>
      <c r="B94" s="10" t="str">
        <f>CONCATENATE("          ", "4244", " - ", "SALES RETURN TAXABLE-ACCESSORI")</f>
        <v xml:space="preserve">          4244 - SALES RETURN TAXABLE-ACCESSORI</v>
      </c>
      <c r="C94" s="10"/>
      <c r="D94" s="2">
        <f>-240.42</f>
        <v>-240.42</v>
      </c>
      <c r="E94" s="2"/>
      <c r="F94" s="19"/>
      <c r="G94" s="2"/>
      <c r="H94" s="2">
        <f>-39.9</f>
        <v>-39.9</v>
      </c>
      <c r="I94" s="2"/>
      <c r="J94" s="19"/>
      <c r="K94" s="2"/>
      <c r="L94" s="2">
        <f t="shared" si="0"/>
        <v>-200.51999999999998</v>
      </c>
      <c r="M94" s="2"/>
      <c r="N94" s="19">
        <f t="shared" si="1"/>
        <v>5.0255639097744362</v>
      </c>
      <c r="O94" s="10"/>
      <c r="P94" s="2">
        <f>-1235.26</f>
        <v>-1235.26</v>
      </c>
      <c r="Q94" s="2"/>
      <c r="R94" s="19"/>
      <c r="S94" s="2"/>
      <c r="T94" s="2">
        <f>-2470.7</f>
        <v>-2470.6999999999998</v>
      </c>
      <c r="U94" s="2"/>
      <c r="V94" s="19"/>
      <c r="W94" s="2"/>
      <c r="X94" s="2">
        <f t="shared" si="2"/>
        <v>1235.4399999999998</v>
      </c>
      <c r="Y94" s="2"/>
      <c r="Z94" s="19">
        <f t="shared" si="3"/>
        <v>-0.50003642692354389</v>
      </c>
    </row>
    <row r="95" spans="1:26" s="23" customFormat="1" hidden="1" outlineLevel="1" x14ac:dyDescent="0.25">
      <c r="A95" s="44"/>
      <c r="B95" s="10" t="str">
        <f>CONCATENATE("          ", "4245", " - ", "SALES RETURN TAXABLE-SPECIAL O")</f>
        <v xml:space="preserve">          4245 - SALES RETURN TAXABLE-SPECIAL O</v>
      </c>
      <c r="C95" s="10"/>
      <c r="D95" s="2">
        <f t="shared" ref="D95:D99" si="20">0</f>
        <v>0</v>
      </c>
      <c r="E95" s="2"/>
      <c r="F95" s="19"/>
      <c r="G95" s="2"/>
      <c r="H95" s="2">
        <f>-19.98</f>
        <v>-19.98</v>
      </c>
      <c r="I95" s="2"/>
      <c r="J95" s="19"/>
      <c r="K95" s="2"/>
      <c r="L95" s="2">
        <f t="shared" si="0"/>
        <v>19.98</v>
      </c>
      <c r="M95" s="2"/>
      <c r="N95" s="19">
        <f t="shared" si="1"/>
        <v>-1</v>
      </c>
      <c r="O95" s="10"/>
      <c r="P95" s="2">
        <f>-11353.59</f>
        <v>-11353.59</v>
      </c>
      <c r="Q95" s="2"/>
      <c r="R95" s="19"/>
      <c r="S95" s="2"/>
      <c r="T95" s="2">
        <f>-1735.03</f>
        <v>-1735.03</v>
      </c>
      <c r="U95" s="2"/>
      <c r="V95" s="19"/>
      <c r="W95" s="2"/>
      <c r="X95" s="2">
        <f t="shared" si="2"/>
        <v>-9618.56</v>
      </c>
      <c r="Y95" s="2"/>
      <c r="Z95" s="19">
        <f t="shared" si="3"/>
        <v>5.5437427594911899</v>
      </c>
    </row>
    <row r="96" spans="1:26" s="23" customFormat="1" hidden="1" outlineLevel="1" x14ac:dyDescent="0.25">
      <c r="A96" s="44"/>
      <c r="B96" s="10" t="str">
        <f>CONCATENATE("          ", "4281", " - ", "SALES RETURN TAXABLE-ELECTRONI")</f>
        <v xml:space="preserve">          4281 - SALES RETURN TAXABLE-ELECTRONI</v>
      </c>
      <c r="C96" s="10"/>
      <c r="D96" s="2">
        <f t="shared" si="20"/>
        <v>0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0"/>
      <c r="P96" s="2">
        <f t="shared" ref="P96:P98" si="21">0</f>
        <v>0</v>
      </c>
      <c r="Q96" s="2"/>
      <c r="R96" s="19"/>
      <c r="S96" s="2"/>
      <c r="T96" s="2">
        <f>-54.97</f>
        <v>-54.97</v>
      </c>
      <c r="U96" s="2"/>
      <c r="V96" s="19"/>
      <c r="W96" s="2"/>
      <c r="X96" s="2">
        <f t="shared" si="2"/>
        <v>54.97</v>
      </c>
      <c r="Y96" s="2"/>
      <c r="Z96" s="19">
        <f t="shared" si="3"/>
        <v>-1</v>
      </c>
    </row>
    <row r="97" spans="1:26" s="23" customFormat="1" hidden="1" outlineLevel="1" x14ac:dyDescent="0.25">
      <c r="A97" s="44"/>
      <c r="B97" s="10" t="str">
        <f>CONCATENATE("          ", "4292", " - ", "SALES RETURN TAXABLE-GRAD MERC")</f>
        <v xml:space="preserve">          4292 - SALES RETURN TAXABLE-GRAD MERC</v>
      </c>
      <c r="C97" s="10"/>
      <c r="D97" s="2">
        <f t="shared" si="20"/>
        <v>0</v>
      </c>
      <c r="E97" s="2"/>
      <c r="F97" s="19"/>
      <c r="G97" s="2"/>
      <c r="H97" s="2">
        <f>-94.9</f>
        <v>-94.9</v>
      </c>
      <c r="I97" s="2"/>
      <c r="J97" s="19"/>
      <c r="K97" s="2"/>
      <c r="L97" s="2">
        <f t="shared" si="0"/>
        <v>94.9</v>
      </c>
      <c r="M97" s="2"/>
      <c r="N97" s="19">
        <f t="shared" si="1"/>
        <v>-1</v>
      </c>
      <c r="O97" s="10"/>
      <c r="P97" s="2">
        <f t="shared" si="21"/>
        <v>0</v>
      </c>
      <c r="Q97" s="2"/>
      <c r="R97" s="19"/>
      <c r="S97" s="2"/>
      <c r="T97" s="2">
        <f>-513.95</f>
        <v>-513.95000000000005</v>
      </c>
      <c r="U97" s="2"/>
      <c r="V97" s="19"/>
      <c r="W97" s="2"/>
      <c r="X97" s="2">
        <f t="shared" si="2"/>
        <v>513.95000000000005</v>
      </c>
      <c r="Y97" s="2"/>
      <c r="Z97" s="19">
        <f t="shared" si="3"/>
        <v>-1</v>
      </c>
    </row>
    <row r="98" spans="1:26" s="23" customFormat="1" hidden="1" outlineLevel="1" x14ac:dyDescent="0.25">
      <c r="A98" s="44"/>
      <c r="B98" s="10" t="str">
        <f>CONCATENATE("          ", "4295", " - ", "SALES RETURN TAXABLE-CUSTOMER")</f>
        <v xml:space="preserve">          4295 - SALES RETURN TAXABLE-CUSTOMER</v>
      </c>
      <c r="C98" s="10"/>
      <c r="D98" s="2">
        <f t="shared" si="20"/>
        <v>0</v>
      </c>
      <c r="E98" s="2"/>
      <c r="F98" s="19"/>
      <c r="G98" s="2"/>
      <c r="H98" s="2">
        <f t="shared" ref="H98:H101" si="22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0"/>
      <c r="P98" s="2">
        <f t="shared" si="21"/>
        <v>0</v>
      </c>
      <c r="Q98" s="2"/>
      <c r="R98" s="19"/>
      <c r="S98" s="2"/>
      <c r="T98" s="2">
        <f>--0.99</f>
        <v>0.99</v>
      </c>
      <c r="U98" s="2"/>
      <c r="V98" s="19"/>
      <c r="W98" s="2"/>
      <c r="X98" s="2">
        <f t="shared" si="2"/>
        <v>-0.99</v>
      </c>
      <c r="Y98" s="2"/>
      <c r="Z98" s="19">
        <f t="shared" si="3"/>
        <v>-1</v>
      </c>
    </row>
    <row r="99" spans="1:26" s="23" customFormat="1" hidden="1" outlineLevel="1" x14ac:dyDescent="0.25">
      <c r="A99" s="44"/>
      <c r="B99" s="10" t="str">
        <f>CONCATENATE("          ", "4301", " - ", "SALES RETURN NON TAXABLE-NEW T")</f>
        <v xml:space="preserve">          4301 - SALES RETURN NON TAXABLE-NEW T</v>
      </c>
      <c r="C99" s="10"/>
      <c r="D99" s="2">
        <f t="shared" si="20"/>
        <v>0</v>
      </c>
      <c r="E99" s="2"/>
      <c r="F99" s="19"/>
      <c r="G99" s="2"/>
      <c r="H99" s="2">
        <f t="shared" si="22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0"/>
      <c r="P99" s="2">
        <f>-3237.29</f>
        <v>-3237.29</v>
      </c>
      <c r="Q99" s="2"/>
      <c r="R99" s="19"/>
      <c r="S99" s="2"/>
      <c r="T99" s="2">
        <f>-15221.62</f>
        <v>-15221.62</v>
      </c>
      <c r="U99" s="2"/>
      <c r="V99" s="19"/>
      <c r="W99" s="2"/>
      <c r="X99" s="2">
        <f t="shared" si="2"/>
        <v>11984.330000000002</v>
      </c>
      <c r="Y99" s="2"/>
      <c r="Z99" s="19">
        <f t="shared" si="3"/>
        <v>-0.78732289992786586</v>
      </c>
    </row>
    <row r="100" spans="1:26" s="23" customFormat="1" hidden="1" outlineLevel="1" x14ac:dyDescent="0.25">
      <c r="A100" s="44"/>
      <c r="B100" s="10" t="str">
        <f>CONCATENATE("          ", "4302", " - ", "SALES RETURN NON TAXABLE-TEXT")</f>
        <v xml:space="preserve">          4302 - SALES RETURN NON TAXABLE-TEXT</v>
      </c>
      <c r="C100" s="10"/>
      <c r="D100" s="2">
        <f>-270.87</f>
        <v>-270.87</v>
      </c>
      <c r="E100" s="2"/>
      <c r="F100" s="19"/>
      <c r="G100" s="2"/>
      <c r="H100" s="2">
        <f t="shared" si="22"/>
        <v>0</v>
      </c>
      <c r="I100" s="2"/>
      <c r="J100" s="19"/>
      <c r="K100" s="2"/>
      <c r="L100" s="2">
        <f t="shared" si="0"/>
        <v>-270.87</v>
      </c>
      <c r="M100" s="2"/>
      <c r="N100" s="19">
        <f t="shared" si="1"/>
        <v>0</v>
      </c>
      <c r="O100" s="10"/>
      <c r="P100" s="2">
        <f>-2344.35</f>
        <v>-2344.35</v>
      </c>
      <c r="Q100" s="2"/>
      <c r="R100" s="19"/>
      <c r="S100" s="2"/>
      <c r="T100" s="2">
        <f>-1312.37</f>
        <v>-1312.37</v>
      </c>
      <c r="U100" s="2"/>
      <c r="V100" s="19"/>
      <c r="W100" s="2"/>
      <c r="X100" s="2">
        <f t="shared" si="2"/>
        <v>-1031.98</v>
      </c>
      <c r="Y100" s="2"/>
      <c r="Z100" s="19">
        <f t="shared" si="3"/>
        <v>0.78634836212348658</v>
      </c>
    </row>
    <row r="101" spans="1:26" s="23" customFormat="1" hidden="1" outlineLevel="1" x14ac:dyDescent="0.25">
      <c r="A101" s="44"/>
      <c r="B101" s="10" t="str">
        <f>CONCATENATE("          ", "4303", " - ", "SALES RETURN NON-TAXABLE-RENTA")</f>
        <v xml:space="preserve">          4303 - SALES RETURN NON-TAXABLE-RENTA</v>
      </c>
      <c r="C101" s="10"/>
      <c r="D101" s="2">
        <f>0</f>
        <v>0</v>
      </c>
      <c r="E101" s="2"/>
      <c r="F101" s="19"/>
      <c r="G101" s="2"/>
      <c r="H101" s="2">
        <f t="shared" si="22"/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0"/>
      <c r="P101" s="2">
        <f>0</f>
        <v>0</v>
      </c>
      <c r="Q101" s="2"/>
      <c r="R101" s="19"/>
      <c r="S101" s="2"/>
      <c r="T101" s="2">
        <f>-184.99</f>
        <v>-184.99</v>
      </c>
      <c r="U101" s="2"/>
      <c r="V101" s="19"/>
      <c r="W101" s="2"/>
      <c r="X101" s="2">
        <f t="shared" si="2"/>
        <v>184.99</v>
      </c>
      <c r="Y101" s="2"/>
      <c r="Z101" s="19">
        <f t="shared" si="3"/>
        <v>-1</v>
      </c>
    </row>
    <row r="102" spans="1:26" s="23" customFormat="1" hidden="1" outlineLevel="1" x14ac:dyDescent="0.25">
      <c r="A102" s="44"/>
      <c r="B102" s="10" t="str">
        <f>CONCATENATE("          ", "4304", " - ", "SALES RETURN NON TAXABLE-DIGIT")</f>
        <v xml:space="preserve">          4304 - SALES RETURN NON TAXABLE-DIGIT</v>
      </c>
      <c r="C102" s="10"/>
      <c r="D102" s="2">
        <f>-275.04</f>
        <v>-275.04000000000002</v>
      </c>
      <c r="E102" s="2"/>
      <c r="F102" s="19"/>
      <c r="G102" s="2"/>
      <c r="H102" s="2">
        <f>-44.15</f>
        <v>-44.15</v>
      </c>
      <c r="I102" s="2"/>
      <c r="J102" s="19"/>
      <c r="K102" s="2"/>
      <c r="L102" s="2">
        <f t="shared" si="0"/>
        <v>-230.89000000000001</v>
      </c>
      <c r="M102" s="2"/>
      <c r="N102" s="19">
        <f t="shared" si="1"/>
        <v>5.2296715741789361</v>
      </c>
      <c r="O102" s="10"/>
      <c r="P102" s="2">
        <f>-27543.76</f>
        <v>-27543.759999999998</v>
      </c>
      <c r="Q102" s="2"/>
      <c r="R102" s="19"/>
      <c r="S102" s="2"/>
      <c r="T102" s="2">
        <f>-19036.13</f>
        <v>-19036.13</v>
      </c>
      <c r="U102" s="2"/>
      <c r="V102" s="19"/>
      <c r="W102" s="2"/>
      <c r="X102" s="2">
        <f t="shared" si="2"/>
        <v>-8507.6299999999974</v>
      </c>
      <c r="Y102" s="2"/>
      <c r="Z102" s="19">
        <f t="shared" si="3"/>
        <v>0.44692014605909902</v>
      </c>
    </row>
    <row r="103" spans="1:26" s="23" customFormat="1" hidden="1" outlineLevel="1" x14ac:dyDescent="0.25">
      <c r="A103" s="44"/>
      <c r="B103" s="10" t="str">
        <f>CONCATENATE("          ", "4311", " - ", "SALES RETURN NON TAXABLE-NO VA")</f>
        <v xml:space="preserve">          4311 - SALES RETURN NON TAXABLE-NO VA</v>
      </c>
      <c r="C103" s="10"/>
      <c r="D103" s="2">
        <f t="shared" ref="D103:D106" si="23">0</f>
        <v>0</v>
      </c>
      <c r="E103" s="2"/>
      <c r="F103" s="19"/>
      <c r="G103" s="2"/>
      <c r="H103" s="2">
        <f>-57.9</f>
        <v>-57.9</v>
      </c>
      <c r="I103" s="2"/>
      <c r="J103" s="19"/>
      <c r="K103" s="2"/>
      <c r="L103" s="2">
        <f t="shared" si="0"/>
        <v>57.9</v>
      </c>
      <c r="M103" s="2"/>
      <c r="N103" s="19">
        <f t="shared" si="1"/>
        <v>-1</v>
      </c>
      <c r="O103" s="10"/>
      <c r="P103" s="2">
        <f t="shared" ref="P103:P106" si="24">0</f>
        <v>0</v>
      </c>
      <c r="Q103" s="2"/>
      <c r="R103" s="19"/>
      <c r="S103" s="2"/>
      <c r="T103" s="2">
        <f>-852.66</f>
        <v>-852.66</v>
      </c>
      <c r="U103" s="2"/>
      <c r="V103" s="19"/>
      <c r="W103" s="2"/>
      <c r="X103" s="2">
        <f t="shared" si="2"/>
        <v>852.66</v>
      </c>
      <c r="Y103" s="2"/>
      <c r="Z103" s="19">
        <f t="shared" si="3"/>
        <v>-1</v>
      </c>
    </row>
    <row r="104" spans="1:26" s="23" customFormat="1" hidden="1" outlineLevel="1" x14ac:dyDescent="0.25">
      <c r="A104" s="44"/>
      <c r="B104" s="10" t="str">
        <f>CONCATENATE("          ", "4327", " - ", "SALES RETURN NON TAXABLE-SCHOO")</f>
        <v xml:space="preserve">          4327 - SALES RETURN NON TAXABLE-SCHOO</v>
      </c>
      <c r="C104" s="10"/>
      <c r="D104" s="2">
        <f t="shared" si="23"/>
        <v>0</v>
      </c>
      <c r="E104" s="2"/>
      <c r="F104" s="19"/>
      <c r="G104" s="2"/>
      <c r="H104" s="2">
        <f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0"/>
      <c r="P104" s="2">
        <f t="shared" si="24"/>
        <v>0</v>
      </c>
      <c r="Q104" s="2"/>
      <c r="R104" s="19"/>
      <c r="S104" s="2"/>
      <c r="T104" s="2">
        <f>-21.87</f>
        <v>-21.87</v>
      </c>
      <c r="U104" s="2"/>
      <c r="V104" s="19"/>
      <c r="W104" s="2"/>
      <c r="X104" s="2">
        <f t="shared" si="2"/>
        <v>21.87</v>
      </c>
      <c r="Y104" s="2"/>
      <c r="Z104" s="19">
        <f t="shared" si="3"/>
        <v>-1</v>
      </c>
    </row>
    <row r="105" spans="1:26" s="23" customFormat="1" hidden="1" outlineLevel="1" x14ac:dyDescent="0.25">
      <c r="A105" s="44"/>
      <c r="B105" s="10" t="str">
        <f>CONCATENATE("          ", "4331", " - ", "SALES RETURN NON TAXABLE-FOOD")</f>
        <v xml:space="preserve">          4331 - SALES RETURN NON TAXABLE-FOOD</v>
      </c>
      <c r="C105" s="10"/>
      <c r="D105" s="2">
        <f t="shared" si="23"/>
        <v>0</v>
      </c>
      <c r="E105" s="2"/>
      <c r="F105" s="19"/>
      <c r="G105" s="2"/>
      <c r="H105" s="2">
        <f>-4.99</f>
        <v>-4.99</v>
      </c>
      <c r="I105" s="2"/>
      <c r="J105" s="19"/>
      <c r="K105" s="2"/>
      <c r="L105" s="2">
        <f t="shared" si="0"/>
        <v>4.99</v>
      </c>
      <c r="M105" s="2"/>
      <c r="N105" s="19">
        <f t="shared" si="1"/>
        <v>-1</v>
      </c>
      <c r="O105" s="10"/>
      <c r="P105" s="2">
        <f t="shared" si="24"/>
        <v>0</v>
      </c>
      <c r="Q105" s="2"/>
      <c r="R105" s="19"/>
      <c r="S105" s="2"/>
      <c r="T105" s="2">
        <f>-12.57</f>
        <v>-12.57</v>
      </c>
      <c r="U105" s="2"/>
      <c r="V105" s="19"/>
      <c r="W105" s="2"/>
      <c r="X105" s="2">
        <f t="shared" si="2"/>
        <v>12.57</v>
      </c>
      <c r="Y105" s="2"/>
      <c r="Z105" s="19">
        <f t="shared" si="3"/>
        <v>-1</v>
      </c>
    </row>
    <row r="106" spans="1:26" s="23" customFormat="1" hidden="1" outlineLevel="1" x14ac:dyDescent="0.25">
      <c r="A106" s="44"/>
      <c r="B106" s="10" t="str">
        <f>CONCATENATE("          ", "4332", " - ", "SALES RETURN NON TAXABLE-JUICE")</f>
        <v xml:space="preserve">          4332 - SALES RETURN NON TAXABLE-JUICE</v>
      </c>
      <c r="C106" s="10"/>
      <c r="D106" s="2">
        <f t="shared" si="23"/>
        <v>0</v>
      </c>
      <c r="E106" s="2"/>
      <c r="F106" s="19"/>
      <c r="G106" s="2"/>
      <c r="H106" s="2">
        <f>0</f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0"/>
      <c r="P106" s="2">
        <f t="shared" si="24"/>
        <v>0</v>
      </c>
      <c r="Q106" s="2"/>
      <c r="R106" s="19"/>
      <c r="S106" s="2"/>
      <c r="T106" s="2">
        <f>-2.79</f>
        <v>-2.79</v>
      </c>
      <c r="U106" s="2"/>
      <c r="V106" s="19"/>
      <c r="W106" s="2"/>
      <c r="X106" s="2">
        <f t="shared" si="2"/>
        <v>2.79</v>
      </c>
      <c r="Y106" s="2"/>
      <c r="Z106" s="19">
        <f t="shared" si="3"/>
        <v>-1</v>
      </c>
    </row>
    <row r="107" spans="1:26" s="23" customFormat="1" hidden="1" outlineLevel="1" x14ac:dyDescent="0.25">
      <c r="A107" s="44"/>
      <c r="B107" s="10" t="str">
        <f>CONCATENATE("          ", "4340", " - ", "SALES RETURN NON TAXABLE-LOGO")</f>
        <v xml:space="preserve">          4340 - SALES RETURN NON TAXABLE-LOGO</v>
      </c>
      <c r="C107" s="10"/>
      <c r="D107" s="2">
        <f>-350.55</f>
        <v>-350.55</v>
      </c>
      <c r="E107" s="2"/>
      <c r="F107" s="19"/>
      <c r="G107" s="2"/>
      <c r="H107" s="2">
        <f>-63.8</f>
        <v>-63.8</v>
      </c>
      <c r="I107" s="2"/>
      <c r="J107" s="19"/>
      <c r="K107" s="2"/>
      <c r="L107" s="2">
        <f t="shared" si="0"/>
        <v>-286.75</v>
      </c>
      <c r="M107" s="2"/>
      <c r="N107" s="19">
        <f t="shared" si="1"/>
        <v>4.4945141065830727</v>
      </c>
      <c r="O107" s="10"/>
      <c r="P107" s="2">
        <f>-2643.39</f>
        <v>-2643.39</v>
      </c>
      <c r="Q107" s="2"/>
      <c r="R107" s="19"/>
      <c r="S107" s="2"/>
      <c r="T107" s="2">
        <f>-995.45</f>
        <v>-995.45</v>
      </c>
      <c r="U107" s="2"/>
      <c r="V107" s="19"/>
      <c r="W107" s="2"/>
      <c r="X107" s="2">
        <f t="shared" si="2"/>
        <v>-1647.9399999999998</v>
      </c>
      <c r="Y107" s="2"/>
      <c r="Z107" s="19">
        <f t="shared" si="3"/>
        <v>1.6554723994173486</v>
      </c>
    </row>
    <row r="108" spans="1:26" s="23" customFormat="1" hidden="1" outlineLevel="1" x14ac:dyDescent="0.25">
      <c r="A108" s="44"/>
      <c r="B108" s="10" t="str">
        <f>CONCATENATE("          ", "4341", " - ", "SALES RETURN NON TAXABLE-LOGO")</f>
        <v xml:space="preserve">          4341 - SALES RETURN NON TAXABLE-LOGO</v>
      </c>
      <c r="C108" s="10"/>
      <c r="D108" s="2">
        <f>-29.9</f>
        <v>-29.9</v>
      </c>
      <c r="E108" s="2"/>
      <c r="F108" s="19"/>
      <c r="G108" s="2"/>
      <c r="H108" s="2">
        <f t="shared" ref="H108:H110" si="25">0</f>
        <v>0</v>
      </c>
      <c r="I108" s="2"/>
      <c r="J108" s="19"/>
      <c r="K108" s="2"/>
      <c r="L108" s="2">
        <f t="shared" si="0"/>
        <v>-29.9</v>
      </c>
      <c r="M108" s="2"/>
      <c r="N108" s="19">
        <f t="shared" si="1"/>
        <v>0</v>
      </c>
      <c r="O108" s="10"/>
      <c r="P108" s="2">
        <f>-392.54</f>
        <v>-392.54</v>
      </c>
      <c r="Q108" s="2"/>
      <c r="R108" s="19"/>
      <c r="S108" s="2"/>
      <c r="T108" s="2">
        <f>-245.5</f>
        <v>-245.5</v>
      </c>
      <c r="U108" s="2"/>
      <c r="V108" s="19"/>
      <c r="W108" s="2"/>
      <c r="X108" s="2">
        <f t="shared" si="2"/>
        <v>-147.04000000000002</v>
      </c>
      <c r="Y108" s="2"/>
      <c r="Z108" s="19">
        <f t="shared" si="3"/>
        <v>0.59894093686354388</v>
      </c>
    </row>
    <row r="109" spans="1:26" s="23" customFormat="1" hidden="1" outlineLevel="1" x14ac:dyDescent="0.25">
      <c r="A109" s="44"/>
      <c r="B109" s="10" t="str">
        <f>CONCATENATE("          ", "4342", " - ", "SALES RETURN NON TAXABLE-EVERY")</f>
        <v xml:space="preserve">          4342 - SALES RETURN NON TAXABLE-EVERY</v>
      </c>
      <c r="C109" s="10"/>
      <c r="D109" s="2">
        <f t="shared" ref="D109:D111" si="26">0</f>
        <v>0</v>
      </c>
      <c r="E109" s="2"/>
      <c r="F109" s="19"/>
      <c r="G109" s="2"/>
      <c r="H109" s="2">
        <f t="shared" si="25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0"/>
      <c r="P109" s="2">
        <f>-118.7</f>
        <v>-118.7</v>
      </c>
      <c r="Q109" s="2"/>
      <c r="R109" s="19"/>
      <c r="S109" s="2"/>
      <c r="T109" s="2">
        <f>-149.22</f>
        <v>-149.22</v>
      </c>
      <c r="U109" s="2"/>
      <c r="V109" s="19"/>
      <c r="W109" s="2"/>
      <c r="X109" s="2">
        <f t="shared" si="2"/>
        <v>30.519999999999996</v>
      </c>
      <c r="Y109" s="2"/>
      <c r="Z109" s="19">
        <f t="shared" si="3"/>
        <v>-0.20453022383058569</v>
      </c>
    </row>
    <row r="110" spans="1:26" s="23" customFormat="1" hidden="1" outlineLevel="1" x14ac:dyDescent="0.25">
      <c r="A110" s="44"/>
      <c r="B110" s="10" t="str">
        <f>CONCATENATE("          ", "4346", " - ", "SALES RETURN NON TAXABLE-COIN-")</f>
        <v xml:space="preserve">          4346 - SALES RETURN NON TAXABLE-COIN-</v>
      </c>
      <c r="C110" s="10"/>
      <c r="D110" s="2">
        <f t="shared" si="26"/>
        <v>0</v>
      </c>
      <c r="E110" s="2"/>
      <c r="F110" s="19"/>
      <c r="G110" s="2"/>
      <c r="H110" s="2">
        <f t="shared" si="25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0"/>
      <c r="P110" s="2">
        <f t="shared" ref="P110:P111" si="27">0</f>
        <v>0</v>
      </c>
      <c r="Q110" s="2"/>
      <c r="R110" s="19"/>
      <c r="S110" s="2"/>
      <c r="T110" s="2">
        <f>-8.15</f>
        <v>-8.15</v>
      </c>
      <c r="U110" s="2"/>
      <c r="V110" s="19"/>
      <c r="W110" s="2"/>
      <c r="X110" s="2">
        <f t="shared" si="2"/>
        <v>8.15</v>
      </c>
      <c r="Y110" s="2"/>
      <c r="Z110" s="19">
        <f t="shared" si="3"/>
        <v>-1</v>
      </c>
    </row>
    <row r="111" spans="1:26" s="23" customFormat="1" hidden="1" outlineLevel="1" x14ac:dyDescent="0.25">
      <c r="A111" s="44"/>
      <c r="B111" s="10" t="str">
        <f>CONCATENATE("          ", "4347", " - ", "SALES RETURN NON TAXABLE-MISC")</f>
        <v xml:space="preserve">          4347 - SALES RETURN NON TAXABLE-MISC</v>
      </c>
      <c r="C111" s="10"/>
      <c r="D111" s="2">
        <f t="shared" si="26"/>
        <v>0</v>
      </c>
      <c r="E111" s="2"/>
      <c r="F111" s="19"/>
      <c r="G111" s="2"/>
      <c r="H111" s="2">
        <f>-84</f>
        <v>-84</v>
      </c>
      <c r="I111" s="2"/>
      <c r="J111" s="19"/>
      <c r="K111" s="2"/>
      <c r="L111" s="2">
        <f t="shared" si="0"/>
        <v>84</v>
      </c>
      <c r="M111" s="2"/>
      <c r="N111" s="19">
        <f t="shared" si="1"/>
        <v>-1</v>
      </c>
      <c r="O111" s="10"/>
      <c r="P111" s="2">
        <f t="shared" si="27"/>
        <v>0</v>
      </c>
      <c r="Q111" s="2"/>
      <c r="R111" s="19"/>
      <c r="S111" s="2"/>
      <c r="T111" s="2">
        <f>-84</f>
        <v>-84</v>
      </c>
      <c r="U111" s="2"/>
      <c r="V111" s="19"/>
      <c r="W111" s="2"/>
      <c r="X111" s="2">
        <f t="shared" si="2"/>
        <v>84</v>
      </c>
      <c r="Y111" s="2"/>
      <c r="Z111" s="19">
        <f t="shared" si="3"/>
        <v>-1</v>
      </c>
    </row>
    <row r="112" spans="1:26" x14ac:dyDescent="0.25">
      <c r="A112" s="9"/>
      <c r="B112" s="11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4" customFormat="1" collapsed="1" x14ac:dyDescent="0.25">
      <c r="A113" s="11"/>
      <c r="B113" s="28" t="s">
        <v>256</v>
      </c>
      <c r="C113" s="11"/>
      <c r="D113" s="4">
        <f>SUM(OSRRefD16x_0)</f>
        <v>98644.250000000044</v>
      </c>
      <c r="E113" s="4"/>
      <c r="F113" s="13">
        <f t="shared" ref="F113:F166" si="28">IF(D$12=0,0,D113/D$12)</f>
        <v>0.5361239819164868</v>
      </c>
      <c r="G113" s="4"/>
      <c r="H113" s="4">
        <f>SUM(OSRRefH16x_0)</f>
        <v>177631.7999999999</v>
      </c>
      <c r="I113" s="4"/>
      <c r="J113" s="13">
        <f t="shared" ref="J113:J166" si="29">IF(H$12=0,0,H113/H$12)</f>
        <v>0.45025097758704102</v>
      </c>
      <c r="K113" s="4"/>
      <c r="L113" s="4">
        <f t="shared" ref="L113:L166" si="30">+D113-H113</f>
        <v>-78987.549999999857</v>
      </c>
      <c r="M113" s="4"/>
      <c r="N113" s="13">
        <f t="shared" ref="N113:N166" si="31">IF(H113=0,0,L113/H113)</f>
        <v>-0.44467009848461764</v>
      </c>
      <c r="O113" s="11"/>
      <c r="P113" s="4">
        <f>SUM(OSRRefP16x_0)</f>
        <v>2749195.1200000006</v>
      </c>
      <c r="Q113" s="4"/>
      <c r="R113" s="13">
        <f t="shared" ref="R113:R166" si="32">IF(P$12=0,0,P113/P$12)</f>
        <v>0.64429314215407296</v>
      </c>
      <c r="S113" s="4"/>
      <c r="T113" s="4">
        <f>SUM(OSRRefT16x_0)</f>
        <v>6141939.9199999999</v>
      </c>
      <c r="U113" s="4"/>
      <c r="V113" s="13">
        <f t="shared" ref="V113:V166" si="33">IF(T$12=0,0,T113/T$12)</f>
        <v>0.56025164122840421</v>
      </c>
      <c r="W113" s="4"/>
      <c r="X113" s="4">
        <f t="shared" ref="X113:X166" si="34">+P113-T113</f>
        <v>-3392744.7999999993</v>
      </c>
      <c r="Y113" s="4"/>
      <c r="Z113" s="13">
        <f t="shared" ref="Z113:Z166" si="35">IF(T113=0,0,X113/T113)</f>
        <v>-0.55238977329494932</v>
      </c>
    </row>
    <row r="114" spans="1:26" s="23" customFormat="1" hidden="1" outlineLevel="1" x14ac:dyDescent="0.25">
      <c r="A114" s="44"/>
      <c r="B114" s="10" t="str">
        <f>CONCATENATE("          ", "5000", " - ", "PURCHASES @ COST")</f>
        <v xml:space="preserve">          5000 - PURCHASES @ COST</v>
      </c>
      <c r="C114" s="10"/>
      <c r="D114" s="2">
        <v>0</v>
      </c>
      <c r="E114" s="2"/>
      <c r="F114" s="19">
        <f t="shared" si="28"/>
        <v>0</v>
      </c>
      <c r="G114" s="2"/>
      <c r="H114" s="2">
        <v>0</v>
      </c>
      <c r="I114" s="2"/>
      <c r="J114" s="19">
        <f t="shared" si="29"/>
        <v>0</v>
      </c>
      <c r="K114" s="2"/>
      <c r="L114" s="2">
        <f t="shared" si="30"/>
        <v>0</v>
      </c>
      <c r="M114" s="2"/>
      <c r="N114" s="19">
        <f t="shared" si="31"/>
        <v>0</v>
      </c>
      <c r="O114" s="10"/>
      <c r="P114" s="2">
        <v>0</v>
      </c>
      <c r="Q114" s="2"/>
      <c r="R114" s="19">
        <f t="shared" si="32"/>
        <v>0</v>
      </c>
      <c r="S114" s="2"/>
      <c r="T114" s="2">
        <v>0</v>
      </c>
      <c r="U114" s="2"/>
      <c r="V114" s="19">
        <f t="shared" si="33"/>
        <v>0</v>
      </c>
      <c r="W114" s="2"/>
      <c r="X114" s="2">
        <f t="shared" si="34"/>
        <v>0</v>
      </c>
      <c r="Y114" s="2"/>
      <c r="Z114" s="19">
        <f t="shared" si="35"/>
        <v>0</v>
      </c>
    </row>
    <row r="115" spans="1:26" s="23" customFormat="1" hidden="1" outlineLevel="1" x14ac:dyDescent="0.25">
      <c r="A115" s="44"/>
      <c r="B115" s="10" t="str">
        <f>CONCATENATE("          ", "5001", " - ", "PURCHASES @ COST-NEW TEXT")</f>
        <v xml:space="preserve">          5001 - PURCHASES @ COST-NEW TEXT</v>
      </c>
      <c r="C115" s="10"/>
      <c r="D115" s="2">
        <v>-290899.24</v>
      </c>
      <c r="E115" s="2"/>
      <c r="F115" s="19">
        <f t="shared" si="28"/>
        <v>-1.5810152024601503</v>
      </c>
      <c r="G115" s="2"/>
      <c r="H115" s="2">
        <v>-921934.35</v>
      </c>
      <c r="I115" s="2"/>
      <c r="J115" s="19">
        <f t="shared" si="29"/>
        <v>-2.3368667229548619</v>
      </c>
      <c r="K115" s="2"/>
      <c r="L115" s="2">
        <f t="shared" si="30"/>
        <v>631035.11</v>
      </c>
      <c r="M115" s="2"/>
      <c r="N115" s="19">
        <f t="shared" si="31"/>
        <v>-0.68446859583873843</v>
      </c>
      <c r="O115" s="10"/>
      <c r="P115" s="2">
        <v>1035516.4</v>
      </c>
      <c r="Q115" s="2"/>
      <c r="R115" s="19">
        <f t="shared" si="32"/>
        <v>0.24268052502147383</v>
      </c>
      <c r="S115" s="2"/>
      <c r="T115" s="2">
        <v>1594665.12</v>
      </c>
      <c r="U115" s="2"/>
      <c r="V115" s="19">
        <f t="shared" si="33"/>
        <v>0.14546116737164214</v>
      </c>
      <c r="W115" s="2"/>
      <c r="X115" s="2">
        <f t="shared" si="34"/>
        <v>-559148.72000000009</v>
      </c>
      <c r="Y115" s="2"/>
      <c r="Z115" s="19">
        <f t="shared" si="35"/>
        <v>-0.35063707921322068</v>
      </c>
    </row>
    <row r="116" spans="1:26" s="23" customFormat="1" hidden="1" outlineLevel="1" x14ac:dyDescent="0.25">
      <c r="A116" s="44"/>
      <c r="B116" s="10" t="str">
        <f>CONCATENATE("          ", "5002", " - ", "PURCHASES @ COST-USED TEXT")</f>
        <v xml:space="preserve">          5002 - PURCHASES @ COST-USED TEXT</v>
      </c>
      <c r="C116" s="10"/>
      <c r="D116" s="2">
        <v>14728.45</v>
      </c>
      <c r="E116" s="2"/>
      <c r="F116" s="19">
        <f t="shared" si="28"/>
        <v>8.0048003420958413E-2</v>
      </c>
      <c r="G116" s="2"/>
      <c r="H116" s="2">
        <v>74144.740000000005</v>
      </c>
      <c r="I116" s="2"/>
      <c r="J116" s="19">
        <f t="shared" si="29"/>
        <v>0.18793786736348447</v>
      </c>
      <c r="K116" s="2"/>
      <c r="L116" s="2">
        <f t="shared" si="30"/>
        <v>-59416.290000000008</v>
      </c>
      <c r="M116" s="2"/>
      <c r="N116" s="19">
        <f t="shared" si="31"/>
        <v>-0.80135542993339792</v>
      </c>
      <c r="O116" s="10"/>
      <c r="P116" s="2">
        <v>397052.67</v>
      </c>
      <c r="Q116" s="2"/>
      <c r="R116" s="19">
        <f t="shared" si="32"/>
        <v>9.3052075676230708E-2</v>
      </c>
      <c r="S116" s="2"/>
      <c r="T116" s="2">
        <v>598700.11</v>
      </c>
      <c r="U116" s="2"/>
      <c r="V116" s="19">
        <f t="shared" si="33"/>
        <v>5.4611852867347183E-2</v>
      </c>
      <c r="W116" s="2"/>
      <c r="X116" s="2">
        <f t="shared" si="34"/>
        <v>-201647.44</v>
      </c>
      <c r="Y116" s="2"/>
      <c r="Z116" s="19">
        <f t="shared" si="35"/>
        <v>-0.3368087572257169</v>
      </c>
    </row>
    <row r="117" spans="1:26" s="23" customFormat="1" hidden="1" outlineLevel="1" x14ac:dyDescent="0.25">
      <c r="A117" s="44"/>
      <c r="B117" s="10" t="str">
        <f>CONCATENATE("          ", "5003", " - ", "PURCHASES @ COST-RENTAL TEXT")</f>
        <v xml:space="preserve">          5003 - PURCHASES @ COST-RENTAL TEXT</v>
      </c>
      <c r="C117" s="10"/>
      <c r="D117" s="2"/>
      <c r="E117" s="2"/>
      <c r="F117" s="19">
        <f t="shared" si="28"/>
        <v>0</v>
      </c>
      <c r="G117" s="2"/>
      <c r="H117" s="2"/>
      <c r="I117" s="2"/>
      <c r="J117" s="19">
        <f t="shared" si="29"/>
        <v>0</v>
      </c>
      <c r="K117" s="2"/>
      <c r="L117" s="2">
        <f t="shared" si="30"/>
        <v>0</v>
      </c>
      <c r="M117" s="2"/>
      <c r="N117" s="19">
        <f t="shared" si="31"/>
        <v>0</v>
      </c>
      <c r="O117" s="10"/>
      <c r="P117" s="2">
        <v>32.520000000000003</v>
      </c>
      <c r="Q117" s="2"/>
      <c r="R117" s="19">
        <f t="shared" si="32"/>
        <v>7.621289893330834E-6</v>
      </c>
      <c r="S117" s="2"/>
      <c r="T117" s="2">
        <v>-78.400000000000006</v>
      </c>
      <c r="U117" s="2"/>
      <c r="V117" s="19">
        <f t="shared" si="33"/>
        <v>-7.1514422551217164E-6</v>
      </c>
      <c r="W117" s="2"/>
      <c r="X117" s="2">
        <f t="shared" si="34"/>
        <v>110.92000000000002</v>
      </c>
      <c r="Y117" s="2"/>
      <c r="Z117" s="19">
        <f t="shared" si="35"/>
        <v>-1.4147959183673471</v>
      </c>
    </row>
    <row r="118" spans="1:26" s="23" customFormat="1" hidden="1" outlineLevel="1" x14ac:dyDescent="0.25">
      <c r="A118" s="44"/>
      <c r="B118" s="10" t="str">
        <f>CONCATENATE("          ", "5004", " - ", "PURCHASES @ COST-DIGITAL TEXT")</f>
        <v xml:space="preserve">          5004 - PURCHASES @ COST-DIGITAL TEXT</v>
      </c>
      <c r="C118" s="10"/>
      <c r="D118" s="2">
        <v>-13446.08</v>
      </c>
      <c r="E118" s="2"/>
      <c r="F118" s="19">
        <f t="shared" si="28"/>
        <v>-7.3078420189394033E-2</v>
      </c>
      <c r="G118" s="2"/>
      <c r="H118" s="2">
        <v>-96834.95</v>
      </c>
      <c r="I118" s="2"/>
      <c r="J118" s="19">
        <f t="shared" si="29"/>
        <v>-0.24545172036815627</v>
      </c>
      <c r="K118" s="2"/>
      <c r="L118" s="2">
        <f t="shared" si="30"/>
        <v>83388.87</v>
      </c>
      <c r="M118" s="2"/>
      <c r="N118" s="19">
        <f t="shared" si="31"/>
        <v>-0.8611443492251506</v>
      </c>
      <c r="O118" s="10"/>
      <c r="P118" s="2">
        <v>206562.5</v>
      </c>
      <c r="Q118" s="2"/>
      <c r="R118" s="19">
        <f t="shared" si="32"/>
        <v>4.8409369421622085E-2</v>
      </c>
      <c r="S118" s="2"/>
      <c r="T118" s="2">
        <v>438322.88</v>
      </c>
      <c r="U118" s="2"/>
      <c r="V118" s="19">
        <f t="shared" si="33"/>
        <v>3.9982662824217412E-2</v>
      </c>
      <c r="W118" s="2"/>
      <c r="X118" s="2">
        <f t="shared" si="34"/>
        <v>-231760.38</v>
      </c>
      <c r="Y118" s="2"/>
      <c r="Z118" s="19">
        <f t="shared" si="35"/>
        <v>-0.52874351437004607</v>
      </c>
    </row>
    <row r="119" spans="1:26" s="23" customFormat="1" hidden="1" outlineLevel="1" x14ac:dyDescent="0.25">
      <c r="A119" s="44"/>
      <c r="B119" s="10" t="str">
        <f>CONCATENATE("          ", "5011", " - ", "PURCHASES @ COST-NO VALUE TEXT")</f>
        <v xml:space="preserve">          5011 - PURCHASES @ COST-NO VALUE TEXT</v>
      </c>
      <c r="C119" s="10"/>
      <c r="D119" s="2"/>
      <c r="E119" s="2"/>
      <c r="F119" s="19">
        <f t="shared" si="28"/>
        <v>0</v>
      </c>
      <c r="G119" s="2"/>
      <c r="H119" s="2">
        <v>588</v>
      </c>
      <c r="I119" s="2"/>
      <c r="J119" s="19">
        <f t="shared" si="29"/>
        <v>1.4904289368298934E-3</v>
      </c>
      <c r="K119" s="2"/>
      <c r="L119" s="2">
        <f t="shared" si="30"/>
        <v>-588</v>
      </c>
      <c r="M119" s="2"/>
      <c r="N119" s="19">
        <f t="shared" si="31"/>
        <v>-1</v>
      </c>
      <c r="O119" s="10"/>
      <c r="P119" s="2">
        <v>67.17</v>
      </c>
      <c r="Q119" s="2"/>
      <c r="R119" s="19">
        <f t="shared" si="32"/>
        <v>1.5741760213254371E-5</v>
      </c>
      <c r="S119" s="2"/>
      <c r="T119" s="2">
        <v>6321</v>
      </c>
      <c r="U119" s="2"/>
      <c r="V119" s="19">
        <f t="shared" si="33"/>
        <v>5.7658503181918835E-4</v>
      </c>
      <c r="W119" s="2"/>
      <c r="X119" s="2">
        <f t="shared" si="34"/>
        <v>-6253.83</v>
      </c>
      <c r="Y119" s="2"/>
      <c r="Z119" s="19">
        <f t="shared" si="35"/>
        <v>-0.98937351684859987</v>
      </c>
    </row>
    <row r="120" spans="1:26" s="23" customFormat="1" hidden="1" outlineLevel="1" x14ac:dyDescent="0.25">
      <c r="A120" s="44"/>
      <c r="B120" s="10" t="str">
        <f>CONCATENATE("          ", "5013", " - ", "PURCHASES @ COST-TRADE BOOKS")</f>
        <v xml:space="preserve">          5013 - PURCHASES @ COST-TRADE BOOKS</v>
      </c>
      <c r="C120" s="10"/>
      <c r="D120" s="2">
        <v>2907.93</v>
      </c>
      <c r="E120" s="2"/>
      <c r="F120" s="19">
        <f t="shared" si="28"/>
        <v>1.5804377961557908E-2</v>
      </c>
      <c r="G120" s="2"/>
      <c r="H120" s="2">
        <v>3297.82</v>
      </c>
      <c r="I120" s="2"/>
      <c r="J120" s="19">
        <f t="shared" si="29"/>
        <v>8.3591264565584349E-3</v>
      </c>
      <c r="K120" s="2"/>
      <c r="L120" s="2">
        <f t="shared" si="30"/>
        <v>-389.89000000000033</v>
      </c>
      <c r="M120" s="2"/>
      <c r="N120" s="19">
        <f t="shared" si="31"/>
        <v>-0.11822658604775285</v>
      </c>
      <c r="O120" s="10"/>
      <c r="P120" s="2">
        <v>8870.02</v>
      </c>
      <c r="Q120" s="2"/>
      <c r="R120" s="19">
        <f t="shared" si="32"/>
        <v>2.0787513462374651E-3</v>
      </c>
      <c r="S120" s="2"/>
      <c r="T120" s="2">
        <v>6348.54</v>
      </c>
      <c r="U120" s="2"/>
      <c r="V120" s="19">
        <f t="shared" si="33"/>
        <v>5.7909715834605121E-4</v>
      </c>
      <c r="W120" s="2"/>
      <c r="X120" s="2">
        <f t="shared" si="34"/>
        <v>2521.4800000000005</v>
      </c>
      <c r="Y120" s="2"/>
      <c r="Z120" s="19">
        <f t="shared" si="35"/>
        <v>0.39717478349352775</v>
      </c>
    </row>
    <row r="121" spans="1:26" s="23" customFormat="1" hidden="1" outlineLevel="1" x14ac:dyDescent="0.25">
      <c r="A121" s="44"/>
      <c r="B121" s="10" t="str">
        <f>CONCATENATE("          ", "5014", " - ", "PURCHASES @ COST-REMAINDERS")</f>
        <v xml:space="preserve">          5014 - PURCHASES @ COST-REMAINDERS</v>
      </c>
      <c r="C121" s="10"/>
      <c r="D121" s="2"/>
      <c r="E121" s="2"/>
      <c r="F121" s="19">
        <f t="shared" si="28"/>
        <v>0</v>
      </c>
      <c r="G121" s="2"/>
      <c r="H121" s="2">
        <v>13.9</v>
      </c>
      <c r="I121" s="2"/>
      <c r="J121" s="19">
        <f t="shared" si="29"/>
        <v>3.5232928948869932E-5</v>
      </c>
      <c r="K121" s="2"/>
      <c r="L121" s="2">
        <f t="shared" si="30"/>
        <v>-13.9</v>
      </c>
      <c r="M121" s="2"/>
      <c r="N121" s="19">
        <f t="shared" si="31"/>
        <v>-1</v>
      </c>
      <c r="O121" s="10"/>
      <c r="P121" s="2">
        <v>111.57</v>
      </c>
      <c r="Q121" s="2"/>
      <c r="R121" s="19">
        <f t="shared" si="32"/>
        <v>2.6147211359130412E-5</v>
      </c>
      <c r="S121" s="2"/>
      <c r="T121" s="2">
        <v>615.07000000000005</v>
      </c>
      <c r="U121" s="2"/>
      <c r="V121" s="19">
        <f t="shared" si="33"/>
        <v>5.6105071273695332E-5</v>
      </c>
      <c r="W121" s="2"/>
      <c r="X121" s="2">
        <f t="shared" si="34"/>
        <v>-503.50000000000006</v>
      </c>
      <c r="Y121" s="2"/>
      <c r="Z121" s="19">
        <f t="shared" si="35"/>
        <v>-0.81860601232380059</v>
      </c>
    </row>
    <row r="122" spans="1:26" s="23" customFormat="1" hidden="1" outlineLevel="1" x14ac:dyDescent="0.25">
      <c r="A122" s="44"/>
      <c r="B122" s="10" t="str">
        <f>CONCATENATE("          ", "5017", " - ", "PURCHASES @ COST-DORM/HOUSEWAR")</f>
        <v xml:space="preserve">          5017 - PURCHASES @ COST-DORM/HOUSEWAR</v>
      </c>
      <c r="C122" s="10"/>
      <c r="D122" s="2"/>
      <c r="E122" s="2"/>
      <c r="F122" s="19">
        <f t="shared" si="28"/>
        <v>0</v>
      </c>
      <c r="G122" s="2"/>
      <c r="H122" s="2">
        <v>14.46</v>
      </c>
      <c r="I122" s="2"/>
      <c r="J122" s="19">
        <f t="shared" si="29"/>
        <v>3.6652385079184117E-5</v>
      </c>
      <c r="K122" s="2"/>
      <c r="L122" s="2">
        <f t="shared" si="30"/>
        <v>-14.46</v>
      </c>
      <c r="M122" s="2"/>
      <c r="N122" s="19">
        <f t="shared" si="31"/>
        <v>-1</v>
      </c>
      <c r="O122" s="10"/>
      <c r="P122" s="2"/>
      <c r="Q122" s="2"/>
      <c r="R122" s="19">
        <f t="shared" si="32"/>
        <v>0</v>
      </c>
      <c r="S122" s="2"/>
      <c r="T122" s="2">
        <v>14.46</v>
      </c>
      <c r="U122" s="2"/>
      <c r="V122" s="19">
        <f t="shared" si="33"/>
        <v>1.3190032526665818E-6</v>
      </c>
      <c r="W122" s="2"/>
      <c r="X122" s="2">
        <f t="shared" si="34"/>
        <v>-14.46</v>
      </c>
      <c r="Y122" s="2"/>
      <c r="Z122" s="19">
        <f t="shared" si="35"/>
        <v>-1</v>
      </c>
    </row>
    <row r="123" spans="1:26" s="23" customFormat="1" hidden="1" outlineLevel="1" x14ac:dyDescent="0.25">
      <c r="A123" s="44"/>
      <c r="B123" s="10" t="str">
        <f>CONCATENATE("          ", "5018", " - ", "PURCHASES @ COST-STUDY GUIDES")</f>
        <v xml:space="preserve">          5018 - PURCHASES @ COST-STUDY GUIDES</v>
      </c>
      <c r="C123" s="10"/>
      <c r="D123" s="2">
        <v>444.87</v>
      </c>
      <c r="E123" s="2"/>
      <c r="F123" s="19">
        <f t="shared" si="28"/>
        <v>2.4178345502671203E-3</v>
      </c>
      <c r="G123" s="2"/>
      <c r="H123" s="2">
        <v>108.9</v>
      </c>
      <c r="I123" s="2"/>
      <c r="J123" s="19">
        <f t="shared" si="29"/>
        <v>2.7603352248431191E-4</v>
      </c>
      <c r="K123" s="2"/>
      <c r="L123" s="2">
        <f t="shared" si="30"/>
        <v>335.97</v>
      </c>
      <c r="M123" s="2"/>
      <c r="N123" s="19">
        <f t="shared" si="31"/>
        <v>3.0851239669421489</v>
      </c>
      <c r="O123" s="10"/>
      <c r="P123" s="2">
        <v>967.21</v>
      </c>
      <c r="Q123" s="2"/>
      <c r="R123" s="19">
        <f t="shared" si="32"/>
        <v>2.266724415045669E-4</v>
      </c>
      <c r="S123" s="2"/>
      <c r="T123" s="2">
        <v>2377.33</v>
      </c>
      <c r="U123" s="2"/>
      <c r="V123" s="19">
        <f t="shared" si="33"/>
        <v>2.1685380378021055E-4</v>
      </c>
      <c r="W123" s="2"/>
      <c r="X123" s="2">
        <f t="shared" si="34"/>
        <v>-1410.12</v>
      </c>
      <c r="Y123" s="2"/>
      <c r="Z123" s="19">
        <f t="shared" si="35"/>
        <v>-0.59315282270446257</v>
      </c>
    </row>
    <row r="124" spans="1:26" s="23" customFormat="1" hidden="1" outlineLevel="1" x14ac:dyDescent="0.25">
      <c r="A124" s="44"/>
      <c r="B124" s="10" t="str">
        <f>CONCATENATE("          ", "5025", " - ", "PURCHASES @ COST-TEST FORMS")</f>
        <v xml:space="preserve">          5025 - PURCHASES @ COST-TEST FORMS</v>
      </c>
      <c r="C124" s="10"/>
      <c r="D124" s="2"/>
      <c r="E124" s="2"/>
      <c r="F124" s="19">
        <f t="shared" si="28"/>
        <v>0</v>
      </c>
      <c r="G124" s="2"/>
      <c r="H124" s="2">
        <v>-1</v>
      </c>
      <c r="I124" s="2"/>
      <c r="J124" s="19">
        <f t="shared" si="29"/>
        <v>-2.5347430898467576E-6</v>
      </c>
      <c r="K124" s="2"/>
      <c r="L124" s="2">
        <f t="shared" si="30"/>
        <v>1</v>
      </c>
      <c r="M124" s="2"/>
      <c r="N124" s="19">
        <f t="shared" si="31"/>
        <v>-1</v>
      </c>
      <c r="O124" s="10"/>
      <c r="P124" s="2">
        <v>599.29</v>
      </c>
      <c r="Q124" s="2"/>
      <c r="R124" s="19">
        <f t="shared" si="32"/>
        <v>1.404478111984697E-4</v>
      </c>
      <c r="S124" s="2"/>
      <c r="T124" s="2">
        <v>26400.39</v>
      </c>
      <c r="U124" s="2"/>
      <c r="V124" s="19">
        <f t="shared" si="33"/>
        <v>2.4081742933379181E-3</v>
      </c>
      <c r="W124" s="2"/>
      <c r="X124" s="2">
        <f t="shared" si="34"/>
        <v>-25801.1</v>
      </c>
      <c r="Y124" s="2"/>
      <c r="Z124" s="19">
        <f t="shared" si="35"/>
        <v>-0.97729995655367208</v>
      </c>
    </row>
    <row r="125" spans="1:26" s="23" customFormat="1" hidden="1" outlineLevel="1" x14ac:dyDescent="0.25">
      <c r="A125" s="44"/>
      <c r="B125" s="10" t="str">
        <f>CONCATENATE("          ", "5026", " - ", "PURCHASES @ COST-WRITING INSTR")</f>
        <v xml:space="preserve">          5026 - PURCHASES @ COST-WRITING INSTR</v>
      </c>
      <c r="C125" s="10"/>
      <c r="D125" s="2">
        <v>209.64</v>
      </c>
      <c r="E125" s="2"/>
      <c r="F125" s="19">
        <f t="shared" si="28"/>
        <v>1.139377425130935E-3</v>
      </c>
      <c r="G125" s="2"/>
      <c r="H125" s="2">
        <v>3209.26</v>
      </c>
      <c r="I125" s="2"/>
      <c r="J125" s="19">
        <f t="shared" si="29"/>
        <v>8.1346496085216054E-3</v>
      </c>
      <c r="K125" s="2"/>
      <c r="L125" s="2">
        <f t="shared" si="30"/>
        <v>-2999.6200000000003</v>
      </c>
      <c r="M125" s="2"/>
      <c r="N125" s="19">
        <f t="shared" si="31"/>
        <v>-0.93467652979191473</v>
      </c>
      <c r="O125" s="10"/>
      <c r="P125" s="2">
        <v>584.54999999999995</v>
      </c>
      <c r="Q125" s="2"/>
      <c r="R125" s="19">
        <f t="shared" si="32"/>
        <v>1.3699338890364509E-4</v>
      </c>
      <c r="S125" s="2"/>
      <c r="T125" s="2">
        <v>48971.27</v>
      </c>
      <c r="U125" s="2"/>
      <c r="V125" s="19">
        <f t="shared" si="33"/>
        <v>4.4670307342471226E-3</v>
      </c>
      <c r="W125" s="2"/>
      <c r="X125" s="2">
        <f t="shared" si="34"/>
        <v>-48386.719999999994</v>
      </c>
      <c r="Y125" s="2"/>
      <c r="Z125" s="19">
        <f t="shared" si="35"/>
        <v>-0.98806340942352522</v>
      </c>
    </row>
    <row r="126" spans="1:26" s="23" customFormat="1" hidden="1" outlineLevel="1" x14ac:dyDescent="0.25">
      <c r="A126" s="44"/>
      <c r="B126" s="10" t="str">
        <f>CONCATENATE("          ", "5027", " - ", "PURCHASES @ COST-SCHOOL SUPPLI")</f>
        <v xml:space="preserve">          5027 - PURCHASES @ COST-SCHOOL SUPPLI</v>
      </c>
      <c r="C126" s="10"/>
      <c r="D126" s="2">
        <v>2824.53</v>
      </c>
      <c r="E126" s="2"/>
      <c r="F126" s="19">
        <f t="shared" si="28"/>
        <v>1.5351105316757681E-2</v>
      </c>
      <c r="G126" s="2"/>
      <c r="H126" s="2">
        <v>19253.84</v>
      </c>
      <c r="I126" s="2"/>
      <c r="J126" s="19">
        <f t="shared" si="29"/>
        <v>4.8803537893015093E-2</v>
      </c>
      <c r="K126" s="2"/>
      <c r="L126" s="2">
        <f t="shared" si="30"/>
        <v>-16429.310000000001</v>
      </c>
      <c r="M126" s="2"/>
      <c r="N126" s="19">
        <f t="shared" si="31"/>
        <v>-0.85330043253709398</v>
      </c>
      <c r="O126" s="10"/>
      <c r="P126" s="2">
        <v>21895.88</v>
      </c>
      <c r="Q126" s="2"/>
      <c r="R126" s="19">
        <f t="shared" si="32"/>
        <v>5.1314529197289283E-3</v>
      </c>
      <c r="S126" s="2"/>
      <c r="T126" s="2">
        <v>137605.04</v>
      </c>
      <c r="U126" s="2"/>
      <c r="V126" s="19">
        <f t="shared" si="33"/>
        <v>1.2551970632317781E-2</v>
      </c>
      <c r="W126" s="2"/>
      <c r="X126" s="2">
        <f t="shared" si="34"/>
        <v>-115709.16</v>
      </c>
      <c r="Y126" s="2"/>
      <c r="Z126" s="19">
        <f t="shared" si="35"/>
        <v>-0.84087879339303262</v>
      </c>
    </row>
    <row r="127" spans="1:26" s="23" customFormat="1" hidden="1" outlineLevel="1" x14ac:dyDescent="0.25">
      <c r="A127" s="44"/>
      <c r="B127" s="10" t="str">
        <f>CONCATENATE("          ", "5028", " - ", "PURCHASES @ COST-ART/TECH")</f>
        <v xml:space="preserve">          5028 - PURCHASES @ COST-ART/TECH</v>
      </c>
      <c r="C127" s="10"/>
      <c r="D127" s="2">
        <v>3443.78</v>
      </c>
      <c r="E127" s="2"/>
      <c r="F127" s="19">
        <f t="shared" si="28"/>
        <v>1.8716681879018374E-2</v>
      </c>
      <c r="G127" s="2"/>
      <c r="H127" s="2">
        <v>4417.37</v>
      </c>
      <c r="I127" s="2"/>
      <c r="J127" s="19">
        <f t="shared" si="29"/>
        <v>1.1196898082796371E-2</v>
      </c>
      <c r="K127" s="2"/>
      <c r="L127" s="2">
        <f t="shared" si="30"/>
        <v>-973.58999999999969</v>
      </c>
      <c r="M127" s="2"/>
      <c r="N127" s="19">
        <f t="shared" si="31"/>
        <v>-0.22040037397818152</v>
      </c>
      <c r="O127" s="10"/>
      <c r="P127" s="2">
        <v>45635.360000000001</v>
      </c>
      <c r="Q127" s="2"/>
      <c r="R127" s="19">
        <f t="shared" si="32"/>
        <v>1.0694966419019502E-2</v>
      </c>
      <c r="S127" s="2"/>
      <c r="T127" s="2">
        <v>151070.15</v>
      </c>
      <c r="U127" s="2"/>
      <c r="V127" s="19">
        <f t="shared" si="33"/>
        <v>1.378022263007112E-2</v>
      </c>
      <c r="W127" s="2"/>
      <c r="X127" s="2">
        <f t="shared" si="34"/>
        <v>-105434.79</v>
      </c>
      <c r="Y127" s="2"/>
      <c r="Z127" s="19">
        <f t="shared" si="35"/>
        <v>-0.69791941028720761</v>
      </c>
    </row>
    <row r="128" spans="1:26" s="23" customFormat="1" hidden="1" outlineLevel="1" x14ac:dyDescent="0.25">
      <c r="A128" s="44"/>
      <c r="B128" s="10" t="str">
        <f>CONCATENATE("          ", "5031", " - ", "PURCHASES @ COST-FOOD")</f>
        <v xml:space="preserve">          5031 - PURCHASES @ COST-FOOD</v>
      </c>
      <c r="C128" s="10"/>
      <c r="D128" s="2"/>
      <c r="E128" s="2"/>
      <c r="F128" s="19">
        <f t="shared" si="28"/>
        <v>0</v>
      </c>
      <c r="G128" s="2"/>
      <c r="H128" s="2">
        <v>3113.82</v>
      </c>
      <c r="I128" s="2"/>
      <c r="J128" s="19">
        <f t="shared" si="29"/>
        <v>7.892733728026631E-3</v>
      </c>
      <c r="K128" s="2"/>
      <c r="L128" s="2">
        <f t="shared" si="30"/>
        <v>-3113.82</v>
      </c>
      <c r="M128" s="2"/>
      <c r="N128" s="19">
        <f t="shared" si="31"/>
        <v>-1</v>
      </c>
      <c r="O128" s="10"/>
      <c r="P128" s="2">
        <v>7785.72</v>
      </c>
      <c r="Q128" s="2"/>
      <c r="R128" s="19">
        <f t="shared" si="32"/>
        <v>1.8246380426907669E-3</v>
      </c>
      <c r="S128" s="2"/>
      <c r="T128" s="2">
        <v>33239.879999999997</v>
      </c>
      <c r="U128" s="2"/>
      <c r="V128" s="19">
        <f t="shared" si="33"/>
        <v>3.0320546222853979E-3</v>
      </c>
      <c r="W128" s="2"/>
      <c r="X128" s="2">
        <f t="shared" si="34"/>
        <v>-25454.159999999996</v>
      </c>
      <c r="Y128" s="2"/>
      <c r="Z128" s="19">
        <f t="shared" si="35"/>
        <v>-0.76577171758742801</v>
      </c>
    </row>
    <row r="129" spans="1:26" s="23" customFormat="1" hidden="1" outlineLevel="1" x14ac:dyDescent="0.25">
      <c r="A129" s="44"/>
      <c r="B129" s="10" t="str">
        <f>CONCATENATE("          ", "5032", " - ", "PURCHASES @ COST-JUICE")</f>
        <v xml:space="preserve">          5032 - PURCHASES @ COST-JUICE</v>
      </c>
      <c r="C129" s="10"/>
      <c r="D129" s="2"/>
      <c r="E129" s="2"/>
      <c r="F129" s="19">
        <f t="shared" si="28"/>
        <v>0</v>
      </c>
      <c r="G129" s="2"/>
      <c r="H129" s="2">
        <v>688.97</v>
      </c>
      <c r="I129" s="2"/>
      <c r="J129" s="19">
        <f t="shared" si="29"/>
        <v>1.7463619466117205E-3</v>
      </c>
      <c r="K129" s="2"/>
      <c r="L129" s="2">
        <f t="shared" si="30"/>
        <v>-688.97</v>
      </c>
      <c r="M129" s="2"/>
      <c r="N129" s="19">
        <f t="shared" si="31"/>
        <v>-1</v>
      </c>
      <c r="O129" s="10"/>
      <c r="P129" s="2"/>
      <c r="Q129" s="2"/>
      <c r="R129" s="19">
        <f t="shared" si="32"/>
        <v>0</v>
      </c>
      <c r="S129" s="2"/>
      <c r="T129" s="2">
        <v>7802.45</v>
      </c>
      <c r="U129" s="2"/>
      <c r="V129" s="19">
        <f t="shared" si="33"/>
        <v>7.1171901305452077E-4</v>
      </c>
      <c r="W129" s="2"/>
      <c r="X129" s="2">
        <f t="shared" si="34"/>
        <v>-7802.45</v>
      </c>
      <c r="Y129" s="2"/>
      <c r="Z129" s="19">
        <f t="shared" si="35"/>
        <v>-1</v>
      </c>
    </row>
    <row r="130" spans="1:26" s="23" customFormat="1" hidden="1" outlineLevel="1" x14ac:dyDescent="0.25">
      <c r="A130" s="44"/>
      <c r="B130" s="10" t="str">
        <f>CONCATENATE("          ", "5033", " - ", "PURCHASES @ COST-CANDY")</f>
        <v xml:space="preserve">          5033 - PURCHASES @ COST-CANDY</v>
      </c>
      <c r="C130" s="10"/>
      <c r="D130" s="2"/>
      <c r="E130" s="2"/>
      <c r="F130" s="19">
        <f t="shared" si="28"/>
        <v>0</v>
      </c>
      <c r="G130" s="2"/>
      <c r="H130" s="2">
        <v>1198.55</v>
      </c>
      <c r="I130" s="2"/>
      <c r="J130" s="19">
        <f t="shared" si="29"/>
        <v>3.0380163303358309E-3</v>
      </c>
      <c r="K130" s="2"/>
      <c r="L130" s="2">
        <f t="shared" si="30"/>
        <v>-1198.55</v>
      </c>
      <c r="M130" s="2"/>
      <c r="N130" s="19">
        <f t="shared" si="31"/>
        <v>-1</v>
      </c>
      <c r="O130" s="10"/>
      <c r="P130" s="2"/>
      <c r="Q130" s="2"/>
      <c r="R130" s="19">
        <f t="shared" si="32"/>
        <v>0</v>
      </c>
      <c r="S130" s="2"/>
      <c r="T130" s="2">
        <v>10023.61</v>
      </c>
      <c r="U130" s="2"/>
      <c r="V130" s="19">
        <f t="shared" si="33"/>
        <v>9.1432739927118094E-4</v>
      </c>
      <c r="W130" s="2"/>
      <c r="X130" s="2">
        <f t="shared" si="34"/>
        <v>-10023.61</v>
      </c>
      <c r="Y130" s="2"/>
      <c r="Z130" s="19">
        <f t="shared" si="35"/>
        <v>-1</v>
      </c>
    </row>
    <row r="131" spans="1:26" s="23" customFormat="1" hidden="1" outlineLevel="1" x14ac:dyDescent="0.25">
      <c r="A131" s="44"/>
      <c r="B131" s="10" t="str">
        <f>CONCATENATE("          ", "5034", " - ", "PURCHASES @ COST-SODA")</f>
        <v xml:space="preserve">          5034 - PURCHASES @ COST-SODA</v>
      </c>
      <c r="C131" s="10"/>
      <c r="D131" s="2"/>
      <c r="E131" s="2"/>
      <c r="F131" s="19">
        <f t="shared" si="28"/>
        <v>0</v>
      </c>
      <c r="G131" s="2"/>
      <c r="H131" s="2">
        <v>271.79000000000002</v>
      </c>
      <c r="I131" s="2"/>
      <c r="J131" s="19">
        <f t="shared" si="29"/>
        <v>6.889178243894503E-4</v>
      </c>
      <c r="K131" s="2"/>
      <c r="L131" s="2">
        <f t="shared" si="30"/>
        <v>-271.79000000000002</v>
      </c>
      <c r="M131" s="2"/>
      <c r="N131" s="19">
        <f t="shared" si="31"/>
        <v>-1</v>
      </c>
      <c r="O131" s="10"/>
      <c r="P131" s="2"/>
      <c r="Q131" s="2"/>
      <c r="R131" s="19">
        <f t="shared" si="32"/>
        <v>0</v>
      </c>
      <c r="S131" s="2"/>
      <c r="T131" s="2">
        <v>4033.88</v>
      </c>
      <c r="U131" s="2"/>
      <c r="V131" s="19">
        <f t="shared" si="33"/>
        <v>3.679599475011529E-4</v>
      </c>
      <c r="W131" s="2"/>
      <c r="X131" s="2">
        <f t="shared" si="34"/>
        <v>-4033.88</v>
      </c>
      <c r="Y131" s="2"/>
      <c r="Z131" s="19">
        <f t="shared" si="35"/>
        <v>-1</v>
      </c>
    </row>
    <row r="132" spans="1:26" s="23" customFormat="1" hidden="1" outlineLevel="1" x14ac:dyDescent="0.25">
      <c r="A132" s="44"/>
      <c r="B132" s="10" t="str">
        <f>CONCATENATE("          ", "5035", " - ", "PURCHASES @ COST-HEALTH &amp; BEAU")</f>
        <v xml:space="preserve">          5035 - PURCHASES @ COST-HEALTH &amp; BEAU</v>
      </c>
      <c r="C132" s="10"/>
      <c r="D132" s="2"/>
      <c r="E132" s="2"/>
      <c r="F132" s="19">
        <f t="shared" si="28"/>
        <v>0</v>
      </c>
      <c r="G132" s="2"/>
      <c r="H132" s="2">
        <v>61.98</v>
      </c>
      <c r="I132" s="2"/>
      <c r="J132" s="19">
        <f t="shared" si="29"/>
        <v>1.5710337670870201E-4</v>
      </c>
      <c r="K132" s="2"/>
      <c r="L132" s="2">
        <f t="shared" si="30"/>
        <v>-61.98</v>
      </c>
      <c r="M132" s="2"/>
      <c r="N132" s="19">
        <f t="shared" si="31"/>
        <v>-1</v>
      </c>
      <c r="O132" s="10"/>
      <c r="P132" s="2"/>
      <c r="Q132" s="2"/>
      <c r="R132" s="19">
        <f t="shared" si="32"/>
        <v>0</v>
      </c>
      <c r="S132" s="2"/>
      <c r="T132" s="2">
        <v>1117.6500000000001</v>
      </c>
      <c r="U132" s="2"/>
      <c r="V132" s="19">
        <f t="shared" si="33"/>
        <v>1.0194909995455084E-4</v>
      </c>
      <c r="W132" s="2"/>
      <c r="X132" s="2">
        <f t="shared" si="34"/>
        <v>-1117.6500000000001</v>
      </c>
      <c r="Y132" s="2"/>
      <c r="Z132" s="19">
        <f t="shared" si="35"/>
        <v>-1</v>
      </c>
    </row>
    <row r="133" spans="1:26" s="23" customFormat="1" hidden="1" outlineLevel="1" x14ac:dyDescent="0.25">
      <c r="A133" s="44"/>
      <c r="B133" s="10" t="str">
        <f>CONCATENATE("          ", "5037", " - ", "PURCHASES @ COST-WATER")</f>
        <v xml:space="preserve">          5037 - PURCHASES @ COST-WATER</v>
      </c>
      <c r="C133" s="10"/>
      <c r="D133" s="2"/>
      <c r="E133" s="2"/>
      <c r="F133" s="19">
        <f t="shared" si="28"/>
        <v>0</v>
      </c>
      <c r="G133" s="2"/>
      <c r="H133" s="2">
        <v>393.84</v>
      </c>
      <c r="I133" s="2"/>
      <c r="J133" s="19">
        <f t="shared" si="29"/>
        <v>9.9828321850524687E-4</v>
      </c>
      <c r="K133" s="2"/>
      <c r="L133" s="2">
        <f t="shared" si="30"/>
        <v>-393.84</v>
      </c>
      <c r="M133" s="2"/>
      <c r="N133" s="19">
        <f t="shared" si="31"/>
        <v>-1</v>
      </c>
      <c r="O133" s="10"/>
      <c r="P133" s="2"/>
      <c r="Q133" s="2"/>
      <c r="R133" s="19">
        <f t="shared" si="32"/>
        <v>0</v>
      </c>
      <c r="S133" s="2"/>
      <c r="T133" s="2">
        <v>5693.57</v>
      </c>
      <c r="U133" s="2"/>
      <c r="V133" s="19">
        <f t="shared" si="33"/>
        <v>5.1935251378180285E-4</v>
      </c>
      <c r="W133" s="2"/>
      <c r="X133" s="2">
        <f t="shared" si="34"/>
        <v>-5693.57</v>
      </c>
      <c r="Y133" s="2"/>
      <c r="Z133" s="19">
        <f t="shared" si="35"/>
        <v>-1</v>
      </c>
    </row>
    <row r="134" spans="1:26" s="23" customFormat="1" hidden="1" outlineLevel="1" x14ac:dyDescent="0.25">
      <c r="A134" s="44"/>
      <c r="B134" s="10" t="str">
        <f>CONCATENATE("          ", "5040", " - ", "PURCHASES @ COST-LOGO CLOTHING")</f>
        <v xml:space="preserve">          5040 - PURCHASES @ COST-LOGO CLOTHING</v>
      </c>
      <c r="C134" s="10"/>
      <c r="D134" s="2">
        <v>45900.51</v>
      </c>
      <c r="E134" s="2"/>
      <c r="F134" s="19">
        <f t="shared" si="28"/>
        <v>0.24946577416522009</v>
      </c>
      <c r="G134" s="2"/>
      <c r="H134" s="2">
        <v>65352.98</v>
      </c>
      <c r="I134" s="2"/>
      <c r="J134" s="19">
        <f t="shared" si="29"/>
        <v>0.16565301445589337</v>
      </c>
      <c r="K134" s="2"/>
      <c r="L134" s="2">
        <f t="shared" si="30"/>
        <v>-19452.47</v>
      </c>
      <c r="M134" s="2"/>
      <c r="N134" s="19">
        <f t="shared" si="31"/>
        <v>-0.29765237943242984</v>
      </c>
      <c r="O134" s="10"/>
      <c r="P134" s="2">
        <v>239871.6</v>
      </c>
      <c r="Q134" s="2"/>
      <c r="R134" s="19">
        <f t="shared" si="32"/>
        <v>5.6215590429800011E-2</v>
      </c>
      <c r="S134" s="2"/>
      <c r="T134" s="2">
        <v>966898.54</v>
      </c>
      <c r="U134" s="2"/>
      <c r="V134" s="19">
        <f t="shared" si="33"/>
        <v>8.8197947389942535E-2</v>
      </c>
      <c r="W134" s="2"/>
      <c r="X134" s="2">
        <f t="shared" si="34"/>
        <v>-727026.94000000006</v>
      </c>
      <c r="Y134" s="2"/>
      <c r="Z134" s="19">
        <f t="shared" si="35"/>
        <v>-0.75191647305621134</v>
      </c>
    </row>
    <row r="135" spans="1:26" s="23" customFormat="1" hidden="1" outlineLevel="1" x14ac:dyDescent="0.25">
      <c r="A135" s="44"/>
      <c r="B135" s="10" t="str">
        <f>CONCATENATE("          ", "5041", " - ", "PURCHASES @ COST-LOGO GIFTS")</f>
        <v xml:space="preserve">          5041 - PURCHASES @ COST-LOGO GIFTS</v>
      </c>
      <c r="C135" s="10"/>
      <c r="D135" s="2">
        <v>899.63</v>
      </c>
      <c r="E135" s="2"/>
      <c r="F135" s="19">
        <f t="shared" si="28"/>
        <v>4.8894204969020371E-3</v>
      </c>
      <c r="G135" s="2"/>
      <c r="H135" s="2">
        <v>15128.67</v>
      </c>
      <c r="I135" s="2"/>
      <c r="J135" s="19">
        <f t="shared" si="29"/>
        <v>3.8347291741071945E-2</v>
      </c>
      <c r="K135" s="2"/>
      <c r="L135" s="2">
        <f t="shared" si="30"/>
        <v>-14229.04</v>
      </c>
      <c r="M135" s="2"/>
      <c r="N135" s="19">
        <f t="shared" si="31"/>
        <v>-0.94053475949967846</v>
      </c>
      <c r="O135" s="10"/>
      <c r="P135" s="2">
        <v>68463.44</v>
      </c>
      <c r="Q135" s="2"/>
      <c r="R135" s="19">
        <f t="shared" si="32"/>
        <v>1.604488694141027E-2</v>
      </c>
      <c r="S135" s="2"/>
      <c r="T135" s="2">
        <v>149510.73000000001</v>
      </c>
      <c r="U135" s="2"/>
      <c r="V135" s="19">
        <f t="shared" si="33"/>
        <v>1.3637976430052221E-2</v>
      </c>
      <c r="W135" s="2"/>
      <c r="X135" s="2">
        <f t="shared" si="34"/>
        <v>-81047.290000000008</v>
      </c>
      <c r="Y135" s="2"/>
      <c r="Z135" s="19">
        <f t="shared" si="35"/>
        <v>-0.54208343441303508</v>
      </c>
    </row>
    <row r="136" spans="1:26" s="23" customFormat="1" hidden="1" outlineLevel="1" x14ac:dyDescent="0.25">
      <c r="A136" s="44"/>
      <c r="B136" s="10" t="str">
        <f>CONCATENATE("          ", "5042", " - ", "PURCHASES @ COST-EVERYDAY GIFT")</f>
        <v xml:space="preserve">          5042 - PURCHASES @ COST-EVERYDAY GIFT</v>
      </c>
      <c r="C136" s="10"/>
      <c r="D136" s="2">
        <v>-270</v>
      </c>
      <c r="E136" s="2"/>
      <c r="F136" s="19">
        <f t="shared" si="28"/>
        <v>-1.467429425612252E-3</v>
      </c>
      <c r="G136" s="2"/>
      <c r="H136" s="2">
        <v>15355.27</v>
      </c>
      <c r="I136" s="2"/>
      <c r="J136" s="19">
        <f t="shared" si="29"/>
        <v>3.8921664525231221E-2</v>
      </c>
      <c r="K136" s="2"/>
      <c r="L136" s="2">
        <f t="shared" si="30"/>
        <v>-15625.27</v>
      </c>
      <c r="M136" s="2"/>
      <c r="N136" s="19">
        <f t="shared" si="31"/>
        <v>-1.0175835397228443</v>
      </c>
      <c r="O136" s="10"/>
      <c r="P136" s="2">
        <v>18748.18</v>
      </c>
      <c r="Q136" s="2"/>
      <c r="R136" s="19">
        <f t="shared" si="32"/>
        <v>4.393767366308342E-3</v>
      </c>
      <c r="S136" s="2"/>
      <c r="T136" s="2">
        <v>115363.24</v>
      </c>
      <c r="U136" s="2"/>
      <c r="V136" s="19">
        <f t="shared" si="33"/>
        <v>1.0523132005404947E-2</v>
      </c>
      <c r="W136" s="2"/>
      <c r="X136" s="2">
        <f t="shared" si="34"/>
        <v>-96615.06</v>
      </c>
      <c r="Y136" s="2"/>
      <c r="Z136" s="19">
        <f t="shared" si="35"/>
        <v>-0.83748566701143268</v>
      </c>
    </row>
    <row r="137" spans="1:26" s="23" customFormat="1" hidden="1" outlineLevel="1" x14ac:dyDescent="0.25">
      <c r="A137" s="44"/>
      <c r="B137" s="10" t="str">
        <f>CONCATENATE("          ", "5043", " - ", "PURCHASES @ COST-CARDS")</f>
        <v xml:space="preserve">          5043 - PURCHASES @ COST-CARDS</v>
      </c>
      <c r="C137" s="10"/>
      <c r="D137" s="2"/>
      <c r="E137" s="2"/>
      <c r="F137" s="19">
        <f t="shared" si="28"/>
        <v>0</v>
      </c>
      <c r="G137" s="2"/>
      <c r="H137" s="2">
        <v>-4258.25</v>
      </c>
      <c r="I137" s="2"/>
      <c r="J137" s="19">
        <f t="shared" si="29"/>
        <v>-1.0793569762339954E-2</v>
      </c>
      <c r="K137" s="2"/>
      <c r="L137" s="2">
        <f t="shared" si="30"/>
        <v>4258.25</v>
      </c>
      <c r="M137" s="2"/>
      <c r="N137" s="19">
        <f t="shared" si="31"/>
        <v>-1</v>
      </c>
      <c r="O137" s="10"/>
      <c r="P137" s="2">
        <v>55364.33</v>
      </c>
      <c r="Q137" s="2"/>
      <c r="R137" s="19">
        <f t="shared" si="32"/>
        <v>1.2975018717098188E-2</v>
      </c>
      <c r="S137" s="2"/>
      <c r="T137" s="2">
        <v>24776.91</v>
      </c>
      <c r="U137" s="2"/>
      <c r="V137" s="19">
        <f t="shared" si="33"/>
        <v>2.2600847082314768E-3</v>
      </c>
      <c r="W137" s="2"/>
      <c r="X137" s="2">
        <f t="shared" si="34"/>
        <v>30587.420000000002</v>
      </c>
      <c r="Y137" s="2"/>
      <c r="Z137" s="19">
        <f t="shared" si="35"/>
        <v>1.2345131011090569</v>
      </c>
    </row>
    <row r="138" spans="1:26" s="23" customFormat="1" hidden="1" outlineLevel="1" x14ac:dyDescent="0.25">
      <c r="A138" s="44"/>
      <c r="B138" s="10" t="str">
        <f>CONCATENATE("          ", "5044", " - ", "PURCHASES @ COST-ACCESSORIES")</f>
        <v xml:space="preserve">          5044 - PURCHASES @ COST-ACCESSORIES</v>
      </c>
      <c r="C138" s="10"/>
      <c r="D138" s="2"/>
      <c r="E138" s="2"/>
      <c r="F138" s="19">
        <f t="shared" si="28"/>
        <v>0</v>
      </c>
      <c r="G138" s="2"/>
      <c r="H138" s="2">
        <v>-1305.4100000000001</v>
      </c>
      <c r="I138" s="2"/>
      <c r="J138" s="19">
        <f t="shared" si="29"/>
        <v>-3.3088789769168559E-3</v>
      </c>
      <c r="K138" s="2"/>
      <c r="L138" s="2">
        <f t="shared" si="30"/>
        <v>1305.4100000000001</v>
      </c>
      <c r="M138" s="2"/>
      <c r="N138" s="19">
        <f t="shared" si="31"/>
        <v>-1</v>
      </c>
      <c r="O138" s="10"/>
      <c r="P138" s="2">
        <v>1064.83</v>
      </c>
      <c r="Q138" s="2"/>
      <c r="R138" s="19">
        <f t="shared" si="32"/>
        <v>2.4955037260502677E-4</v>
      </c>
      <c r="S138" s="2"/>
      <c r="T138" s="2">
        <v>32094.03</v>
      </c>
      <c r="U138" s="2"/>
      <c r="V138" s="19">
        <f t="shared" si="33"/>
        <v>2.9275331923360203E-3</v>
      </c>
      <c r="W138" s="2"/>
      <c r="X138" s="2">
        <f t="shared" si="34"/>
        <v>-31029.199999999997</v>
      </c>
      <c r="Y138" s="2"/>
      <c r="Z138" s="19">
        <f t="shared" si="35"/>
        <v>-0.96682155528613878</v>
      </c>
    </row>
    <row r="139" spans="1:26" s="23" customFormat="1" hidden="1" outlineLevel="1" x14ac:dyDescent="0.25">
      <c r="A139" s="44"/>
      <c r="B139" s="10" t="str">
        <f>CONCATENATE("          ", "5045", " - ", "PURCHASES @ COST-SPECIAL ORDER")</f>
        <v xml:space="preserve">          5045 - PURCHASES @ COST-SPECIAL ORDER</v>
      </c>
      <c r="C139" s="10"/>
      <c r="D139" s="2">
        <v>13853.18</v>
      </c>
      <c r="E139" s="2"/>
      <c r="F139" s="19">
        <f t="shared" si="28"/>
        <v>7.5290977667789388E-2</v>
      </c>
      <c r="G139" s="2"/>
      <c r="H139" s="2">
        <v>6736.47</v>
      </c>
      <c r="I139" s="2"/>
      <c r="J139" s="19">
        <f t="shared" si="29"/>
        <v>1.7075220782459988E-2</v>
      </c>
      <c r="K139" s="2"/>
      <c r="L139" s="2">
        <f t="shared" si="30"/>
        <v>7116.71</v>
      </c>
      <c r="M139" s="2"/>
      <c r="N139" s="19">
        <f t="shared" si="31"/>
        <v>1.0564449927038939</v>
      </c>
      <c r="O139" s="10"/>
      <c r="P139" s="2">
        <v>109226.69</v>
      </c>
      <c r="Q139" s="2"/>
      <c r="R139" s="19">
        <f t="shared" si="32"/>
        <v>2.5598040239206029E-2</v>
      </c>
      <c r="S139" s="2"/>
      <c r="T139" s="2">
        <v>57701.25</v>
      </c>
      <c r="U139" s="2"/>
      <c r="V139" s="19">
        <f t="shared" si="33"/>
        <v>5.2633565997875246E-3</v>
      </c>
      <c r="W139" s="2"/>
      <c r="X139" s="2">
        <f t="shared" si="34"/>
        <v>51525.440000000002</v>
      </c>
      <c r="Y139" s="2"/>
      <c r="Z139" s="19">
        <f t="shared" si="35"/>
        <v>0.89296921643811877</v>
      </c>
    </row>
    <row r="140" spans="1:26" s="23" customFormat="1" hidden="1" outlineLevel="1" x14ac:dyDescent="0.25">
      <c r="A140" s="44"/>
      <c r="B140" s="10" t="str">
        <f>CONCATENATE("          ", "5053", " - ", "PURCHASES @ COST-FOOD")</f>
        <v xml:space="preserve">          5053 - PURCHASES @ COST-FOOD</v>
      </c>
      <c r="C140" s="10"/>
      <c r="D140" s="2">
        <v>176.4</v>
      </c>
      <c r="E140" s="2"/>
      <c r="F140" s="19">
        <f t="shared" si="28"/>
        <v>9.5872055806667125E-4</v>
      </c>
      <c r="G140" s="2"/>
      <c r="H140" s="2">
        <v>76475.820000000007</v>
      </c>
      <c r="I140" s="2"/>
      <c r="J140" s="19">
        <f t="shared" si="29"/>
        <v>0.19384655628536446</v>
      </c>
      <c r="K140" s="2"/>
      <c r="L140" s="2">
        <f t="shared" si="30"/>
        <v>-76299.420000000013</v>
      </c>
      <c r="M140" s="2"/>
      <c r="N140" s="19">
        <f t="shared" si="31"/>
        <v>-0.99769338857693857</v>
      </c>
      <c r="O140" s="10"/>
      <c r="P140" s="2">
        <v>-2646.55</v>
      </c>
      <c r="Q140" s="2"/>
      <c r="R140" s="19">
        <f t="shared" si="32"/>
        <v>-6.2023753896662723E-4</v>
      </c>
      <c r="S140" s="2"/>
      <c r="T140" s="2">
        <v>1162005.79</v>
      </c>
      <c r="U140" s="2"/>
      <c r="V140" s="19">
        <f t="shared" si="33"/>
        <v>0.10599511871558789</v>
      </c>
      <c r="W140" s="2"/>
      <c r="X140" s="2">
        <f t="shared" si="34"/>
        <v>-1164652.3400000001</v>
      </c>
      <c r="Y140" s="2"/>
      <c r="Z140" s="19">
        <f t="shared" si="35"/>
        <v>-1.0022775704069427</v>
      </c>
    </row>
    <row r="141" spans="1:26" s="23" customFormat="1" hidden="1" outlineLevel="1" x14ac:dyDescent="0.25">
      <c r="A141" s="44"/>
      <c r="B141" s="10" t="str">
        <f>CONCATENATE("          ", "5059", " - ", "PURCHASES @ COST-FOOD")</f>
        <v xml:space="preserve">          5059 - PURCHASES @ COST-FOOD</v>
      </c>
      <c r="C141" s="10"/>
      <c r="D141" s="2">
        <v>19</v>
      </c>
      <c r="E141" s="2"/>
      <c r="F141" s="19">
        <f t="shared" si="28"/>
        <v>1.0326355217271402E-4</v>
      </c>
      <c r="G141" s="2"/>
      <c r="H141" s="2">
        <v>1713.78</v>
      </c>
      <c r="I141" s="2"/>
      <c r="J141" s="19">
        <f t="shared" si="29"/>
        <v>4.343992012517576E-3</v>
      </c>
      <c r="K141" s="2"/>
      <c r="L141" s="2">
        <f t="shared" si="30"/>
        <v>-1694.78</v>
      </c>
      <c r="M141" s="2"/>
      <c r="N141" s="19">
        <f t="shared" si="31"/>
        <v>-0.98891339611852158</v>
      </c>
      <c r="O141" s="10"/>
      <c r="P141" s="2">
        <v>30865.91</v>
      </c>
      <c r="Q141" s="2"/>
      <c r="R141" s="19">
        <f t="shared" si="32"/>
        <v>7.2336423103154706E-3</v>
      </c>
      <c r="S141" s="2"/>
      <c r="T141" s="2">
        <v>-31744.15</v>
      </c>
      <c r="U141" s="2"/>
      <c r="V141" s="19">
        <f t="shared" si="33"/>
        <v>-2.8956180569250259E-3</v>
      </c>
      <c r="W141" s="2"/>
      <c r="X141" s="2">
        <f t="shared" si="34"/>
        <v>62610.06</v>
      </c>
      <c r="Y141" s="2"/>
      <c r="Z141" s="19">
        <f t="shared" si="35"/>
        <v>-1.972333800086</v>
      </c>
    </row>
    <row r="142" spans="1:26" s="23" customFormat="1" hidden="1" outlineLevel="1" x14ac:dyDescent="0.25">
      <c r="A142" s="44"/>
      <c r="B142" s="10" t="str">
        <f>CONCATENATE("          ", "5081", " - ", "PURCHASES @ COST-ELECTRONICS")</f>
        <v xml:space="preserve">          5081 - PURCHASES @ COST-ELECTRONICS</v>
      </c>
      <c r="C142" s="10"/>
      <c r="D142" s="2"/>
      <c r="E142" s="2"/>
      <c r="F142" s="19">
        <f t="shared" si="28"/>
        <v>0</v>
      </c>
      <c r="G142" s="2"/>
      <c r="H142" s="2">
        <v>116.82</v>
      </c>
      <c r="I142" s="2"/>
      <c r="J142" s="19">
        <f t="shared" si="29"/>
        <v>2.9610868775589819E-4</v>
      </c>
      <c r="K142" s="2"/>
      <c r="L142" s="2">
        <f t="shared" si="30"/>
        <v>-116.82</v>
      </c>
      <c r="M142" s="2"/>
      <c r="N142" s="19">
        <f t="shared" si="31"/>
        <v>-1</v>
      </c>
      <c r="O142" s="10"/>
      <c r="P142" s="2"/>
      <c r="Q142" s="2"/>
      <c r="R142" s="19">
        <f t="shared" si="32"/>
        <v>0</v>
      </c>
      <c r="S142" s="2"/>
      <c r="T142" s="2">
        <v>2008.03</v>
      </c>
      <c r="U142" s="2"/>
      <c r="V142" s="19">
        <f t="shared" si="33"/>
        <v>1.8316722693306197E-4</v>
      </c>
      <c r="W142" s="2"/>
      <c r="X142" s="2">
        <f t="shared" si="34"/>
        <v>-2008.03</v>
      </c>
      <c r="Y142" s="2"/>
      <c r="Z142" s="19">
        <f t="shared" si="35"/>
        <v>-1</v>
      </c>
    </row>
    <row r="143" spans="1:26" s="23" customFormat="1" hidden="1" outlineLevel="1" x14ac:dyDescent="0.25">
      <c r="A143" s="44"/>
      <c r="B143" s="10" t="str">
        <f>CONCATENATE("          ", "5082", " - ", "PURCHASES @ COST-COMPUTER HARD")</f>
        <v xml:space="preserve">          5082 - PURCHASES @ COST-COMPUTER HARD</v>
      </c>
      <c r="C143" s="10"/>
      <c r="D143" s="2"/>
      <c r="E143" s="2"/>
      <c r="F143" s="19">
        <f t="shared" si="28"/>
        <v>0</v>
      </c>
      <c r="G143" s="2"/>
      <c r="H143" s="2"/>
      <c r="I143" s="2"/>
      <c r="J143" s="19">
        <f t="shared" si="29"/>
        <v>0</v>
      </c>
      <c r="K143" s="2"/>
      <c r="L143" s="2">
        <f t="shared" si="30"/>
        <v>0</v>
      </c>
      <c r="M143" s="2"/>
      <c r="N143" s="19">
        <f t="shared" si="31"/>
        <v>0</v>
      </c>
      <c r="O143" s="10"/>
      <c r="P143" s="2"/>
      <c r="Q143" s="2"/>
      <c r="R143" s="19">
        <f t="shared" si="32"/>
        <v>0</v>
      </c>
      <c r="S143" s="2"/>
      <c r="T143" s="2">
        <v>349.6</v>
      </c>
      <c r="U143" s="2"/>
      <c r="V143" s="19">
        <f t="shared" si="33"/>
        <v>3.1889594545797861E-5</v>
      </c>
      <c r="W143" s="2"/>
      <c r="X143" s="2">
        <f t="shared" si="34"/>
        <v>-349.6</v>
      </c>
      <c r="Y143" s="2"/>
      <c r="Z143" s="19">
        <f t="shared" si="35"/>
        <v>-1</v>
      </c>
    </row>
    <row r="144" spans="1:26" s="23" customFormat="1" hidden="1" outlineLevel="1" x14ac:dyDescent="0.25">
      <c r="A144" s="44"/>
      <c r="B144" s="10" t="str">
        <f>CONCATENATE("          ", "5083", " - ", "PURCHASES @ COST-COMPUTER EQUI")</f>
        <v xml:space="preserve">          5083 - PURCHASES @ COST-COMPUTER EQUI</v>
      </c>
      <c r="C144" s="10"/>
      <c r="D144" s="2"/>
      <c r="E144" s="2"/>
      <c r="F144" s="19">
        <f t="shared" si="28"/>
        <v>0</v>
      </c>
      <c r="G144" s="2"/>
      <c r="H144" s="2"/>
      <c r="I144" s="2"/>
      <c r="J144" s="19">
        <f t="shared" si="29"/>
        <v>0</v>
      </c>
      <c r="K144" s="2"/>
      <c r="L144" s="2">
        <f t="shared" si="30"/>
        <v>0</v>
      </c>
      <c r="M144" s="2"/>
      <c r="N144" s="19">
        <f t="shared" si="31"/>
        <v>0</v>
      </c>
      <c r="O144" s="10"/>
      <c r="P144" s="2"/>
      <c r="Q144" s="2"/>
      <c r="R144" s="19">
        <f t="shared" si="32"/>
        <v>0</v>
      </c>
      <c r="S144" s="2"/>
      <c r="T144" s="2">
        <v>395.06</v>
      </c>
      <c r="U144" s="2"/>
      <c r="V144" s="19">
        <f t="shared" si="33"/>
        <v>3.6036336445260017E-5</v>
      </c>
      <c r="W144" s="2"/>
      <c r="X144" s="2">
        <f t="shared" si="34"/>
        <v>-395.06</v>
      </c>
      <c r="Y144" s="2"/>
      <c r="Z144" s="19">
        <f t="shared" si="35"/>
        <v>-1</v>
      </c>
    </row>
    <row r="145" spans="1:26" s="23" customFormat="1" hidden="1" outlineLevel="1" x14ac:dyDescent="0.25">
      <c r="A145" s="44"/>
      <c r="B145" s="10" t="str">
        <f>CONCATENATE("          ", "5086", " - ", "PURCHASES @ COST-COMPUTER SUPP")</f>
        <v xml:space="preserve">          5086 - PURCHASES @ COST-COMPUTER SUPP</v>
      </c>
      <c r="C145" s="10"/>
      <c r="D145" s="2"/>
      <c r="E145" s="2"/>
      <c r="F145" s="19">
        <f t="shared" si="28"/>
        <v>0</v>
      </c>
      <c r="G145" s="2"/>
      <c r="H145" s="2"/>
      <c r="I145" s="2"/>
      <c r="J145" s="19">
        <f t="shared" si="29"/>
        <v>0</v>
      </c>
      <c r="K145" s="2"/>
      <c r="L145" s="2">
        <f t="shared" si="30"/>
        <v>0</v>
      </c>
      <c r="M145" s="2"/>
      <c r="N145" s="19">
        <f t="shared" si="31"/>
        <v>0</v>
      </c>
      <c r="O145" s="10"/>
      <c r="P145" s="2">
        <v>13.21</v>
      </c>
      <c r="Q145" s="2"/>
      <c r="R145" s="19">
        <f t="shared" si="32"/>
        <v>3.0958560729059138E-6</v>
      </c>
      <c r="S145" s="2"/>
      <c r="T145" s="2">
        <v>426.22</v>
      </c>
      <c r="U145" s="2"/>
      <c r="V145" s="19">
        <f t="shared" si="33"/>
        <v>3.8878669872168087E-5</v>
      </c>
      <c r="W145" s="2"/>
      <c r="X145" s="2">
        <f t="shared" si="34"/>
        <v>-413.01000000000005</v>
      </c>
      <c r="Y145" s="2"/>
      <c r="Z145" s="19">
        <f t="shared" si="35"/>
        <v>-0.96900661630144058</v>
      </c>
    </row>
    <row r="146" spans="1:26" s="23" customFormat="1" hidden="1" outlineLevel="1" x14ac:dyDescent="0.25">
      <c r="A146" s="44"/>
      <c r="B146" s="10" t="str">
        <f>CONCATENATE("          ", "5092", " - ", "PURCHASES @ COST-GRAD MERCH")</f>
        <v xml:space="preserve">          5092 - PURCHASES @ COST-GRAD MERCH</v>
      </c>
      <c r="C146" s="10"/>
      <c r="D146" s="2"/>
      <c r="E146" s="2"/>
      <c r="F146" s="19">
        <f t="shared" si="28"/>
        <v>0</v>
      </c>
      <c r="G146" s="2"/>
      <c r="H146" s="2">
        <v>1036.33</v>
      </c>
      <c r="I146" s="2"/>
      <c r="J146" s="19">
        <f t="shared" si="29"/>
        <v>2.6268303063008902E-3</v>
      </c>
      <c r="K146" s="2"/>
      <c r="L146" s="2">
        <f t="shared" si="30"/>
        <v>-1036.33</v>
      </c>
      <c r="M146" s="2"/>
      <c r="N146" s="19">
        <f t="shared" si="31"/>
        <v>-1</v>
      </c>
      <c r="O146" s="10"/>
      <c r="P146" s="2">
        <v>0</v>
      </c>
      <c r="Q146" s="2"/>
      <c r="R146" s="19">
        <f t="shared" si="32"/>
        <v>0</v>
      </c>
      <c r="S146" s="2"/>
      <c r="T146" s="2">
        <v>2946.13</v>
      </c>
      <c r="U146" s="2"/>
      <c r="V146" s="19">
        <f t="shared" si="33"/>
        <v>2.6873824708012424E-4</v>
      </c>
      <c r="W146" s="2"/>
      <c r="X146" s="2">
        <f t="shared" si="34"/>
        <v>-2946.13</v>
      </c>
      <c r="Y146" s="2"/>
      <c r="Z146" s="19">
        <f t="shared" si="35"/>
        <v>-1</v>
      </c>
    </row>
    <row r="147" spans="1:26" s="23" customFormat="1" hidden="1" outlineLevel="1" x14ac:dyDescent="0.25">
      <c r="A147" s="44"/>
      <c r="B147" s="10" t="str">
        <f>CONCATENATE("          ", "5095", " - ", "PURCHASES @ COST-CUSTOMER SERV")</f>
        <v xml:space="preserve">          5095 - PURCHASES @ COST-CUSTOMER SERV</v>
      </c>
      <c r="C147" s="10"/>
      <c r="D147" s="2"/>
      <c r="E147" s="2"/>
      <c r="F147" s="19">
        <f t="shared" si="28"/>
        <v>0</v>
      </c>
      <c r="G147" s="2"/>
      <c r="H147" s="2"/>
      <c r="I147" s="2"/>
      <c r="J147" s="19">
        <f t="shared" si="29"/>
        <v>0</v>
      </c>
      <c r="K147" s="2"/>
      <c r="L147" s="2">
        <f t="shared" si="30"/>
        <v>0</v>
      </c>
      <c r="M147" s="2"/>
      <c r="N147" s="19">
        <f t="shared" si="31"/>
        <v>0</v>
      </c>
      <c r="O147" s="10"/>
      <c r="P147" s="2"/>
      <c r="Q147" s="2"/>
      <c r="R147" s="19">
        <f t="shared" si="32"/>
        <v>0</v>
      </c>
      <c r="S147" s="2"/>
      <c r="T147" s="2">
        <v>0</v>
      </c>
      <c r="U147" s="2"/>
      <c r="V147" s="19">
        <f t="shared" si="33"/>
        <v>0</v>
      </c>
      <c r="W147" s="2"/>
      <c r="X147" s="2">
        <f t="shared" si="34"/>
        <v>0</v>
      </c>
      <c r="Y147" s="2"/>
      <c r="Z147" s="19">
        <f t="shared" si="35"/>
        <v>0</v>
      </c>
    </row>
    <row r="148" spans="1:26" s="23" customFormat="1" hidden="1" outlineLevel="1" x14ac:dyDescent="0.25">
      <c r="A148" s="44"/>
      <c r="B148" s="10" t="str">
        <f>CONCATENATE("          ", "5200", " - ", "PURCHASES OFFSET")</f>
        <v xml:space="preserve">          5200 - PURCHASES OFFSET</v>
      </c>
      <c r="C148" s="10"/>
      <c r="D148" s="2">
        <v>217068.52</v>
      </c>
      <c r="E148" s="2"/>
      <c r="F148" s="19">
        <f t="shared" si="28"/>
        <v>1.179750865267043</v>
      </c>
      <c r="G148" s="2"/>
      <c r="H148" s="2">
        <v>806727</v>
      </c>
      <c r="I148" s="2"/>
      <c r="J148" s="19">
        <f t="shared" si="29"/>
        <v>2.044845688642805</v>
      </c>
      <c r="K148" s="2"/>
      <c r="L148" s="2">
        <f t="shared" si="30"/>
        <v>-589658.48</v>
      </c>
      <c r="M148" s="2"/>
      <c r="N148" s="19">
        <f t="shared" si="31"/>
        <v>-0.73092691827594714</v>
      </c>
      <c r="O148" s="10"/>
      <c r="P148" s="2">
        <v>-1763948.92</v>
      </c>
      <c r="Q148" s="2"/>
      <c r="R148" s="19">
        <f t="shared" si="32"/>
        <v>-0.4133937907856039</v>
      </c>
      <c r="S148" s="2"/>
      <c r="T148" s="2">
        <v>-3367613</v>
      </c>
      <c r="U148" s="2"/>
      <c r="V148" s="19">
        <f t="shared" si="33"/>
        <v>-0.30718482024358684</v>
      </c>
      <c r="W148" s="2"/>
      <c r="X148" s="2">
        <f t="shared" si="34"/>
        <v>1603664.08</v>
      </c>
      <c r="Y148" s="2"/>
      <c r="Z148" s="19">
        <f t="shared" si="35"/>
        <v>-0.47620201014784064</v>
      </c>
    </row>
    <row r="149" spans="1:26" s="23" customFormat="1" hidden="1" outlineLevel="1" x14ac:dyDescent="0.25">
      <c r="A149" s="44"/>
      <c r="B149" s="10" t="str">
        <f>CONCATENATE("          ", "5300", " - ", "COG$ OFFSET")</f>
        <v xml:space="preserve">          5300 - COG$ OFFSET</v>
      </c>
      <c r="C149" s="10"/>
      <c r="D149" s="2">
        <v>97595</v>
      </c>
      <c r="E149" s="2"/>
      <c r="F149" s="19">
        <f t="shared" si="28"/>
        <v>0.53042138812084338</v>
      </c>
      <c r="G149" s="2"/>
      <c r="H149" s="2">
        <v>96532</v>
      </c>
      <c r="I149" s="2"/>
      <c r="J149" s="19">
        <f t="shared" si="29"/>
        <v>0.24468381994908719</v>
      </c>
      <c r="K149" s="2"/>
      <c r="L149" s="2">
        <f t="shared" si="30"/>
        <v>1063</v>
      </c>
      <c r="M149" s="2"/>
      <c r="N149" s="19">
        <f t="shared" si="31"/>
        <v>1.1011892429453446E-2</v>
      </c>
      <c r="O149" s="10"/>
      <c r="P149" s="2">
        <v>2177508</v>
      </c>
      <c r="Q149" s="2"/>
      <c r="R149" s="19">
        <f t="shared" si="32"/>
        <v>0.5103142593187896</v>
      </c>
      <c r="S149" s="2"/>
      <c r="T149" s="2">
        <v>3823269.47</v>
      </c>
      <c r="U149" s="2"/>
      <c r="V149" s="19">
        <f t="shared" si="33"/>
        <v>0.34874860765911747</v>
      </c>
      <c r="W149" s="2"/>
      <c r="X149" s="2">
        <f t="shared" si="34"/>
        <v>-1645761.4700000002</v>
      </c>
      <c r="Y149" s="2"/>
      <c r="Z149" s="19">
        <f t="shared" si="35"/>
        <v>-0.43045918759160862</v>
      </c>
    </row>
    <row r="150" spans="1:26" s="23" customFormat="1" hidden="1" outlineLevel="1" x14ac:dyDescent="0.25">
      <c r="A150" s="44"/>
      <c r="B150" s="10" t="str">
        <f>CONCATENATE("          ", "5500", " - ", "FREIGHT-IN")</f>
        <v xml:space="preserve">          5500 - FREIGHT-IN</v>
      </c>
      <c r="C150" s="10"/>
      <c r="D150" s="2"/>
      <c r="E150" s="2"/>
      <c r="F150" s="19">
        <f t="shared" si="28"/>
        <v>0</v>
      </c>
      <c r="G150" s="2"/>
      <c r="H150" s="2"/>
      <c r="I150" s="2"/>
      <c r="J150" s="19">
        <f t="shared" si="29"/>
        <v>0</v>
      </c>
      <c r="K150" s="2"/>
      <c r="L150" s="2">
        <f t="shared" si="30"/>
        <v>0</v>
      </c>
      <c r="M150" s="2"/>
      <c r="N150" s="19">
        <f t="shared" si="31"/>
        <v>0</v>
      </c>
      <c r="O150" s="10"/>
      <c r="P150" s="2">
        <v>0</v>
      </c>
      <c r="Q150" s="2"/>
      <c r="R150" s="19">
        <f t="shared" si="32"/>
        <v>0</v>
      </c>
      <c r="S150" s="2"/>
      <c r="T150" s="2">
        <v>156.47999999999999</v>
      </c>
      <c r="U150" s="2"/>
      <c r="V150" s="19">
        <f t="shared" si="33"/>
        <v>1.4273694950018444E-5</v>
      </c>
      <c r="W150" s="2"/>
      <c r="X150" s="2">
        <f t="shared" si="34"/>
        <v>-156.47999999999999</v>
      </c>
      <c r="Y150" s="2"/>
      <c r="Z150" s="19">
        <f t="shared" si="35"/>
        <v>-1</v>
      </c>
    </row>
    <row r="151" spans="1:26" s="23" customFormat="1" hidden="1" outlineLevel="1" x14ac:dyDescent="0.25">
      <c r="A151" s="44"/>
      <c r="B151" s="10" t="str">
        <f>CONCATENATE("          ", "5501", " - ", "FREIGHT-IN-NEW TEXT")</f>
        <v xml:space="preserve">          5501 - FREIGHT-IN-NEW TEXT</v>
      </c>
      <c r="C151" s="10"/>
      <c r="D151" s="2">
        <v>785.54</v>
      </c>
      <c r="E151" s="2"/>
      <c r="F151" s="19">
        <f t="shared" si="28"/>
        <v>4.2693500407238825E-3</v>
      </c>
      <c r="G151" s="2"/>
      <c r="H151" s="2">
        <v>1315.81</v>
      </c>
      <c r="I151" s="2"/>
      <c r="J151" s="19">
        <f t="shared" si="29"/>
        <v>3.3352403050512618E-3</v>
      </c>
      <c r="K151" s="2"/>
      <c r="L151" s="2">
        <f t="shared" si="30"/>
        <v>-530.27</v>
      </c>
      <c r="M151" s="2"/>
      <c r="N151" s="19">
        <f t="shared" si="31"/>
        <v>-0.4029989132169538</v>
      </c>
      <c r="O151" s="10"/>
      <c r="P151" s="2">
        <v>50042.46</v>
      </c>
      <c r="Q151" s="2"/>
      <c r="R151" s="19">
        <f t="shared" si="32"/>
        <v>1.1727801188050816E-2</v>
      </c>
      <c r="S151" s="2"/>
      <c r="T151" s="2">
        <v>67340.55</v>
      </c>
      <c r="U151" s="2"/>
      <c r="V151" s="19">
        <f t="shared" si="33"/>
        <v>6.1426282494022539E-3</v>
      </c>
      <c r="W151" s="2"/>
      <c r="X151" s="2">
        <f t="shared" si="34"/>
        <v>-17298.090000000004</v>
      </c>
      <c r="Y151" s="2"/>
      <c r="Z151" s="19">
        <f t="shared" si="35"/>
        <v>-0.25687479534990437</v>
      </c>
    </row>
    <row r="152" spans="1:26" s="23" customFormat="1" hidden="1" outlineLevel="1" x14ac:dyDescent="0.25">
      <c r="A152" s="44"/>
      <c r="B152" s="10" t="str">
        <f>CONCATENATE("          ", "5502", " - ", "FREIGHT-IN-USED TEXT")</f>
        <v xml:space="preserve">          5502 - FREIGHT-IN-USED TEXT</v>
      </c>
      <c r="C152" s="10"/>
      <c r="D152" s="2">
        <v>663.37</v>
      </c>
      <c r="E152" s="2"/>
      <c r="F152" s="19">
        <f t="shared" si="28"/>
        <v>3.6053654002533315E-3</v>
      </c>
      <c r="G152" s="2"/>
      <c r="H152" s="2">
        <v>506.55</v>
      </c>
      <c r="I152" s="2"/>
      <c r="J152" s="19">
        <f t="shared" si="29"/>
        <v>1.2839741121618751E-3</v>
      </c>
      <c r="K152" s="2"/>
      <c r="L152" s="2">
        <f t="shared" si="30"/>
        <v>156.82</v>
      </c>
      <c r="M152" s="2"/>
      <c r="N152" s="19">
        <f t="shared" si="31"/>
        <v>0.30958444378639816</v>
      </c>
      <c r="O152" s="10"/>
      <c r="P152" s="2">
        <v>17800.13</v>
      </c>
      <c r="Q152" s="2"/>
      <c r="R152" s="19">
        <f t="shared" si="32"/>
        <v>4.1715852050730317E-3</v>
      </c>
      <c r="S152" s="2"/>
      <c r="T152" s="2">
        <v>15264.64</v>
      </c>
      <c r="U152" s="2"/>
      <c r="V152" s="19">
        <f t="shared" si="33"/>
        <v>1.3924004018523106E-3</v>
      </c>
      <c r="W152" s="2"/>
      <c r="X152" s="2">
        <f t="shared" si="34"/>
        <v>2535.4900000000016</v>
      </c>
      <c r="Y152" s="2"/>
      <c r="Z152" s="19">
        <f t="shared" si="35"/>
        <v>0.16610218125026216</v>
      </c>
    </row>
    <row r="153" spans="1:26" s="23" customFormat="1" hidden="1" outlineLevel="1" x14ac:dyDescent="0.25">
      <c r="A153" s="44"/>
      <c r="B153" s="10" t="str">
        <f>CONCATENATE("          ", "5504", " - ", "FREIGHT-IN-DIGITAL TEXT")</f>
        <v xml:space="preserve">          5504 - FREIGHT-IN-DIGITAL TEXT</v>
      </c>
      <c r="C153" s="10"/>
      <c r="D153" s="2"/>
      <c r="E153" s="2"/>
      <c r="F153" s="19">
        <f t="shared" si="28"/>
        <v>0</v>
      </c>
      <c r="G153" s="2"/>
      <c r="H153" s="2">
        <v>12.78</v>
      </c>
      <c r="I153" s="2"/>
      <c r="J153" s="19">
        <f t="shared" si="29"/>
        <v>3.2394016688241557E-5</v>
      </c>
      <c r="K153" s="2"/>
      <c r="L153" s="2">
        <f t="shared" si="30"/>
        <v>-12.78</v>
      </c>
      <c r="M153" s="2"/>
      <c r="N153" s="19">
        <f t="shared" si="31"/>
        <v>-1</v>
      </c>
      <c r="O153" s="10"/>
      <c r="P153" s="2">
        <v>28.92</v>
      </c>
      <c r="Q153" s="2"/>
      <c r="R153" s="19">
        <f t="shared" si="32"/>
        <v>6.7776046652868303E-6</v>
      </c>
      <c r="S153" s="2"/>
      <c r="T153" s="2">
        <v>118.75</v>
      </c>
      <c r="U153" s="2"/>
      <c r="V153" s="19">
        <f t="shared" si="33"/>
        <v>1.083206336474112E-5</v>
      </c>
      <c r="W153" s="2"/>
      <c r="X153" s="2">
        <f t="shared" si="34"/>
        <v>-89.83</v>
      </c>
      <c r="Y153" s="2"/>
      <c r="Z153" s="19">
        <f t="shared" si="35"/>
        <v>-0.75646315789473684</v>
      </c>
    </row>
    <row r="154" spans="1:26" s="23" customFormat="1" hidden="1" outlineLevel="1" x14ac:dyDescent="0.25">
      <c r="A154" s="44"/>
      <c r="B154" s="10" t="str">
        <f>CONCATENATE("          ", "5513", " - ", "FREIGHT-IN-TRADE BOOKS")</f>
        <v xml:space="preserve">          5513 - FREIGHT-IN-TRADE BOOKS</v>
      </c>
      <c r="C154" s="10"/>
      <c r="D154" s="2">
        <v>51.76</v>
      </c>
      <c r="E154" s="2"/>
      <c r="F154" s="19">
        <f t="shared" si="28"/>
        <v>2.8131165581366722E-4</v>
      </c>
      <c r="G154" s="2"/>
      <c r="H154" s="2">
        <v>8.83</v>
      </c>
      <c r="I154" s="2"/>
      <c r="J154" s="19">
        <f t="shared" si="29"/>
        <v>2.2381781483346867E-5</v>
      </c>
      <c r="K154" s="2"/>
      <c r="L154" s="2">
        <f t="shared" si="30"/>
        <v>42.93</v>
      </c>
      <c r="M154" s="2"/>
      <c r="N154" s="19">
        <f t="shared" si="31"/>
        <v>4.8618346545866364</v>
      </c>
      <c r="O154" s="10"/>
      <c r="P154" s="2">
        <v>85.28</v>
      </c>
      <c r="Q154" s="2"/>
      <c r="R154" s="19">
        <f t="shared" si="32"/>
        <v>1.9985965624331288E-5</v>
      </c>
      <c r="S154" s="2"/>
      <c r="T154" s="2">
        <v>30.24</v>
      </c>
      <c r="U154" s="2"/>
      <c r="V154" s="19">
        <f t="shared" si="33"/>
        <v>2.7584134412612331E-6</v>
      </c>
      <c r="W154" s="2"/>
      <c r="X154" s="2">
        <f t="shared" si="34"/>
        <v>55.040000000000006</v>
      </c>
      <c r="Y154" s="2"/>
      <c r="Z154" s="19">
        <f t="shared" si="35"/>
        <v>1.8201058201058204</v>
      </c>
    </row>
    <row r="155" spans="1:26" s="23" customFormat="1" hidden="1" outlineLevel="1" x14ac:dyDescent="0.25">
      <c r="A155" s="44"/>
      <c r="B155" s="10" t="str">
        <f>CONCATENATE("          ", "5518", " - ", "FREIGHT-IN-STUDY GUIDES")</f>
        <v xml:space="preserve">          5518 - FREIGHT-IN-STUDY GUIDES</v>
      </c>
      <c r="C155" s="10"/>
      <c r="D155" s="2"/>
      <c r="E155" s="2"/>
      <c r="F155" s="19">
        <f t="shared" si="28"/>
        <v>0</v>
      </c>
      <c r="G155" s="2"/>
      <c r="H155" s="2"/>
      <c r="I155" s="2"/>
      <c r="J155" s="19">
        <f t="shared" si="29"/>
        <v>0</v>
      </c>
      <c r="K155" s="2"/>
      <c r="L155" s="2">
        <f t="shared" si="30"/>
        <v>0</v>
      </c>
      <c r="M155" s="2"/>
      <c r="N155" s="19">
        <f t="shared" si="31"/>
        <v>0</v>
      </c>
      <c r="O155" s="10"/>
      <c r="P155" s="2"/>
      <c r="Q155" s="2"/>
      <c r="R155" s="19">
        <f t="shared" si="32"/>
        <v>0</v>
      </c>
      <c r="S155" s="2"/>
      <c r="T155" s="2">
        <v>21.13</v>
      </c>
      <c r="U155" s="2"/>
      <c r="V155" s="19">
        <f t="shared" si="33"/>
        <v>1.9274231486061462E-6</v>
      </c>
      <c r="W155" s="2"/>
      <c r="X155" s="2">
        <f t="shared" si="34"/>
        <v>-21.13</v>
      </c>
      <c r="Y155" s="2"/>
      <c r="Z155" s="19">
        <f t="shared" si="35"/>
        <v>-1</v>
      </c>
    </row>
    <row r="156" spans="1:26" s="23" customFormat="1" hidden="1" outlineLevel="1" x14ac:dyDescent="0.25">
      <c r="A156" s="44"/>
      <c r="B156" s="10" t="str">
        <f>CONCATENATE("          ", "5525", " - ", "FREIGHT-IN-TEST FORMS")</f>
        <v xml:space="preserve">          5525 - FREIGHT-IN-TEST FORMS</v>
      </c>
      <c r="C156" s="10"/>
      <c r="D156" s="2"/>
      <c r="E156" s="2"/>
      <c r="F156" s="19">
        <f t="shared" si="28"/>
        <v>0</v>
      </c>
      <c r="G156" s="2"/>
      <c r="H156" s="2">
        <v>82.2</v>
      </c>
      <c r="I156" s="2"/>
      <c r="J156" s="19">
        <f t="shared" si="29"/>
        <v>2.0835588198540346E-4</v>
      </c>
      <c r="K156" s="2"/>
      <c r="L156" s="2">
        <f t="shared" si="30"/>
        <v>-82.2</v>
      </c>
      <c r="M156" s="2"/>
      <c r="N156" s="19">
        <f t="shared" si="31"/>
        <v>-1</v>
      </c>
      <c r="O156" s="10"/>
      <c r="P156" s="2">
        <v>48.14</v>
      </c>
      <c r="Q156" s="2"/>
      <c r="R156" s="19">
        <f t="shared" si="32"/>
        <v>1.128194635501065E-5</v>
      </c>
      <c r="S156" s="2"/>
      <c r="T156" s="2">
        <v>1237.22</v>
      </c>
      <c r="U156" s="2"/>
      <c r="V156" s="19">
        <f t="shared" si="33"/>
        <v>1.1285596156736848E-4</v>
      </c>
      <c r="W156" s="2"/>
      <c r="X156" s="2">
        <f t="shared" si="34"/>
        <v>-1189.08</v>
      </c>
      <c r="Y156" s="2"/>
      <c r="Z156" s="19">
        <f t="shared" si="35"/>
        <v>-0.9610901860623009</v>
      </c>
    </row>
    <row r="157" spans="1:26" s="23" customFormat="1" hidden="1" outlineLevel="1" x14ac:dyDescent="0.25">
      <c r="A157" s="44"/>
      <c r="B157" s="10" t="str">
        <f>CONCATENATE("          ", "5526", " - ", "FREIGHT-IN-WRITING INSTRUMENTS")</f>
        <v xml:space="preserve">          5526 - FREIGHT-IN-WRITING INSTRUMENTS</v>
      </c>
      <c r="C157" s="10"/>
      <c r="D157" s="2"/>
      <c r="E157" s="2"/>
      <c r="F157" s="19">
        <f t="shared" si="28"/>
        <v>0</v>
      </c>
      <c r="G157" s="2"/>
      <c r="H157" s="2"/>
      <c r="I157" s="2"/>
      <c r="J157" s="19">
        <f t="shared" si="29"/>
        <v>0</v>
      </c>
      <c r="K157" s="2"/>
      <c r="L157" s="2">
        <f t="shared" si="30"/>
        <v>0</v>
      </c>
      <c r="M157" s="2"/>
      <c r="N157" s="19">
        <f t="shared" si="31"/>
        <v>0</v>
      </c>
      <c r="O157" s="10"/>
      <c r="P157" s="2">
        <v>0</v>
      </c>
      <c r="Q157" s="2"/>
      <c r="R157" s="19">
        <f t="shared" si="32"/>
        <v>0</v>
      </c>
      <c r="S157" s="2"/>
      <c r="T157" s="2">
        <v>260.35000000000002</v>
      </c>
      <c r="U157" s="2"/>
      <c r="V157" s="19">
        <f t="shared" si="33"/>
        <v>2.3748443764297692E-5</v>
      </c>
      <c r="W157" s="2"/>
      <c r="X157" s="2">
        <f t="shared" si="34"/>
        <v>-260.35000000000002</v>
      </c>
      <c r="Y157" s="2"/>
      <c r="Z157" s="19">
        <f t="shared" si="35"/>
        <v>-1</v>
      </c>
    </row>
    <row r="158" spans="1:26" s="23" customFormat="1" hidden="1" outlineLevel="1" x14ac:dyDescent="0.25">
      <c r="A158" s="44"/>
      <c r="B158" s="10" t="str">
        <f>CONCATENATE("          ", "5527", " - ", "FREIGHT-IN-SCHOOL SUPPLIES")</f>
        <v xml:space="preserve">          5527 - FREIGHT-IN-SCHOOL SUPPLIES</v>
      </c>
      <c r="C158" s="10"/>
      <c r="D158" s="2">
        <v>41.12</v>
      </c>
      <c r="E158" s="2"/>
      <c r="F158" s="19">
        <f t="shared" si="28"/>
        <v>2.2348406659694739E-4</v>
      </c>
      <c r="G158" s="2"/>
      <c r="H158" s="2">
        <v>407.31</v>
      </c>
      <c r="I158" s="2"/>
      <c r="J158" s="19">
        <f t="shared" si="29"/>
        <v>1.0324262079254827E-3</v>
      </c>
      <c r="K158" s="2"/>
      <c r="L158" s="2">
        <f t="shared" si="30"/>
        <v>-366.19</v>
      </c>
      <c r="M158" s="2"/>
      <c r="N158" s="19">
        <f t="shared" si="31"/>
        <v>-0.89904495347523994</v>
      </c>
      <c r="O158" s="10"/>
      <c r="P158" s="2">
        <v>218.62</v>
      </c>
      <c r="Q158" s="2"/>
      <c r="R158" s="19">
        <f t="shared" si="32"/>
        <v>5.1235129043050029E-5</v>
      </c>
      <c r="S158" s="2"/>
      <c r="T158" s="2">
        <v>2058.91</v>
      </c>
      <c r="U158" s="2"/>
      <c r="V158" s="19">
        <f t="shared" si="33"/>
        <v>1.8780836700883484E-4</v>
      </c>
      <c r="W158" s="2"/>
      <c r="X158" s="2">
        <f t="shared" si="34"/>
        <v>-1840.29</v>
      </c>
      <c r="Y158" s="2"/>
      <c r="Z158" s="19">
        <f t="shared" si="35"/>
        <v>-0.89381760251783715</v>
      </c>
    </row>
    <row r="159" spans="1:26" s="23" customFormat="1" hidden="1" outlineLevel="1" x14ac:dyDescent="0.25">
      <c r="A159" s="44"/>
      <c r="B159" s="10" t="str">
        <f>CONCATENATE("          ", "5528", " - ", "FREIGHT-IN-ART/TECH")</f>
        <v xml:space="preserve">          5528 - FREIGHT-IN-ART/TECH</v>
      </c>
      <c r="C159" s="10"/>
      <c r="D159" s="2">
        <v>103.71</v>
      </c>
      <c r="E159" s="2"/>
      <c r="F159" s="19">
        <f t="shared" si="28"/>
        <v>5.6365594714906158E-4</v>
      </c>
      <c r="G159" s="2"/>
      <c r="H159" s="2">
        <v>771.27</v>
      </c>
      <c r="I159" s="2"/>
      <c r="J159" s="19">
        <f t="shared" si="29"/>
        <v>1.9549713029061084E-3</v>
      </c>
      <c r="K159" s="2"/>
      <c r="L159" s="2">
        <f t="shared" si="30"/>
        <v>-667.56</v>
      </c>
      <c r="M159" s="2"/>
      <c r="N159" s="19">
        <f t="shared" si="31"/>
        <v>-0.86553347076899134</v>
      </c>
      <c r="O159" s="10"/>
      <c r="P159" s="2">
        <v>455.21</v>
      </c>
      <c r="Q159" s="2"/>
      <c r="R159" s="19">
        <f t="shared" si="32"/>
        <v>1.0668165351608637E-4</v>
      </c>
      <c r="S159" s="2"/>
      <c r="T159" s="2">
        <v>2267.52</v>
      </c>
      <c r="U159" s="2"/>
      <c r="V159" s="19">
        <f t="shared" si="33"/>
        <v>2.06837223754255E-4</v>
      </c>
      <c r="W159" s="2"/>
      <c r="X159" s="2">
        <f t="shared" si="34"/>
        <v>-1812.31</v>
      </c>
      <c r="Y159" s="2"/>
      <c r="Z159" s="19">
        <f t="shared" si="35"/>
        <v>-0.79924763618402483</v>
      </c>
    </row>
    <row r="160" spans="1:26" s="23" customFormat="1" hidden="1" outlineLevel="1" x14ac:dyDescent="0.25">
      <c r="A160" s="44"/>
      <c r="B160" s="10" t="str">
        <f>CONCATENATE("          ", "5540", " - ", "FREIGHT-IN-LOGO CLOTHING")</f>
        <v xml:space="preserve">          5540 - FREIGHT-IN-LOGO CLOTHING</v>
      </c>
      <c r="C160" s="10"/>
      <c r="D160" s="2">
        <v>1167.1400000000001</v>
      </c>
      <c r="E160" s="2"/>
      <c r="F160" s="19">
        <f t="shared" si="28"/>
        <v>6.343316962255866E-3</v>
      </c>
      <c r="G160" s="2"/>
      <c r="H160" s="2">
        <v>2177.09</v>
      </c>
      <c r="I160" s="2"/>
      <c r="J160" s="19">
        <f t="shared" si="29"/>
        <v>5.5183638334744779E-3</v>
      </c>
      <c r="K160" s="2"/>
      <c r="L160" s="2">
        <f t="shared" si="30"/>
        <v>-1009.95</v>
      </c>
      <c r="M160" s="2"/>
      <c r="N160" s="19">
        <f t="shared" si="31"/>
        <v>-0.46389905791676045</v>
      </c>
      <c r="O160" s="10"/>
      <c r="P160" s="2">
        <v>7108.37</v>
      </c>
      <c r="Q160" s="2"/>
      <c r="R160" s="19">
        <f t="shared" si="32"/>
        <v>1.6658963234642097E-3</v>
      </c>
      <c r="S160" s="2"/>
      <c r="T160" s="2">
        <v>30658.39</v>
      </c>
      <c r="U160" s="2"/>
      <c r="V160" s="19">
        <f t="shared" si="33"/>
        <v>2.7965778790816462E-3</v>
      </c>
      <c r="W160" s="2"/>
      <c r="X160" s="2">
        <f t="shared" si="34"/>
        <v>-23550.02</v>
      </c>
      <c r="Y160" s="2"/>
      <c r="Z160" s="19">
        <f t="shared" si="35"/>
        <v>-0.76814274983128605</v>
      </c>
    </row>
    <row r="161" spans="1:26" s="23" customFormat="1" hidden="1" outlineLevel="1" x14ac:dyDescent="0.25">
      <c r="A161" s="44"/>
      <c r="B161" s="10" t="str">
        <f>CONCATENATE("          ", "5541", " - ", "FREIGHT-IN-LOGO GIFTS")</f>
        <v xml:space="preserve">          5541 - FREIGHT-IN-LOGO GIFTS</v>
      </c>
      <c r="C161" s="10"/>
      <c r="D161" s="2">
        <v>60.07</v>
      </c>
      <c r="E161" s="2"/>
      <c r="F161" s="19">
        <f t="shared" si="28"/>
        <v>3.2647587257973319E-4</v>
      </c>
      <c r="G161" s="2"/>
      <c r="H161" s="2">
        <v>622.03</v>
      </c>
      <c r="I161" s="2"/>
      <c r="J161" s="19">
        <f t="shared" si="29"/>
        <v>1.5766862441773785E-3</v>
      </c>
      <c r="K161" s="2"/>
      <c r="L161" s="2">
        <f t="shared" si="30"/>
        <v>-561.95999999999992</v>
      </c>
      <c r="M161" s="2"/>
      <c r="N161" s="19">
        <f t="shared" si="31"/>
        <v>-0.90342909505972369</v>
      </c>
      <c r="O161" s="10"/>
      <c r="P161" s="2">
        <v>2138</v>
      </c>
      <c r="Q161" s="2"/>
      <c r="R161" s="19">
        <f t="shared" si="32"/>
        <v>5.0105528265502225E-4</v>
      </c>
      <c r="S161" s="2"/>
      <c r="T161" s="2">
        <v>4695.95</v>
      </c>
      <c r="U161" s="2"/>
      <c r="V161" s="19">
        <f t="shared" si="33"/>
        <v>4.2835223543289313E-4</v>
      </c>
      <c r="W161" s="2"/>
      <c r="X161" s="2">
        <f t="shared" si="34"/>
        <v>-2557.9499999999998</v>
      </c>
      <c r="Y161" s="2"/>
      <c r="Z161" s="19">
        <f t="shared" si="35"/>
        <v>-0.5447140621173564</v>
      </c>
    </row>
    <row r="162" spans="1:26" s="23" customFormat="1" hidden="1" outlineLevel="1" x14ac:dyDescent="0.25">
      <c r="A162" s="44"/>
      <c r="B162" s="10" t="str">
        <f>CONCATENATE("          ", "5542", " - ", "FREIGHT-IN-EVERYDAY GIFTS")</f>
        <v xml:space="preserve">          5542 - FREIGHT-IN-EVERYDAY GIFTS</v>
      </c>
      <c r="C162" s="10"/>
      <c r="D162" s="2">
        <v>297.79000000000002</v>
      </c>
      <c r="E162" s="2"/>
      <c r="F162" s="19">
        <f t="shared" si="28"/>
        <v>1.6184659579743426E-3</v>
      </c>
      <c r="G162" s="2"/>
      <c r="H162" s="2">
        <v>42.24</v>
      </c>
      <c r="I162" s="2"/>
      <c r="J162" s="19">
        <f t="shared" si="29"/>
        <v>1.0706754811512704E-4</v>
      </c>
      <c r="K162" s="2"/>
      <c r="L162" s="2">
        <f t="shared" si="30"/>
        <v>255.55</v>
      </c>
      <c r="M162" s="2"/>
      <c r="N162" s="19">
        <f t="shared" si="31"/>
        <v>6.0499526515151514</v>
      </c>
      <c r="O162" s="10"/>
      <c r="P162" s="2">
        <v>681.72</v>
      </c>
      <c r="Q162" s="2"/>
      <c r="R162" s="19">
        <f t="shared" si="32"/>
        <v>1.5976585935059952E-4</v>
      </c>
      <c r="S162" s="2"/>
      <c r="T162" s="2">
        <v>1793.94</v>
      </c>
      <c r="U162" s="2"/>
      <c r="V162" s="19">
        <f t="shared" si="33"/>
        <v>1.6363849896878892E-4</v>
      </c>
      <c r="W162" s="2"/>
      <c r="X162" s="2">
        <f t="shared" si="34"/>
        <v>-1112.22</v>
      </c>
      <c r="Y162" s="2"/>
      <c r="Z162" s="19">
        <f t="shared" si="35"/>
        <v>-0.61998729054483426</v>
      </c>
    </row>
    <row r="163" spans="1:26" s="23" customFormat="1" hidden="1" outlineLevel="1" x14ac:dyDescent="0.25">
      <c r="A163" s="44"/>
      <c r="B163" s="10" t="str">
        <f>CONCATENATE("          ", "5543", " - ", "FREIGHT-IN-CARDS")</f>
        <v xml:space="preserve">          5543 - FREIGHT-IN-CARDS</v>
      </c>
      <c r="C163" s="10"/>
      <c r="D163" s="2"/>
      <c r="E163" s="2"/>
      <c r="F163" s="19">
        <f t="shared" si="28"/>
        <v>0</v>
      </c>
      <c r="G163" s="2"/>
      <c r="H163" s="2">
        <v>25.64</v>
      </c>
      <c r="I163" s="2"/>
      <c r="J163" s="19">
        <f t="shared" si="29"/>
        <v>6.4990812823670864E-5</v>
      </c>
      <c r="K163" s="2"/>
      <c r="L163" s="2">
        <f t="shared" si="30"/>
        <v>-25.64</v>
      </c>
      <c r="M163" s="2"/>
      <c r="N163" s="19">
        <f t="shared" si="31"/>
        <v>-1</v>
      </c>
      <c r="O163" s="10"/>
      <c r="P163" s="2">
        <v>9110.5300000000007</v>
      </c>
      <c r="Q163" s="2"/>
      <c r="R163" s="19">
        <f t="shared" si="32"/>
        <v>2.1351165501810382E-3</v>
      </c>
      <c r="S163" s="2"/>
      <c r="T163" s="2">
        <v>2926.76</v>
      </c>
      <c r="U163" s="2"/>
      <c r="V163" s="19">
        <f t="shared" si="33"/>
        <v>2.6697136651275555E-4</v>
      </c>
      <c r="W163" s="2"/>
      <c r="X163" s="2">
        <f t="shared" si="34"/>
        <v>6183.77</v>
      </c>
      <c r="Y163" s="2"/>
      <c r="Z163" s="19">
        <f t="shared" si="35"/>
        <v>2.112838087168063</v>
      </c>
    </row>
    <row r="164" spans="1:26" s="23" customFormat="1" hidden="1" outlineLevel="1" x14ac:dyDescent="0.25">
      <c r="A164" s="44"/>
      <c r="B164" s="10" t="str">
        <f>CONCATENATE("          ", "5544", " - ", "FREIGHT-IN-ACCESSORIES")</f>
        <v xml:space="preserve">          5544 - FREIGHT-IN-ACCESSORIES</v>
      </c>
      <c r="C164" s="10"/>
      <c r="D164" s="2"/>
      <c r="E164" s="2"/>
      <c r="F164" s="19">
        <f t="shared" si="28"/>
        <v>0</v>
      </c>
      <c r="G164" s="2"/>
      <c r="H164" s="2"/>
      <c r="I164" s="2"/>
      <c r="J164" s="19">
        <f t="shared" si="29"/>
        <v>0</v>
      </c>
      <c r="K164" s="2"/>
      <c r="L164" s="2">
        <f t="shared" si="30"/>
        <v>0</v>
      </c>
      <c r="M164" s="2"/>
      <c r="N164" s="19">
        <f t="shared" si="31"/>
        <v>0</v>
      </c>
      <c r="O164" s="10"/>
      <c r="P164" s="2"/>
      <c r="Q164" s="2"/>
      <c r="R164" s="19">
        <f t="shared" si="32"/>
        <v>0</v>
      </c>
      <c r="S164" s="2"/>
      <c r="T164" s="2">
        <v>483.44</v>
      </c>
      <c r="U164" s="2"/>
      <c r="V164" s="19">
        <f t="shared" si="33"/>
        <v>4.40981281098985E-5</v>
      </c>
      <c r="W164" s="2"/>
      <c r="X164" s="2">
        <f t="shared" si="34"/>
        <v>-483.44</v>
      </c>
      <c r="Y164" s="2"/>
      <c r="Z164" s="19">
        <f t="shared" si="35"/>
        <v>-1</v>
      </c>
    </row>
    <row r="165" spans="1:26" s="23" customFormat="1" hidden="1" outlineLevel="1" x14ac:dyDescent="0.25">
      <c r="A165" s="44"/>
      <c r="B165" s="10" t="str">
        <f>CONCATENATE("          ", "5545", " - ", "FREIGHT-IN-SPECIAL ORDERS")</f>
        <v xml:space="preserve">          5545 - FREIGHT-IN-SPECIAL ORDERS</v>
      </c>
      <c r="C165" s="10"/>
      <c r="D165" s="2">
        <v>17.63</v>
      </c>
      <c r="E165" s="2"/>
      <c r="F165" s="19">
        <f t="shared" si="28"/>
        <v>9.5817706568681474E-5</v>
      </c>
      <c r="G165" s="2"/>
      <c r="H165" s="2">
        <v>28.68</v>
      </c>
      <c r="I165" s="2"/>
      <c r="J165" s="19">
        <f t="shared" si="29"/>
        <v>7.2696431816805007E-5</v>
      </c>
      <c r="K165" s="2"/>
      <c r="L165" s="2">
        <f t="shared" si="30"/>
        <v>-11.05</v>
      </c>
      <c r="M165" s="2"/>
      <c r="N165" s="19">
        <f t="shared" si="31"/>
        <v>-0.38528591352859137</v>
      </c>
      <c r="O165" s="10"/>
      <c r="P165" s="2">
        <v>1266.1600000000001</v>
      </c>
      <c r="Q165" s="2"/>
      <c r="R165" s="19">
        <f t="shared" si="32"/>
        <v>2.9673346898338775E-4</v>
      </c>
      <c r="S165" s="2"/>
      <c r="T165" s="2">
        <v>875.07</v>
      </c>
      <c r="U165" s="2"/>
      <c r="V165" s="19">
        <f t="shared" si="33"/>
        <v>7.9821588956496942E-5</v>
      </c>
      <c r="W165" s="2"/>
      <c r="X165" s="2">
        <f t="shared" si="34"/>
        <v>391.09000000000003</v>
      </c>
      <c r="Y165" s="2"/>
      <c r="Z165" s="19">
        <f t="shared" si="35"/>
        <v>0.44692424606031517</v>
      </c>
    </row>
    <row r="166" spans="1:26" s="23" customFormat="1" hidden="1" outlineLevel="1" x14ac:dyDescent="0.25">
      <c r="A166" s="44"/>
      <c r="B166" s="10" t="str">
        <f>CONCATENATE("          ", "5592", " - ", "FREIGHT-IN-GRAD MERCH")</f>
        <v xml:space="preserve">          5592 - FREIGHT-IN-GRAD MERCH</v>
      </c>
      <c r="C166" s="10"/>
      <c r="D166" s="2"/>
      <c r="E166" s="2"/>
      <c r="F166" s="19">
        <f t="shared" si="28"/>
        <v>0</v>
      </c>
      <c r="G166" s="2"/>
      <c r="H166" s="2">
        <v>12.95</v>
      </c>
      <c r="I166" s="2"/>
      <c r="J166" s="19">
        <f t="shared" si="29"/>
        <v>3.2824923013515509E-5</v>
      </c>
      <c r="K166" s="2"/>
      <c r="L166" s="2">
        <f t="shared" si="30"/>
        <v>-12.95</v>
      </c>
      <c r="M166" s="2"/>
      <c r="N166" s="19">
        <f t="shared" si="31"/>
        <v>-1</v>
      </c>
      <c r="O166" s="10"/>
      <c r="P166" s="2">
        <v>0</v>
      </c>
      <c r="Q166" s="2"/>
      <c r="R166" s="19">
        <f t="shared" si="32"/>
        <v>0</v>
      </c>
      <c r="S166" s="2"/>
      <c r="T166" s="2">
        <v>118.73</v>
      </c>
      <c r="U166" s="2"/>
      <c r="V166" s="19">
        <f t="shared" si="33"/>
        <v>1.0830239017227058E-5</v>
      </c>
      <c r="W166" s="2"/>
      <c r="X166" s="2">
        <f t="shared" si="34"/>
        <v>-118.73</v>
      </c>
      <c r="Y166" s="2"/>
      <c r="Z166" s="19">
        <f t="shared" si="35"/>
        <v>-1</v>
      </c>
    </row>
    <row r="167" spans="1:26" x14ac:dyDescent="0.25">
      <c r="A167" s="9"/>
      <c r="B167" s="11"/>
      <c r="C167" s="11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O167" s="11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s="24" customFormat="1" x14ac:dyDescent="0.25">
      <c r="A168" s="11"/>
      <c r="B168" s="29" t="s">
        <v>107</v>
      </c>
      <c r="C168" s="29"/>
      <c r="D168" s="22">
        <f>D12-D113</f>
        <v>85350.970000000016</v>
      </c>
      <c r="E168" s="14"/>
      <c r="F168" s="20">
        <f>IF(D$12=0,0,D168/D$12)</f>
        <v>0.4638760180835132</v>
      </c>
      <c r="G168" s="14"/>
      <c r="H168" s="22">
        <f>H12-H113</f>
        <v>216885.50000000003</v>
      </c>
      <c r="I168" s="14"/>
      <c r="J168" s="20">
        <f>IF(H$12=0,0,H168/H$12)</f>
        <v>0.54974902241295898</v>
      </c>
      <c r="K168" s="15"/>
      <c r="L168" s="22">
        <f>+D168-H168</f>
        <v>-131534.53000000003</v>
      </c>
      <c r="M168" s="15"/>
      <c r="N168" s="20">
        <f>IF(H168=0,0,L168/H168)</f>
        <v>-0.60646991154318763</v>
      </c>
      <c r="O168" s="28"/>
      <c r="P168" s="22">
        <f>P12-P113</f>
        <v>1517799.1100000017</v>
      </c>
      <c r="Q168" s="14"/>
      <c r="R168" s="20">
        <f>IF(P$12=0,0,P168/P$12)</f>
        <v>0.35570685784592704</v>
      </c>
      <c r="S168" s="14"/>
      <c r="T168" s="22">
        <f>T12-T113</f>
        <v>4820883.6900000013</v>
      </c>
      <c r="U168" s="14"/>
      <c r="V168" s="20">
        <f>IF(T$12=0,0,T168/T$12)</f>
        <v>0.43974835877159579</v>
      </c>
      <c r="W168" s="15"/>
      <c r="X168" s="22">
        <f>+P168-T168</f>
        <v>-3303084.5799999996</v>
      </c>
      <c r="Y168" s="15"/>
      <c r="Z168" s="20">
        <f>IF(T168=0,0,X168/T168)</f>
        <v>-0.68516164097707133</v>
      </c>
    </row>
    <row r="169" spans="1:26" x14ac:dyDescent="0.25">
      <c r="A169" s="9"/>
      <c r="B169" s="11"/>
      <c r="C169" s="9"/>
      <c r="D169" s="1"/>
      <c r="E169" s="1"/>
      <c r="F169" s="5"/>
      <c r="G169" s="1"/>
      <c r="H169" s="1"/>
      <c r="I169" s="1"/>
      <c r="J169" s="5"/>
      <c r="K169" s="1"/>
      <c r="L169" s="1"/>
      <c r="M169" s="1"/>
      <c r="N169" s="5"/>
      <c r="O169" s="37"/>
      <c r="P169" s="1"/>
      <c r="Q169" s="1"/>
      <c r="R169" s="5"/>
      <c r="S169" s="1"/>
      <c r="T169" s="1"/>
      <c r="U169" s="1"/>
      <c r="V169" s="5"/>
      <c r="W169" s="1"/>
      <c r="X169" s="1"/>
      <c r="Y169" s="1"/>
      <c r="Z169" s="5"/>
    </row>
    <row r="170" spans="1:26" s="24" customFormat="1" x14ac:dyDescent="0.25">
      <c r="A170" s="11"/>
      <c r="B170" s="28" t="s">
        <v>294</v>
      </c>
      <c r="C170" s="11"/>
      <c r="D170" s="21">
        <f>SUM(OSRRefD22x_0)</f>
        <v>240619.24999999991</v>
      </c>
      <c r="E170" s="21"/>
      <c r="F170" s="31">
        <f t="shared" ref="F170:F181" si="36">IF(D$12=0,0,D170/D$12)</f>
        <v>1.3077472882175951</v>
      </c>
      <c r="G170" s="21"/>
      <c r="H170" s="21">
        <f>SUM(OSRRefH22x_0)</f>
        <v>428735.05</v>
      </c>
      <c r="I170" s="21"/>
      <c r="J170" s="31">
        <f t="shared" ref="J170:J181" si="37">IF(H$12=0,0,H170/H$12)</f>
        <v>1.086733205362604</v>
      </c>
      <c r="K170" s="4"/>
      <c r="L170" s="21">
        <f t="shared" ref="L170:L181" si="38">+D170-H170</f>
        <v>-188115.80000000008</v>
      </c>
      <c r="M170" s="4"/>
      <c r="N170" s="31">
        <f t="shared" ref="N170:N181" si="39">IF(H170=0,0,L170/H170)</f>
        <v>-0.4387693518409565</v>
      </c>
      <c r="O170" s="11"/>
      <c r="P170" s="21">
        <f>SUM(OSRRefP22x_0)</f>
        <v>2600285.9400000009</v>
      </c>
      <c r="Q170" s="21"/>
      <c r="R170" s="31">
        <f t="shared" ref="R170:R181" si="40">IF(P$12=0,0,P170/P$12)</f>
        <v>0.60939523229681036</v>
      </c>
      <c r="S170" s="21"/>
      <c r="T170" s="21">
        <f>SUM(OSRRefT22x_0)</f>
        <v>4357627.8400000008</v>
      </c>
      <c r="U170" s="21"/>
      <c r="V170" s="31">
        <f t="shared" ref="V170:V181" si="41">IF(T$12=0,0,T170/T$12)</f>
        <v>0.3974913758554946</v>
      </c>
      <c r="W170" s="4"/>
      <c r="X170" s="21">
        <f t="shared" ref="X170:X181" si="42">+P170-T170</f>
        <v>-1757341.9</v>
      </c>
      <c r="Y170" s="4"/>
      <c r="Z170" s="31">
        <f t="shared" ref="Z170:Z181" si="43">IF(T170=0,0,X170/T170)</f>
        <v>-0.40327948244428319</v>
      </c>
    </row>
    <row r="171" spans="1:26" s="26" customFormat="1" outlineLevel="1" collapsed="1" x14ac:dyDescent="0.25">
      <c r="A171" s="27"/>
      <c r="B171" s="12" t="str">
        <f>CONCATENATE("     ","*Benefits                                         ")</f>
        <v xml:space="preserve">     *Benefits                                         </v>
      </c>
      <c r="C171" s="12"/>
      <c r="D171" s="1">
        <f>SUM(OSRRefD22_0x_0)</f>
        <v>45623.819999999992</v>
      </c>
      <c r="E171" s="1"/>
      <c r="F171" s="5">
        <f t="shared" si="36"/>
        <v>0.2479619850993954</v>
      </c>
      <c r="G171" s="1"/>
      <c r="H171" s="1">
        <f>SUM(OSRRefH22_0x_0)</f>
        <v>44667.030000000006</v>
      </c>
      <c r="I171" s="1"/>
      <c r="J171" s="5">
        <f t="shared" si="37"/>
        <v>0.11321944563647783</v>
      </c>
      <c r="K171" s="1"/>
      <c r="L171" s="1">
        <f t="shared" si="38"/>
        <v>956.78999999998632</v>
      </c>
      <c r="M171" s="1"/>
      <c r="N171" s="5">
        <f t="shared" si="39"/>
        <v>2.1420497400431286E-2</v>
      </c>
      <c r="O171" s="12"/>
      <c r="P171" s="1">
        <f>SUM(OSRRefP22_0x_0)</f>
        <v>445278.77</v>
      </c>
      <c r="Q171" s="1"/>
      <c r="R171" s="5">
        <f t="shared" si="40"/>
        <v>0.10435420016961208</v>
      </c>
      <c r="S171" s="1"/>
      <c r="T171" s="1">
        <f>SUM(OSRRefT22_0x_0)</f>
        <v>544929.96000000008</v>
      </c>
      <c r="U171" s="1"/>
      <c r="V171" s="5">
        <f t="shared" si="41"/>
        <v>4.9707080893186061E-2</v>
      </c>
      <c r="W171" s="1"/>
      <c r="X171" s="1">
        <f t="shared" si="42"/>
        <v>-99651.190000000061</v>
      </c>
      <c r="Y171" s="1"/>
      <c r="Z171" s="5">
        <f t="shared" si="43"/>
        <v>-0.18286972145924962</v>
      </c>
    </row>
    <row r="172" spans="1:26" s="23" customFormat="1" hidden="1" outlineLevel="2" x14ac:dyDescent="0.25">
      <c r="A172" s="25"/>
      <c r="B172" s="10" t="str">
        <f>CONCATENATE("          ", "6111", " - ", "F.I.C.A.")</f>
        <v xml:space="preserve">          6111 - F.I.C.A.</v>
      </c>
      <c r="C172" s="10"/>
      <c r="D172" s="6">
        <v>7478.02</v>
      </c>
      <c r="E172" s="2"/>
      <c r="F172" s="7">
        <f t="shared" si="36"/>
        <v>4.0642468864136784E-2</v>
      </c>
      <c r="G172" s="2"/>
      <c r="H172" s="6">
        <v>12945.65</v>
      </c>
      <c r="I172" s="2"/>
      <c r="J172" s="7">
        <f t="shared" si="37"/>
        <v>3.2813896881074674E-2</v>
      </c>
      <c r="K172" s="2"/>
      <c r="L172" s="6">
        <f t="shared" si="38"/>
        <v>-5467.6299999999992</v>
      </c>
      <c r="M172" s="2"/>
      <c r="N172" s="7">
        <f t="shared" si="39"/>
        <v>-0.42235268217509353</v>
      </c>
      <c r="O172" s="10"/>
      <c r="P172" s="6">
        <v>82377.539999999994</v>
      </c>
      <c r="Q172" s="2"/>
      <c r="R172" s="7">
        <f t="shared" si="40"/>
        <v>1.930575378350112E-2</v>
      </c>
      <c r="S172" s="2"/>
      <c r="T172" s="6">
        <v>106122.6</v>
      </c>
      <c r="U172" s="2"/>
      <c r="V172" s="7">
        <f t="shared" si="41"/>
        <v>9.680225074788008E-3</v>
      </c>
      <c r="W172" s="2"/>
      <c r="X172" s="6">
        <f t="shared" si="42"/>
        <v>-23745.060000000012</v>
      </c>
      <c r="Y172" s="2"/>
      <c r="Z172" s="7">
        <f t="shared" si="43"/>
        <v>-0.22375120850789568</v>
      </c>
    </row>
    <row r="173" spans="1:26" s="23" customFormat="1" hidden="1" outlineLevel="2" x14ac:dyDescent="0.25">
      <c r="A173" s="25"/>
      <c r="B173" s="10" t="str">
        <f>CONCATENATE("          ", "6112", " - ", "COMPENSATION INSURANCE")</f>
        <v xml:space="preserve">          6112 - COMPENSATION INSURANCE</v>
      </c>
      <c r="C173" s="10"/>
      <c r="D173" s="6">
        <v>1716.92</v>
      </c>
      <c r="E173" s="2"/>
      <c r="F173" s="7">
        <f t="shared" si="36"/>
        <v>9.331329368230324E-3</v>
      </c>
      <c r="G173" s="2"/>
      <c r="H173" s="6">
        <v>4741.3</v>
      </c>
      <c r="I173" s="2"/>
      <c r="J173" s="7">
        <f t="shared" si="37"/>
        <v>1.2017977411890432E-2</v>
      </c>
      <c r="K173" s="2"/>
      <c r="L173" s="6">
        <f t="shared" si="38"/>
        <v>-3024.38</v>
      </c>
      <c r="M173" s="2"/>
      <c r="N173" s="7">
        <f t="shared" si="39"/>
        <v>-0.63787990635479719</v>
      </c>
      <c r="O173" s="10"/>
      <c r="P173" s="6">
        <v>20809.47</v>
      </c>
      <c r="Q173" s="2"/>
      <c r="R173" s="7">
        <f t="shared" si="40"/>
        <v>4.8768451228957928E-3</v>
      </c>
      <c r="S173" s="2"/>
      <c r="T173" s="6">
        <v>31813.19</v>
      </c>
      <c r="U173" s="2"/>
      <c r="V173" s="7">
        <f t="shared" si="41"/>
        <v>2.9019157045435664E-3</v>
      </c>
      <c r="W173" s="2"/>
      <c r="X173" s="6">
        <f t="shared" si="42"/>
        <v>-11003.719999999998</v>
      </c>
      <c r="Y173" s="2"/>
      <c r="Z173" s="7">
        <f t="shared" si="43"/>
        <v>-0.34588546448815721</v>
      </c>
    </row>
    <row r="174" spans="1:26" s="23" customFormat="1" hidden="1" outlineLevel="2" x14ac:dyDescent="0.25">
      <c r="A174" s="25"/>
      <c r="B174" s="10" t="str">
        <f>CONCATENATE("          ", "6113", " - ", "GROUP INSURANCE")</f>
        <v xml:space="preserve">          6113 - GROUP INSURANCE</v>
      </c>
      <c r="C174" s="10"/>
      <c r="D174" s="6">
        <v>18280.3</v>
      </c>
      <c r="E174" s="2"/>
      <c r="F174" s="7">
        <f t="shared" si="36"/>
        <v>9.9352037514887581E-2</v>
      </c>
      <c r="G174" s="2"/>
      <c r="H174" s="6">
        <v>22002.16</v>
      </c>
      <c r="I174" s="2"/>
      <c r="J174" s="7">
        <f t="shared" si="37"/>
        <v>5.5769823021702733E-2</v>
      </c>
      <c r="K174" s="2"/>
      <c r="L174" s="6">
        <f t="shared" si="38"/>
        <v>-3721.8600000000006</v>
      </c>
      <c r="M174" s="2"/>
      <c r="N174" s="7">
        <f t="shared" si="39"/>
        <v>-0.16915884622237093</v>
      </c>
      <c r="O174" s="10"/>
      <c r="P174" s="6">
        <v>164653.81</v>
      </c>
      <c r="Q174" s="2"/>
      <c r="R174" s="7">
        <f t="shared" si="40"/>
        <v>3.8587774232823349E-2</v>
      </c>
      <c r="S174" s="2"/>
      <c r="T174" s="6">
        <v>213899.67</v>
      </c>
      <c r="U174" s="2"/>
      <c r="V174" s="7">
        <f t="shared" si="41"/>
        <v>1.9511366561155496E-2</v>
      </c>
      <c r="W174" s="2"/>
      <c r="X174" s="6">
        <f t="shared" si="42"/>
        <v>-49245.860000000015</v>
      </c>
      <c r="Y174" s="2"/>
      <c r="Z174" s="7">
        <f t="shared" si="43"/>
        <v>-0.23022877968909447</v>
      </c>
    </row>
    <row r="175" spans="1:26" s="23" customFormat="1" hidden="1" outlineLevel="2" x14ac:dyDescent="0.25">
      <c r="A175" s="25"/>
      <c r="B175" s="10" t="str">
        <f>CONCATENATE("          ", "6114", " - ", "STATE UNEMPLOYMENT INSURANCE")</f>
        <v xml:space="preserve">          6114 - STATE UNEMPLOYMENT INSURANCE</v>
      </c>
      <c r="C175" s="10"/>
      <c r="D175" s="6">
        <v>305.79000000000002</v>
      </c>
      <c r="E175" s="2"/>
      <c r="F175" s="7">
        <f t="shared" si="36"/>
        <v>1.6619453483628537E-3</v>
      </c>
      <c r="G175" s="2"/>
      <c r="H175" s="6">
        <v>744.92</v>
      </c>
      <c r="I175" s="2"/>
      <c r="J175" s="7">
        <f t="shared" si="37"/>
        <v>1.8881808224886466E-3</v>
      </c>
      <c r="K175" s="2"/>
      <c r="L175" s="6">
        <f t="shared" si="38"/>
        <v>-439.12999999999994</v>
      </c>
      <c r="M175" s="2"/>
      <c r="N175" s="7">
        <f t="shared" si="39"/>
        <v>-0.589499543575149</v>
      </c>
      <c r="O175" s="10"/>
      <c r="P175" s="6">
        <v>3368.49</v>
      </c>
      <c r="Q175" s="2"/>
      <c r="R175" s="7">
        <f t="shared" si="40"/>
        <v>7.894292371705405E-4</v>
      </c>
      <c r="S175" s="2"/>
      <c r="T175" s="6">
        <v>5859.69</v>
      </c>
      <c r="U175" s="2"/>
      <c r="V175" s="7">
        <f t="shared" si="41"/>
        <v>5.3450554423359906E-4</v>
      </c>
      <c r="W175" s="2"/>
      <c r="X175" s="6">
        <f t="shared" si="42"/>
        <v>-2491.1999999999998</v>
      </c>
      <c r="Y175" s="2"/>
      <c r="Z175" s="7">
        <f t="shared" si="43"/>
        <v>-0.42514194436907071</v>
      </c>
    </row>
    <row r="176" spans="1:26" s="23" customFormat="1" hidden="1" outlineLevel="2" x14ac:dyDescent="0.25">
      <c r="A176" s="25"/>
      <c r="B176" s="10" t="str">
        <f>CONCATENATE("          ", "6115", " - ", "P.E.R.S.")</f>
        <v xml:space="preserve">          6115 - P.E.R.S.</v>
      </c>
      <c r="C176" s="10"/>
      <c r="D176" s="6">
        <v>6355.43</v>
      </c>
      <c r="E176" s="2"/>
      <c r="F176" s="7">
        <f t="shared" si="36"/>
        <v>3.4541277757106942E-2</v>
      </c>
      <c r="G176" s="2"/>
      <c r="H176" s="6">
        <v>9686.1200000000008</v>
      </c>
      <c r="I176" s="2"/>
      <c r="J176" s="7">
        <f t="shared" si="37"/>
        <v>2.4551825737426477E-2</v>
      </c>
      <c r="K176" s="2"/>
      <c r="L176" s="6">
        <f t="shared" si="38"/>
        <v>-3330.6900000000005</v>
      </c>
      <c r="M176" s="2"/>
      <c r="N176" s="7">
        <f t="shared" si="39"/>
        <v>-0.34386214500749529</v>
      </c>
      <c r="O176" s="10"/>
      <c r="P176" s="6">
        <v>67697.63</v>
      </c>
      <c r="Q176" s="2"/>
      <c r="R176" s="7">
        <f t="shared" si="40"/>
        <v>1.586541400127461E-2</v>
      </c>
      <c r="S176" s="2"/>
      <c r="T176" s="6">
        <v>79151.520000000004</v>
      </c>
      <c r="U176" s="2"/>
      <c r="V176" s="7">
        <f t="shared" si="41"/>
        <v>7.2199939373100977E-3</v>
      </c>
      <c r="W176" s="2"/>
      <c r="X176" s="6">
        <f t="shared" si="42"/>
        <v>-11453.89</v>
      </c>
      <c r="Y176" s="2"/>
      <c r="Z176" s="7">
        <f t="shared" si="43"/>
        <v>-0.14470840231495238</v>
      </c>
    </row>
    <row r="177" spans="1:26" s="23" customFormat="1" hidden="1" outlineLevel="2" x14ac:dyDescent="0.25">
      <c r="A177" s="25"/>
      <c r="B177" s="10" t="str">
        <f>CONCATENATE("          ", "6116", " - ", "EDUCATIONAL BENEFITS")</f>
        <v xml:space="preserve">          6116 - EDUCATIONAL BENEFITS</v>
      </c>
      <c r="C177" s="10"/>
      <c r="D177" s="6"/>
      <c r="E177" s="2"/>
      <c r="F177" s="7">
        <f t="shared" si="36"/>
        <v>0</v>
      </c>
      <c r="G177" s="2"/>
      <c r="H177" s="6"/>
      <c r="I177" s="2"/>
      <c r="J177" s="7">
        <f t="shared" si="37"/>
        <v>0</v>
      </c>
      <c r="K177" s="2"/>
      <c r="L177" s="6">
        <f t="shared" si="38"/>
        <v>0</v>
      </c>
      <c r="M177" s="2"/>
      <c r="N177" s="7">
        <f t="shared" si="39"/>
        <v>0</v>
      </c>
      <c r="O177" s="10"/>
      <c r="P177" s="6">
        <v>0</v>
      </c>
      <c r="Q177" s="2"/>
      <c r="R177" s="7">
        <f t="shared" si="40"/>
        <v>0</v>
      </c>
      <c r="S177" s="2"/>
      <c r="T177" s="6"/>
      <c r="U177" s="2"/>
      <c r="V177" s="7">
        <f t="shared" si="41"/>
        <v>0</v>
      </c>
      <c r="W177" s="2"/>
      <c r="X177" s="6">
        <f t="shared" si="42"/>
        <v>0</v>
      </c>
      <c r="Y177" s="2"/>
      <c r="Z177" s="7">
        <f t="shared" si="43"/>
        <v>0</v>
      </c>
    </row>
    <row r="178" spans="1:26" s="23" customFormat="1" hidden="1" outlineLevel="2" x14ac:dyDescent="0.25">
      <c r="A178" s="25"/>
      <c r="B178" s="10" t="str">
        <f>CONCATENATE("          ", "6117", " - ", "RETIREMENT STAFF HOURLY")</f>
        <v xml:space="preserve">          6117 - RETIREMENT STAFF HOURLY</v>
      </c>
      <c r="C178" s="10"/>
      <c r="D178" s="6">
        <v>650.84</v>
      </c>
      <c r="E178" s="2"/>
      <c r="F178" s="7">
        <f t="shared" si="36"/>
        <v>3.5372658050573259E-3</v>
      </c>
      <c r="G178" s="2"/>
      <c r="H178" s="6">
        <v>110.54</v>
      </c>
      <c r="I178" s="2"/>
      <c r="J178" s="7">
        <f t="shared" si="37"/>
        <v>2.8019050115166057E-4</v>
      </c>
      <c r="K178" s="2"/>
      <c r="L178" s="6">
        <f t="shared" si="38"/>
        <v>540.30000000000007</v>
      </c>
      <c r="M178" s="2"/>
      <c r="N178" s="7">
        <f t="shared" si="39"/>
        <v>4.8878234123394249</v>
      </c>
      <c r="O178" s="10"/>
      <c r="P178" s="6">
        <v>3401.26</v>
      </c>
      <c r="Q178" s="2"/>
      <c r="R178" s="7">
        <f t="shared" si="40"/>
        <v>7.9710911631581901E-4</v>
      </c>
      <c r="S178" s="2"/>
      <c r="T178" s="6">
        <v>1174.1099999999999</v>
      </c>
      <c r="U178" s="2"/>
      <c r="V178" s="7">
        <f t="shared" si="41"/>
        <v>1.0709923298674691E-4</v>
      </c>
      <c r="W178" s="2"/>
      <c r="X178" s="6">
        <f t="shared" si="42"/>
        <v>2227.1500000000005</v>
      </c>
      <c r="Y178" s="2"/>
      <c r="Z178" s="7">
        <f t="shared" si="43"/>
        <v>1.8968835969372553</v>
      </c>
    </row>
    <row r="179" spans="1:26" s="23" customFormat="1" hidden="1" outlineLevel="2" x14ac:dyDescent="0.25">
      <c r="A179" s="25"/>
      <c r="B179" s="10" t="str">
        <f>CONCATENATE("          ", "6118", " - ", "VACATION")</f>
        <v xml:space="preserve">          6118 - VACATION</v>
      </c>
      <c r="C179" s="10"/>
      <c r="D179" s="6">
        <v>5455.57</v>
      </c>
      <c r="E179" s="2"/>
      <c r="F179" s="7">
        <f t="shared" si="36"/>
        <v>2.9650607227731232E-2</v>
      </c>
      <c r="G179" s="2"/>
      <c r="H179" s="6">
        <v>11199.97</v>
      </c>
      <c r="I179" s="2"/>
      <c r="J179" s="7">
        <f t="shared" si="37"/>
        <v>2.8389046563990987E-2</v>
      </c>
      <c r="K179" s="2"/>
      <c r="L179" s="6">
        <f t="shared" si="38"/>
        <v>-5744.4</v>
      </c>
      <c r="M179" s="2"/>
      <c r="N179" s="7">
        <f t="shared" si="39"/>
        <v>-0.51289423096669007</v>
      </c>
      <c r="O179" s="10"/>
      <c r="P179" s="6">
        <v>52332.04</v>
      </c>
      <c r="Q179" s="2"/>
      <c r="R179" s="7">
        <f t="shared" si="40"/>
        <v>1.2264380305946647E-2</v>
      </c>
      <c r="S179" s="2"/>
      <c r="T179" s="6">
        <v>62644.31</v>
      </c>
      <c r="U179" s="2"/>
      <c r="V179" s="7">
        <f t="shared" si="41"/>
        <v>5.7142495609304065E-3</v>
      </c>
      <c r="W179" s="2"/>
      <c r="X179" s="6">
        <f t="shared" si="42"/>
        <v>-10312.269999999997</v>
      </c>
      <c r="Y179" s="2"/>
      <c r="Z179" s="7">
        <f t="shared" si="43"/>
        <v>-0.16461622771485546</v>
      </c>
    </row>
    <row r="180" spans="1:26" s="23" customFormat="1" hidden="1" outlineLevel="2" x14ac:dyDescent="0.25">
      <c r="A180" s="25"/>
      <c r="B180" s="10" t="str">
        <f>CONCATENATE("          ", "6119", " - ", "SICK LEAVE")</f>
        <v xml:space="preserve">          6119 - SICK LEAVE</v>
      </c>
      <c r="C180" s="10"/>
      <c r="D180" s="6">
        <v>3824.03</v>
      </c>
      <c r="E180" s="2"/>
      <c r="F180" s="7">
        <f t="shared" si="36"/>
        <v>2.0783311653422294E-2</v>
      </c>
      <c r="G180" s="2"/>
      <c r="H180" s="6">
        <v>-18298.84</v>
      </c>
      <c r="I180" s="2"/>
      <c r="J180" s="7">
        <f t="shared" si="37"/>
        <v>-4.6382858242211437E-2</v>
      </c>
      <c r="K180" s="2"/>
      <c r="L180" s="6">
        <f t="shared" si="38"/>
        <v>22122.87</v>
      </c>
      <c r="M180" s="2"/>
      <c r="N180" s="7">
        <f t="shared" si="39"/>
        <v>-1.2089766345844872</v>
      </c>
      <c r="O180" s="10"/>
      <c r="P180" s="6">
        <v>37415.69</v>
      </c>
      <c r="Q180" s="2"/>
      <c r="R180" s="7">
        <f t="shared" si="40"/>
        <v>8.7686291527982636E-3</v>
      </c>
      <c r="S180" s="2"/>
      <c r="T180" s="6">
        <v>21362.76</v>
      </c>
      <c r="U180" s="2"/>
      <c r="V180" s="7">
        <f t="shared" si="41"/>
        <v>1.9486549049747956E-3</v>
      </c>
      <c r="W180" s="2"/>
      <c r="X180" s="6">
        <f t="shared" si="42"/>
        <v>16052.930000000004</v>
      </c>
      <c r="Y180" s="2"/>
      <c r="Z180" s="7">
        <f t="shared" si="43"/>
        <v>0.75144456989639941</v>
      </c>
    </row>
    <row r="181" spans="1:26" s="23" customFormat="1" hidden="1" outlineLevel="2" x14ac:dyDescent="0.25">
      <c r="A181" s="25"/>
      <c r="B181" s="10" t="str">
        <f>CONCATENATE("          ", "6156", " - ", "EMPLOYEE MEALS")</f>
        <v xml:space="preserve">          6156 - EMPLOYEE MEALS</v>
      </c>
      <c r="C181" s="10"/>
      <c r="D181" s="6">
        <v>1556.92</v>
      </c>
      <c r="E181" s="2"/>
      <c r="F181" s="7">
        <f t="shared" si="36"/>
        <v>8.4617415604601003E-3</v>
      </c>
      <c r="G181" s="2"/>
      <c r="H181" s="6">
        <v>1535.21</v>
      </c>
      <c r="I181" s="2"/>
      <c r="J181" s="7">
        <f t="shared" si="37"/>
        <v>3.8913629389636406E-3</v>
      </c>
      <c r="K181" s="2"/>
      <c r="L181" s="6">
        <f t="shared" si="38"/>
        <v>21.710000000000036</v>
      </c>
      <c r="M181" s="2"/>
      <c r="N181" s="7">
        <f t="shared" si="39"/>
        <v>1.4141387823164282E-2</v>
      </c>
      <c r="O181" s="10"/>
      <c r="P181" s="6">
        <v>13222.84</v>
      </c>
      <c r="Q181" s="2"/>
      <c r="R181" s="7">
        <f t="shared" si="40"/>
        <v>3.0988652168859373E-3</v>
      </c>
      <c r="S181" s="2"/>
      <c r="T181" s="6">
        <v>22902.11</v>
      </c>
      <c r="U181" s="2"/>
      <c r="V181" s="7">
        <f t="shared" si="41"/>
        <v>2.0890703722633366E-3</v>
      </c>
      <c r="W181" s="2"/>
      <c r="X181" s="6">
        <f t="shared" si="42"/>
        <v>-9679.27</v>
      </c>
      <c r="Y181" s="2"/>
      <c r="Z181" s="7">
        <f t="shared" si="43"/>
        <v>-0.42263660422554955</v>
      </c>
    </row>
    <row r="182" spans="1:26" s="26" customFormat="1" outlineLevel="1" collapsed="1" x14ac:dyDescent="0.25">
      <c r="A182" s="27"/>
      <c r="B182" s="12" t="str">
        <f>CONCATENATE("     ","*Payroll                                          ")</f>
        <v xml:space="preserve">     *Payroll                                          </v>
      </c>
      <c r="C182" s="12"/>
      <c r="D182" s="1">
        <f>SUM(OSRRefD22_1x_0)</f>
        <v>116406.42</v>
      </c>
      <c r="E182" s="1"/>
      <c r="F182" s="5">
        <f t="shared" ref="F182:F189" si="44">IF(D$12=0,0,D182/D$12)</f>
        <v>0.63266002236362429</v>
      </c>
      <c r="G182" s="1"/>
      <c r="H182" s="1">
        <f>SUM(OSRRefH22_1x_0)</f>
        <v>228764.61</v>
      </c>
      <c r="I182" s="1"/>
      <c r="J182" s="5">
        <f t="shared" ref="J182:J189" si="45">IF(H$12=0,0,H182/H$12)</f>
        <v>0.57985951439898842</v>
      </c>
      <c r="K182" s="1"/>
      <c r="L182" s="1">
        <f t="shared" ref="L182:L189" si="46">+D182-H182</f>
        <v>-112358.18999999999</v>
      </c>
      <c r="M182" s="1"/>
      <c r="N182" s="5">
        <f t="shared" ref="N182:N189" si="47">IF(H182=0,0,L182/H182)</f>
        <v>-0.4911519749492721</v>
      </c>
      <c r="O182" s="12"/>
      <c r="P182" s="1">
        <f>SUM(OSRRefP22_1x_0)</f>
        <v>1165022.1800000002</v>
      </c>
      <c r="Q182" s="1"/>
      <c r="R182" s="5">
        <f t="shared" ref="R182:R189" si="48">IF(P$12=0,0,P182/P$12)</f>
        <v>0.273031112113784</v>
      </c>
      <c r="S182" s="1"/>
      <c r="T182" s="1">
        <f>SUM(OSRRefT22_1x_0)</f>
        <v>2116049.77</v>
      </c>
      <c r="U182" s="1"/>
      <c r="V182" s="5">
        <f t="shared" ref="V182:V189" si="49">IF(T$12=0,0,T182/T$12)</f>
        <v>0.19302050687651262</v>
      </c>
      <c r="W182" s="1"/>
      <c r="X182" s="1">
        <f t="shared" ref="X182:X189" si="50">+P182-T182</f>
        <v>-951027.58999999985</v>
      </c>
      <c r="Y182" s="1"/>
      <c r="Z182" s="5">
        <f t="shared" ref="Z182:Z189" si="51">IF(T182=0,0,X182/T182)</f>
        <v>-0.44943535992539524</v>
      </c>
    </row>
    <row r="183" spans="1:26" s="23" customFormat="1" hidden="1" outlineLevel="2" x14ac:dyDescent="0.25">
      <c r="A183" s="25"/>
      <c r="B183" s="10" t="str">
        <f>CONCATENATE("          ", "6001", " - ", "ADMINISTRATIVE SALARIES")</f>
        <v xml:space="preserve">          6001 - ADMINISTRATIVE SALARIES</v>
      </c>
      <c r="C183" s="10"/>
      <c r="D183" s="6">
        <v>4279.74</v>
      </c>
      <c r="E183" s="2"/>
      <c r="F183" s="7">
        <f t="shared" si="44"/>
        <v>2.3260060777665847E-2</v>
      </c>
      <c r="G183" s="2"/>
      <c r="H183" s="6">
        <v>4822.2</v>
      </c>
      <c r="I183" s="2"/>
      <c r="J183" s="7">
        <f t="shared" si="45"/>
        <v>1.2223038127859033E-2</v>
      </c>
      <c r="K183" s="2"/>
      <c r="L183" s="6">
        <f t="shared" si="46"/>
        <v>-542.46</v>
      </c>
      <c r="M183" s="2"/>
      <c r="N183" s="7">
        <f t="shared" si="47"/>
        <v>-0.1124922234664676</v>
      </c>
      <c r="O183" s="10"/>
      <c r="P183" s="6">
        <v>38776.33</v>
      </c>
      <c r="Q183" s="2"/>
      <c r="R183" s="7">
        <f t="shared" si="48"/>
        <v>9.0875046718776505E-3</v>
      </c>
      <c r="S183" s="2"/>
      <c r="T183" s="6">
        <v>93238.31</v>
      </c>
      <c r="U183" s="2"/>
      <c r="V183" s="7">
        <f t="shared" si="49"/>
        <v>8.5049539531905308E-3</v>
      </c>
      <c r="W183" s="2"/>
      <c r="X183" s="6">
        <f t="shared" si="50"/>
        <v>-54461.979999999996</v>
      </c>
      <c r="Y183" s="2"/>
      <c r="Z183" s="7">
        <f t="shared" si="51"/>
        <v>-0.58411590686274772</v>
      </c>
    </row>
    <row r="184" spans="1:26" s="23" customFormat="1" hidden="1" outlineLevel="2" x14ac:dyDescent="0.25">
      <c r="A184" s="25"/>
      <c r="B184" s="10" t="str">
        <f>CONCATENATE("          ", "6002", " - ", "STAFF SALARIES")</f>
        <v xml:space="preserve">          6002 - STAFF SALARIES</v>
      </c>
      <c r="C184" s="10"/>
      <c r="D184" s="6">
        <v>59850.43</v>
      </c>
      <c r="E184" s="2"/>
      <c r="F184" s="7">
        <f t="shared" si="44"/>
        <v>0.32528252636128252</v>
      </c>
      <c r="G184" s="2"/>
      <c r="H184" s="6">
        <v>68192.09</v>
      </c>
      <c r="I184" s="2"/>
      <c r="J184" s="7">
        <f t="shared" si="45"/>
        <v>0.17284942890970817</v>
      </c>
      <c r="K184" s="2"/>
      <c r="L184" s="6">
        <f t="shared" si="46"/>
        <v>-8341.6599999999962</v>
      </c>
      <c r="M184" s="2"/>
      <c r="N184" s="7">
        <f t="shared" si="47"/>
        <v>-0.12232591785938804</v>
      </c>
      <c r="O184" s="10"/>
      <c r="P184" s="6">
        <v>574703.89</v>
      </c>
      <c r="Q184" s="2"/>
      <c r="R184" s="7">
        <f t="shared" si="48"/>
        <v>0.13468588402567391</v>
      </c>
      <c r="S184" s="2"/>
      <c r="T184" s="6">
        <v>662890.69999999995</v>
      </c>
      <c r="U184" s="2"/>
      <c r="V184" s="7">
        <f t="shared" si="49"/>
        <v>6.0467150031979749E-2</v>
      </c>
      <c r="W184" s="2"/>
      <c r="X184" s="6">
        <f t="shared" si="50"/>
        <v>-88186.809999999939</v>
      </c>
      <c r="Y184" s="2"/>
      <c r="Z184" s="7">
        <f t="shared" si="51"/>
        <v>-0.13303371128905556</v>
      </c>
    </row>
    <row r="185" spans="1:26" s="23" customFormat="1" hidden="1" outlineLevel="2" x14ac:dyDescent="0.25">
      <c r="A185" s="25"/>
      <c r="B185" s="10" t="str">
        <f>CONCATENATE("          ", "6004", " - ", "STAFF HOURLY")</f>
        <v xml:space="preserve">          6004 - STAFF HOURLY</v>
      </c>
      <c r="C185" s="10"/>
      <c r="D185" s="6">
        <v>11915.7</v>
      </c>
      <c r="E185" s="2"/>
      <c r="F185" s="7">
        <f t="shared" si="44"/>
        <v>6.4760921506547817E-2</v>
      </c>
      <c r="G185" s="2"/>
      <c r="H185" s="6">
        <v>9353.7000000000007</v>
      </c>
      <c r="I185" s="2"/>
      <c r="J185" s="7">
        <f t="shared" si="45"/>
        <v>2.3709226439499617E-2</v>
      </c>
      <c r="K185" s="2"/>
      <c r="L185" s="6">
        <f t="shared" si="46"/>
        <v>2562</v>
      </c>
      <c r="M185" s="2"/>
      <c r="N185" s="7">
        <f t="shared" si="47"/>
        <v>0.27390230603932131</v>
      </c>
      <c r="O185" s="10"/>
      <c r="P185" s="6">
        <v>137508.13</v>
      </c>
      <c r="Q185" s="2"/>
      <c r="R185" s="7">
        <f t="shared" si="48"/>
        <v>3.2225993893598474E-2</v>
      </c>
      <c r="S185" s="2"/>
      <c r="T185" s="6">
        <v>38778.269999999997</v>
      </c>
      <c r="U185" s="2"/>
      <c r="V185" s="7">
        <f t="shared" si="49"/>
        <v>3.5372520237055964E-3</v>
      </c>
      <c r="W185" s="2"/>
      <c r="X185" s="6">
        <f t="shared" si="50"/>
        <v>98729.860000000015</v>
      </c>
      <c r="Y185" s="2"/>
      <c r="Z185" s="7">
        <f t="shared" si="51"/>
        <v>2.5460099174099313</v>
      </c>
    </row>
    <row r="186" spans="1:26" s="23" customFormat="1" hidden="1" outlineLevel="2" x14ac:dyDescent="0.25">
      <c r="A186" s="25"/>
      <c r="B186" s="10" t="str">
        <f>CONCATENATE("          ", "6005", " - ", "TEMPORARY WAGES-HOURLY")</f>
        <v xml:space="preserve">          6005 - TEMPORARY WAGES-HOURLY</v>
      </c>
      <c r="C186" s="10"/>
      <c r="D186" s="6">
        <v>13818.91</v>
      </c>
      <c r="E186" s="2"/>
      <c r="F186" s="7">
        <f t="shared" si="44"/>
        <v>7.51047228292126E-2</v>
      </c>
      <c r="G186" s="2"/>
      <c r="H186" s="6">
        <v>30390.27</v>
      </c>
      <c r="I186" s="2"/>
      <c r="J186" s="7">
        <f t="shared" si="45"/>
        <v>7.7031526881077214E-2</v>
      </c>
      <c r="K186" s="2"/>
      <c r="L186" s="6">
        <f t="shared" si="46"/>
        <v>-16571.36</v>
      </c>
      <c r="M186" s="2"/>
      <c r="N186" s="7">
        <f t="shared" si="47"/>
        <v>-0.54528505340689637</v>
      </c>
      <c r="O186" s="10"/>
      <c r="P186" s="6">
        <v>138358.94</v>
      </c>
      <c r="Q186" s="2"/>
      <c r="R186" s="7">
        <f t="shared" si="48"/>
        <v>3.2425387179396289E-2</v>
      </c>
      <c r="S186" s="2"/>
      <c r="T186" s="6">
        <v>233823.25</v>
      </c>
      <c r="U186" s="2"/>
      <c r="V186" s="7">
        <f t="shared" si="49"/>
        <v>2.1328743243365929E-2</v>
      </c>
      <c r="W186" s="2"/>
      <c r="X186" s="6">
        <f t="shared" si="50"/>
        <v>-95464.31</v>
      </c>
      <c r="Y186" s="2"/>
      <c r="Z186" s="7">
        <f t="shared" si="51"/>
        <v>-0.40827552435440018</v>
      </c>
    </row>
    <row r="187" spans="1:26" s="23" customFormat="1" hidden="1" outlineLevel="2" x14ac:dyDescent="0.25">
      <c r="A187" s="25"/>
      <c r="B187" s="10" t="str">
        <f>CONCATENATE("          ", "6006", " - ", "TEMPORARY PART TIME")</f>
        <v xml:space="preserve">          6006 - TEMPORARY PART TIME</v>
      </c>
      <c r="C187" s="10"/>
      <c r="D187" s="6">
        <v>2022.89</v>
      </c>
      <c r="E187" s="2"/>
      <c r="F187" s="7">
        <f t="shared" si="44"/>
        <v>1.099425300287692E-2</v>
      </c>
      <c r="G187" s="2"/>
      <c r="H187" s="6">
        <v>12383.53</v>
      </c>
      <c r="I187" s="2"/>
      <c r="J187" s="7">
        <f t="shared" si="45"/>
        <v>3.138906709541002E-2</v>
      </c>
      <c r="K187" s="2"/>
      <c r="L187" s="6">
        <f t="shared" si="46"/>
        <v>-10360.640000000001</v>
      </c>
      <c r="M187" s="2"/>
      <c r="N187" s="7">
        <f t="shared" si="47"/>
        <v>-0.83664673966146974</v>
      </c>
      <c r="O187" s="10"/>
      <c r="P187" s="6">
        <v>14053.29</v>
      </c>
      <c r="Q187" s="2"/>
      <c r="R187" s="7">
        <f t="shared" si="48"/>
        <v>3.2934869940051438E-3</v>
      </c>
      <c r="S187" s="2"/>
      <c r="T187" s="6">
        <v>51632.29</v>
      </c>
      <c r="U187" s="2"/>
      <c r="V187" s="7">
        <f t="shared" si="49"/>
        <v>4.7097619953405416E-3</v>
      </c>
      <c r="W187" s="2"/>
      <c r="X187" s="6">
        <f t="shared" si="50"/>
        <v>-37579</v>
      </c>
      <c r="Y187" s="2"/>
      <c r="Z187" s="7">
        <f t="shared" si="51"/>
        <v>-0.72781974225818769</v>
      </c>
    </row>
    <row r="188" spans="1:26" s="23" customFormat="1" hidden="1" outlineLevel="2" x14ac:dyDescent="0.25">
      <c r="A188" s="25"/>
      <c r="B188" s="10" t="str">
        <f>CONCATENATE("          ", "6007", " - ", "STUDENT HOURLY")</f>
        <v xml:space="preserve">          6007 - STUDENT HOURLY</v>
      </c>
      <c r="C188" s="10"/>
      <c r="D188" s="6">
        <v>23406.38</v>
      </c>
      <c r="E188" s="2"/>
      <c r="F188" s="7">
        <f t="shared" si="44"/>
        <v>0.12721189170023001</v>
      </c>
      <c r="G188" s="2"/>
      <c r="H188" s="6">
        <v>100878.52</v>
      </c>
      <c r="I188" s="2"/>
      <c r="J188" s="7">
        <f t="shared" si="45"/>
        <v>0.25570113148396795</v>
      </c>
      <c r="K188" s="2"/>
      <c r="L188" s="6">
        <f t="shared" si="46"/>
        <v>-77472.14</v>
      </c>
      <c r="M188" s="2"/>
      <c r="N188" s="7">
        <f t="shared" si="47"/>
        <v>-0.76797458963513732</v>
      </c>
      <c r="O188" s="10"/>
      <c r="P188" s="6">
        <v>253209.98</v>
      </c>
      <c r="Q188" s="2"/>
      <c r="R188" s="7">
        <f t="shared" si="48"/>
        <v>5.9341533255366008E-2</v>
      </c>
      <c r="S188" s="2"/>
      <c r="T188" s="6">
        <v>1009526.14</v>
      </c>
      <c r="U188" s="2"/>
      <c r="V188" s="7">
        <f t="shared" si="49"/>
        <v>9.2086325194463275E-2</v>
      </c>
      <c r="W188" s="2"/>
      <c r="X188" s="6">
        <f t="shared" si="50"/>
        <v>-756316.16000000003</v>
      </c>
      <c r="Y188" s="2"/>
      <c r="Z188" s="7">
        <f t="shared" si="51"/>
        <v>-0.74917937241327903</v>
      </c>
    </row>
    <row r="189" spans="1:26" s="23" customFormat="1" hidden="1" outlineLevel="2" x14ac:dyDescent="0.25">
      <c r="A189" s="25"/>
      <c r="B189" s="10" t="str">
        <f>CONCATENATE("          ", "6008", " - ", "STUDENT HOURLY-FICA EXEMPT")</f>
        <v xml:space="preserve">          6008 - STUDENT HOURLY-FICA EXEMPT</v>
      </c>
      <c r="C189" s="10"/>
      <c r="D189" s="6">
        <v>1112.3699999999999</v>
      </c>
      <c r="E189" s="2"/>
      <c r="F189" s="7">
        <f t="shared" si="44"/>
        <v>6.0456461858085205E-3</v>
      </c>
      <c r="G189" s="2"/>
      <c r="H189" s="6">
        <v>2744.3</v>
      </c>
      <c r="I189" s="2"/>
      <c r="J189" s="7">
        <f t="shared" si="45"/>
        <v>6.9560954614664569E-3</v>
      </c>
      <c r="K189" s="2"/>
      <c r="L189" s="6">
        <f t="shared" si="46"/>
        <v>-1631.9300000000003</v>
      </c>
      <c r="M189" s="2"/>
      <c r="N189" s="7">
        <f t="shared" si="47"/>
        <v>-0.59466166235469886</v>
      </c>
      <c r="O189" s="10"/>
      <c r="P189" s="6">
        <v>8411.6200000000008</v>
      </c>
      <c r="Q189" s="2"/>
      <c r="R189" s="7">
        <f t="shared" si="48"/>
        <v>1.9713220938665289E-3</v>
      </c>
      <c r="S189" s="2"/>
      <c r="T189" s="6">
        <v>26160.81</v>
      </c>
      <c r="U189" s="2"/>
      <c r="V189" s="7">
        <f t="shared" si="49"/>
        <v>2.3863204344669736E-3</v>
      </c>
      <c r="W189" s="2"/>
      <c r="X189" s="6">
        <f t="shared" si="50"/>
        <v>-17749.190000000002</v>
      </c>
      <c r="Y189" s="2"/>
      <c r="Z189" s="7">
        <f t="shared" si="51"/>
        <v>-0.67846484875659441</v>
      </c>
    </row>
    <row r="190" spans="1:26" s="26" customFormat="1" outlineLevel="1" collapsed="1" x14ac:dyDescent="0.25">
      <c r="A190" s="27"/>
      <c r="B190" s="12" t="str">
        <f>CONCATENATE("     ","Advertising/Promo                                 ")</f>
        <v xml:space="preserve">     Advertising/Promo                                 </v>
      </c>
      <c r="C190" s="12"/>
      <c r="D190" s="1">
        <f>SUM(OSRRefD22_2x_0)</f>
        <v>73.430000000000007</v>
      </c>
      <c r="E190" s="1"/>
      <c r="F190" s="5">
        <f t="shared" ref="F190:F194" si="52">IF(D$12=0,0,D190/D$12)</f>
        <v>3.990864545285469E-4</v>
      </c>
      <c r="G190" s="1"/>
      <c r="H190" s="1">
        <f>SUM(OSRRefH22_2x_0)</f>
        <v>553.02</v>
      </c>
      <c r="I190" s="1"/>
      <c r="J190" s="5">
        <f t="shared" ref="J190:J194" si="53">IF(H$12=0,0,H190/H$12)</f>
        <v>1.4017636235470537E-3</v>
      </c>
      <c r="K190" s="1"/>
      <c r="L190" s="1">
        <f t="shared" ref="L190:L194" si="54">+D190-H190</f>
        <v>-479.59</v>
      </c>
      <c r="M190" s="1"/>
      <c r="N190" s="5">
        <f t="shared" ref="N190:N194" si="55">IF(H190=0,0,L190/H190)</f>
        <v>-0.86721999204368738</v>
      </c>
      <c r="O190" s="12"/>
      <c r="P190" s="1">
        <f>SUM(OSRRefP22_2x_0)</f>
        <v>16222.22</v>
      </c>
      <c r="Q190" s="1"/>
      <c r="R190" s="5">
        <f t="shared" ref="R190:R194" si="56">IF(P$12=0,0,P190/P$12)</f>
        <v>3.8017909389111105E-3</v>
      </c>
      <c r="S190" s="1"/>
      <c r="T190" s="1">
        <f>SUM(OSRRefT22_2x_0)</f>
        <v>47250.18</v>
      </c>
      <c r="U190" s="1"/>
      <c r="V190" s="5">
        <f t="shared" ref="V190:V194" si="57">IF(T$12=0,0,T190/T$12)</f>
        <v>4.3100374210983039E-3</v>
      </c>
      <c r="W190" s="1"/>
      <c r="X190" s="1">
        <f t="shared" ref="X190:X194" si="58">+P190-T190</f>
        <v>-31027.96</v>
      </c>
      <c r="Y190" s="1"/>
      <c r="Z190" s="5">
        <f t="shared" ref="Z190:Z194" si="59">IF(T190=0,0,X190/T190)</f>
        <v>-0.65667390050154306</v>
      </c>
    </row>
    <row r="191" spans="1:26" s="23" customFormat="1" hidden="1" outlineLevel="2" x14ac:dyDescent="0.25">
      <c r="A191" s="25"/>
      <c r="B191" s="10" t="str">
        <f>CONCATENATE("          ", "6362", " - ", "ADVERTISING EXPENSE")</f>
        <v xml:space="preserve">          6362 - ADVERTISING EXPENSE</v>
      </c>
      <c r="C191" s="10"/>
      <c r="D191" s="6">
        <v>73.430000000000007</v>
      </c>
      <c r="E191" s="2"/>
      <c r="F191" s="7">
        <f t="shared" si="52"/>
        <v>3.990864545285469E-4</v>
      </c>
      <c r="G191" s="2"/>
      <c r="H191" s="6">
        <v>553.02</v>
      </c>
      <c r="I191" s="2"/>
      <c r="J191" s="7">
        <f t="shared" si="53"/>
        <v>1.4017636235470537E-3</v>
      </c>
      <c r="K191" s="2"/>
      <c r="L191" s="6">
        <f t="shared" si="54"/>
        <v>-479.59</v>
      </c>
      <c r="M191" s="2"/>
      <c r="N191" s="7">
        <f t="shared" si="55"/>
        <v>-0.86721999204368738</v>
      </c>
      <c r="O191" s="10"/>
      <c r="P191" s="6">
        <v>16222.22</v>
      </c>
      <c r="Q191" s="2"/>
      <c r="R191" s="7">
        <f t="shared" si="56"/>
        <v>3.8017909389111105E-3</v>
      </c>
      <c r="S191" s="2"/>
      <c r="T191" s="6">
        <v>47250.18</v>
      </c>
      <c r="U191" s="2"/>
      <c r="V191" s="7">
        <f t="shared" si="57"/>
        <v>4.3100374210983039E-3</v>
      </c>
      <c r="W191" s="2"/>
      <c r="X191" s="6">
        <f t="shared" si="58"/>
        <v>-31027.96</v>
      </c>
      <c r="Y191" s="2"/>
      <c r="Z191" s="7">
        <f t="shared" si="59"/>
        <v>-0.65667390050154306</v>
      </c>
    </row>
    <row r="192" spans="1:26" s="26" customFormat="1" outlineLevel="1" collapsed="1" x14ac:dyDescent="0.25">
      <c r="A192" s="27"/>
      <c r="B192" s="12" t="str">
        <f>CONCATENATE("     ","Bad Debts/Over/Short                              ")</f>
        <v xml:space="preserve">     Bad Debts/Over/Short                              </v>
      </c>
      <c r="C192" s="12"/>
      <c r="D192" s="1">
        <f>SUM(OSRRefD22_3x_0)</f>
        <v>-16.510000000000002</v>
      </c>
      <c r="E192" s="1"/>
      <c r="F192" s="5">
        <f t="shared" si="52"/>
        <v>-8.9730591914289931E-5</v>
      </c>
      <c r="G192" s="1"/>
      <c r="H192" s="1">
        <f>SUM(OSRRefH22_3x_0)</f>
        <v>-92.41</v>
      </c>
      <c r="I192" s="1"/>
      <c r="J192" s="5">
        <f t="shared" si="53"/>
        <v>-2.3423560893273885E-4</v>
      </c>
      <c r="K192" s="1"/>
      <c r="L192" s="1">
        <f t="shared" si="54"/>
        <v>75.899999999999991</v>
      </c>
      <c r="M192" s="1"/>
      <c r="N192" s="5">
        <f t="shared" si="55"/>
        <v>-0.8213396818526133</v>
      </c>
      <c r="O192" s="12"/>
      <c r="P192" s="1">
        <f>SUM(OSRRefP22_3x_0)</f>
        <v>5187.26</v>
      </c>
      <c r="Q192" s="1"/>
      <c r="R192" s="5">
        <f t="shared" si="56"/>
        <v>1.2156707322287608E-3</v>
      </c>
      <c r="S192" s="1"/>
      <c r="T192" s="1">
        <f>SUM(OSRRefT22_3x_0)</f>
        <v>-459.94</v>
      </c>
      <c r="U192" s="1"/>
      <c r="V192" s="5">
        <f t="shared" si="57"/>
        <v>-4.1954519780876047E-5</v>
      </c>
      <c r="W192" s="1"/>
      <c r="X192" s="1">
        <f t="shared" si="58"/>
        <v>5647.2</v>
      </c>
      <c r="Y192" s="1"/>
      <c r="Z192" s="5">
        <f t="shared" si="59"/>
        <v>-12.278123233465234</v>
      </c>
    </row>
    <row r="193" spans="1:26" s="23" customFormat="1" hidden="1" outlineLevel="2" x14ac:dyDescent="0.25">
      <c r="A193" s="25"/>
      <c r="B193" s="10" t="str">
        <f>CONCATENATE("          ", "6272", " - ", "CASH (OVER/SHORT)")</f>
        <v xml:space="preserve">          6272 - CASH (OVER/SHORT)</v>
      </c>
      <c r="C193" s="10"/>
      <c r="D193" s="6">
        <v>-16.510000000000002</v>
      </c>
      <c r="E193" s="2"/>
      <c r="F193" s="7">
        <f t="shared" si="52"/>
        <v>-8.9730591914289931E-5</v>
      </c>
      <c r="G193" s="2"/>
      <c r="H193" s="6">
        <v>-92.41</v>
      </c>
      <c r="I193" s="2"/>
      <c r="J193" s="7">
        <f t="shared" si="53"/>
        <v>-2.3423560893273885E-4</v>
      </c>
      <c r="K193" s="2"/>
      <c r="L193" s="6">
        <f t="shared" si="54"/>
        <v>75.899999999999991</v>
      </c>
      <c r="M193" s="2"/>
      <c r="N193" s="7">
        <f t="shared" si="55"/>
        <v>-0.8213396818526133</v>
      </c>
      <c r="O193" s="10"/>
      <c r="P193" s="6">
        <v>-162.16</v>
      </c>
      <c r="Q193" s="2"/>
      <c r="R193" s="7">
        <f t="shared" si="56"/>
        <v>-3.8003332383226569E-5</v>
      </c>
      <c r="S193" s="2"/>
      <c r="T193" s="6">
        <v>-504.74</v>
      </c>
      <c r="U193" s="2"/>
      <c r="V193" s="7">
        <f t="shared" si="57"/>
        <v>-4.6041058212374173E-5</v>
      </c>
      <c r="W193" s="2"/>
      <c r="X193" s="6">
        <f t="shared" si="58"/>
        <v>342.58000000000004</v>
      </c>
      <c r="Y193" s="2"/>
      <c r="Z193" s="7">
        <f t="shared" si="59"/>
        <v>-0.67872568054840121</v>
      </c>
    </row>
    <row r="194" spans="1:26" s="23" customFormat="1" hidden="1" outlineLevel="2" x14ac:dyDescent="0.25">
      <c r="A194" s="25"/>
      <c r="B194" s="10" t="str">
        <f>CONCATENATE("          ", "6342", " - ", "BAD DEBT")</f>
        <v xml:space="preserve">          6342 - BAD DEBT</v>
      </c>
      <c r="C194" s="10"/>
      <c r="D194" s="6"/>
      <c r="E194" s="2"/>
      <c r="F194" s="7">
        <f t="shared" si="52"/>
        <v>0</v>
      </c>
      <c r="G194" s="2"/>
      <c r="H194" s="6"/>
      <c r="I194" s="2"/>
      <c r="J194" s="7">
        <f t="shared" si="53"/>
        <v>0</v>
      </c>
      <c r="K194" s="2"/>
      <c r="L194" s="6">
        <f t="shared" si="54"/>
        <v>0</v>
      </c>
      <c r="M194" s="2"/>
      <c r="N194" s="7">
        <f t="shared" si="55"/>
        <v>0</v>
      </c>
      <c r="O194" s="10"/>
      <c r="P194" s="6">
        <v>5349.42</v>
      </c>
      <c r="Q194" s="2"/>
      <c r="R194" s="7">
        <f t="shared" si="56"/>
        <v>1.2536740646119874E-3</v>
      </c>
      <c r="S194" s="2"/>
      <c r="T194" s="6">
        <v>44.8</v>
      </c>
      <c r="U194" s="2"/>
      <c r="V194" s="7">
        <f t="shared" si="57"/>
        <v>4.0865384314981231E-6</v>
      </c>
      <c r="W194" s="2"/>
      <c r="X194" s="6">
        <f t="shared" si="58"/>
        <v>5304.62</v>
      </c>
      <c r="Y194" s="2"/>
      <c r="Z194" s="7">
        <f t="shared" si="59"/>
        <v>118.40669642857144</v>
      </c>
    </row>
    <row r="195" spans="1:26" s="26" customFormat="1" outlineLevel="1" collapsed="1" x14ac:dyDescent="0.25">
      <c r="A195" s="27"/>
      <c r="B195" s="12" t="str">
        <f>CONCATENATE("     ","Bank/card Fees                                    ")</f>
        <v xml:space="preserve">     Bank/card Fees                                    </v>
      </c>
      <c r="C195" s="12"/>
      <c r="D195" s="1">
        <f>SUM(OSRRefD22_4x_0)</f>
        <v>4048.88</v>
      </c>
      <c r="E195" s="1"/>
      <c r="F195" s="5">
        <f t="shared" ref="F195:F200" si="60">IF(D$12=0,0,D195/D$12)</f>
        <v>2.2005354269529386E-2</v>
      </c>
      <c r="G195" s="1"/>
      <c r="H195" s="1">
        <f>SUM(OSRRefH22_4x_0)</f>
        <v>14493.32</v>
      </c>
      <c r="I195" s="1"/>
      <c r="J195" s="5">
        <f t="shared" ref="J195:J200" si="61">IF(H$12=0,0,H195/H$12)</f>
        <v>3.6736842718937804E-2</v>
      </c>
      <c r="K195" s="1"/>
      <c r="L195" s="1">
        <f t="shared" ref="L195:L200" si="62">+D195-H195</f>
        <v>-10444.439999999999</v>
      </c>
      <c r="M195" s="1"/>
      <c r="N195" s="5">
        <f t="shared" ref="N195:N200" si="63">IF(H195=0,0,L195/H195)</f>
        <v>-0.72063819745924318</v>
      </c>
      <c r="O195" s="12"/>
      <c r="P195" s="1">
        <f>SUM(OSRRefP22_4x_0)</f>
        <v>70913.19</v>
      </c>
      <c r="Q195" s="1"/>
      <c r="R195" s="5">
        <f t="shared" ref="R195:R200" si="64">IF(P$12=0,0,P195/P$12)</f>
        <v>1.6619003021243823E-2</v>
      </c>
      <c r="S195" s="1"/>
      <c r="T195" s="1">
        <f>SUM(OSRRefT22_4x_0)</f>
        <v>226248.54</v>
      </c>
      <c r="U195" s="1"/>
      <c r="V195" s="5">
        <f t="shared" ref="V195:V200" si="65">IF(T$12=0,0,T195/T$12)</f>
        <v>2.0637798075454027E-2</v>
      </c>
      <c r="W195" s="1"/>
      <c r="X195" s="1">
        <f t="shared" ref="X195:X200" si="66">+P195-T195</f>
        <v>-155335.35</v>
      </c>
      <c r="Y195" s="1"/>
      <c r="Z195" s="5">
        <f t="shared" ref="Z195:Z200" si="67">IF(T195=0,0,X195/T195)</f>
        <v>-0.68656951333255012</v>
      </c>
    </row>
    <row r="196" spans="1:26" s="23" customFormat="1" hidden="1" outlineLevel="2" x14ac:dyDescent="0.25">
      <c r="A196" s="25"/>
      <c r="B196" s="10" t="str">
        <f>CONCATENATE("          ", "6381", " - ", "BANK/CREDIT CARD FEES")</f>
        <v xml:space="preserve">          6381 - BANK/CREDIT CARD FEES</v>
      </c>
      <c r="C196" s="10"/>
      <c r="D196" s="6">
        <v>4048.88</v>
      </c>
      <c r="E196" s="2"/>
      <c r="F196" s="7">
        <f t="shared" si="60"/>
        <v>2.2005354269529386E-2</v>
      </c>
      <c r="G196" s="2"/>
      <c r="H196" s="6">
        <v>14493.32</v>
      </c>
      <c r="I196" s="2"/>
      <c r="J196" s="7">
        <f t="shared" si="61"/>
        <v>3.6736842718937804E-2</v>
      </c>
      <c r="K196" s="2"/>
      <c r="L196" s="6">
        <f t="shared" si="62"/>
        <v>-10444.439999999999</v>
      </c>
      <c r="M196" s="2"/>
      <c r="N196" s="7">
        <f t="shared" si="63"/>
        <v>-0.72063819745924318</v>
      </c>
      <c r="O196" s="10"/>
      <c r="P196" s="6">
        <v>70913.19</v>
      </c>
      <c r="Q196" s="2"/>
      <c r="R196" s="7">
        <f t="shared" si="64"/>
        <v>1.6619003021243823E-2</v>
      </c>
      <c r="S196" s="2"/>
      <c r="T196" s="6">
        <v>226248.54</v>
      </c>
      <c r="U196" s="2"/>
      <c r="V196" s="7">
        <f t="shared" si="65"/>
        <v>2.0637798075454027E-2</v>
      </c>
      <c r="W196" s="2"/>
      <c r="X196" s="6">
        <f t="shared" si="66"/>
        <v>-155335.35</v>
      </c>
      <c r="Y196" s="2"/>
      <c r="Z196" s="7">
        <f t="shared" si="67"/>
        <v>-0.68656951333255012</v>
      </c>
    </row>
    <row r="197" spans="1:26" s="26" customFormat="1" outlineLevel="1" collapsed="1" x14ac:dyDescent="0.25">
      <c r="A197" s="27"/>
      <c r="B197" s="12" t="str">
        <f>CONCATENATE("     ","Depreciation                                      ")</f>
        <v xml:space="preserve">     Depreciation                                      </v>
      </c>
      <c r="C197" s="12"/>
      <c r="D197" s="1">
        <f>SUM(OSRRefD22_5x_0)</f>
        <v>39887.94</v>
      </c>
      <c r="E197" s="1"/>
      <c r="F197" s="5">
        <f t="shared" si="60"/>
        <v>0.21678791438168876</v>
      </c>
      <c r="G197" s="1"/>
      <c r="H197" s="1">
        <f>SUM(OSRRefH22_5x_0)</f>
        <v>39522.879999999997</v>
      </c>
      <c r="I197" s="1"/>
      <c r="J197" s="5">
        <f t="shared" si="61"/>
        <v>0.1001803469708426</v>
      </c>
      <c r="K197" s="1"/>
      <c r="L197" s="1">
        <f t="shared" si="62"/>
        <v>365.06000000000495</v>
      </c>
      <c r="M197" s="1"/>
      <c r="N197" s="5">
        <f t="shared" si="63"/>
        <v>9.2366750601172026E-3</v>
      </c>
      <c r="O197" s="12"/>
      <c r="P197" s="1">
        <f>SUM(OSRRefP22_5x_0)</f>
        <v>359468.23</v>
      </c>
      <c r="Q197" s="1"/>
      <c r="R197" s="5">
        <f t="shared" si="64"/>
        <v>8.4243898778367882E-2</v>
      </c>
      <c r="S197" s="1"/>
      <c r="T197" s="1">
        <f>SUM(OSRRefT22_5x_0)</f>
        <v>345070.95999999996</v>
      </c>
      <c r="U197" s="1"/>
      <c r="V197" s="5">
        <f t="shared" si="65"/>
        <v>3.1476467402543562E-2</v>
      </c>
      <c r="W197" s="1"/>
      <c r="X197" s="1">
        <f t="shared" si="66"/>
        <v>14397.270000000019</v>
      </c>
      <c r="Y197" s="1"/>
      <c r="Z197" s="5">
        <f t="shared" si="67"/>
        <v>4.1722635831192574E-2</v>
      </c>
    </row>
    <row r="198" spans="1:26" s="23" customFormat="1" hidden="1" outlineLevel="2" x14ac:dyDescent="0.25">
      <c r="A198" s="25"/>
      <c r="B198" s="10" t="str">
        <f>CONCATENATE("          ", "6321", " - ", "BUILDING DEPRECIATION")</f>
        <v xml:space="preserve">          6321 - BUILDING DEPRECIATION</v>
      </c>
      <c r="C198" s="10"/>
      <c r="D198" s="6">
        <v>21477.03</v>
      </c>
      <c r="E198" s="2"/>
      <c r="F198" s="7">
        <f t="shared" si="60"/>
        <v>0.11672602146947074</v>
      </c>
      <c r="G198" s="2"/>
      <c r="H198" s="6">
        <v>21477.03</v>
      </c>
      <c r="I198" s="2"/>
      <c r="J198" s="7">
        <f t="shared" si="61"/>
        <v>5.4438753382931505E-2</v>
      </c>
      <c r="K198" s="2"/>
      <c r="L198" s="6">
        <f t="shared" si="62"/>
        <v>0</v>
      </c>
      <c r="M198" s="2"/>
      <c r="N198" s="7">
        <f t="shared" si="63"/>
        <v>0</v>
      </c>
      <c r="O198" s="10"/>
      <c r="P198" s="6">
        <v>193293.27</v>
      </c>
      <c r="Q198" s="2"/>
      <c r="R198" s="7">
        <f t="shared" si="64"/>
        <v>4.5299632383144772E-2</v>
      </c>
      <c r="S198" s="2"/>
      <c r="T198" s="6">
        <v>193293.27</v>
      </c>
      <c r="U198" s="2"/>
      <c r="V198" s="7">
        <f t="shared" si="65"/>
        <v>1.7631704830467481E-2</v>
      </c>
      <c r="W198" s="2"/>
      <c r="X198" s="6">
        <f t="shared" si="66"/>
        <v>0</v>
      </c>
      <c r="Y198" s="2"/>
      <c r="Z198" s="7">
        <f t="shared" si="67"/>
        <v>0</v>
      </c>
    </row>
    <row r="199" spans="1:26" s="23" customFormat="1" hidden="1" outlineLevel="2" x14ac:dyDescent="0.25">
      <c r="A199" s="25"/>
      <c r="B199" s="10" t="str">
        <f>CONCATENATE("          ", "6322", " - ", "EQUIPMENT DEPRECIATION EXPENSE")</f>
        <v xml:space="preserve">          6322 - EQUIPMENT DEPRECIATION EXPENSE</v>
      </c>
      <c r="C199" s="10"/>
      <c r="D199" s="6">
        <v>18410.91</v>
      </c>
      <c r="E199" s="2"/>
      <c r="F199" s="7">
        <f t="shared" si="60"/>
        <v>0.10006189291221801</v>
      </c>
      <c r="G199" s="2"/>
      <c r="H199" s="6">
        <v>18045.849999999999</v>
      </c>
      <c r="I199" s="2"/>
      <c r="J199" s="7">
        <f t="shared" si="61"/>
        <v>4.5741593587911106E-2</v>
      </c>
      <c r="K199" s="2"/>
      <c r="L199" s="6">
        <f t="shared" si="62"/>
        <v>365.06000000000131</v>
      </c>
      <c r="M199" s="2"/>
      <c r="N199" s="7">
        <f t="shared" si="63"/>
        <v>2.0229581870624069E-2</v>
      </c>
      <c r="O199" s="10"/>
      <c r="P199" s="6">
        <v>166174.96</v>
      </c>
      <c r="Q199" s="2"/>
      <c r="R199" s="7">
        <f t="shared" si="64"/>
        <v>3.8944266395223109E-2</v>
      </c>
      <c r="S199" s="2"/>
      <c r="T199" s="6">
        <v>151777.69</v>
      </c>
      <c r="U199" s="2"/>
      <c r="V199" s="7">
        <f t="shared" si="65"/>
        <v>1.3844762572076081E-2</v>
      </c>
      <c r="W199" s="2"/>
      <c r="X199" s="6">
        <f t="shared" si="66"/>
        <v>14397.26999999999</v>
      </c>
      <c r="Y199" s="2"/>
      <c r="Z199" s="7">
        <f t="shared" si="67"/>
        <v>9.4857617084566179E-2</v>
      </c>
    </row>
    <row r="200" spans="1:26" s="23" customFormat="1" hidden="1" outlineLevel="2" x14ac:dyDescent="0.25">
      <c r="A200" s="25"/>
      <c r="B200" s="10" t="str">
        <f>CONCATENATE("          ", "6324", " - ", "FURNITURE + FIXT DEPRECIATION")</f>
        <v xml:space="preserve">          6324 - FURNITURE + FIXT DEPRECIATION</v>
      </c>
      <c r="C200" s="10"/>
      <c r="D200" s="6"/>
      <c r="E200" s="2"/>
      <c r="F200" s="7">
        <f t="shared" si="60"/>
        <v>0</v>
      </c>
      <c r="G200" s="2"/>
      <c r="H200" s="6"/>
      <c r="I200" s="2"/>
      <c r="J200" s="7">
        <f t="shared" si="61"/>
        <v>0</v>
      </c>
      <c r="K200" s="2"/>
      <c r="L200" s="6">
        <f t="shared" si="62"/>
        <v>0</v>
      </c>
      <c r="M200" s="2"/>
      <c r="N200" s="7">
        <f t="shared" si="63"/>
        <v>0</v>
      </c>
      <c r="O200" s="10"/>
      <c r="P200" s="6"/>
      <c r="Q200" s="2"/>
      <c r="R200" s="7">
        <f t="shared" si="64"/>
        <v>0</v>
      </c>
      <c r="S200" s="2"/>
      <c r="T200" s="6">
        <v>0</v>
      </c>
      <c r="U200" s="2"/>
      <c r="V200" s="7">
        <f t="shared" si="65"/>
        <v>0</v>
      </c>
      <c r="W200" s="2"/>
      <c r="X200" s="6">
        <f t="shared" si="66"/>
        <v>0</v>
      </c>
      <c r="Y200" s="2"/>
      <c r="Z200" s="7">
        <f t="shared" si="67"/>
        <v>0</v>
      </c>
    </row>
    <row r="201" spans="1:26" s="26" customFormat="1" outlineLevel="1" collapsed="1" x14ac:dyDescent="0.25">
      <c r="A201" s="27"/>
      <c r="B201" s="12" t="str">
        <f>CONCATENATE("     ","Discounts and Markdowns                           ")</f>
        <v xml:space="preserve">     Discounts and Markdowns                           </v>
      </c>
      <c r="C201" s="12"/>
      <c r="D201" s="1">
        <f>SUM(OSRRefD22_6x_0)</f>
        <v>0</v>
      </c>
      <c r="E201" s="1"/>
      <c r="F201" s="5">
        <f t="shared" ref="F201:F203" si="68">IF(D$12=0,0,D201/D$12)</f>
        <v>0</v>
      </c>
      <c r="G201" s="1"/>
      <c r="H201" s="1">
        <f>SUM(OSRRefH22_6x_0)</f>
        <v>13189.59</v>
      </c>
      <c r="I201" s="1"/>
      <c r="J201" s="5">
        <f t="shared" ref="J201:J203" si="69">IF(H$12=0,0,H201/H$12)</f>
        <v>3.3432222110411892E-2</v>
      </c>
      <c r="K201" s="1"/>
      <c r="L201" s="1">
        <f t="shared" ref="L201:L203" si="70">+D201-H201</f>
        <v>-13189.59</v>
      </c>
      <c r="M201" s="1"/>
      <c r="N201" s="5">
        <f t="shared" ref="N201:N203" si="71">IF(H201=0,0,L201/H201)</f>
        <v>-1</v>
      </c>
      <c r="O201" s="12"/>
      <c r="P201" s="1">
        <f>SUM(OSRRefP22_6x_0)</f>
        <v>0</v>
      </c>
      <c r="Q201" s="1"/>
      <c r="R201" s="5">
        <f t="shared" ref="R201:R203" si="72">IF(P$12=0,0,P201/P$12)</f>
        <v>0</v>
      </c>
      <c r="S201" s="1"/>
      <c r="T201" s="1">
        <f>SUM(OSRRefT22_6x_0)</f>
        <v>272176.59000000003</v>
      </c>
      <c r="U201" s="1"/>
      <c r="V201" s="5">
        <f t="shared" ref="V201:V203" si="73">IF(T$12=0,0,T201/T$12)</f>
        <v>2.4827234267614014E-2</v>
      </c>
      <c r="W201" s="1"/>
      <c r="X201" s="1">
        <f t="shared" ref="X201:X203" si="74">+P201-T201</f>
        <v>-272176.59000000003</v>
      </c>
      <c r="Y201" s="1"/>
      <c r="Z201" s="5">
        <f t="shared" ref="Z201:Z203" si="75">IF(T201=0,0,X201/T201)</f>
        <v>-1</v>
      </c>
    </row>
    <row r="202" spans="1:26" s="23" customFormat="1" hidden="1" outlineLevel="2" x14ac:dyDescent="0.25">
      <c r="A202" s="25"/>
      <c r="B202" s="10" t="str">
        <f>CONCATENATE("          ", "6382", " - ", "DISCOUNTS/MARK DOWNS")</f>
        <v xml:space="preserve">          6382 - DISCOUNTS/MARK DOWNS</v>
      </c>
      <c r="C202" s="10"/>
      <c r="D202" s="6">
        <v>0</v>
      </c>
      <c r="E202" s="2"/>
      <c r="F202" s="7">
        <f t="shared" si="68"/>
        <v>0</v>
      </c>
      <c r="G202" s="2"/>
      <c r="H202" s="6">
        <v>13325.3</v>
      </c>
      <c r="I202" s="2"/>
      <c r="J202" s="7">
        <f t="shared" si="69"/>
        <v>3.3776212095134997E-2</v>
      </c>
      <c r="K202" s="2"/>
      <c r="L202" s="6">
        <f t="shared" si="70"/>
        <v>-13325.3</v>
      </c>
      <c r="M202" s="2"/>
      <c r="N202" s="7">
        <f t="shared" si="71"/>
        <v>-1</v>
      </c>
      <c r="O202" s="10"/>
      <c r="P202" s="6">
        <v>0</v>
      </c>
      <c r="Q202" s="2"/>
      <c r="R202" s="7">
        <f t="shared" si="72"/>
        <v>0</v>
      </c>
      <c r="S202" s="2"/>
      <c r="T202" s="6">
        <v>275408.07</v>
      </c>
      <c r="U202" s="2"/>
      <c r="V202" s="7">
        <f t="shared" si="73"/>
        <v>2.5122001392851014E-2</v>
      </c>
      <c r="W202" s="2"/>
      <c r="X202" s="6">
        <f t="shared" si="74"/>
        <v>-275408.07</v>
      </c>
      <c r="Y202" s="2"/>
      <c r="Z202" s="7">
        <f t="shared" si="75"/>
        <v>-1</v>
      </c>
    </row>
    <row r="203" spans="1:26" s="23" customFormat="1" hidden="1" outlineLevel="2" x14ac:dyDescent="0.25">
      <c r="A203" s="25"/>
      <c r="B203" s="10" t="str">
        <f>CONCATENATE("          ", "9175", " - ", "EARNED DISCOUNTS")</f>
        <v xml:space="preserve">          9175 - EARNED DISCOUNTS</v>
      </c>
      <c r="C203" s="10"/>
      <c r="D203" s="6">
        <v>0</v>
      </c>
      <c r="E203" s="2"/>
      <c r="F203" s="7">
        <f t="shared" si="68"/>
        <v>0</v>
      </c>
      <c r="G203" s="2"/>
      <c r="H203" s="6">
        <v>-135.71</v>
      </c>
      <c r="I203" s="2"/>
      <c r="J203" s="7">
        <f t="shared" si="69"/>
        <v>-3.4398998472310346E-4</v>
      </c>
      <c r="K203" s="2"/>
      <c r="L203" s="6">
        <f t="shared" si="70"/>
        <v>135.71</v>
      </c>
      <c r="M203" s="2"/>
      <c r="N203" s="7">
        <f t="shared" si="71"/>
        <v>-1</v>
      </c>
      <c r="O203" s="10"/>
      <c r="P203" s="6">
        <v>0</v>
      </c>
      <c r="Q203" s="2"/>
      <c r="R203" s="7">
        <f t="shared" si="72"/>
        <v>0</v>
      </c>
      <c r="S203" s="2"/>
      <c r="T203" s="6">
        <v>-3231.48</v>
      </c>
      <c r="U203" s="2"/>
      <c r="V203" s="7">
        <f t="shared" si="73"/>
        <v>-2.9476712523699903E-4</v>
      </c>
      <c r="W203" s="2"/>
      <c r="X203" s="6">
        <f t="shared" si="74"/>
        <v>3231.48</v>
      </c>
      <c r="Y203" s="2"/>
      <c r="Z203" s="7">
        <f t="shared" si="75"/>
        <v>-1</v>
      </c>
    </row>
    <row r="204" spans="1:26" s="26" customFormat="1" outlineLevel="1" collapsed="1" x14ac:dyDescent="0.25">
      <c r="A204" s="27"/>
      <c r="B204" s="12" t="str">
        <f>CONCATENATE("     ","Donations                                         ")</f>
        <v xml:space="preserve">     Donations                                         </v>
      </c>
      <c r="C204" s="12"/>
      <c r="D204" s="1">
        <f>SUM(OSRRefD22_7x_0)</f>
        <v>0</v>
      </c>
      <c r="E204" s="1"/>
      <c r="F204" s="5">
        <f t="shared" ref="F204:F212" si="76">IF(D$12=0,0,D204/D$12)</f>
        <v>0</v>
      </c>
      <c r="G204" s="1"/>
      <c r="H204" s="1">
        <f>SUM(OSRRefH22_7x_0)</f>
        <v>769.23</v>
      </c>
      <c r="I204" s="1"/>
      <c r="J204" s="5">
        <f t="shared" ref="J204:J212" si="77">IF(H$12=0,0,H204/H$12)</f>
        <v>1.9498004270028214E-3</v>
      </c>
      <c r="K204" s="1"/>
      <c r="L204" s="1">
        <f t="shared" ref="L204:L212" si="78">+D204-H204</f>
        <v>-769.23</v>
      </c>
      <c r="M204" s="1"/>
      <c r="N204" s="5">
        <f t="shared" ref="N204:N212" si="79">IF(H204=0,0,L204/H204)</f>
        <v>-1</v>
      </c>
      <c r="O204" s="12"/>
      <c r="P204" s="1">
        <f>SUM(OSRRefP22_7x_0)</f>
        <v>0</v>
      </c>
      <c r="Q204" s="1"/>
      <c r="R204" s="5">
        <f t="shared" ref="R204:R212" si="80">IF(P$12=0,0,P204/P$12)</f>
        <v>0</v>
      </c>
      <c r="S204" s="1"/>
      <c r="T204" s="1">
        <f>SUM(OSRRefT22_7x_0)</f>
        <v>12371.45</v>
      </c>
      <c r="U204" s="1"/>
      <c r="V204" s="5">
        <f t="shared" ref="V204:V212" si="81">IF(T$12=0,0,T204/T$12)</f>
        <v>1.1284912026419077E-3</v>
      </c>
      <c r="W204" s="1"/>
      <c r="X204" s="1">
        <f t="shared" ref="X204:X212" si="82">+P204-T204</f>
        <v>-12371.45</v>
      </c>
      <c r="Y204" s="1"/>
      <c r="Z204" s="5">
        <f t="shared" ref="Z204:Z212" si="83">IF(T204=0,0,X204/T204)</f>
        <v>-1</v>
      </c>
    </row>
    <row r="205" spans="1:26" s="23" customFormat="1" hidden="1" outlineLevel="2" x14ac:dyDescent="0.25">
      <c r="A205" s="25"/>
      <c r="B205" s="10" t="str">
        <f>CONCATENATE("          ", "6399", " - ", "DONATION-ON CAMPUS")</f>
        <v xml:space="preserve">          6399 - DONATION-ON CAMPUS</v>
      </c>
      <c r="C205" s="10"/>
      <c r="D205" s="6"/>
      <c r="E205" s="2"/>
      <c r="F205" s="7">
        <f t="shared" si="76"/>
        <v>0</v>
      </c>
      <c r="G205" s="2"/>
      <c r="H205" s="6">
        <v>769.23</v>
      </c>
      <c r="I205" s="2"/>
      <c r="J205" s="7">
        <f t="shared" si="77"/>
        <v>1.9498004270028214E-3</v>
      </c>
      <c r="K205" s="2"/>
      <c r="L205" s="6">
        <f t="shared" si="78"/>
        <v>-769.23</v>
      </c>
      <c r="M205" s="2"/>
      <c r="N205" s="7">
        <f t="shared" si="79"/>
        <v>-1</v>
      </c>
      <c r="O205" s="10"/>
      <c r="P205" s="6"/>
      <c r="Q205" s="2"/>
      <c r="R205" s="7">
        <f t="shared" si="80"/>
        <v>0</v>
      </c>
      <c r="S205" s="2"/>
      <c r="T205" s="6">
        <v>12371.45</v>
      </c>
      <c r="U205" s="2"/>
      <c r="V205" s="7">
        <f t="shared" si="81"/>
        <v>1.1284912026419077E-3</v>
      </c>
      <c r="W205" s="2"/>
      <c r="X205" s="6">
        <f t="shared" si="82"/>
        <v>-12371.45</v>
      </c>
      <c r="Y205" s="2"/>
      <c r="Z205" s="7">
        <f t="shared" si="83"/>
        <v>-1</v>
      </c>
    </row>
    <row r="206" spans="1:26" s="26" customFormat="1" outlineLevel="1" collapsed="1" x14ac:dyDescent="0.25">
      <c r="A206" s="27"/>
      <c r="B206" s="12" t="str">
        <f>CONCATENATE("     ","Employees' Appreciation                           ")</f>
        <v xml:space="preserve">     Employees' Appreciation                           </v>
      </c>
      <c r="C206" s="12"/>
      <c r="D206" s="1">
        <f>SUM(OSRRefD22_8x_0)</f>
        <v>0</v>
      </c>
      <c r="E206" s="1"/>
      <c r="F206" s="5">
        <f t="shared" si="76"/>
        <v>0</v>
      </c>
      <c r="G206" s="1"/>
      <c r="H206" s="1">
        <f>SUM(OSRRefH22_8x_0)</f>
        <v>266.55</v>
      </c>
      <c r="I206" s="1"/>
      <c r="J206" s="5">
        <f t="shared" si="77"/>
        <v>6.756357705986532E-4</v>
      </c>
      <c r="K206" s="1"/>
      <c r="L206" s="1">
        <f t="shared" si="78"/>
        <v>-266.55</v>
      </c>
      <c r="M206" s="1"/>
      <c r="N206" s="5">
        <f t="shared" si="79"/>
        <v>-1</v>
      </c>
      <c r="O206" s="12"/>
      <c r="P206" s="1">
        <f>SUM(OSRRefP22_8x_0)</f>
        <v>186.03</v>
      </c>
      <c r="Q206" s="1"/>
      <c r="R206" s="5">
        <f t="shared" si="80"/>
        <v>4.3597434159173893E-5</v>
      </c>
      <c r="S206" s="1"/>
      <c r="T206" s="1">
        <f>SUM(OSRRefT22_8x_0)</f>
        <v>1687.96</v>
      </c>
      <c r="U206" s="1"/>
      <c r="V206" s="5">
        <f t="shared" si="81"/>
        <v>1.5397128149177618E-4</v>
      </c>
      <c r="W206" s="1"/>
      <c r="X206" s="1">
        <f t="shared" si="82"/>
        <v>-1501.93</v>
      </c>
      <c r="Y206" s="1"/>
      <c r="Z206" s="5">
        <f t="shared" si="83"/>
        <v>-0.88979004241806681</v>
      </c>
    </row>
    <row r="207" spans="1:26" s="23" customFormat="1" hidden="1" outlineLevel="2" x14ac:dyDescent="0.25">
      <c r="A207" s="25"/>
      <c r="B207" s="10" t="str">
        <f>CONCATENATE("          ", "6277", " - ", "EMPLOYEE APPRECIATION")</f>
        <v xml:space="preserve">          6277 - EMPLOYEE APPRECIATION</v>
      </c>
      <c r="C207" s="10"/>
      <c r="D207" s="6"/>
      <c r="E207" s="2"/>
      <c r="F207" s="7">
        <f t="shared" si="76"/>
        <v>0</v>
      </c>
      <c r="G207" s="2"/>
      <c r="H207" s="6">
        <v>266.55</v>
      </c>
      <c r="I207" s="2"/>
      <c r="J207" s="7">
        <f t="shared" si="77"/>
        <v>6.756357705986532E-4</v>
      </c>
      <c r="K207" s="2"/>
      <c r="L207" s="6">
        <f t="shared" si="78"/>
        <v>-266.55</v>
      </c>
      <c r="M207" s="2"/>
      <c r="N207" s="7">
        <f t="shared" si="79"/>
        <v>-1</v>
      </c>
      <c r="O207" s="10"/>
      <c r="P207" s="6">
        <v>186.03</v>
      </c>
      <c r="Q207" s="2"/>
      <c r="R207" s="7">
        <f t="shared" si="80"/>
        <v>4.3597434159173893E-5</v>
      </c>
      <c r="S207" s="2"/>
      <c r="T207" s="6">
        <v>1687.96</v>
      </c>
      <c r="U207" s="2"/>
      <c r="V207" s="7">
        <f t="shared" si="81"/>
        <v>1.5397128149177618E-4</v>
      </c>
      <c r="W207" s="2"/>
      <c r="X207" s="6">
        <f t="shared" si="82"/>
        <v>-1501.93</v>
      </c>
      <c r="Y207" s="2"/>
      <c r="Z207" s="7">
        <f t="shared" si="83"/>
        <v>-0.88979004241806681</v>
      </c>
    </row>
    <row r="208" spans="1:26" s="26" customFormat="1" outlineLevel="1" collapsed="1" x14ac:dyDescent="0.25">
      <c r="A208" s="27"/>
      <c r="B208" s="12" t="str">
        <f>CONCATENATE("     ","Equipment Rental                                  ")</f>
        <v xml:space="preserve">     Equipment Rental                                  </v>
      </c>
      <c r="C208" s="12"/>
      <c r="D208" s="1">
        <f>SUM(OSRRefD22_9x_0)</f>
        <v>1296.9000000000001</v>
      </c>
      <c r="E208" s="1"/>
      <c r="F208" s="5">
        <f t="shared" si="76"/>
        <v>7.0485526743575165E-3</v>
      </c>
      <c r="G208" s="1"/>
      <c r="H208" s="1">
        <f>SUM(OSRRefH22_9x_0)</f>
        <v>1424.43</v>
      </c>
      <c r="I208" s="1"/>
      <c r="J208" s="5">
        <f t="shared" si="77"/>
        <v>3.6105640994704168E-3</v>
      </c>
      <c r="K208" s="1"/>
      <c r="L208" s="1">
        <f t="shared" si="78"/>
        <v>-127.52999999999997</v>
      </c>
      <c r="M208" s="1"/>
      <c r="N208" s="5">
        <f t="shared" si="79"/>
        <v>-8.9530549061729928E-2</v>
      </c>
      <c r="O208" s="12"/>
      <c r="P208" s="1">
        <f>SUM(OSRRefP22_9x_0)</f>
        <v>13886.96</v>
      </c>
      <c r="Q208" s="1"/>
      <c r="R208" s="5">
        <f t="shared" si="80"/>
        <v>3.2545063928994325E-3</v>
      </c>
      <c r="S208" s="1"/>
      <c r="T208" s="1">
        <f>SUM(OSRRefT22_9x_0)</f>
        <v>16168.2</v>
      </c>
      <c r="U208" s="1"/>
      <c r="V208" s="5">
        <f t="shared" si="81"/>
        <v>1.4748207738425885E-3</v>
      </c>
      <c r="W208" s="1"/>
      <c r="X208" s="1">
        <f t="shared" si="82"/>
        <v>-2281.2400000000016</v>
      </c>
      <c r="Y208" s="1"/>
      <c r="Z208" s="5">
        <f t="shared" si="83"/>
        <v>-0.14109424673123797</v>
      </c>
    </row>
    <row r="209" spans="1:26" s="23" customFormat="1" hidden="1" outlineLevel="2" x14ac:dyDescent="0.25">
      <c r="A209" s="25"/>
      <c r="B209" s="10" t="str">
        <f>CONCATENATE("          ", "6351", " - ", "EQUIPMENT RENTAL")</f>
        <v xml:space="preserve">          6351 - EQUIPMENT RENTAL</v>
      </c>
      <c r="C209" s="10"/>
      <c r="D209" s="6">
        <v>1296.9000000000001</v>
      </c>
      <c r="E209" s="2"/>
      <c r="F209" s="7">
        <f t="shared" si="76"/>
        <v>7.0485526743575165E-3</v>
      </c>
      <c r="G209" s="2"/>
      <c r="H209" s="6">
        <v>1424.43</v>
      </c>
      <c r="I209" s="2"/>
      <c r="J209" s="7">
        <f t="shared" si="77"/>
        <v>3.6105640994704168E-3</v>
      </c>
      <c r="K209" s="2"/>
      <c r="L209" s="6">
        <f t="shared" si="78"/>
        <v>-127.52999999999997</v>
      </c>
      <c r="M209" s="2"/>
      <c r="N209" s="7">
        <f t="shared" si="79"/>
        <v>-8.9530549061729928E-2</v>
      </c>
      <c r="O209" s="10"/>
      <c r="P209" s="6">
        <v>13886.96</v>
      </c>
      <c r="Q209" s="2"/>
      <c r="R209" s="7">
        <f t="shared" si="80"/>
        <v>3.2545063928994325E-3</v>
      </c>
      <c r="S209" s="2"/>
      <c r="T209" s="6">
        <v>16168.2</v>
      </c>
      <c r="U209" s="2"/>
      <c r="V209" s="7">
        <f t="shared" si="81"/>
        <v>1.4748207738425885E-3</v>
      </c>
      <c r="W209" s="2"/>
      <c r="X209" s="6">
        <f t="shared" si="82"/>
        <v>-2281.2400000000016</v>
      </c>
      <c r="Y209" s="2"/>
      <c r="Z209" s="7">
        <f t="shared" si="83"/>
        <v>-0.14109424673123797</v>
      </c>
    </row>
    <row r="210" spans="1:26" s="26" customFormat="1" outlineLevel="1" collapsed="1" x14ac:dyDescent="0.25">
      <c r="A210" s="27"/>
      <c r="B210" s="12" t="str">
        <f>CONCATENATE("     ","Freight out/Postage                               ")</f>
        <v xml:space="preserve">     Freight out/Postage                               </v>
      </c>
      <c r="C210" s="12"/>
      <c r="D210" s="1">
        <f>SUM(OSRRefD22_10x_0)</f>
        <v>-1810.8199999999997</v>
      </c>
      <c r="E210" s="1"/>
      <c r="F210" s="5">
        <f t="shared" si="76"/>
        <v>-9.8416687129154728E-3</v>
      </c>
      <c r="G210" s="1"/>
      <c r="H210" s="1">
        <f>SUM(OSRRefH22_10x_0)</f>
        <v>2165.8700000000003</v>
      </c>
      <c r="I210" s="1"/>
      <c r="J210" s="5">
        <f t="shared" si="77"/>
        <v>5.4899240160063978E-3</v>
      </c>
      <c r="K210" s="1"/>
      <c r="L210" s="1">
        <f t="shared" si="78"/>
        <v>-3976.69</v>
      </c>
      <c r="M210" s="1"/>
      <c r="N210" s="5">
        <f t="shared" si="79"/>
        <v>-1.8360704936122665</v>
      </c>
      <c r="O210" s="12"/>
      <c r="P210" s="1">
        <f>SUM(OSRRefP22_10x_0)</f>
        <v>-34256.830000000016</v>
      </c>
      <c r="Q210" s="1"/>
      <c r="R210" s="5">
        <f t="shared" si="80"/>
        <v>-8.0283281751707455E-3</v>
      </c>
      <c r="S210" s="1"/>
      <c r="T210" s="1">
        <f>SUM(OSRRefT22_10x_0)</f>
        <v>1182.5</v>
      </c>
      <c r="U210" s="1"/>
      <c r="V210" s="5">
        <f t="shared" si="81"/>
        <v>1.0786454676889578E-4</v>
      </c>
      <c r="W210" s="1"/>
      <c r="X210" s="1">
        <f t="shared" si="82"/>
        <v>-35439.330000000016</v>
      </c>
      <c r="Y210" s="1"/>
      <c r="Z210" s="5">
        <f t="shared" si="83"/>
        <v>-29.969835095137434</v>
      </c>
    </row>
    <row r="211" spans="1:26" s="23" customFormat="1" hidden="1" outlineLevel="2" x14ac:dyDescent="0.25">
      <c r="A211" s="25"/>
      <c r="B211" s="10" t="str">
        <f>CONCATENATE("          ", "6305", " - ", "FREIGHT OUT")</f>
        <v xml:space="preserve">          6305 - FREIGHT OUT</v>
      </c>
      <c r="C211" s="10"/>
      <c r="D211" s="6">
        <v>17608.5</v>
      </c>
      <c r="E211" s="2"/>
      <c r="F211" s="7">
        <f t="shared" si="76"/>
        <v>9.5700855707012353E-2</v>
      </c>
      <c r="G211" s="2"/>
      <c r="H211" s="6">
        <v>5814.39</v>
      </c>
      <c r="I211" s="2"/>
      <c r="J211" s="7">
        <f t="shared" si="77"/>
        <v>1.473798487417409E-2</v>
      </c>
      <c r="K211" s="2"/>
      <c r="L211" s="6">
        <f t="shared" si="78"/>
        <v>11794.11</v>
      </c>
      <c r="M211" s="2"/>
      <c r="N211" s="7">
        <f t="shared" si="79"/>
        <v>2.0284346251283454</v>
      </c>
      <c r="O211" s="10"/>
      <c r="P211" s="6">
        <v>179483.61</v>
      </c>
      <c r="Q211" s="2"/>
      <c r="R211" s="7">
        <f t="shared" si="80"/>
        <v>4.2063241786947501E-2</v>
      </c>
      <c r="S211" s="2"/>
      <c r="T211" s="6">
        <v>52053.65</v>
      </c>
      <c r="U211" s="2"/>
      <c r="V211" s="7">
        <f t="shared" si="81"/>
        <v>4.7481973487667924E-3</v>
      </c>
      <c r="W211" s="2"/>
      <c r="X211" s="6">
        <f t="shared" si="82"/>
        <v>127429.95999999999</v>
      </c>
      <c r="Y211" s="2"/>
      <c r="Z211" s="7">
        <f t="shared" si="83"/>
        <v>2.4480504248981578</v>
      </c>
    </row>
    <row r="212" spans="1:26" s="23" customFormat="1" hidden="1" outlineLevel="2" x14ac:dyDescent="0.25">
      <c r="A212" s="25"/>
      <c r="B212" s="10" t="str">
        <f>CONCATENATE("          ", "6307", " - ", "POSTAGE")</f>
        <v xml:space="preserve">          6307 - POSTAGE</v>
      </c>
      <c r="C212" s="10"/>
      <c r="D212" s="6">
        <v>-19419.32</v>
      </c>
      <c r="E212" s="2"/>
      <c r="F212" s="7">
        <f t="shared" si="76"/>
        <v>-0.10554252441992783</v>
      </c>
      <c r="G212" s="2"/>
      <c r="H212" s="6">
        <v>-3648.52</v>
      </c>
      <c r="I212" s="2"/>
      <c r="J212" s="7">
        <f t="shared" si="77"/>
        <v>-9.2480608581676921E-3</v>
      </c>
      <c r="K212" s="2"/>
      <c r="L212" s="6">
        <f t="shared" si="78"/>
        <v>-15770.8</v>
      </c>
      <c r="M212" s="2"/>
      <c r="N212" s="7">
        <f t="shared" si="79"/>
        <v>4.3225198162542622</v>
      </c>
      <c r="O212" s="10"/>
      <c r="P212" s="6">
        <v>-213740.44</v>
      </c>
      <c r="Q212" s="2"/>
      <c r="R212" s="7">
        <f t="shared" si="80"/>
        <v>-5.0091569962118249E-2</v>
      </c>
      <c r="S212" s="2"/>
      <c r="T212" s="6">
        <v>-50871.15</v>
      </c>
      <c r="U212" s="2"/>
      <c r="V212" s="7">
        <f t="shared" si="81"/>
        <v>-4.6403328019978965E-3</v>
      </c>
      <c r="W212" s="2"/>
      <c r="X212" s="6">
        <f t="shared" si="82"/>
        <v>-162869.29</v>
      </c>
      <c r="Y212" s="2"/>
      <c r="Z212" s="7">
        <f t="shared" si="83"/>
        <v>3.2016042491667673</v>
      </c>
    </row>
    <row r="213" spans="1:26" s="26" customFormat="1" outlineLevel="1" collapsed="1" x14ac:dyDescent="0.25">
      <c r="A213" s="27"/>
      <c r="B213" s="12" t="str">
        <f>CONCATENATE("     ","General                                           ")</f>
        <v xml:space="preserve">     General                                           </v>
      </c>
      <c r="C213" s="12"/>
      <c r="D213" s="1">
        <f>SUM(OSRRefD22_11x_0)</f>
        <v>646.37</v>
      </c>
      <c r="E213" s="1"/>
      <c r="F213" s="5">
        <f t="shared" ref="F213:F222" si="84">IF(D$12=0,0,D213/D$12)</f>
        <v>3.5129716956777452E-3</v>
      </c>
      <c r="G213" s="1"/>
      <c r="H213" s="1">
        <f>SUM(OSRRefH22_11x_0)</f>
        <v>50.5</v>
      </c>
      <c r="I213" s="1"/>
      <c r="J213" s="5">
        <f t="shared" ref="J213:J222" si="85">IF(H$12=0,0,H213/H$12)</f>
        <v>1.2800452603726125E-4</v>
      </c>
      <c r="K213" s="1"/>
      <c r="L213" s="1">
        <f t="shared" ref="L213:L222" si="86">+D213-H213</f>
        <v>595.87</v>
      </c>
      <c r="M213" s="1"/>
      <c r="N213" s="5">
        <f t="shared" ref="N213:N222" si="87">IF(H213=0,0,L213/H213)</f>
        <v>11.79940594059406</v>
      </c>
      <c r="O213" s="12"/>
      <c r="P213" s="1">
        <f>SUM(OSRRefP22_11x_0)</f>
        <v>5944.65</v>
      </c>
      <c r="Q213" s="1"/>
      <c r="R213" s="5">
        <f t="shared" ref="R213:R222" si="88">IF(P$12=0,0,P213/P$12)</f>
        <v>1.3931703863588295E-3</v>
      </c>
      <c r="S213" s="1"/>
      <c r="T213" s="1">
        <f>SUM(OSRRefT22_11x_0)</f>
        <v>9749.5499999999993</v>
      </c>
      <c r="U213" s="1"/>
      <c r="V213" s="5">
        <f t="shared" ref="V213:V222" si="89">IF(T$12=0,0,T213/T$12)</f>
        <v>8.8932836528599383E-4</v>
      </c>
      <c r="W213" s="1"/>
      <c r="X213" s="1">
        <f t="shared" ref="X213:X222" si="90">+P213-T213</f>
        <v>-3804.8999999999996</v>
      </c>
      <c r="Y213" s="1"/>
      <c r="Z213" s="5">
        <f t="shared" ref="Z213:Z222" si="91">IF(T213=0,0,X213/T213)</f>
        <v>-0.39026416603843256</v>
      </c>
    </row>
    <row r="214" spans="1:26" s="23" customFormat="1" hidden="1" outlineLevel="2" x14ac:dyDescent="0.25">
      <c r="A214" s="25"/>
      <c r="B214" s="10" t="str">
        <f>CONCATENATE("          ", "6279", " - ", "GENERAL EXPENSE")</f>
        <v xml:space="preserve">          6279 - GENERAL EXPENSE</v>
      </c>
      <c r="C214" s="10"/>
      <c r="D214" s="6">
        <v>646.37</v>
      </c>
      <c r="E214" s="2"/>
      <c r="F214" s="7">
        <f t="shared" si="84"/>
        <v>3.5129716956777452E-3</v>
      </c>
      <c r="G214" s="2"/>
      <c r="H214" s="6">
        <v>50.5</v>
      </c>
      <c r="I214" s="2"/>
      <c r="J214" s="7">
        <f t="shared" si="85"/>
        <v>1.2800452603726125E-4</v>
      </c>
      <c r="K214" s="2"/>
      <c r="L214" s="6">
        <f t="shared" si="86"/>
        <v>595.87</v>
      </c>
      <c r="M214" s="2"/>
      <c r="N214" s="7">
        <f t="shared" si="87"/>
        <v>11.79940594059406</v>
      </c>
      <c r="O214" s="10"/>
      <c r="P214" s="6">
        <v>5944.65</v>
      </c>
      <c r="Q214" s="2"/>
      <c r="R214" s="7">
        <f t="shared" si="88"/>
        <v>1.3931703863588295E-3</v>
      </c>
      <c r="S214" s="2"/>
      <c r="T214" s="6">
        <v>9749.5499999999993</v>
      </c>
      <c r="U214" s="2"/>
      <c r="V214" s="7">
        <f t="shared" si="89"/>
        <v>8.8932836528599383E-4</v>
      </c>
      <c r="W214" s="2"/>
      <c r="X214" s="6">
        <f t="shared" si="90"/>
        <v>-3804.8999999999996</v>
      </c>
      <c r="Y214" s="2"/>
      <c r="Z214" s="7">
        <f t="shared" si="91"/>
        <v>-0.39026416603843256</v>
      </c>
    </row>
    <row r="215" spans="1:26" s="26" customFormat="1" outlineLevel="1" collapsed="1" x14ac:dyDescent="0.25">
      <c r="A215" s="27"/>
      <c r="B215" s="12" t="str">
        <f>CONCATENATE("     ","Insurance                                         ")</f>
        <v xml:space="preserve">     Insurance                                         </v>
      </c>
      <c r="C215" s="12"/>
      <c r="D215" s="1">
        <f>SUM(OSRRefD22_12x_0)</f>
        <v>4288.28</v>
      </c>
      <c r="E215" s="1"/>
      <c r="F215" s="5">
        <f t="shared" si="84"/>
        <v>2.3306475026905582E-2</v>
      </c>
      <c r="G215" s="1"/>
      <c r="H215" s="1">
        <f>SUM(OSRRefH22_12x_0)</f>
        <v>4288.28</v>
      </c>
      <c r="I215" s="1"/>
      <c r="J215" s="5">
        <f t="shared" si="85"/>
        <v>1.0869688097328052E-2</v>
      </c>
      <c r="K215" s="1"/>
      <c r="L215" s="1">
        <f t="shared" si="86"/>
        <v>0</v>
      </c>
      <c r="M215" s="1"/>
      <c r="N215" s="5">
        <f t="shared" si="87"/>
        <v>0</v>
      </c>
      <c r="O215" s="12"/>
      <c r="P215" s="1">
        <f>SUM(OSRRefP22_12x_0)</f>
        <v>38594.519999999997</v>
      </c>
      <c r="Q215" s="1"/>
      <c r="R215" s="5">
        <f t="shared" si="88"/>
        <v>9.0448962242913496E-3</v>
      </c>
      <c r="S215" s="1"/>
      <c r="T215" s="1">
        <f>SUM(OSRRefT22_12x_0)</f>
        <v>38594.519999999997</v>
      </c>
      <c r="U215" s="1"/>
      <c r="V215" s="5">
        <f t="shared" si="89"/>
        <v>3.520490830920155E-3</v>
      </c>
      <c r="W215" s="1"/>
      <c r="X215" s="1">
        <f t="shared" si="90"/>
        <v>0</v>
      </c>
      <c r="Y215" s="1"/>
      <c r="Z215" s="5">
        <f t="shared" si="91"/>
        <v>0</v>
      </c>
    </row>
    <row r="216" spans="1:26" s="23" customFormat="1" hidden="1" outlineLevel="2" x14ac:dyDescent="0.25">
      <c r="A216" s="25"/>
      <c r="B216" s="10" t="str">
        <f>CONCATENATE("          ", "6314", " - ", "LIABILITY INSURANCE")</f>
        <v xml:space="preserve">          6314 - LIABILITY INSURANCE</v>
      </c>
      <c r="C216" s="10"/>
      <c r="D216" s="6">
        <v>4288.28</v>
      </c>
      <c r="E216" s="2"/>
      <c r="F216" s="7">
        <f t="shared" si="84"/>
        <v>2.3306475026905582E-2</v>
      </c>
      <c r="G216" s="2"/>
      <c r="H216" s="6">
        <v>4288.28</v>
      </c>
      <c r="I216" s="2"/>
      <c r="J216" s="7">
        <f t="shared" si="85"/>
        <v>1.0869688097328052E-2</v>
      </c>
      <c r="K216" s="2"/>
      <c r="L216" s="6">
        <f t="shared" si="86"/>
        <v>0</v>
      </c>
      <c r="M216" s="2"/>
      <c r="N216" s="7">
        <f t="shared" si="87"/>
        <v>0</v>
      </c>
      <c r="O216" s="10"/>
      <c r="P216" s="6">
        <v>38594.519999999997</v>
      </c>
      <c r="Q216" s="2"/>
      <c r="R216" s="7">
        <f t="shared" si="88"/>
        <v>9.0448962242913496E-3</v>
      </c>
      <c r="S216" s="2"/>
      <c r="T216" s="6">
        <v>38594.519999999997</v>
      </c>
      <c r="U216" s="2"/>
      <c r="V216" s="7">
        <f t="shared" si="89"/>
        <v>3.520490830920155E-3</v>
      </c>
      <c r="W216" s="2"/>
      <c r="X216" s="6">
        <f t="shared" si="90"/>
        <v>0</v>
      </c>
      <c r="Y216" s="2"/>
      <c r="Z216" s="7">
        <f t="shared" si="91"/>
        <v>0</v>
      </c>
    </row>
    <row r="217" spans="1:26" s="26" customFormat="1" outlineLevel="1" collapsed="1" x14ac:dyDescent="0.25">
      <c r="A217" s="27"/>
      <c r="B217" s="12" t="str">
        <f>CONCATENATE("     ","Interest                                          ")</f>
        <v xml:space="preserve">     Interest                                          </v>
      </c>
      <c r="C217" s="12"/>
      <c r="D217" s="1">
        <f>SUM(OSRRefD22_13x_0)</f>
        <v>4044</v>
      </c>
      <c r="E217" s="1"/>
      <c r="F217" s="5">
        <f t="shared" si="84"/>
        <v>2.1978831841392394E-2</v>
      </c>
      <c r="G217" s="1"/>
      <c r="H217" s="1">
        <f>SUM(OSRRefH22_13x_0)</f>
        <v>4175</v>
      </c>
      <c r="I217" s="1"/>
      <c r="J217" s="5">
        <f t="shared" si="85"/>
        <v>1.0582552400110213E-2</v>
      </c>
      <c r="K217" s="1"/>
      <c r="L217" s="1">
        <f t="shared" si="86"/>
        <v>-131</v>
      </c>
      <c r="M217" s="1"/>
      <c r="N217" s="5">
        <f t="shared" si="87"/>
        <v>-3.1377245508982035E-2</v>
      </c>
      <c r="O217" s="12"/>
      <c r="P217" s="1">
        <f>SUM(OSRRefP22_13x_0)</f>
        <v>36133.85</v>
      </c>
      <c r="Q217" s="1"/>
      <c r="R217" s="5">
        <f t="shared" si="88"/>
        <v>8.4682209659327282E-3</v>
      </c>
      <c r="S217" s="1"/>
      <c r="T217" s="1">
        <f>SUM(OSRRefT22_13x_0)</f>
        <v>37368.949999999997</v>
      </c>
      <c r="U217" s="1"/>
      <c r="V217" s="5">
        <f t="shared" si="89"/>
        <v>3.4086975517797274E-3</v>
      </c>
      <c r="W217" s="1"/>
      <c r="X217" s="1">
        <f t="shared" si="90"/>
        <v>-1235.0999999999985</v>
      </c>
      <c r="Y217" s="1"/>
      <c r="Z217" s="5">
        <f t="shared" si="91"/>
        <v>-3.3051503989274485E-2</v>
      </c>
    </row>
    <row r="218" spans="1:26" s="23" customFormat="1" hidden="1" outlineLevel="2" x14ac:dyDescent="0.25">
      <c r="A218" s="25"/>
      <c r="B218" s="10" t="str">
        <f>CONCATENATE("          ", "6401", " - ", "INTEREST EXPENSE")</f>
        <v xml:space="preserve">          6401 - INTEREST EXPENSE</v>
      </c>
      <c r="C218" s="10"/>
      <c r="D218" s="6">
        <v>4044</v>
      </c>
      <c r="E218" s="2"/>
      <c r="F218" s="7">
        <f t="shared" si="84"/>
        <v>2.1978831841392394E-2</v>
      </c>
      <c r="G218" s="2"/>
      <c r="H218" s="6">
        <v>4175</v>
      </c>
      <c r="I218" s="2"/>
      <c r="J218" s="7">
        <f t="shared" si="85"/>
        <v>1.0582552400110213E-2</v>
      </c>
      <c r="K218" s="2"/>
      <c r="L218" s="6">
        <f t="shared" si="86"/>
        <v>-131</v>
      </c>
      <c r="M218" s="2"/>
      <c r="N218" s="7">
        <f t="shared" si="87"/>
        <v>-3.1377245508982035E-2</v>
      </c>
      <c r="O218" s="10"/>
      <c r="P218" s="6">
        <v>36133.85</v>
      </c>
      <c r="Q218" s="2"/>
      <c r="R218" s="7">
        <f t="shared" si="88"/>
        <v>8.4682209659327282E-3</v>
      </c>
      <c r="S218" s="2"/>
      <c r="T218" s="6">
        <v>37368.949999999997</v>
      </c>
      <c r="U218" s="2"/>
      <c r="V218" s="7">
        <f t="shared" si="89"/>
        <v>3.4086975517797274E-3</v>
      </c>
      <c r="W218" s="2"/>
      <c r="X218" s="6">
        <f t="shared" si="90"/>
        <v>-1235.0999999999985</v>
      </c>
      <c r="Y218" s="2"/>
      <c r="Z218" s="7">
        <f t="shared" si="91"/>
        <v>-3.3051503989274485E-2</v>
      </c>
    </row>
    <row r="219" spans="1:26" s="26" customFormat="1" outlineLevel="1" collapsed="1" x14ac:dyDescent="0.25">
      <c r="A219" s="27"/>
      <c r="B219" s="12" t="str">
        <f>CONCATENATE("     ","Inventory Adjustment                              ")</f>
        <v xml:space="preserve">     Inventory Adjustment                              </v>
      </c>
      <c r="C219" s="12"/>
      <c r="D219" s="1">
        <f>SUM(OSRRefD22_14x_0)</f>
        <v>2100</v>
      </c>
      <c r="E219" s="1"/>
      <c r="F219" s="5">
        <f t="shared" si="84"/>
        <v>1.1413339976984181E-2</v>
      </c>
      <c r="G219" s="1"/>
      <c r="H219" s="1">
        <f>SUM(OSRRefH22_14x_0)</f>
        <v>4550</v>
      </c>
      <c r="I219" s="1"/>
      <c r="J219" s="5">
        <f t="shared" si="85"/>
        <v>1.1533081058802746E-2</v>
      </c>
      <c r="K219" s="1"/>
      <c r="L219" s="1">
        <f t="shared" si="86"/>
        <v>-2450</v>
      </c>
      <c r="M219" s="1"/>
      <c r="N219" s="5">
        <f t="shared" si="87"/>
        <v>-0.53846153846153844</v>
      </c>
      <c r="O219" s="12"/>
      <c r="P219" s="1">
        <f>SUM(OSRRefP22_14x_0)</f>
        <v>23900</v>
      </c>
      <c r="Q219" s="1"/>
      <c r="R219" s="5">
        <f t="shared" si="88"/>
        <v>5.6011324861810251E-3</v>
      </c>
      <c r="S219" s="1"/>
      <c r="T219" s="1">
        <f>SUM(OSRRefT22_14x_0)</f>
        <v>44250</v>
      </c>
      <c r="U219" s="1"/>
      <c r="V219" s="5">
        <f t="shared" si="89"/>
        <v>4.0363688748614275E-3</v>
      </c>
      <c r="W219" s="1"/>
      <c r="X219" s="1">
        <f t="shared" si="90"/>
        <v>-20350</v>
      </c>
      <c r="Y219" s="1"/>
      <c r="Z219" s="5">
        <f t="shared" si="91"/>
        <v>-0.45988700564971752</v>
      </c>
    </row>
    <row r="220" spans="1:26" s="23" customFormat="1" hidden="1" outlineLevel="2" x14ac:dyDescent="0.25">
      <c r="A220" s="25"/>
      <c r="B220" s="10" t="str">
        <f>CONCATENATE("          ", "6408", " - ", "INVENTORY ADJUSTMENT")</f>
        <v xml:space="preserve">          6408 - INVENTORY ADJUSTMENT</v>
      </c>
      <c r="C220" s="10"/>
      <c r="D220" s="6">
        <v>2100</v>
      </c>
      <c r="E220" s="2"/>
      <c r="F220" s="7">
        <f t="shared" si="84"/>
        <v>1.1413339976984181E-2</v>
      </c>
      <c r="G220" s="2"/>
      <c r="H220" s="6">
        <v>4550</v>
      </c>
      <c r="I220" s="2"/>
      <c r="J220" s="7">
        <f t="shared" si="85"/>
        <v>1.1533081058802746E-2</v>
      </c>
      <c r="K220" s="2"/>
      <c r="L220" s="6">
        <f t="shared" si="86"/>
        <v>-2450</v>
      </c>
      <c r="M220" s="2"/>
      <c r="N220" s="7">
        <f t="shared" si="87"/>
        <v>-0.53846153846153844</v>
      </c>
      <c r="O220" s="10"/>
      <c r="P220" s="6">
        <v>23900</v>
      </c>
      <c r="Q220" s="2"/>
      <c r="R220" s="7">
        <f t="shared" si="88"/>
        <v>5.6011324861810251E-3</v>
      </c>
      <c r="S220" s="2"/>
      <c r="T220" s="6">
        <v>44250</v>
      </c>
      <c r="U220" s="2"/>
      <c r="V220" s="7">
        <f t="shared" si="89"/>
        <v>4.0363688748614275E-3</v>
      </c>
      <c r="W220" s="2"/>
      <c r="X220" s="6">
        <f t="shared" si="90"/>
        <v>-20350</v>
      </c>
      <c r="Y220" s="2"/>
      <c r="Z220" s="7">
        <f t="shared" si="91"/>
        <v>-0.45988700564971752</v>
      </c>
    </row>
    <row r="221" spans="1:26" s="23" customFormat="1" hidden="1" outlineLevel="2" x14ac:dyDescent="0.25">
      <c r="A221" s="25"/>
      <c r="B221" s="10" t="str">
        <f>CONCATENATE("          ", "7701", " - ", "INV. SHRINKAGE-NEW TEXT")</f>
        <v xml:space="preserve">          7701 - INV. SHRINKAGE-NEW TEXT</v>
      </c>
      <c r="C221" s="10"/>
      <c r="D221" s="6"/>
      <c r="E221" s="2"/>
      <c r="F221" s="7">
        <f t="shared" si="84"/>
        <v>0</v>
      </c>
      <c r="G221" s="2"/>
      <c r="H221" s="6"/>
      <c r="I221" s="2"/>
      <c r="J221" s="7">
        <f t="shared" si="85"/>
        <v>0</v>
      </c>
      <c r="K221" s="2"/>
      <c r="L221" s="6">
        <f t="shared" si="86"/>
        <v>0</v>
      </c>
      <c r="M221" s="2"/>
      <c r="N221" s="7">
        <f t="shared" si="87"/>
        <v>0</v>
      </c>
      <c r="O221" s="10"/>
      <c r="P221" s="6"/>
      <c r="Q221" s="2"/>
      <c r="R221" s="7">
        <f t="shared" si="88"/>
        <v>0</v>
      </c>
      <c r="S221" s="2"/>
      <c r="T221" s="6">
        <v>0</v>
      </c>
      <c r="U221" s="2"/>
      <c r="V221" s="7">
        <f t="shared" si="89"/>
        <v>0</v>
      </c>
      <c r="W221" s="2"/>
      <c r="X221" s="6">
        <f t="shared" si="90"/>
        <v>0</v>
      </c>
      <c r="Y221" s="2"/>
      <c r="Z221" s="7">
        <f t="shared" si="91"/>
        <v>0</v>
      </c>
    </row>
    <row r="222" spans="1:26" s="23" customFormat="1" hidden="1" outlineLevel="2" x14ac:dyDescent="0.25">
      <c r="A222" s="25"/>
      <c r="B222" s="10" t="str">
        <f>CONCATENATE("          ", "7741", " - ", "INV. SHRINKAGE-LOGO GIFTS")</f>
        <v xml:space="preserve">          7741 - INV. SHRINKAGE-LOGO GIFTS</v>
      </c>
      <c r="C222" s="10"/>
      <c r="D222" s="6"/>
      <c r="E222" s="2"/>
      <c r="F222" s="7">
        <f t="shared" si="84"/>
        <v>0</v>
      </c>
      <c r="G222" s="2"/>
      <c r="H222" s="6"/>
      <c r="I222" s="2"/>
      <c r="J222" s="7">
        <f t="shared" si="85"/>
        <v>0</v>
      </c>
      <c r="K222" s="2"/>
      <c r="L222" s="6">
        <f t="shared" si="86"/>
        <v>0</v>
      </c>
      <c r="M222" s="2"/>
      <c r="N222" s="7">
        <f t="shared" si="87"/>
        <v>0</v>
      </c>
      <c r="O222" s="10"/>
      <c r="P222" s="6">
        <v>0</v>
      </c>
      <c r="Q222" s="2"/>
      <c r="R222" s="7">
        <f t="shared" si="88"/>
        <v>0</v>
      </c>
      <c r="S222" s="2"/>
      <c r="T222" s="6"/>
      <c r="U222" s="2"/>
      <c r="V222" s="7">
        <f t="shared" si="89"/>
        <v>0</v>
      </c>
      <c r="W222" s="2"/>
      <c r="X222" s="6">
        <f t="shared" si="90"/>
        <v>0</v>
      </c>
      <c r="Y222" s="2"/>
      <c r="Z222" s="7">
        <f t="shared" si="91"/>
        <v>0</v>
      </c>
    </row>
    <row r="223" spans="1:26" s="26" customFormat="1" outlineLevel="1" collapsed="1" x14ac:dyDescent="0.25">
      <c r="A223" s="27"/>
      <c r="B223" s="12" t="str">
        <f>CONCATENATE("     ","Professional Services                             ")</f>
        <v xml:space="preserve">     Professional Services                             </v>
      </c>
      <c r="C223" s="12"/>
      <c r="D223" s="1">
        <f>SUM(OSRRefD22_15x_0)</f>
        <v>0</v>
      </c>
      <c r="E223" s="1"/>
      <c r="F223" s="5">
        <f t="shared" ref="F223:F231" si="92">IF(D$12=0,0,D223/D$12)</f>
        <v>0</v>
      </c>
      <c r="G223" s="1"/>
      <c r="H223" s="1">
        <f>SUM(OSRRefH22_15x_0)</f>
        <v>0</v>
      </c>
      <c r="I223" s="1"/>
      <c r="J223" s="5">
        <f t="shared" ref="J223:J231" si="93">IF(H$12=0,0,H223/H$12)</f>
        <v>0</v>
      </c>
      <c r="K223" s="1"/>
      <c r="L223" s="1">
        <f t="shared" ref="L223:L231" si="94">+D223-H223</f>
        <v>0</v>
      </c>
      <c r="M223" s="1"/>
      <c r="N223" s="5">
        <f t="shared" ref="N223:N231" si="95">IF(H223=0,0,L223/H223)</f>
        <v>0</v>
      </c>
      <c r="O223" s="12"/>
      <c r="P223" s="1">
        <f>SUM(OSRRefP22_15x_0)</f>
        <v>0</v>
      </c>
      <c r="Q223" s="1"/>
      <c r="R223" s="5">
        <f t="shared" ref="R223:R231" si="96">IF(P$12=0,0,P223/P$12)</f>
        <v>0</v>
      </c>
      <c r="S223" s="1"/>
      <c r="T223" s="1">
        <f>SUM(OSRRefT22_15x_0)</f>
        <v>6199.56</v>
      </c>
      <c r="U223" s="1"/>
      <c r="V223" s="5">
        <f t="shared" ref="V223:V231" si="97">IF(T$12=0,0,T223/T$12)</f>
        <v>5.6550759371380602E-4</v>
      </c>
      <c r="W223" s="1"/>
      <c r="X223" s="1">
        <f t="shared" ref="X223:X231" si="98">+P223-T223</f>
        <v>-6199.56</v>
      </c>
      <c r="Y223" s="1"/>
      <c r="Z223" s="5">
        <f t="shared" ref="Z223:Z231" si="99">IF(T223=0,0,X223/T223)</f>
        <v>-1</v>
      </c>
    </row>
    <row r="224" spans="1:26" s="23" customFormat="1" hidden="1" outlineLevel="2" x14ac:dyDescent="0.25">
      <c r="A224" s="25"/>
      <c r="B224" s="10" t="str">
        <f>CONCATENATE("          ", "6336", " - ", "PROFESSIONAL SERVICES")</f>
        <v xml:space="preserve">          6336 - PROFESSIONAL SERVICES</v>
      </c>
      <c r="C224" s="10"/>
      <c r="D224" s="6"/>
      <c r="E224" s="2"/>
      <c r="F224" s="7">
        <f t="shared" si="92"/>
        <v>0</v>
      </c>
      <c r="G224" s="2"/>
      <c r="H224" s="6"/>
      <c r="I224" s="2"/>
      <c r="J224" s="7">
        <f t="shared" si="93"/>
        <v>0</v>
      </c>
      <c r="K224" s="2"/>
      <c r="L224" s="6">
        <f t="shared" si="94"/>
        <v>0</v>
      </c>
      <c r="M224" s="2"/>
      <c r="N224" s="7">
        <f t="shared" si="95"/>
        <v>0</v>
      </c>
      <c r="O224" s="10"/>
      <c r="P224" s="6"/>
      <c r="Q224" s="2"/>
      <c r="R224" s="7">
        <f t="shared" si="96"/>
        <v>0</v>
      </c>
      <c r="S224" s="2"/>
      <c r="T224" s="6">
        <v>6199.56</v>
      </c>
      <c r="U224" s="2"/>
      <c r="V224" s="7">
        <f t="shared" si="97"/>
        <v>5.6550759371380602E-4</v>
      </c>
      <c r="W224" s="2"/>
      <c r="X224" s="6">
        <f t="shared" si="98"/>
        <v>-6199.56</v>
      </c>
      <c r="Y224" s="2"/>
      <c r="Z224" s="7">
        <f t="shared" si="99"/>
        <v>-1</v>
      </c>
    </row>
    <row r="225" spans="1:26" s="26" customFormat="1" outlineLevel="1" collapsed="1" x14ac:dyDescent="0.25">
      <c r="A225" s="27"/>
      <c r="B225" s="12" t="str">
        <f>CONCATENATE("     ","Rent                                              ")</f>
        <v xml:space="preserve">     Rent                                              </v>
      </c>
      <c r="C225" s="12"/>
      <c r="D225" s="1">
        <f>SUM(OSRRefD22_16x_0)</f>
        <v>6100</v>
      </c>
      <c r="E225" s="1"/>
      <c r="F225" s="5">
        <f t="shared" si="92"/>
        <v>3.3153035171239763E-2</v>
      </c>
      <c r="G225" s="1"/>
      <c r="H225" s="1">
        <f>SUM(OSRRefH22_16x_0)</f>
        <v>7250</v>
      </c>
      <c r="I225" s="1"/>
      <c r="J225" s="5">
        <f t="shared" si="93"/>
        <v>1.8376887401388993E-2</v>
      </c>
      <c r="K225" s="1"/>
      <c r="L225" s="1">
        <f t="shared" si="94"/>
        <v>-1150</v>
      </c>
      <c r="M225" s="1"/>
      <c r="N225" s="5">
        <f t="shared" si="95"/>
        <v>-0.15862068965517243</v>
      </c>
      <c r="O225" s="12"/>
      <c r="P225" s="1">
        <f>SUM(OSRRefP22_16x_0)</f>
        <v>54900</v>
      </c>
      <c r="Q225" s="1"/>
      <c r="R225" s="5">
        <f t="shared" si="96"/>
        <v>1.2866199727671057E-2</v>
      </c>
      <c r="S225" s="1"/>
      <c r="T225" s="1">
        <f>SUM(OSRRefT22_16x_0)</f>
        <v>66850</v>
      </c>
      <c r="U225" s="1"/>
      <c r="V225" s="5">
        <f t="shared" si="97"/>
        <v>6.097881565751106E-3</v>
      </c>
      <c r="W225" s="1"/>
      <c r="X225" s="1">
        <f t="shared" si="98"/>
        <v>-11950</v>
      </c>
      <c r="Y225" s="1"/>
      <c r="Z225" s="5">
        <f t="shared" si="99"/>
        <v>-0.1787584143605086</v>
      </c>
    </row>
    <row r="226" spans="1:26" s="23" customFormat="1" hidden="1" outlineLevel="2" x14ac:dyDescent="0.25">
      <c r="A226" s="25"/>
      <c r="B226" s="10" t="str">
        <f>CONCATENATE("          ", "6273", " - ", "RENT")</f>
        <v xml:space="preserve">          6273 - RENT</v>
      </c>
      <c r="C226" s="10"/>
      <c r="D226" s="6">
        <v>6100</v>
      </c>
      <c r="E226" s="2"/>
      <c r="F226" s="7">
        <f t="shared" si="92"/>
        <v>3.3153035171239763E-2</v>
      </c>
      <c r="G226" s="2"/>
      <c r="H226" s="6">
        <v>7250</v>
      </c>
      <c r="I226" s="2"/>
      <c r="J226" s="7">
        <f t="shared" si="93"/>
        <v>1.8376887401388993E-2</v>
      </c>
      <c r="K226" s="2"/>
      <c r="L226" s="6">
        <f t="shared" si="94"/>
        <v>-1150</v>
      </c>
      <c r="M226" s="2"/>
      <c r="N226" s="7">
        <f t="shared" si="95"/>
        <v>-0.15862068965517243</v>
      </c>
      <c r="O226" s="10"/>
      <c r="P226" s="6">
        <v>54900</v>
      </c>
      <c r="Q226" s="2"/>
      <c r="R226" s="7">
        <f t="shared" si="96"/>
        <v>1.2866199727671057E-2</v>
      </c>
      <c r="S226" s="2"/>
      <c r="T226" s="6">
        <v>66850</v>
      </c>
      <c r="U226" s="2"/>
      <c r="V226" s="7">
        <f t="shared" si="97"/>
        <v>6.097881565751106E-3</v>
      </c>
      <c r="W226" s="2"/>
      <c r="X226" s="6">
        <f t="shared" si="98"/>
        <v>-11950</v>
      </c>
      <c r="Y226" s="2"/>
      <c r="Z226" s="7">
        <f t="shared" si="99"/>
        <v>-0.1787584143605086</v>
      </c>
    </row>
    <row r="227" spans="1:26" s="26" customFormat="1" outlineLevel="1" collapsed="1" x14ac:dyDescent="0.25">
      <c r="A227" s="27"/>
      <c r="B227" s="12" t="str">
        <f>CONCATENATE("     ","Repair and Maintenance                            ")</f>
        <v xml:space="preserve">     Repair and Maintenance                            </v>
      </c>
      <c r="C227" s="12"/>
      <c r="D227" s="1">
        <f>SUM(OSRRefD22_17x_0)</f>
        <v>1899.9099999999999</v>
      </c>
      <c r="E227" s="1"/>
      <c r="F227" s="5">
        <f t="shared" si="92"/>
        <v>1.032586607412953E-2</v>
      </c>
      <c r="G227" s="1"/>
      <c r="H227" s="1">
        <f>SUM(OSRRefH22_17x_0)</f>
        <v>14496.46</v>
      </c>
      <c r="I227" s="1"/>
      <c r="J227" s="5">
        <f t="shared" si="93"/>
        <v>3.6744801812239922E-2</v>
      </c>
      <c r="K227" s="1"/>
      <c r="L227" s="1">
        <f t="shared" si="94"/>
        <v>-12596.55</v>
      </c>
      <c r="M227" s="1"/>
      <c r="N227" s="5">
        <f t="shared" si="95"/>
        <v>-0.8689397273541265</v>
      </c>
      <c r="O227" s="12"/>
      <c r="P227" s="1">
        <f>SUM(OSRRefP22_17x_0)</f>
        <v>133256.16</v>
      </c>
      <c r="Q227" s="1"/>
      <c r="R227" s="5">
        <f t="shared" si="96"/>
        <v>3.1229514927185623E-2</v>
      </c>
      <c r="S227" s="1"/>
      <c r="T227" s="1">
        <f>SUM(OSRRefT22_17x_0)</f>
        <v>138390.02000000002</v>
      </c>
      <c r="U227" s="1"/>
      <c r="V227" s="5">
        <f t="shared" si="97"/>
        <v>1.2623574447897188E-2</v>
      </c>
      <c r="W227" s="1"/>
      <c r="X227" s="1">
        <f t="shared" si="98"/>
        <v>-5133.8600000000151</v>
      </c>
      <c r="Y227" s="1"/>
      <c r="Z227" s="5">
        <f t="shared" si="99"/>
        <v>-3.7097039222915164E-2</v>
      </c>
    </row>
    <row r="228" spans="1:26" s="23" customFormat="1" hidden="1" outlineLevel="2" x14ac:dyDescent="0.25">
      <c r="A228" s="25"/>
      <c r="B228" s="10" t="str">
        <f>CONCATENATE("          ", "6371", " - ", "COMPUTER SOFTWARE MAINTENANCE")</f>
        <v xml:space="preserve">          6371 - COMPUTER SOFTWARE MAINTENANCE</v>
      </c>
      <c r="C228" s="10"/>
      <c r="D228" s="6"/>
      <c r="E228" s="2"/>
      <c r="F228" s="7">
        <f t="shared" si="92"/>
        <v>0</v>
      </c>
      <c r="G228" s="2"/>
      <c r="H228" s="6">
        <v>631.04999999999995</v>
      </c>
      <c r="I228" s="2"/>
      <c r="J228" s="7">
        <f t="shared" si="93"/>
        <v>1.5995496268477961E-3</v>
      </c>
      <c r="K228" s="2"/>
      <c r="L228" s="6">
        <f t="shared" si="94"/>
        <v>-631.04999999999995</v>
      </c>
      <c r="M228" s="2"/>
      <c r="N228" s="7">
        <f t="shared" si="95"/>
        <v>-1</v>
      </c>
      <c r="O228" s="10"/>
      <c r="P228" s="6">
        <v>59767.72</v>
      </c>
      <c r="Q228" s="2"/>
      <c r="R228" s="7">
        <f t="shared" si="96"/>
        <v>1.40069840216306E-2</v>
      </c>
      <c r="S228" s="2"/>
      <c r="T228" s="6">
        <v>17098.38</v>
      </c>
      <c r="U228" s="2"/>
      <c r="V228" s="7">
        <f t="shared" si="97"/>
        <v>1.5596693523740822E-3</v>
      </c>
      <c r="W228" s="2"/>
      <c r="X228" s="6">
        <f t="shared" si="98"/>
        <v>42669.34</v>
      </c>
      <c r="Y228" s="2"/>
      <c r="Z228" s="7">
        <f t="shared" si="99"/>
        <v>2.4955194585685891</v>
      </c>
    </row>
    <row r="229" spans="1:26" s="23" customFormat="1" hidden="1" outlineLevel="2" x14ac:dyDescent="0.25">
      <c r="A229" s="25"/>
      <c r="B229" s="10" t="str">
        <f>CONCATENATE("          ", "6372", " - ", "COMPUTER HARDWARE MAINTENANCE")</f>
        <v xml:space="preserve">          6372 - COMPUTER HARDWARE MAINTENANCE</v>
      </c>
      <c r="C229" s="10"/>
      <c r="D229" s="6"/>
      <c r="E229" s="2"/>
      <c r="F229" s="7">
        <f t="shared" si="92"/>
        <v>0</v>
      </c>
      <c r="G229" s="2"/>
      <c r="H229" s="6"/>
      <c r="I229" s="2"/>
      <c r="J229" s="7">
        <f t="shared" si="93"/>
        <v>0</v>
      </c>
      <c r="K229" s="2"/>
      <c r="L229" s="6">
        <f t="shared" si="94"/>
        <v>0</v>
      </c>
      <c r="M229" s="2"/>
      <c r="N229" s="7">
        <f t="shared" si="95"/>
        <v>0</v>
      </c>
      <c r="O229" s="10"/>
      <c r="P229" s="6">
        <v>-1.1499999999999999</v>
      </c>
      <c r="Q229" s="2"/>
      <c r="R229" s="7">
        <f t="shared" si="96"/>
        <v>-2.6951055895850115E-7</v>
      </c>
      <c r="S229" s="2"/>
      <c r="T229" s="6">
        <v>52.32</v>
      </c>
      <c r="U229" s="2"/>
      <c r="V229" s="7">
        <f t="shared" si="97"/>
        <v>4.7724930967853088E-6</v>
      </c>
      <c r="W229" s="2"/>
      <c r="X229" s="6">
        <f t="shared" si="98"/>
        <v>-53.47</v>
      </c>
      <c r="Y229" s="2"/>
      <c r="Z229" s="7">
        <f t="shared" si="99"/>
        <v>-1.0219801223241589</v>
      </c>
    </row>
    <row r="230" spans="1:26" s="23" customFormat="1" hidden="1" outlineLevel="2" x14ac:dyDescent="0.25">
      <c r="A230" s="25"/>
      <c r="B230" s="10" t="str">
        <f>CONCATENATE("          ", "6373", " - ", "MAINTENANCE CONTRACTS")</f>
        <v xml:space="preserve">          6373 - MAINTENANCE CONTRACTS</v>
      </c>
      <c r="C230" s="10"/>
      <c r="D230" s="6">
        <v>1564.35</v>
      </c>
      <c r="E230" s="2"/>
      <c r="F230" s="7">
        <f t="shared" si="92"/>
        <v>8.5021230442834297E-3</v>
      </c>
      <c r="G230" s="2"/>
      <c r="H230" s="6">
        <v>12295.93</v>
      </c>
      <c r="I230" s="2"/>
      <c r="J230" s="7">
        <f t="shared" si="93"/>
        <v>3.1167023600739443E-2</v>
      </c>
      <c r="K230" s="2"/>
      <c r="L230" s="6">
        <f t="shared" si="94"/>
        <v>-10731.58</v>
      </c>
      <c r="M230" s="2"/>
      <c r="N230" s="7">
        <f t="shared" si="95"/>
        <v>-0.87277497513404845</v>
      </c>
      <c r="O230" s="10"/>
      <c r="P230" s="6">
        <v>45947.63</v>
      </c>
      <c r="Q230" s="2"/>
      <c r="R230" s="7">
        <f t="shared" si="96"/>
        <v>1.0768149081842085E-2</v>
      </c>
      <c r="S230" s="2"/>
      <c r="T230" s="6">
        <v>70332.63</v>
      </c>
      <c r="U230" s="2"/>
      <c r="V230" s="7">
        <f t="shared" si="97"/>
        <v>6.4155579348959347E-3</v>
      </c>
      <c r="W230" s="2"/>
      <c r="X230" s="6">
        <f t="shared" si="98"/>
        <v>-24385.000000000007</v>
      </c>
      <c r="Y230" s="2"/>
      <c r="Z230" s="7">
        <f t="shared" si="99"/>
        <v>-0.3467096282337232</v>
      </c>
    </row>
    <row r="231" spans="1:26" s="23" customFormat="1" hidden="1" outlineLevel="2" x14ac:dyDescent="0.25">
      <c r="A231" s="25"/>
      <c r="B231" s="10" t="str">
        <f>CONCATENATE("          ", "6375", " - ", "OUTSIDE REPAIRS &amp; MAINTENANCE")</f>
        <v xml:space="preserve">          6375 - OUTSIDE REPAIRS &amp; MAINTENANCE</v>
      </c>
      <c r="C231" s="10"/>
      <c r="D231" s="6">
        <v>335.56</v>
      </c>
      <c r="E231" s="2"/>
      <c r="F231" s="7">
        <f t="shared" si="92"/>
        <v>1.8237430298461009E-3</v>
      </c>
      <c r="G231" s="2"/>
      <c r="H231" s="6">
        <v>1569.48</v>
      </c>
      <c r="I231" s="2"/>
      <c r="J231" s="7">
        <f t="shared" si="93"/>
        <v>3.9782285846526886E-3</v>
      </c>
      <c r="K231" s="2"/>
      <c r="L231" s="6">
        <f t="shared" si="94"/>
        <v>-1233.92</v>
      </c>
      <c r="M231" s="2"/>
      <c r="N231" s="7">
        <f t="shared" si="95"/>
        <v>-0.78619670209241277</v>
      </c>
      <c r="O231" s="10"/>
      <c r="P231" s="6">
        <v>27541.96</v>
      </c>
      <c r="Q231" s="2"/>
      <c r="R231" s="7">
        <f t="shared" si="96"/>
        <v>6.4546513342718962E-3</v>
      </c>
      <c r="S231" s="2"/>
      <c r="T231" s="6">
        <v>50906.69</v>
      </c>
      <c r="U231" s="2"/>
      <c r="V231" s="7">
        <f t="shared" si="97"/>
        <v>4.6435746675303844E-3</v>
      </c>
      <c r="W231" s="2"/>
      <c r="X231" s="6">
        <f t="shared" si="98"/>
        <v>-23364.730000000003</v>
      </c>
      <c r="Y231" s="2"/>
      <c r="Z231" s="7">
        <f t="shared" si="99"/>
        <v>-0.45897169900459062</v>
      </c>
    </row>
    <row r="232" spans="1:26" s="26" customFormat="1" outlineLevel="1" collapsed="1" x14ac:dyDescent="0.25">
      <c r="A232" s="27"/>
      <c r="B232" s="12" t="str">
        <f>CONCATENATE("     ","Royalty &amp; Commissions                             ")</f>
        <v xml:space="preserve">     Royalty &amp; Commissions                             </v>
      </c>
      <c r="C232" s="12"/>
      <c r="D232" s="1">
        <f>SUM(OSRRefD22_18x_0)</f>
        <v>27.21</v>
      </c>
      <c r="E232" s="1"/>
      <c r="F232" s="5">
        <f t="shared" ref="F232:F235" si="100">IF(D$12=0,0,D232/D$12)</f>
        <v>1.4788427655892361E-4</v>
      </c>
      <c r="G232" s="1"/>
      <c r="H232" s="1">
        <f>SUM(OSRRefH22_18x_0)</f>
        <v>15930.23</v>
      </c>
      <c r="I232" s="1"/>
      <c r="J232" s="5">
        <f t="shared" ref="J232:J235" si="101">IF(H$12=0,0,H232/H$12)</f>
        <v>4.0379040412169512E-2</v>
      </c>
      <c r="K232" s="1"/>
      <c r="L232" s="1">
        <f t="shared" ref="L232:L235" si="102">+D232-H232</f>
        <v>-15903.02</v>
      </c>
      <c r="M232" s="1"/>
      <c r="N232" s="5">
        <f t="shared" ref="N232:N235" si="103">IF(H232=0,0,L232/H232)</f>
        <v>-0.99829192673301015</v>
      </c>
      <c r="O232" s="12"/>
      <c r="P232" s="1">
        <f>SUM(OSRRefP22_18x_0)</f>
        <v>37046.9</v>
      </c>
      <c r="Q232" s="1"/>
      <c r="R232" s="5">
        <f t="shared" ref="R232:R235" si="104">IF(P$12=0,0,P232/P$12)</f>
        <v>8.6822006318953895E-3</v>
      </c>
      <c r="S232" s="1"/>
      <c r="T232" s="1">
        <f>SUM(OSRRefT22_18x_0)</f>
        <v>127668.09</v>
      </c>
      <c r="U232" s="1"/>
      <c r="V232" s="5">
        <f t="shared" ref="V232:V235" si="105">IF(T$12=0,0,T232/T$12)</f>
        <v>1.1645548130825028E-2</v>
      </c>
      <c r="W232" s="1"/>
      <c r="X232" s="1">
        <f t="shared" ref="X232:X235" si="106">+P232-T232</f>
        <v>-90621.19</v>
      </c>
      <c r="Y232" s="1"/>
      <c r="Z232" s="5">
        <f t="shared" ref="Z232:Z235" si="107">IF(T232=0,0,X232/T232)</f>
        <v>-0.70981863988096006</v>
      </c>
    </row>
    <row r="233" spans="1:26" s="23" customFormat="1" hidden="1" outlineLevel="2" x14ac:dyDescent="0.25">
      <c r="A233" s="25"/>
      <c r="B233" s="10" t="str">
        <f>CONCATENATE("          ", "6253", " - ", "ROYALTY DUE ATHLETICS-LRG")</f>
        <v xml:space="preserve">          6253 - ROYALTY DUE ATHLETICS-LRG</v>
      </c>
      <c r="C233" s="10"/>
      <c r="D233" s="6"/>
      <c r="E233" s="2"/>
      <c r="F233" s="7">
        <f t="shared" si="100"/>
        <v>0</v>
      </c>
      <c r="G233" s="2"/>
      <c r="H233" s="6">
        <v>1669.49</v>
      </c>
      <c r="I233" s="2"/>
      <c r="J233" s="7">
        <f t="shared" si="101"/>
        <v>4.2317282410682631E-3</v>
      </c>
      <c r="K233" s="2"/>
      <c r="L233" s="6">
        <f t="shared" si="102"/>
        <v>-1669.49</v>
      </c>
      <c r="M233" s="2"/>
      <c r="N233" s="7">
        <f t="shared" si="103"/>
        <v>-1</v>
      </c>
      <c r="O233" s="10"/>
      <c r="P233" s="6">
        <v>26197.58</v>
      </c>
      <c r="Q233" s="2"/>
      <c r="R233" s="7">
        <f t="shared" si="104"/>
        <v>6.1395864601391757E-3</v>
      </c>
      <c r="S233" s="2"/>
      <c r="T233" s="6">
        <v>18314.93</v>
      </c>
      <c r="U233" s="2"/>
      <c r="V233" s="7">
        <f t="shared" si="105"/>
        <v>1.6706398507856681E-3</v>
      </c>
      <c r="W233" s="2"/>
      <c r="X233" s="6">
        <f t="shared" si="106"/>
        <v>7882.6500000000015</v>
      </c>
      <c r="Y233" s="2"/>
      <c r="Z233" s="7">
        <f t="shared" si="107"/>
        <v>0.43039476536355864</v>
      </c>
    </row>
    <row r="234" spans="1:26" s="23" customFormat="1" hidden="1" outlineLevel="2" x14ac:dyDescent="0.25">
      <c r="A234" s="25"/>
      <c r="B234" s="10" t="str">
        <f>CONCATENATE("          ", "6254", " - ", "ROYALTY &amp; COMMISSIONS")</f>
        <v xml:space="preserve">          6254 - ROYALTY &amp; COMMISSIONS</v>
      </c>
      <c r="C234" s="10"/>
      <c r="D234" s="6"/>
      <c r="E234" s="2"/>
      <c r="F234" s="7">
        <f t="shared" si="100"/>
        <v>0</v>
      </c>
      <c r="G234" s="2"/>
      <c r="H234" s="6">
        <v>10396.82</v>
      </c>
      <c r="I234" s="2"/>
      <c r="J234" s="7">
        <f t="shared" si="101"/>
        <v>2.6353267651380564E-2</v>
      </c>
      <c r="K234" s="2"/>
      <c r="L234" s="6">
        <f t="shared" si="102"/>
        <v>-10396.82</v>
      </c>
      <c r="M234" s="2"/>
      <c r="N234" s="7">
        <f t="shared" si="103"/>
        <v>-1</v>
      </c>
      <c r="O234" s="10"/>
      <c r="P234" s="6">
        <v>185.7</v>
      </c>
      <c r="Q234" s="2"/>
      <c r="R234" s="7">
        <f t="shared" si="104"/>
        <v>4.3520096346603191E-5</v>
      </c>
      <c r="S234" s="2"/>
      <c r="T234" s="6">
        <v>32527.360000000001</v>
      </c>
      <c r="U234" s="2"/>
      <c r="V234" s="7">
        <f t="shared" si="105"/>
        <v>2.9670604177494376E-3</v>
      </c>
      <c r="W234" s="2"/>
      <c r="X234" s="6">
        <f t="shared" si="106"/>
        <v>-32341.66</v>
      </c>
      <c r="Y234" s="2"/>
      <c r="Z234" s="7">
        <f t="shared" si="107"/>
        <v>-0.9942909599795372</v>
      </c>
    </row>
    <row r="235" spans="1:26" s="23" customFormat="1" hidden="1" outlineLevel="2" x14ac:dyDescent="0.25">
      <c r="A235" s="25"/>
      <c r="B235" s="10" t="str">
        <f>CONCATENATE("          ", "6259", " - ", "ROYALTY &amp; COMMISSIONS")</f>
        <v xml:space="preserve">          6259 - ROYALTY &amp; COMMISSIONS</v>
      </c>
      <c r="C235" s="10"/>
      <c r="D235" s="6">
        <v>27.21</v>
      </c>
      <c r="E235" s="2"/>
      <c r="F235" s="7">
        <f t="shared" si="100"/>
        <v>1.4788427655892361E-4</v>
      </c>
      <c r="G235" s="2"/>
      <c r="H235" s="6">
        <v>3863.92</v>
      </c>
      <c r="I235" s="2"/>
      <c r="J235" s="7">
        <f t="shared" si="101"/>
        <v>9.7940445197206832E-3</v>
      </c>
      <c r="K235" s="2"/>
      <c r="L235" s="6">
        <f t="shared" si="102"/>
        <v>-3836.71</v>
      </c>
      <c r="M235" s="2"/>
      <c r="N235" s="7">
        <f t="shared" si="103"/>
        <v>-0.99295792873558453</v>
      </c>
      <c r="O235" s="10"/>
      <c r="P235" s="6">
        <v>10663.62</v>
      </c>
      <c r="Q235" s="2"/>
      <c r="R235" s="7">
        <f t="shared" si="104"/>
        <v>2.4990940754096112E-3</v>
      </c>
      <c r="S235" s="2"/>
      <c r="T235" s="6">
        <v>76825.8</v>
      </c>
      <c r="U235" s="2"/>
      <c r="V235" s="7">
        <f t="shared" si="105"/>
        <v>7.0078478622899228E-3</v>
      </c>
      <c r="W235" s="2"/>
      <c r="X235" s="6">
        <f t="shared" si="106"/>
        <v>-66162.180000000008</v>
      </c>
      <c r="Y235" s="2"/>
      <c r="Z235" s="7">
        <f t="shared" si="107"/>
        <v>-0.86119741024499585</v>
      </c>
    </row>
    <row r="236" spans="1:26" s="26" customFormat="1" outlineLevel="1" collapsed="1" x14ac:dyDescent="0.25">
      <c r="A236" s="27"/>
      <c r="B236" s="12" t="str">
        <f>CONCATENATE("     ","Services                                          ")</f>
        <v xml:space="preserve">     Services                                          </v>
      </c>
      <c r="C236" s="12"/>
      <c r="D236" s="1">
        <f>SUM(OSRRefD22_19x_0)</f>
        <v>7635.98</v>
      </c>
      <c r="E236" s="1"/>
      <c r="F236" s="5">
        <f t="shared" ref="F236:F241" si="108">IF(D$12=0,0,D236/D$12)</f>
        <v>4.1500969427357932E-2</v>
      </c>
      <c r="G236" s="1"/>
      <c r="H236" s="1">
        <f>SUM(OSRRefH22_19x_0)</f>
        <v>5758.8</v>
      </c>
      <c r="I236" s="1"/>
      <c r="J236" s="5">
        <f t="shared" ref="J236:J241" si="109">IF(H$12=0,0,H236/H$12)</f>
        <v>1.4597078505809508E-2</v>
      </c>
      <c r="K236" s="1"/>
      <c r="L236" s="1">
        <f t="shared" ref="L236:L241" si="110">+D236-H236</f>
        <v>1877.1799999999994</v>
      </c>
      <c r="M236" s="1"/>
      <c r="N236" s="5">
        <f t="shared" ref="N236:N241" si="111">IF(H236=0,0,L236/H236)</f>
        <v>0.32596721539209544</v>
      </c>
      <c r="O236" s="12"/>
      <c r="P236" s="1">
        <f>SUM(OSRRefP22_19x_0)</f>
        <v>38143.019999999997</v>
      </c>
      <c r="Q236" s="1"/>
      <c r="R236" s="5">
        <f t="shared" ref="R236:R241" si="112">IF(P$12=0,0,P236/P$12)</f>
        <v>8.9390840352741637E-3</v>
      </c>
      <c r="S236" s="1"/>
      <c r="T236" s="1">
        <f>SUM(OSRRefT22_19x_0)</f>
        <v>57317.33</v>
      </c>
      <c r="U236" s="1"/>
      <c r="V236" s="5">
        <f t="shared" ref="V236:V241" si="113">IF(T$12=0,0,T236/T$12)</f>
        <v>5.228336424907597E-3</v>
      </c>
      <c r="W236" s="1"/>
      <c r="X236" s="1">
        <f t="shared" ref="X236:X241" si="114">+P236-T236</f>
        <v>-19174.310000000005</v>
      </c>
      <c r="Y236" s="1"/>
      <c r="Z236" s="5">
        <f t="shared" ref="Z236:Z241" si="115">IF(T236=0,0,X236/T236)</f>
        <v>-0.33452901591892026</v>
      </c>
    </row>
    <row r="237" spans="1:26" s="23" customFormat="1" hidden="1" outlineLevel="2" x14ac:dyDescent="0.25">
      <c r="A237" s="25"/>
      <c r="B237" s="10" t="str">
        <f>CONCATENATE("          ", "6282", " - ", "JANITORIAL/EXTERMINATOR EXPENS")</f>
        <v xml:space="preserve">          6282 - JANITORIAL/EXTERMINATOR EXPENS</v>
      </c>
      <c r="C237" s="10"/>
      <c r="D237" s="6">
        <v>894.21</v>
      </c>
      <c r="E237" s="2"/>
      <c r="F237" s="7">
        <f t="shared" si="108"/>
        <v>4.8599632099138217E-3</v>
      </c>
      <c r="G237" s="2"/>
      <c r="H237" s="6">
        <v>789.78</v>
      </c>
      <c r="I237" s="2"/>
      <c r="J237" s="7">
        <f t="shared" si="109"/>
        <v>2.0018893974991722E-3</v>
      </c>
      <c r="K237" s="2"/>
      <c r="L237" s="6">
        <f t="shared" si="110"/>
        <v>104.43000000000006</v>
      </c>
      <c r="M237" s="2"/>
      <c r="N237" s="7">
        <f t="shared" si="111"/>
        <v>0.13222669604193582</v>
      </c>
      <c r="O237" s="10"/>
      <c r="P237" s="6">
        <v>9341.08</v>
      </c>
      <c r="Q237" s="2"/>
      <c r="R237" s="7">
        <f t="shared" si="112"/>
        <v>2.1891475583270229E-3</v>
      </c>
      <c r="S237" s="2"/>
      <c r="T237" s="6">
        <v>8380.61</v>
      </c>
      <c r="U237" s="2"/>
      <c r="V237" s="7">
        <f t="shared" si="113"/>
        <v>7.6445725099101537E-4</v>
      </c>
      <c r="W237" s="2"/>
      <c r="X237" s="6">
        <f t="shared" si="114"/>
        <v>960.46999999999935</v>
      </c>
      <c r="Y237" s="2"/>
      <c r="Z237" s="7">
        <f t="shared" si="115"/>
        <v>0.11460621601530191</v>
      </c>
    </row>
    <row r="238" spans="1:26" s="23" customFormat="1" hidden="1" outlineLevel="2" x14ac:dyDescent="0.25">
      <c r="A238" s="25"/>
      <c r="B238" s="10" t="str">
        <f>CONCATENATE("          ", "6283", " - ", "PLANT SERVICE")</f>
        <v xml:space="preserve">          6283 - PLANT SERVICE</v>
      </c>
      <c r="C238" s="10"/>
      <c r="D238" s="6"/>
      <c r="E238" s="2"/>
      <c r="F238" s="7">
        <f t="shared" si="108"/>
        <v>0</v>
      </c>
      <c r="G238" s="2"/>
      <c r="H238" s="6"/>
      <c r="I238" s="2"/>
      <c r="J238" s="7">
        <f t="shared" si="109"/>
        <v>0</v>
      </c>
      <c r="K238" s="2"/>
      <c r="L238" s="6">
        <f t="shared" si="110"/>
        <v>0</v>
      </c>
      <c r="M238" s="2"/>
      <c r="N238" s="7">
        <f t="shared" si="111"/>
        <v>0</v>
      </c>
      <c r="O238" s="10"/>
      <c r="P238" s="6">
        <v>171.31</v>
      </c>
      <c r="Q238" s="2"/>
      <c r="R238" s="7">
        <f t="shared" si="112"/>
        <v>4.0147699004505076E-5</v>
      </c>
      <c r="S238" s="2"/>
      <c r="T238" s="6">
        <v>541.98</v>
      </c>
      <c r="U238" s="2"/>
      <c r="V238" s="7">
        <f t="shared" si="113"/>
        <v>4.9437993283556989E-5</v>
      </c>
      <c r="W238" s="2"/>
      <c r="X238" s="6">
        <f t="shared" si="114"/>
        <v>-370.67</v>
      </c>
      <c r="Y238" s="2"/>
      <c r="Z238" s="7">
        <f t="shared" si="115"/>
        <v>-0.68391822576478833</v>
      </c>
    </row>
    <row r="239" spans="1:26" s="23" customFormat="1" hidden="1" outlineLevel="2" x14ac:dyDescent="0.25">
      <c r="A239" s="25"/>
      <c r="B239" s="10" t="str">
        <f>CONCATENATE("          ", "6284", " - ", "TRASH REMOVAL EXPENSE")</f>
        <v xml:space="preserve">          6284 - TRASH REMOVAL EXPENSE</v>
      </c>
      <c r="C239" s="10"/>
      <c r="D239" s="6">
        <v>-138.43</v>
      </c>
      <c r="E239" s="2"/>
      <c r="F239" s="7">
        <f t="shared" si="108"/>
        <v>-7.5235650143520014E-4</v>
      </c>
      <c r="G239" s="2"/>
      <c r="H239" s="6">
        <v>423.82</v>
      </c>
      <c r="I239" s="2"/>
      <c r="J239" s="7">
        <f t="shared" si="109"/>
        <v>1.0742748163388527E-3</v>
      </c>
      <c r="K239" s="2"/>
      <c r="L239" s="6">
        <f t="shared" si="110"/>
        <v>-562.25</v>
      </c>
      <c r="M239" s="2"/>
      <c r="N239" s="7">
        <f t="shared" si="111"/>
        <v>-1.3266245104053609</v>
      </c>
      <c r="O239" s="10"/>
      <c r="P239" s="6">
        <v>2173.15</v>
      </c>
      <c r="Q239" s="2"/>
      <c r="R239" s="7">
        <f t="shared" si="112"/>
        <v>5.0929293147884073E-4</v>
      </c>
      <c r="S239" s="2"/>
      <c r="T239" s="6">
        <v>3813.38</v>
      </c>
      <c r="U239" s="2"/>
      <c r="V239" s="7">
        <f t="shared" si="113"/>
        <v>3.4784651615862308E-4</v>
      </c>
      <c r="W239" s="2"/>
      <c r="X239" s="6">
        <f t="shared" si="114"/>
        <v>-1640.23</v>
      </c>
      <c r="Y239" s="2"/>
      <c r="Z239" s="7">
        <f t="shared" si="115"/>
        <v>-0.4301249809879949</v>
      </c>
    </row>
    <row r="240" spans="1:26" s="23" customFormat="1" hidden="1" outlineLevel="2" x14ac:dyDescent="0.25">
      <c r="A240" s="25"/>
      <c r="B240" s="10" t="str">
        <f>CONCATENATE("          ", "6285", " - ", "JANITORIAL SERVICES")</f>
        <v xml:space="preserve">          6285 - JANITORIAL SERVICES</v>
      </c>
      <c r="C240" s="10"/>
      <c r="D240" s="6">
        <v>6880.2</v>
      </c>
      <c r="E240" s="2"/>
      <c r="F240" s="7">
        <f t="shared" si="108"/>
        <v>3.7393362718879317E-2</v>
      </c>
      <c r="G240" s="2"/>
      <c r="H240" s="6">
        <v>4357.6400000000003</v>
      </c>
      <c r="I240" s="2"/>
      <c r="J240" s="7">
        <f t="shared" si="109"/>
        <v>1.1045497878039824E-2</v>
      </c>
      <c r="K240" s="2"/>
      <c r="L240" s="6">
        <f t="shared" si="110"/>
        <v>2522.5599999999995</v>
      </c>
      <c r="M240" s="2"/>
      <c r="N240" s="7">
        <f t="shared" si="111"/>
        <v>0.57888214721730091</v>
      </c>
      <c r="O240" s="10"/>
      <c r="P240" s="6">
        <v>26457.48</v>
      </c>
      <c r="Q240" s="2"/>
      <c r="R240" s="7">
        <f t="shared" si="112"/>
        <v>6.2004958464637961E-3</v>
      </c>
      <c r="S240" s="2"/>
      <c r="T240" s="6">
        <v>38523.72</v>
      </c>
      <c r="U240" s="2"/>
      <c r="V240" s="7">
        <f t="shared" si="113"/>
        <v>3.5140326407203772E-3</v>
      </c>
      <c r="W240" s="2"/>
      <c r="X240" s="6">
        <f t="shared" si="114"/>
        <v>-12066.240000000002</v>
      </c>
      <c r="Y240" s="2"/>
      <c r="Z240" s="7">
        <f t="shared" si="115"/>
        <v>-0.31321585765860621</v>
      </c>
    </row>
    <row r="241" spans="1:26" s="23" customFormat="1" hidden="1" outlineLevel="2" x14ac:dyDescent="0.25">
      <c r="A241" s="25"/>
      <c r="B241" s="10" t="str">
        <f>CONCATENATE("          ", "6286", " - ", "LAUNDRY EXPENSE")</f>
        <v xml:space="preserve">          6286 - LAUNDRY EXPENSE</v>
      </c>
      <c r="C241" s="10"/>
      <c r="D241" s="6"/>
      <c r="E241" s="2"/>
      <c r="F241" s="7">
        <f t="shared" si="108"/>
        <v>0</v>
      </c>
      <c r="G241" s="2"/>
      <c r="H241" s="6">
        <v>187.56</v>
      </c>
      <c r="I241" s="2"/>
      <c r="J241" s="7">
        <f t="shared" si="109"/>
        <v>4.7541641393165782E-4</v>
      </c>
      <c r="K241" s="2"/>
      <c r="L241" s="6">
        <f t="shared" si="110"/>
        <v>-187.56</v>
      </c>
      <c r="M241" s="2"/>
      <c r="N241" s="7">
        <f t="shared" si="111"/>
        <v>-1</v>
      </c>
      <c r="O241" s="10"/>
      <c r="P241" s="6"/>
      <c r="Q241" s="2"/>
      <c r="R241" s="7">
        <f t="shared" si="112"/>
        <v>0</v>
      </c>
      <c r="S241" s="2"/>
      <c r="T241" s="6">
        <v>6057.64</v>
      </c>
      <c r="U241" s="2"/>
      <c r="V241" s="7">
        <f t="shared" si="113"/>
        <v>5.525620237540244E-4</v>
      </c>
      <c r="W241" s="2"/>
      <c r="X241" s="6">
        <f t="shared" si="114"/>
        <v>-6057.64</v>
      </c>
      <c r="Y241" s="2"/>
      <c r="Z241" s="7">
        <f t="shared" si="115"/>
        <v>-1</v>
      </c>
    </row>
    <row r="242" spans="1:26" s="26" customFormat="1" outlineLevel="1" collapsed="1" x14ac:dyDescent="0.25">
      <c r="A242" s="27"/>
      <c r="B242" s="12" t="str">
        <f>CONCATENATE("     ","Subscriptions &amp; Dues                              ")</f>
        <v xml:space="preserve">     Subscriptions &amp; Dues                              </v>
      </c>
      <c r="C242" s="12"/>
      <c r="D242" s="1">
        <f>SUM(OSRRefD22_20x_0)</f>
        <v>307.78999999999996</v>
      </c>
      <c r="E242" s="1"/>
      <c r="F242" s="5">
        <f t="shared" ref="F242:F244" si="116">IF(D$12=0,0,D242/D$12)</f>
        <v>1.6728151959599813E-3</v>
      </c>
      <c r="G242" s="1"/>
      <c r="H242" s="1">
        <f>SUM(OSRRefH22_20x_0)</f>
        <v>616.54</v>
      </c>
      <c r="I242" s="1"/>
      <c r="J242" s="5">
        <f t="shared" ref="J242:J244" si="117">IF(H$12=0,0,H242/H$12)</f>
        <v>1.5627705046141198E-3</v>
      </c>
      <c r="K242" s="1"/>
      <c r="L242" s="1">
        <f t="shared" ref="L242:L244" si="118">+D242-H242</f>
        <v>-308.75</v>
      </c>
      <c r="M242" s="1"/>
      <c r="N242" s="5">
        <f t="shared" ref="N242:N244" si="119">IF(H242=0,0,L242/H242)</f>
        <v>-0.50077853829435237</v>
      </c>
      <c r="O242" s="12"/>
      <c r="P242" s="1">
        <f>SUM(OSRRefP22_20x_0)</f>
        <v>4334.33</v>
      </c>
      <c r="Q242" s="1"/>
      <c r="R242" s="5">
        <f t="shared" ref="R242:R244" si="120">IF(P$12=0,0,P242/P$12)</f>
        <v>1.0157806095744352E-3</v>
      </c>
      <c r="S242" s="1"/>
      <c r="T242" s="1">
        <f>SUM(OSRRefT22_20x_0)</f>
        <v>6332.9699999999993</v>
      </c>
      <c r="U242" s="1"/>
      <c r="V242" s="5">
        <f t="shared" ref="V242:V244" si="121">IF(T$12=0,0,T242/T$12)</f>
        <v>5.7767690380635414E-4</v>
      </c>
      <c r="W242" s="1"/>
      <c r="X242" s="1">
        <f t="shared" ref="X242:X244" si="122">+P242-T242</f>
        <v>-1998.6399999999994</v>
      </c>
      <c r="Y242" s="1"/>
      <c r="Z242" s="5">
        <f t="shared" ref="Z242:Z244" si="123">IF(T242=0,0,X242/T242)</f>
        <v>-0.31559284190514081</v>
      </c>
    </row>
    <row r="243" spans="1:26" s="23" customFormat="1" hidden="1" outlineLevel="2" x14ac:dyDescent="0.25">
      <c r="A243" s="25"/>
      <c r="B243" s="10" t="str">
        <f>CONCATENATE("          ", "6258", " - ", "MEMBERSHIP DUES")</f>
        <v xml:space="preserve">          6258 - MEMBERSHIP DUES</v>
      </c>
      <c r="C243" s="10"/>
      <c r="D243" s="6">
        <v>232.79</v>
      </c>
      <c r="E243" s="2"/>
      <c r="F243" s="7">
        <f t="shared" si="116"/>
        <v>1.2651959110676892E-3</v>
      </c>
      <c r="G243" s="2"/>
      <c r="H243" s="6">
        <v>616.54</v>
      </c>
      <c r="I243" s="2"/>
      <c r="J243" s="7">
        <f t="shared" si="117"/>
        <v>1.5627705046141198E-3</v>
      </c>
      <c r="K243" s="2"/>
      <c r="L243" s="6">
        <f t="shared" si="118"/>
        <v>-383.75</v>
      </c>
      <c r="M243" s="2"/>
      <c r="N243" s="7">
        <f t="shared" si="119"/>
        <v>-0.62242514678690763</v>
      </c>
      <c r="O243" s="10"/>
      <c r="P243" s="6">
        <v>2106.52</v>
      </c>
      <c r="Q243" s="2"/>
      <c r="R243" s="7">
        <f t="shared" si="120"/>
        <v>4.9367772404979298E-4</v>
      </c>
      <c r="S243" s="2"/>
      <c r="T243" s="6">
        <v>4056.41</v>
      </c>
      <c r="U243" s="2"/>
      <c r="V243" s="7">
        <f t="shared" si="121"/>
        <v>3.7001507497574335E-4</v>
      </c>
      <c r="W243" s="2"/>
      <c r="X243" s="6">
        <f t="shared" si="122"/>
        <v>-1949.8899999999999</v>
      </c>
      <c r="Y243" s="2"/>
      <c r="Z243" s="7">
        <f t="shared" si="123"/>
        <v>-0.48069351963928691</v>
      </c>
    </row>
    <row r="244" spans="1:26" s="23" customFormat="1" hidden="1" outlineLevel="2" x14ac:dyDescent="0.25">
      <c r="A244" s="25"/>
      <c r="B244" s="10" t="str">
        <f>CONCATENATE("          ", "6275", " - ", "SUBSCRIPTIONS")</f>
        <v xml:space="preserve">          6275 - SUBSCRIPTIONS</v>
      </c>
      <c r="C244" s="10"/>
      <c r="D244" s="6">
        <v>75</v>
      </c>
      <c r="E244" s="2"/>
      <c r="F244" s="7">
        <f t="shared" si="116"/>
        <v>4.0761928489229217E-4</v>
      </c>
      <c r="G244" s="2"/>
      <c r="H244" s="6"/>
      <c r="I244" s="2"/>
      <c r="J244" s="7">
        <f t="shared" si="117"/>
        <v>0</v>
      </c>
      <c r="K244" s="2"/>
      <c r="L244" s="6">
        <f t="shared" si="118"/>
        <v>75</v>
      </c>
      <c r="M244" s="2"/>
      <c r="N244" s="7">
        <f t="shared" si="119"/>
        <v>0</v>
      </c>
      <c r="O244" s="10"/>
      <c r="P244" s="6">
        <v>2227.81</v>
      </c>
      <c r="Q244" s="2"/>
      <c r="R244" s="7">
        <f t="shared" si="120"/>
        <v>5.221028855246422E-4</v>
      </c>
      <c r="S244" s="2"/>
      <c r="T244" s="6">
        <v>2276.56</v>
      </c>
      <c r="U244" s="2"/>
      <c r="V244" s="7">
        <f t="shared" si="121"/>
        <v>2.0766182883061088E-4</v>
      </c>
      <c r="W244" s="2"/>
      <c r="X244" s="6">
        <f t="shared" si="122"/>
        <v>-48.75</v>
      </c>
      <c r="Y244" s="2"/>
      <c r="Z244" s="7">
        <f t="shared" si="123"/>
        <v>-2.1413887619917773E-2</v>
      </c>
    </row>
    <row r="245" spans="1:26" s="26" customFormat="1" outlineLevel="1" collapsed="1" x14ac:dyDescent="0.25">
      <c r="A245" s="27"/>
      <c r="B245" s="12" t="str">
        <f>CONCATENATE("     ","Supplies                                          ")</f>
        <v xml:space="preserve">     Supplies                                          </v>
      </c>
      <c r="C245" s="12"/>
      <c r="D245" s="1">
        <f>SUM(OSRRefD22_21x_0)</f>
        <v>4097.66</v>
      </c>
      <c r="E245" s="1"/>
      <c r="F245" s="5">
        <f t="shared" ref="F245:F254" si="124">IF(D$12=0,0,D245/D$12)</f>
        <v>2.2270469852423331E-2</v>
      </c>
      <c r="G245" s="1"/>
      <c r="H245" s="1">
        <f>SUM(OSRRefH22_21x_0)</f>
        <v>12330.060000000001</v>
      </c>
      <c r="I245" s="1"/>
      <c r="J245" s="5">
        <f t="shared" ref="J245:J254" si="125">IF(H$12=0,0,H245/H$12)</f>
        <v>3.1253534382395913E-2</v>
      </c>
      <c r="K245" s="1"/>
      <c r="L245" s="1">
        <f t="shared" ref="L245:L254" si="126">+D245-H245</f>
        <v>-8232.4000000000015</v>
      </c>
      <c r="M245" s="1"/>
      <c r="N245" s="5">
        <f t="shared" ref="N245:N254" si="127">IF(H245=0,0,L245/H245)</f>
        <v>-0.66766909487869486</v>
      </c>
      <c r="O245" s="12"/>
      <c r="P245" s="1">
        <f>SUM(OSRRefP22_21x_0)</f>
        <v>104098.35999999999</v>
      </c>
      <c r="Q245" s="1"/>
      <c r="R245" s="5">
        <f t="shared" ref="R245:R254" si="128">IF(P$12=0,0,P245/P$12)</f>
        <v>2.439618016544633E-2</v>
      </c>
      <c r="S245" s="1"/>
      <c r="T245" s="1">
        <f>SUM(OSRRefT22_21x_0)</f>
        <v>132653.68</v>
      </c>
      <c r="U245" s="1"/>
      <c r="V245" s="5">
        <f t="shared" ref="V245:V254" si="129">IF(T$12=0,0,T245/T$12)</f>
        <v>1.2100320566956561E-2</v>
      </c>
      <c r="W245" s="1"/>
      <c r="X245" s="1">
        <f t="shared" ref="X245:X254" si="130">+P245-T245</f>
        <v>-28555.320000000007</v>
      </c>
      <c r="Y245" s="1"/>
      <c r="Z245" s="5">
        <f t="shared" ref="Z245:Z254" si="131">IF(T245=0,0,X245/T245)</f>
        <v>-0.21526217742319706</v>
      </c>
    </row>
    <row r="246" spans="1:26" s="23" customFormat="1" hidden="1" outlineLevel="2" x14ac:dyDescent="0.25">
      <c r="A246" s="25"/>
      <c r="B246" s="10" t="str">
        <f>CONCATENATE("          ", "6234", " - ", "EXPENDABLE SUPPLIES &amp; EQUIPMEN")</f>
        <v xml:space="preserve">          6234 - EXPENDABLE SUPPLIES &amp; EQUIPMEN</v>
      </c>
      <c r="C246" s="10"/>
      <c r="D246" s="6"/>
      <c r="E246" s="2"/>
      <c r="F246" s="7">
        <f t="shared" si="124"/>
        <v>0</v>
      </c>
      <c r="G246" s="2"/>
      <c r="H246" s="6">
        <v>140.75</v>
      </c>
      <c r="I246" s="2"/>
      <c r="J246" s="7">
        <f t="shared" si="125"/>
        <v>3.5676508989593113E-4</v>
      </c>
      <c r="K246" s="2"/>
      <c r="L246" s="6">
        <f t="shared" si="126"/>
        <v>-140.75</v>
      </c>
      <c r="M246" s="2"/>
      <c r="N246" s="7">
        <f t="shared" si="127"/>
        <v>-1</v>
      </c>
      <c r="O246" s="10"/>
      <c r="P246" s="6">
        <v>263.83</v>
      </c>
      <c r="Q246" s="2"/>
      <c r="R246" s="7">
        <f t="shared" si="128"/>
        <v>6.1830409365235973E-5</v>
      </c>
      <c r="S246" s="2"/>
      <c r="T246" s="6">
        <v>4394.16</v>
      </c>
      <c r="U246" s="2"/>
      <c r="V246" s="7">
        <f t="shared" si="129"/>
        <v>4.0082374361945965E-4</v>
      </c>
      <c r="W246" s="2"/>
      <c r="X246" s="6">
        <f t="shared" si="130"/>
        <v>-4130.33</v>
      </c>
      <c r="Y246" s="2"/>
      <c r="Z246" s="7">
        <f t="shared" si="131"/>
        <v>-0.93995894550949444</v>
      </c>
    </row>
    <row r="247" spans="1:26" s="23" customFormat="1" hidden="1" outlineLevel="2" x14ac:dyDescent="0.25">
      <c r="A247" s="25"/>
      <c r="B247" s="10" t="str">
        <f>CONCATENATE("          ", "6235", " - ", "COVID-19 EXPENSES")</f>
        <v xml:space="preserve">          6235 - COVID-19 EXPENSES</v>
      </c>
      <c r="C247" s="10"/>
      <c r="D247" s="6">
        <v>370.83</v>
      </c>
      <c r="E247" s="2"/>
      <c r="F247" s="7">
        <f t="shared" si="124"/>
        <v>2.0154327922214492E-3</v>
      </c>
      <c r="G247" s="2"/>
      <c r="H247" s="6"/>
      <c r="I247" s="2"/>
      <c r="J247" s="7">
        <f t="shared" si="125"/>
        <v>0</v>
      </c>
      <c r="K247" s="2"/>
      <c r="L247" s="6">
        <f t="shared" si="126"/>
        <v>370.83</v>
      </c>
      <c r="M247" s="2"/>
      <c r="N247" s="7">
        <f t="shared" si="127"/>
        <v>0</v>
      </c>
      <c r="O247" s="10"/>
      <c r="P247" s="6">
        <v>37869.269999999997</v>
      </c>
      <c r="Q247" s="2"/>
      <c r="R247" s="7">
        <f t="shared" si="128"/>
        <v>8.8749288043916512E-3</v>
      </c>
      <c r="S247" s="2"/>
      <c r="T247" s="6"/>
      <c r="U247" s="2"/>
      <c r="V247" s="7">
        <f t="shared" si="129"/>
        <v>0</v>
      </c>
      <c r="W247" s="2"/>
      <c r="X247" s="6">
        <f t="shared" si="130"/>
        <v>37869.269999999997</v>
      </c>
      <c r="Y247" s="2"/>
      <c r="Z247" s="7">
        <f t="shared" si="131"/>
        <v>0</v>
      </c>
    </row>
    <row r="248" spans="1:26" s="23" customFormat="1" hidden="1" outlineLevel="2" x14ac:dyDescent="0.25">
      <c r="A248" s="25"/>
      <c r="B248" s="10" t="str">
        <f>CONCATENATE("          ", "6237", " - ", "JANITORIAL SUPPLIES")</f>
        <v xml:space="preserve">          6237 - JANITORIAL SUPPLIES</v>
      </c>
      <c r="C248" s="10"/>
      <c r="D248" s="6">
        <v>637.59</v>
      </c>
      <c r="E248" s="2"/>
      <c r="F248" s="7">
        <f t="shared" si="124"/>
        <v>3.4652530647263547E-3</v>
      </c>
      <c r="G248" s="2"/>
      <c r="H248" s="6">
        <v>470.52</v>
      </c>
      <c r="I248" s="2"/>
      <c r="J248" s="7">
        <f t="shared" si="125"/>
        <v>1.1926473186346963E-3</v>
      </c>
      <c r="K248" s="2"/>
      <c r="L248" s="6">
        <f t="shared" si="126"/>
        <v>167.07000000000005</v>
      </c>
      <c r="M248" s="2"/>
      <c r="N248" s="7">
        <f t="shared" si="127"/>
        <v>0.35507523590920698</v>
      </c>
      <c r="O248" s="10"/>
      <c r="P248" s="6">
        <v>3218.81</v>
      </c>
      <c r="Q248" s="2"/>
      <c r="R248" s="7">
        <f t="shared" si="128"/>
        <v>7.5435068024453321E-4</v>
      </c>
      <c r="S248" s="2"/>
      <c r="T248" s="6">
        <v>9241.6200000000008</v>
      </c>
      <c r="U248" s="2"/>
      <c r="V248" s="7">
        <f t="shared" si="129"/>
        <v>8.4299632364512702E-4</v>
      </c>
      <c r="W248" s="2"/>
      <c r="X248" s="6">
        <f t="shared" si="130"/>
        <v>-6022.8100000000013</v>
      </c>
      <c r="Y248" s="2"/>
      <c r="Z248" s="7">
        <f t="shared" si="131"/>
        <v>-0.65170500410101273</v>
      </c>
    </row>
    <row r="249" spans="1:26" s="23" customFormat="1" hidden="1" outlineLevel="2" x14ac:dyDescent="0.25">
      <c r="A249" s="25"/>
      <c r="B249" s="10" t="str">
        <f>CONCATENATE("          ", "6239", " - ", "KITCHEN SUPPLIES")</f>
        <v xml:space="preserve">          6239 - KITCHEN SUPPLIES</v>
      </c>
      <c r="C249" s="10"/>
      <c r="D249" s="6"/>
      <c r="E249" s="2"/>
      <c r="F249" s="7">
        <f t="shared" si="124"/>
        <v>0</v>
      </c>
      <c r="G249" s="2"/>
      <c r="H249" s="6"/>
      <c r="I249" s="2"/>
      <c r="J249" s="7">
        <f t="shared" si="125"/>
        <v>0</v>
      </c>
      <c r="K249" s="2"/>
      <c r="L249" s="6">
        <f t="shared" si="126"/>
        <v>0</v>
      </c>
      <c r="M249" s="2"/>
      <c r="N249" s="7">
        <f t="shared" si="127"/>
        <v>0</v>
      </c>
      <c r="O249" s="10"/>
      <c r="P249" s="6"/>
      <c r="Q249" s="2"/>
      <c r="R249" s="7">
        <f t="shared" si="128"/>
        <v>0</v>
      </c>
      <c r="S249" s="2"/>
      <c r="T249" s="6">
        <v>441.2</v>
      </c>
      <c r="U249" s="2"/>
      <c r="V249" s="7">
        <f t="shared" si="129"/>
        <v>4.0245106160200265E-5</v>
      </c>
      <c r="W249" s="2"/>
      <c r="X249" s="6">
        <f t="shared" si="130"/>
        <v>-441.2</v>
      </c>
      <c r="Y249" s="2"/>
      <c r="Z249" s="7">
        <f t="shared" si="131"/>
        <v>-1</v>
      </c>
    </row>
    <row r="250" spans="1:26" s="23" customFormat="1" hidden="1" outlineLevel="2" x14ac:dyDescent="0.25">
      <c r="A250" s="25"/>
      <c r="B250" s="10" t="str">
        <f>CONCATENATE("          ", "6241", " - ", "OFFICE EXPENSE")</f>
        <v xml:space="preserve">          6241 - OFFICE EXPENSE</v>
      </c>
      <c r="C250" s="10"/>
      <c r="D250" s="6">
        <v>496.61</v>
      </c>
      <c r="E250" s="2"/>
      <c r="F250" s="7">
        <f t="shared" si="124"/>
        <v>2.6990375076048163E-3</v>
      </c>
      <c r="G250" s="2"/>
      <c r="H250" s="6">
        <v>705.05</v>
      </c>
      <c r="I250" s="2"/>
      <c r="J250" s="7">
        <f t="shared" si="125"/>
        <v>1.7871206154964562E-3</v>
      </c>
      <c r="K250" s="2"/>
      <c r="L250" s="6">
        <f t="shared" si="126"/>
        <v>-208.43999999999994</v>
      </c>
      <c r="M250" s="2"/>
      <c r="N250" s="7">
        <f t="shared" si="127"/>
        <v>-0.29563860719097929</v>
      </c>
      <c r="O250" s="10"/>
      <c r="P250" s="6">
        <v>10484.459999999999</v>
      </c>
      <c r="Q250" s="2"/>
      <c r="R250" s="7">
        <f t="shared" si="128"/>
        <v>2.4571066738939542E-3</v>
      </c>
      <c r="S250" s="2"/>
      <c r="T250" s="6">
        <v>24783.05</v>
      </c>
      <c r="U250" s="2"/>
      <c r="V250" s="7">
        <f t="shared" si="129"/>
        <v>2.260644782918294E-3</v>
      </c>
      <c r="W250" s="2"/>
      <c r="X250" s="6">
        <f t="shared" si="130"/>
        <v>-14298.59</v>
      </c>
      <c r="Y250" s="2"/>
      <c r="Z250" s="7">
        <f t="shared" si="131"/>
        <v>-0.57695037535735116</v>
      </c>
    </row>
    <row r="251" spans="1:26" s="23" customFormat="1" hidden="1" outlineLevel="2" x14ac:dyDescent="0.25">
      <c r="A251" s="25"/>
      <c r="B251" s="10" t="str">
        <f>CONCATENATE("          ", "6243", " - ", "PAPER SUPPLIES")</f>
        <v xml:space="preserve">          6243 - PAPER SUPPLIES</v>
      </c>
      <c r="C251" s="10"/>
      <c r="D251" s="6">
        <v>309.25</v>
      </c>
      <c r="E251" s="2"/>
      <c r="F251" s="7">
        <f t="shared" si="124"/>
        <v>1.6807501847058847E-3</v>
      </c>
      <c r="G251" s="2"/>
      <c r="H251" s="6">
        <v>5656.81</v>
      </c>
      <c r="I251" s="2"/>
      <c r="J251" s="7">
        <f t="shared" si="125"/>
        <v>1.4338560058076037E-2</v>
      </c>
      <c r="K251" s="2"/>
      <c r="L251" s="6">
        <f t="shared" si="126"/>
        <v>-5347.56</v>
      </c>
      <c r="M251" s="2"/>
      <c r="N251" s="7">
        <f t="shared" si="127"/>
        <v>-0.94533137934631006</v>
      </c>
      <c r="O251" s="10"/>
      <c r="P251" s="6">
        <v>6482.65</v>
      </c>
      <c r="Q251" s="2"/>
      <c r="R251" s="7">
        <f t="shared" si="128"/>
        <v>1.5192544565498501E-3</v>
      </c>
      <c r="S251" s="2"/>
      <c r="T251" s="6">
        <v>22061.84</v>
      </c>
      <c r="U251" s="2"/>
      <c r="V251" s="7">
        <f t="shared" si="129"/>
        <v>2.0124231479813071E-3</v>
      </c>
      <c r="W251" s="2"/>
      <c r="X251" s="6">
        <f t="shared" si="130"/>
        <v>-15579.19</v>
      </c>
      <c r="Y251" s="2"/>
      <c r="Z251" s="7">
        <f t="shared" si="131"/>
        <v>-0.70616004830059509</v>
      </c>
    </row>
    <row r="252" spans="1:26" s="23" customFormat="1" hidden="1" outlineLevel="2" x14ac:dyDescent="0.25">
      <c r="A252" s="25"/>
      <c r="B252" s="10" t="str">
        <f>CONCATENATE("          ", "6245", " - ", "PRINTING")</f>
        <v xml:space="preserve">          6245 - PRINTING</v>
      </c>
      <c r="C252" s="10"/>
      <c r="D252" s="6">
        <v>447.27</v>
      </c>
      <c r="E252" s="2"/>
      <c r="F252" s="7">
        <f t="shared" si="124"/>
        <v>2.4308783673836734E-3</v>
      </c>
      <c r="G252" s="2"/>
      <c r="H252" s="6">
        <v>289.75</v>
      </c>
      <c r="I252" s="2"/>
      <c r="J252" s="7">
        <f t="shared" si="125"/>
        <v>7.3444181028309795E-4</v>
      </c>
      <c r="K252" s="2"/>
      <c r="L252" s="6">
        <f t="shared" si="126"/>
        <v>157.51999999999998</v>
      </c>
      <c r="M252" s="2"/>
      <c r="N252" s="7">
        <f t="shared" si="127"/>
        <v>0.54364106988783423</v>
      </c>
      <c r="O252" s="10"/>
      <c r="P252" s="6">
        <v>1354.21</v>
      </c>
      <c r="Q252" s="2"/>
      <c r="R252" s="7">
        <f t="shared" si="128"/>
        <v>3.1736860351929731E-4</v>
      </c>
      <c r="S252" s="2"/>
      <c r="T252" s="6">
        <v>10158.09</v>
      </c>
      <c r="U252" s="2"/>
      <c r="V252" s="7">
        <f t="shared" si="129"/>
        <v>9.2659431195573152E-4</v>
      </c>
      <c r="W252" s="2"/>
      <c r="X252" s="6">
        <f t="shared" si="130"/>
        <v>-8803.880000000001</v>
      </c>
      <c r="Y252" s="2"/>
      <c r="Z252" s="7">
        <f t="shared" si="131"/>
        <v>-0.86668655229477198</v>
      </c>
    </row>
    <row r="253" spans="1:26" s="23" customFormat="1" hidden="1" outlineLevel="2" x14ac:dyDescent="0.25">
      <c r="A253" s="25"/>
      <c r="B253" s="10" t="str">
        <f>CONCATENATE("          ", "6247", " - ", "STORE SUPPLIES")</f>
        <v xml:space="preserve">          6247 - STORE SUPPLIES</v>
      </c>
      <c r="C253" s="10"/>
      <c r="D253" s="6">
        <v>1836.11</v>
      </c>
      <c r="E253" s="2"/>
      <c r="F253" s="7">
        <f t="shared" si="124"/>
        <v>9.9791179357811548E-3</v>
      </c>
      <c r="G253" s="2"/>
      <c r="H253" s="6">
        <v>4914.07</v>
      </c>
      <c r="I253" s="2"/>
      <c r="J253" s="7">
        <f t="shared" si="125"/>
        <v>1.2455904975523254E-2</v>
      </c>
      <c r="K253" s="2"/>
      <c r="L253" s="6">
        <f t="shared" si="126"/>
        <v>-3077.96</v>
      </c>
      <c r="M253" s="2"/>
      <c r="N253" s="7">
        <f t="shared" si="127"/>
        <v>-0.62635656390731109</v>
      </c>
      <c r="O253" s="10"/>
      <c r="P253" s="6">
        <v>44425.13</v>
      </c>
      <c r="Q253" s="2"/>
      <c r="R253" s="7">
        <f t="shared" si="128"/>
        <v>1.0411340537481807E-2</v>
      </c>
      <c r="S253" s="2"/>
      <c r="T253" s="6">
        <v>61420.61</v>
      </c>
      <c r="U253" s="2"/>
      <c r="V253" s="7">
        <f t="shared" si="129"/>
        <v>5.6026268582825434E-3</v>
      </c>
      <c r="W253" s="2"/>
      <c r="X253" s="6">
        <f t="shared" si="130"/>
        <v>-16995.480000000003</v>
      </c>
      <c r="Y253" s="2"/>
      <c r="Z253" s="7">
        <f t="shared" si="131"/>
        <v>-0.27670646709630536</v>
      </c>
    </row>
    <row r="254" spans="1:26" s="23" customFormat="1" hidden="1" outlineLevel="2" x14ac:dyDescent="0.25">
      <c r="A254" s="25"/>
      <c r="B254" s="10" t="str">
        <f>CONCATENATE("          ", "6248", " - ", "UNIFORMS")</f>
        <v xml:space="preserve">          6248 - UNIFORMS</v>
      </c>
      <c r="C254" s="10"/>
      <c r="D254" s="6"/>
      <c r="E254" s="2"/>
      <c r="F254" s="7">
        <f t="shared" si="124"/>
        <v>0</v>
      </c>
      <c r="G254" s="2"/>
      <c r="H254" s="6">
        <v>153.11000000000001</v>
      </c>
      <c r="I254" s="2"/>
      <c r="J254" s="7">
        <f t="shared" si="125"/>
        <v>3.8809451448643708E-4</v>
      </c>
      <c r="K254" s="2"/>
      <c r="L254" s="6">
        <f t="shared" si="126"/>
        <v>-153.11000000000001</v>
      </c>
      <c r="M254" s="2"/>
      <c r="N254" s="7">
        <f t="shared" si="127"/>
        <v>-1</v>
      </c>
      <c r="O254" s="10"/>
      <c r="P254" s="6"/>
      <c r="Q254" s="2"/>
      <c r="R254" s="7">
        <f t="shared" si="128"/>
        <v>0</v>
      </c>
      <c r="S254" s="2"/>
      <c r="T254" s="6">
        <v>153.11000000000001</v>
      </c>
      <c r="U254" s="2"/>
      <c r="V254" s="7">
        <f t="shared" si="129"/>
        <v>1.3966292393899057E-5</v>
      </c>
      <c r="W254" s="2"/>
      <c r="X254" s="6">
        <f t="shared" si="130"/>
        <v>-153.11000000000001</v>
      </c>
      <c r="Y254" s="2"/>
      <c r="Z254" s="7">
        <f t="shared" si="131"/>
        <v>-1</v>
      </c>
    </row>
    <row r="255" spans="1:26" s="26" customFormat="1" outlineLevel="1" collapsed="1" x14ac:dyDescent="0.25">
      <c r="A255" s="27"/>
      <c r="B255" s="12" t="str">
        <f>CONCATENATE("     ","Telephone/Data Lines                              ")</f>
        <v xml:space="preserve">     Telephone/Data Lines                              </v>
      </c>
      <c r="C255" s="12"/>
      <c r="D255" s="1">
        <f>SUM(OSRRefD22_22x_0)</f>
        <v>1621.52</v>
      </c>
      <c r="E255" s="1"/>
      <c r="F255" s="5">
        <f t="shared" ref="F255:F257" si="132">IF(D$12=0,0,D255/D$12)</f>
        <v>8.8128376378473275E-3</v>
      </c>
      <c r="G255" s="1"/>
      <c r="H255" s="1">
        <f>SUM(OSRRefH22_22x_0)</f>
        <v>1664.23</v>
      </c>
      <c r="I255" s="1"/>
      <c r="J255" s="5">
        <f t="shared" ref="J255:J257" si="133">IF(H$12=0,0,H255/H$12)</f>
        <v>4.2183954924156697E-3</v>
      </c>
      <c r="K255" s="1"/>
      <c r="L255" s="1">
        <f t="shared" ref="L255:L257" si="134">+D255-H255</f>
        <v>-42.710000000000036</v>
      </c>
      <c r="M255" s="1"/>
      <c r="N255" s="5">
        <f t="shared" ref="N255:N257" si="135">IF(H255=0,0,L255/H255)</f>
        <v>-2.5663520066337007E-2</v>
      </c>
      <c r="O255" s="12"/>
      <c r="P255" s="1">
        <f>SUM(OSRRefP22_22x_0)</f>
        <v>23061.56</v>
      </c>
      <c r="Q255" s="1"/>
      <c r="R255" s="5">
        <f t="shared" ref="R255:R257" si="136">IF(P$12=0,0,P255/P$12)</f>
        <v>5.4046381965695764E-3</v>
      </c>
      <c r="S255" s="1"/>
      <c r="T255" s="1">
        <f>SUM(OSRRefT22_22x_0)</f>
        <v>26060.36</v>
      </c>
      <c r="U255" s="1"/>
      <c r="V255" s="5">
        <f t="shared" ref="V255:V257" si="137">IF(T$12=0,0,T255/T$12)</f>
        <v>2.3771576490775989E-3</v>
      </c>
      <c r="W255" s="1"/>
      <c r="X255" s="1">
        <f t="shared" ref="X255:X257" si="138">+P255-T255</f>
        <v>-2998.7999999999993</v>
      </c>
      <c r="Y255" s="1"/>
      <c r="Z255" s="5">
        <f t="shared" ref="Z255:Z257" si="139">IF(T255=0,0,X255/T255)</f>
        <v>-0.11507131904547747</v>
      </c>
    </row>
    <row r="256" spans="1:26" s="23" customFormat="1" hidden="1" outlineLevel="2" x14ac:dyDescent="0.25">
      <c r="A256" s="25"/>
      <c r="B256" s="10" t="str">
        <f>CONCATENATE("          ", "6303", " - ", "DATA PHONE LINES")</f>
        <v xml:space="preserve">          6303 - DATA PHONE LINES</v>
      </c>
      <c r="C256" s="10"/>
      <c r="D256" s="6"/>
      <c r="E256" s="2"/>
      <c r="F256" s="7">
        <f t="shared" si="132"/>
        <v>0</v>
      </c>
      <c r="G256" s="2"/>
      <c r="H256" s="6"/>
      <c r="I256" s="2"/>
      <c r="J256" s="7">
        <f t="shared" si="133"/>
        <v>0</v>
      </c>
      <c r="K256" s="2"/>
      <c r="L256" s="6">
        <f t="shared" si="134"/>
        <v>0</v>
      </c>
      <c r="M256" s="2"/>
      <c r="N256" s="7">
        <f t="shared" si="135"/>
        <v>0</v>
      </c>
      <c r="O256" s="10"/>
      <c r="P256" s="6">
        <v>2950</v>
      </c>
      <c r="Q256" s="2"/>
      <c r="R256" s="7">
        <f t="shared" si="136"/>
        <v>6.913531729805031E-4</v>
      </c>
      <c r="S256" s="2"/>
      <c r="T256" s="6">
        <v>2360</v>
      </c>
      <c r="U256" s="2"/>
      <c r="V256" s="7">
        <f t="shared" si="137"/>
        <v>2.1527300665927614E-4</v>
      </c>
      <c r="W256" s="2"/>
      <c r="X256" s="6">
        <f t="shared" si="138"/>
        <v>590</v>
      </c>
      <c r="Y256" s="2"/>
      <c r="Z256" s="7">
        <f t="shared" si="139"/>
        <v>0.25</v>
      </c>
    </row>
    <row r="257" spans="1:26" s="23" customFormat="1" hidden="1" outlineLevel="2" x14ac:dyDescent="0.25">
      <c r="A257" s="25"/>
      <c r="B257" s="10" t="str">
        <f>CONCATENATE("          ", "6309", " - ", "TELEPHONE")</f>
        <v xml:space="preserve">          6309 - TELEPHONE</v>
      </c>
      <c r="C257" s="10"/>
      <c r="D257" s="6">
        <v>1621.52</v>
      </c>
      <c r="E257" s="2"/>
      <c r="F257" s="7">
        <f t="shared" si="132"/>
        <v>8.8128376378473275E-3</v>
      </c>
      <c r="G257" s="2"/>
      <c r="H257" s="6">
        <v>1664.23</v>
      </c>
      <c r="I257" s="2"/>
      <c r="J257" s="7">
        <f t="shared" si="133"/>
        <v>4.2183954924156697E-3</v>
      </c>
      <c r="K257" s="2"/>
      <c r="L257" s="6">
        <f t="shared" si="134"/>
        <v>-42.710000000000036</v>
      </c>
      <c r="M257" s="2"/>
      <c r="N257" s="7">
        <f t="shared" si="135"/>
        <v>-2.5663520066337007E-2</v>
      </c>
      <c r="O257" s="10"/>
      <c r="P257" s="6">
        <v>20111.560000000001</v>
      </c>
      <c r="Q257" s="2"/>
      <c r="R257" s="7">
        <f t="shared" si="136"/>
        <v>4.7132850235890736E-3</v>
      </c>
      <c r="S257" s="2"/>
      <c r="T257" s="6">
        <v>23700.36</v>
      </c>
      <c r="U257" s="2"/>
      <c r="V257" s="7">
        <f t="shared" si="137"/>
        <v>2.1618846424183227E-3</v>
      </c>
      <c r="W257" s="2"/>
      <c r="X257" s="6">
        <f t="shared" si="138"/>
        <v>-3588.7999999999993</v>
      </c>
      <c r="Y257" s="2"/>
      <c r="Z257" s="7">
        <f t="shared" si="139"/>
        <v>-0.15142386022828341</v>
      </c>
    </row>
    <row r="258" spans="1:26" s="26" customFormat="1" outlineLevel="1" collapsed="1" x14ac:dyDescent="0.25">
      <c r="A258" s="27"/>
      <c r="B258" s="12" t="str">
        <f>CONCATENATE("     ","Training                                          ")</f>
        <v xml:space="preserve">     Training                                          </v>
      </c>
      <c r="C258" s="12"/>
      <c r="D258" s="1">
        <f>SUM(OSRRefD22_23x_0)</f>
        <v>0</v>
      </c>
      <c r="E258" s="1"/>
      <c r="F258" s="5">
        <f t="shared" ref="F258:F263" si="140">IF(D$12=0,0,D258/D$12)</f>
        <v>0</v>
      </c>
      <c r="G258" s="1"/>
      <c r="H258" s="1">
        <f>SUM(OSRRefH22_23x_0)</f>
        <v>4473.1499999999996</v>
      </c>
      <c r="I258" s="1"/>
      <c r="J258" s="5">
        <f t="shared" ref="J258:J263" si="141">IF(H$12=0,0,H258/H$12)</f>
        <v>1.1338286052348023E-2</v>
      </c>
      <c r="K258" s="1"/>
      <c r="L258" s="1">
        <f t="shared" ref="L258:L263" si="142">+D258-H258</f>
        <v>-4473.1499999999996</v>
      </c>
      <c r="M258" s="1"/>
      <c r="N258" s="5">
        <f t="shared" ref="N258:N263" si="143">IF(H258=0,0,L258/H258)</f>
        <v>-1</v>
      </c>
      <c r="O258" s="12"/>
      <c r="P258" s="1">
        <f>SUM(OSRRefP22_23x_0)</f>
        <v>895.63</v>
      </c>
      <c r="Q258" s="1"/>
      <c r="R258" s="5">
        <f t="shared" ref="R258:R263" si="144">IF(P$12=0,0,P258/P$12)</f>
        <v>2.0989716688695861E-4</v>
      </c>
      <c r="S258" s="1"/>
      <c r="T258" s="1">
        <f>SUM(OSRRefT22_23x_0)</f>
        <v>20476.88</v>
      </c>
      <c r="U258" s="1"/>
      <c r="V258" s="5">
        <f t="shared" ref="V258:V263" si="145">IF(T$12=0,0,T258/T$12)</f>
        <v>1.8678472561869486E-3</v>
      </c>
      <c r="W258" s="1"/>
      <c r="X258" s="1">
        <f t="shared" ref="X258:X263" si="146">+P258-T258</f>
        <v>-19581.25</v>
      </c>
      <c r="Y258" s="1"/>
      <c r="Z258" s="5">
        <f t="shared" ref="Z258:Z263" si="147">IF(T258=0,0,X258/T258)</f>
        <v>-0.95626140310437913</v>
      </c>
    </row>
    <row r="259" spans="1:26" s="23" customFormat="1" hidden="1" outlineLevel="2" x14ac:dyDescent="0.25">
      <c r="A259" s="25"/>
      <c r="B259" s="10" t="str">
        <f>CONCATENATE("          ", "6376", " - ", "TRAINING")</f>
        <v xml:space="preserve">          6376 - TRAINING</v>
      </c>
      <c r="C259" s="10"/>
      <c r="D259" s="6"/>
      <c r="E259" s="2"/>
      <c r="F259" s="7">
        <f t="shared" si="140"/>
        <v>0</v>
      </c>
      <c r="G259" s="2"/>
      <c r="H259" s="6">
        <v>4473.1499999999996</v>
      </c>
      <c r="I259" s="2"/>
      <c r="J259" s="7">
        <f t="shared" si="141"/>
        <v>1.1338286052348023E-2</v>
      </c>
      <c r="K259" s="2"/>
      <c r="L259" s="6">
        <f t="shared" si="142"/>
        <v>-4473.1499999999996</v>
      </c>
      <c r="M259" s="2"/>
      <c r="N259" s="7">
        <f t="shared" si="143"/>
        <v>-1</v>
      </c>
      <c r="O259" s="10"/>
      <c r="P259" s="6">
        <v>895.63</v>
      </c>
      <c r="Q259" s="2"/>
      <c r="R259" s="7">
        <f t="shared" si="144"/>
        <v>2.0989716688695861E-4</v>
      </c>
      <c r="S259" s="2"/>
      <c r="T259" s="6">
        <v>20476.88</v>
      </c>
      <c r="U259" s="2"/>
      <c r="V259" s="7">
        <f t="shared" si="145"/>
        <v>1.8678472561869486E-3</v>
      </c>
      <c r="W259" s="2"/>
      <c r="X259" s="6">
        <f t="shared" si="146"/>
        <v>-19581.25</v>
      </c>
      <c r="Y259" s="2"/>
      <c r="Z259" s="7">
        <f t="shared" si="147"/>
        <v>-0.95626140310437913</v>
      </c>
    </row>
    <row r="260" spans="1:26" s="26" customFormat="1" outlineLevel="1" collapsed="1" x14ac:dyDescent="0.25">
      <c r="A260" s="27"/>
      <c r="B260" s="12" t="str">
        <f>CONCATENATE("     ","Travel                                            ")</f>
        <v xml:space="preserve">     Travel                                            </v>
      </c>
      <c r="C260" s="12"/>
      <c r="D260" s="1">
        <f>SUM(OSRRefD22_24x_0)</f>
        <v>93.02</v>
      </c>
      <c r="E260" s="1"/>
      <c r="F260" s="5">
        <f t="shared" si="140"/>
        <v>5.0555661174241356E-4</v>
      </c>
      <c r="G260" s="1"/>
      <c r="H260" s="1">
        <f>SUM(OSRRefH22_24x_0)</f>
        <v>160.16999999999999</v>
      </c>
      <c r="I260" s="1"/>
      <c r="J260" s="5">
        <f t="shared" si="141"/>
        <v>4.0598980070075509E-4</v>
      </c>
      <c r="K260" s="1"/>
      <c r="L260" s="1">
        <f t="shared" si="142"/>
        <v>-67.149999999999991</v>
      </c>
      <c r="M260" s="1"/>
      <c r="N260" s="5">
        <f t="shared" si="143"/>
        <v>-0.41924205531622649</v>
      </c>
      <c r="O260" s="12"/>
      <c r="P260" s="1">
        <f>SUM(OSRRefP22_24x_0)</f>
        <v>903.33</v>
      </c>
      <c r="Q260" s="1"/>
      <c r="R260" s="5">
        <f t="shared" si="144"/>
        <v>2.1170171584694163E-4</v>
      </c>
      <c r="S260" s="1"/>
      <c r="T260" s="1">
        <f>SUM(OSRRefT22_24x_0)</f>
        <v>1232.3399999999999</v>
      </c>
      <c r="U260" s="1"/>
      <c r="V260" s="5">
        <f t="shared" si="145"/>
        <v>1.1241082077393744E-4</v>
      </c>
      <c r="W260" s="1"/>
      <c r="X260" s="1">
        <f t="shared" si="146"/>
        <v>-329.00999999999988</v>
      </c>
      <c r="Y260" s="1"/>
      <c r="Z260" s="5">
        <f t="shared" si="147"/>
        <v>-0.26697989191294602</v>
      </c>
    </row>
    <row r="261" spans="1:26" s="23" customFormat="1" hidden="1" outlineLevel="2" x14ac:dyDescent="0.25">
      <c r="A261" s="25"/>
      <c r="B261" s="10" t="str">
        <f>CONCATENATE("          ", "6292", " - ", "TRAVEL/CONFERENCE")</f>
        <v xml:space="preserve">          6292 - TRAVEL/CONFERENCE</v>
      </c>
      <c r="C261" s="10"/>
      <c r="D261" s="6"/>
      <c r="E261" s="2"/>
      <c r="F261" s="7">
        <f t="shared" si="140"/>
        <v>0</v>
      </c>
      <c r="G261" s="2"/>
      <c r="H261" s="6">
        <v>91.1</v>
      </c>
      <c r="I261" s="2"/>
      <c r="J261" s="7">
        <f t="shared" si="141"/>
        <v>2.309150954850396E-4</v>
      </c>
      <c r="K261" s="2"/>
      <c r="L261" s="6">
        <f t="shared" si="142"/>
        <v>-91.1</v>
      </c>
      <c r="M261" s="2"/>
      <c r="N261" s="7">
        <f t="shared" si="143"/>
        <v>-1</v>
      </c>
      <c r="O261" s="10"/>
      <c r="P261" s="6">
        <v>299.16000000000003</v>
      </c>
      <c r="Q261" s="2"/>
      <c r="R261" s="7">
        <f t="shared" si="144"/>
        <v>7.0110242450456716E-5</v>
      </c>
      <c r="S261" s="2"/>
      <c r="T261" s="6">
        <v>504.66</v>
      </c>
      <c r="U261" s="2"/>
      <c r="V261" s="7">
        <f t="shared" si="145"/>
        <v>4.6033760822317925E-5</v>
      </c>
      <c r="W261" s="2"/>
      <c r="X261" s="6">
        <f t="shared" si="146"/>
        <v>-205.5</v>
      </c>
      <c r="Y261" s="2"/>
      <c r="Z261" s="7">
        <f t="shared" si="147"/>
        <v>-0.40720485079063129</v>
      </c>
    </row>
    <row r="262" spans="1:26" s="23" customFormat="1" hidden="1" outlineLevel="2" x14ac:dyDescent="0.25">
      <c r="A262" s="25"/>
      <c r="B262" s="10" t="str">
        <f>CONCATENATE("          ", "6294", " - ", "TRAVEL OPERATIONAL")</f>
        <v xml:space="preserve">          6294 - TRAVEL OPERATIONAL</v>
      </c>
      <c r="C262" s="10"/>
      <c r="D262" s="6">
        <v>93.02</v>
      </c>
      <c r="E262" s="2"/>
      <c r="F262" s="7">
        <f t="shared" si="140"/>
        <v>5.0555661174241356E-4</v>
      </c>
      <c r="G262" s="2"/>
      <c r="H262" s="6">
        <v>14.13</v>
      </c>
      <c r="I262" s="2"/>
      <c r="J262" s="7">
        <f t="shared" si="141"/>
        <v>3.5815919859534688E-5</v>
      </c>
      <c r="K262" s="2"/>
      <c r="L262" s="6">
        <f t="shared" si="142"/>
        <v>78.89</v>
      </c>
      <c r="M262" s="2"/>
      <c r="N262" s="7">
        <f t="shared" si="143"/>
        <v>5.5831564048124553</v>
      </c>
      <c r="O262" s="10"/>
      <c r="P262" s="6">
        <v>544.28</v>
      </c>
      <c r="Q262" s="2"/>
      <c r="R262" s="7">
        <f t="shared" si="144"/>
        <v>1.2755583219994175E-4</v>
      </c>
      <c r="S262" s="2"/>
      <c r="T262" s="6">
        <v>361.61</v>
      </c>
      <c r="U262" s="2"/>
      <c r="V262" s="7">
        <f t="shared" si="145"/>
        <v>3.2985115227991886E-5</v>
      </c>
      <c r="W262" s="2"/>
      <c r="X262" s="6">
        <f t="shared" si="146"/>
        <v>182.66999999999996</v>
      </c>
      <c r="Y262" s="2"/>
      <c r="Z262" s="7">
        <f t="shared" si="147"/>
        <v>0.50515749011365818</v>
      </c>
    </row>
    <row r="263" spans="1:26" s="23" customFormat="1" hidden="1" outlineLevel="2" x14ac:dyDescent="0.25">
      <c r="A263" s="25"/>
      <c r="B263" s="10" t="str">
        <f>CONCATENATE("          ", "6298", " - ", "VEHICLE MILEAGE")</f>
        <v xml:space="preserve">          6298 - VEHICLE MILEAGE</v>
      </c>
      <c r="C263" s="10"/>
      <c r="D263" s="6"/>
      <c r="E263" s="2"/>
      <c r="F263" s="7">
        <f t="shared" si="140"/>
        <v>0</v>
      </c>
      <c r="G263" s="2"/>
      <c r="H263" s="6">
        <v>54.94</v>
      </c>
      <c r="I263" s="2"/>
      <c r="J263" s="7">
        <f t="shared" si="141"/>
        <v>1.3925878535618085E-4</v>
      </c>
      <c r="K263" s="2"/>
      <c r="L263" s="6">
        <f t="shared" si="142"/>
        <v>-54.94</v>
      </c>
      <c r="M263" s="2"/>
      <c r="N263" s="7">
        <f t="shared" si="143"/>
        <v>-1</v>
      </c>
      <c r="O263" s="10"/>
      <c r="P263" s="6">
        <v>59.89</v>
      </c>
      <c r="Q263" s="2"/>
      <c r="R263" s="7">
        <f t="shared" si="144"/>
        <v>1.4035641196543162E-5</v>
      </c>
      <c r="S263" s="2"/>
      <c r="T263" s="6">
        <v>366.07</v>
      </c>
      <c r="U263" s="2"/>
      <c r="V263" s="7">
        <f t="shared" si="145"/>
        <v>3.3391944723627635E-5</v>
      </c>
      <c r="W263" s="2"/>
      <c r="X263" s="6">
        <f t="shared" si="146"/>
        <v>-306.18</v>
      </c>
      <c r="Y263" s="2"/>
      <c r="Z263" s="7">
        <f t="shared" si="147"/>
        <v>-0.83639741033135739</v>
      </c>
    </row>
    <row r="264" spans="1:26" s="26" customFormat="1" outlineLevel="1" collapsed="1" x14ac:dyDescent="0.25">
      <c r="A264" s="27"/>
      <c r="B264" s="12" t="str">
        <f>CONCATENATE("     ","Utilities                                         ")</f>
        <v xml:space="preserve">     Utilities                                         </v>
      </c>
      <c r="C264" s="12"/>
      <c r="D264" s="1">
        <f>SUM(OSRRefD22_25x_0)</f>
        <v>2247.4499999999998</v>
      </c>
      <c r="E264" s="1"/>
      <c r="F264" s="5">
        <f t="shared" ref="F264:F265" si="148">IF(D$12=0,0,D264/D$12)</f>
        <v>1.2214719491082427E-2</v>
      </c>
      <c r="G264" s="1"/>
      <c r="H264" s="1">
        <f>SUM(OSRRefH22_25x_0)</f>
        <v>7267.51</v>
      </c>
      <c r="I264" s="1"/>
      <c r="J264" s="5">
        <f t="shared" ref="J264:J265" si="149">IF(H$12=0,0,H264/H$12)</f>
        <v>1.842127075289221E-2</v>
      </c>
      <c r="K264" s="1"/>
      <c r="L264" s="1">
        <f t="shared" ref="L264:L265" si="150">+D264-H264</f>
        <v>-5020.0600000000004</v>
      </c>
      <c r="M264" s="1"/>
      <c r="N264" s="5">
        <f t="shared" ref="N264:N265" si="151">IF(H264=0,0,L264/H264)</f>
        <v>-0.69075377949256356</v>
      </c>
      <c r="O264" s="12"/>
      <c r="P264" s="1">
        <f>SUM(OSRRefP22_25x_0)</f>
        <v>57165.62</v>
      </c>
      <c r="Q264" s="1"/>
      <c r="R264" s="5">
        <f t="shared" ref="R264:R265" si="152">IF(P$12=0,0,P264/P$12)</f>
        <v>1.339716365166024E-2</v>
      </c>
      <c r="S264" s="1"/>
      <c r="T264" s="1">
        <f>SUM(OSRRefT22_25x_0)</f>
        <v>61807.42</v>
      </c>
      <c r="U264" s="1"/>
      <c r="V264" s="5">
        <f t="shared" ref="V264:V265" si="153">IF(T$12=0,0,T264/T$12)</f>
        <v>5.6379106513782529E-3</v>
      </c>
      <c r="W264" s="1"/>
      <c r="X264" s="1">
        <f t="shared" ref="X264:X265" si="154">+P264-T264</f>
        <v>-4641.7999999999956</v>
      </c>
      <c r="Y264" s="1"/>
      <c r="Z264" s="5">
        <f t="shared" ref="Z264:Z265" si="155">IF(T264=0,0,X264/T264)</f>
        <v>-7.5101015379706773E-2</v>
      </c>
    </row>
    <row r="265" spans="1:26" s="23" customFormat="1" hidden="1" outlineLevel="2" x14ac:dyDescent="0.25">
      <c r="A265" s="25"/>
      <c r="B265" s="10" t="str">
        <f>CONCATENATE("          ", "6274", " - ", "UTILITIES")</f>
        <v xml:space="preserve">          6274 - UTILITIES</v>
      </c>
      <c r="C265" s="10"/>
      <c r="D265" s="6">
        <v>2247.4499999999998</v>
      </c>
      <c r="E265" s="2"/>
      <c r="F265" s="7">
        <f t="shared" si="148"/>
        <v>1.2214719491082427E-2</v>
      </c>
      <c r="G265" s="2"/>
      <c r="H265" s="6">
        <v>7267.51</v>
      </c>
      <c r="I265" s="2"/>
      <c r="J265" s="7">
        <f t="shared" si="149"/>
        <v>1.842127075289221E-2</v>
      </c>
      <c r="K265" s="2"/>
      <c r="L265" s="6">
        <f t="shared" si="150"/>
        <v>-5020.0600000000004</v>
      </c>
      <c r="M265" s="2"/>
      <c r="N265" s="7">
        <f t="shared" si="151"/>
        <v>-0.69075377949256356</v>
      </c>
      <c r="O265" s="10"/>
      <c r="P265" s="6">
        <v>57165.62</v>
      </c>
      <c r="Q265" s="2"/>
      <c r="R265" s="7">
        <f t="shared" si="152"/>
        <v>1.339716365166024E-2</v>
      </c>
      <c r="S265" s="2"/>
      <c r="T265" s="6">
        <v>61807.42</v>
      </c>
      <c r="U265" s="2"/>
      <c r="V265" s="7">
        <f t="shared" si="153"/>
        <v>5.6379106513782529E-3</v>
      </c>
      <c r="W265" s="2"/>
      <c r="X265" s="6">
        <f t="shared" si="154"/>
        <v>-4641.7999999999956</v>
      </c>
      <c r="Y265" s="2"/>
      <c r="Z265" s="7">
        <f t="shared" si="155"/>
        <v>-7.5101015379706773E-2</v>
      </c>
    </row>
    <row r="266" spans="1:26" s="60" customFormat="1" x14ac:dyDescent="0.25">
      <c r="A266" s="37"/>
      <c r="B266" s="37"/>
      <c r="C266" s="37"/>
      <c r="D266" s="1"/>
      <c r="E266" s="1"/>
      <c r="F266" s="5"/>
      <c r="G266" s="1"/>
      <c r="H266" s="1"/>
      <c r="I266" s="1"/>
      <c r="J266" s="5"/>
      <c r="K266" s="1"/>
      <c r="L266" s="1"/>
      <c r="M266" s="1"/>
      <c r="N266" s="5"/>
      <c r="O266" s="37"/>
      <c r="P266" s="1"/>
      <c r="Q266" s="1"/>
      <c r="R266" s="5"/>
      <c r="S266" s="1"/>
      <c r="T266" s="1"/>
      <c r="U266" s="1"/>
      <c r="V266" s="5"/>
      <c r="W266" s="1"/>
      <c r="X266" s="1"/>
      <c r="Y266" s="1"/>
      <c r="Z266" s="5"/>
    </row>
    <row r="267" spans="1:26" s="24" customFormat="1" collapsed="1" x14ac:dyDescent="0.25">
      <c r="A267" s="11"/>
      <c r="B267" s="28" t="s">
        <v>292</v>
      </c>
      <c r="C267" s="11"/>
      <c r="D267" s="4">
        <f>SUM(OSRRefD25x_0)</f>
        <v>189046.82</v>
      </c>
      <c r="E267" s="4"/>
      <c r="F267" s="13">
        <f t="shared" ref="F267:F276" si="156">IF(D$12=0,0,D267/D$12)</f>
        <v>1.0274550610608251</v>
      </c>
      <c r="G267" s="4"/>
      <c r="H267" s="4">
        <f>SUM(OSRRefH25x_0)</f>
        <v>33096.89</v>
      </c>
      <c r="I267" s="4"/>
      <c r="J267" s="13">
        <f t="shared" ref="J267:J276" si="157">IF(H$12=0,0,H267/H$12)</f>
        <v>8.3892113222918244E-2</v>
      </c>
      <c r="K267" s="4"/>
      <c r="L267" s="4">
        <f t="shared" ref="L267:L276" si="158">+D267-H267</f>
        <v>155949.93</v>
      </c>
      <c r="M267" s="4"/>
      <c r="N267" s="13">
        <f t="shared" ref="N267:N276" si="159">IF(H267=0,0,L267/H267)</f>
        <v>4.7119209690094745</v>
      </c>
      <c r="O267" s="11"/>
      <c r="P267" s="4">
        <f>SUM(OSRRefP25x_0)</f>
        <v>962302.23</v>
      </c>
      <c r="Q267" s="4"/>
      <c r="R267" s="13">
        <f t="shared" ref="R267:R276" si="160">IF(P$12=0,0,P267/P$12)</f>
        <v>0.22552227121244536</v>
      </c>
      <c r="S267" s="4"/>
      <c r="T267" s="4">
        <f>SUM(OSRRefT25x_0)</f>
        <v>670466.38</v>
      </c>
      <c r="U267" s="4"/>
      <c r="V267" s="13">
        <f t="shared" ref="V267:V276" si="161">IF(T$12=0,0,T267/T$12)</f>
        <v>6.1158183680746089E-2</v>
      </c>
      <c r="W267" s="4"/>
      <c r="X267" s="4">
        <f t="shared" ref="X267:X276" si="162">+P267-T267</f>
        <v>291835.84999999998</v>
      </c>
      <c r="Y267" s="4"/>
      <c r="Z267" s="13">
        <f t="shared" ref="Z267:Z276" si="163">IF(T267=0,0,X267/T267)</f>
        <v>0.43527290659973134</v>
      </c>
    </row>
    <row r="268" spans="1:26" s="23" customFormat="1" hidden="1" outlineLevel="1" x14ac:dyDescent="0.25">
      <c r="A268" s="44"/>
      <c r="B268" s="10" t="str">
        <f>CONCATENATE("          ", "4098", " - ", "TAXABLE SALES-GRAD RENTALS")</f>
        <v xml:space="preserve">          4098 - TAXABLE SALES-GRAD RENTALS</v>
      </c>
      <c r="C268" s="10"/>
      <c r="D268" s="2">
        <f t="shared" ref="D268:D270" si="164">0</f>
        <v>0</v>
      </c>
      <c r="E268" s="2"/>
      <c r="F268" s="19">
        <f t="shared" si="156"/>
        <v>0</v>
      </c>
      <c r="G268" s="2"/>
      <c r="H268" s="2">
        <f>--42</f>
        <v>42</v>
      </c>
      <c r="I268" s="2"/>
      <c r="J268" s="19">
        <f t="shared" si="157"/>
        <v>1.0645920977356381E-4</v>
      </c>
      <c r="K268" s="2"/>
      <c r="L268" s="2">
        <f t="shared" si="158"/>
        <v>-42</v>
      </c>
      <c r="M268" s="2"/>
      <c r="N268" s="19">
        <f t="shared" si="159"/>
        <v>-1</v>
      </c>
      <c r="O268" s="10"/>
      <c r="P268" s="2">
        <f t="shared" ref="P268:P270" si="165">0</f>
        <v>0</v>
      </c>
      <c r="Q268" s="2"/>
      <c r="R268" s="19">
        <f t="shared" si="160"/>
        <v>0</v>
      </c>
      <c r="S268" s="2"/>
      <c r="T268" s="2">
        <f>--2098.85</f>
        <v>2098.85</v>
      </c>
      <c r="U268" s="2"/>
      <c r="V268" s="19">
        <f t="shared" si="161"/>
        <v>1.9145158899441599E-4</v>
      </c>
      <c r="W268" s="2"/>
      <c r="X268" s="2">
        <f t="shared" si="162"/>
        <v>-2098.85</v>
      </c>
      <c r="Y268" s="2"/>
      <c r="Z268" s="19">
        <f t="shared" si="163"/>
        <v>-1</v>
      </c>
    </row>
    <row r="269" spans="1:26" s="23" customFormat="1" hidden="1" outlineLevel="1" x14ac:dyDescent="0.25">
      <c r="A269" s="44"/>
      <c r="B269" s="10" t="str">
        <f>CONCATENATE("          ", "4197", " - ", "NON-TAXABLE SALES-RETURNED CHE")</f>
        <v xml:space="preserve">          4197 - NON-TAXABLE SALES-RETURNED CHE</v>
      </c>
      <c r="C269" s="10"/>
      <c r="D269" s="2">
        <f t="shared" si="164"/>
        <v>0</v>
      </c>
      <c r="E269" s="2"/>
      <c r="F269" s="19">
        <f t="shared" si="156"/>
        <v>0</v>
      </c>
      <c r="G269" s="2"/>
      <c r="H269" s="2">
        <f t="shared" ref="H269:H270" si="166">0</f>
        <v>0</v>
      </c>
      <c r="I269" s="2"/>
      <c r="J269" s="19">
        <f t="shared" si="157"/>
        <v>0</v>
      </c>
      <c r="K269" s="2"/>
      <c r="L269" s="2">
        <f t="shared" si="158"/>
        <v>0</v>
      </c>
      <c r="M269" s="2"/>
      <c r="N269" s="19">
        <f t="shared" si="159"/>
        <v>0</v>
      </c>
      <c r="O269" s="10"/>
      <c r="P269" s="2">
        <f t="shared" si="165"/>
        <v>0</v>
      </c>
      <c r="Q269" s="2"/>
      <c r="R269" s="19">
        <f t="shared" si="160"/>
        <v>0</v>
      </c>
      <c r="S269" s="2"/>
      <c r="T269" s="2">
        <f>--30</f>
        <v>30</v>
      </c>
      <c r="U269" s="2"/>
      <c r="V269" s="19">
        <f t="shared" si="161"/>
        <v>2.7365212710924932E-6</v>
      </c>
      <c r="W269" s="2"/>
      <c r="X269" s="2">
        <f t="shared" si="162"/>
        <v>-30</v>
      </c>
      <c r="Y269" s="2"/>
      <c r="Z269" s="19">
        <f t="shared" si="163"/>
        <v>-1</v>
      </c>
    </row>
    <row r="270" spans="1:26" s="23" customFormat="1" hidden="1" outlineLevel="1" x14ac:dyDescent="0.25">
      <c r="A270" s="44"/>
      <c r="B270" s="10" t="str">
        <f>CONCATENATE("          ", "4198", " - ", "NON-TAXABLE SALES-GRAD RENTALS")</f>
        <v xml:space="preserve">          4198 - NON-TAXABLE SALES-GRAD RENTALS</v>
      </c>
      <c r="C270" s="10"/>
      <c r="D270" s="2">
        <f t="shared" si="164"/>
        <v>0</v>
      </c>
      <c r="E270" s="2"/>
      <c r="F270" s="19">
        <f t="shared" si="156"/>
        <v>0</v>
      </c>
      <c r="G270" s="2"/>
      <c r="H270" s="2">
        <f t="shared" si="166"/>
        <v>0</v>
      </c>
      <c r="I270" s="2"/>
      <c r="J270" s="19">
        <f t="shared" si="157"/>
        <v>0</v>
      </c>
      <c r="K270" s="2"/>
      <c r="L270" s="2">
        <f t="shared" si="158"/>
        <v>0</v>
      </c>
      <c r="M270" s="2"/>
      <c r="N270" s="19">
        <f t="shared" si="159"/>
        <v>0</v>
      </c>
      <c r="O270" s="10"/>
      <c r="P270" s="2">
        <f t="shared" si="165"/>
        <v>0</v>
      </c>
      <c r="Q270" s="2"/>
      <c r="R270" s="19">
        <f t="shared" si="160"/>
        <v>0</v>
      </c>
      <c r="S270" s="2"/>
      <c r="T270" s="2">
        <f>--3732.1</f>
        <v>3732.1</v>
      </c>
      <c r="U270" s="2"/>
      <c r="V270" s="19">
        <f t="shared" si="161"/>
        <v>3.4043236786147646E-4</v>
      </c>
      <c r="W270" s="2"/>
      <c r="X270" s="2">
        <f t="shared" si="162"/>
        <v>-3732.1</v>
      </c>
      <c r="Y270" s="2"/>
      <c r="Z270" s="19">
        <f t="shared" si="163"/>
        <v>-1</v>
      </c>
    </row>
    <row r="271" spans="1:26" s="23" customFormat="1" hidden="1" outlineLevel="1" x14ac:dyDescent="0.25">
      <c r="A271" s="44"/>
      <c r="B271" s="10" t="str">
        <f>CONCATENATE("          ", "9150", " - ", "MISC. INCOME")</f>
        <v xml:space="preserve">          9150 - MISC. INCOME</v>
      </c>
      <c r="C271" s="10"/>
      <c r="D271" s="2">
        <f>--15917.25</f>
        <v>15917.25</v>
      </c>
      <c r="E271" s="2"/>
      <c r="F271" s="19">
        <f t="shared" si="156"/>
        <v>8.6509040832691175E-2</v>
      </c>
      <c r="G271" s="2"/>
      <c r="H271" s="2">
        <f>--19739.85</f>
        <v>19739.849999999999</v>
      </c>
      <c r="I271" s="2"/>
      <c r="J271" s="19">
        <f t="shared" si="157"/>
        <v>5.0035448382111512E-2</v>
      </c>
      <c r="K271" s="2"/>
      <c r="L271" s="2">
        <f t="shared" si="158"/>
        <v>-3822.5999999999985</v>
      </c>
      <c r="M271" s="2"/>
      <c r="N271" s="19">
        <f t="shared" si="159"/>
        <v>-0.19364888790948254</v>
      </c>
      <c r="O271" s="10"/>
      <c r="P271" s="2">
        <f>--316528.75</f>
        <v>316528.75</v>
      </c>
      <c r="Q271" s="2"/>
      <c r="R271" s="19">
        <f t="shared" si="160"/>
        <v>7.4180730729509287E-2</v>
      </c>
      <c r="S271" s="2"/>
      <c r="T271" s="2">
        <f>--383147.99</f>
        <v>383147.99</v>
      </c>
      <c r="U271" s="2"/>
      <c r="V271" s="19">
        <f t="shared" si="161"/>
        <v>3.4949754153711127E-2</v>
      </c>
      <c r="W271" s="2"/>
      <c r="X271" s="2">
        <f t="shared" si="162"/>
        <v>-66619.239999999991</v>
      </c>
      <c r="Y271" s="2"/>
      <c r="Z271" s="19">
        <f t="shared" si="163"/>
        <v>-0.17387339027930171</v>
      </c>
    </row>
    <row r="272" spans="1:26" s="23" customFormat="1" hidden="1" outlineLevel="1" x14ac:dyDescent="0.25">
      <c r="A272" s="44"/>
      <c r="B272" s="10" t="str">
        <f>CONCATENATE("          ", "9151", " - ", "MISC. INCOME")</f>
        <v xml:space="preserve">          9151 - MISC. INCOME</v>
      </c>
      <c r="C272" s="10"/>
      <c r="D272" s="2">
        <f>-2282.24</f>
        <v>-2282.2399999999998</v>
      </c>
      <c r="E272" s="2"/>
      <c r="F272" s="19">
        <f t="shared" si="156"/>
        <v>-1.2403800490034464E-2</v>
      </c>
      <c r="G272" s="2"/>
      <c r="H272" s="2">
        <f>--13315.04</f>
        <v>13315.04</v>
      </c>
      <c r="I272" s="2"/>
      <c r="J272" s="19">
        <f t="shared" si="157"/>
        <v>3.3750205631033169E-2</v>
      </c>
      <c r="K272" s="2"/>
      <c r="L272" s="2">
        <f t="shared" si="158"/>
        <v>-15597.28</v>
      </c>
      <c r="M272" s="2"/>
      <c r="N272" s="19">
        <f t="shared" si="159"/>
        <v>-1.1714031651425756</v>
      </c>
      <c r="O272" s="10"/>
      <c r="P272" s="2">
        <f>--295628.46</f>
        <v>295628.46000000002</v>
      </c>
      <c r="Q272" s="2"/>
      <c r="R272" s="19">
        <f t="shared" si="160"/>
        <v>6.9282601303166019E-2</v>
      </c>
      <c r="S272" s="2"/>
      <c r="T272" s="2">
        <f>--169392.7</f>
        <v>169392.7</v>
      </c>
      <c r="U272" s="2"/>
      <c r="V272" s="19">
        <f t="shared" si="161"/>
        <v>1.5451557557259648E-2</v>
      </c>
      <c r="W272" s="2"/>
      <c r="X272" s="2">
        <f t="shared" si="162"/>
        <v>126235.76000000001</v>
      </c>
      <c r="Y272" s="2"/>
      <c r="Z272" s="19">
        <f t="shared" si="163"/>
        <v>0.7452255026338207</v>
      </c>
    </row>
    <row r="273" spans="1:26" s="23" customFormat="1" hidden="1" outlineLevel="1" x14ac:dyDescent="0.25">
      <c r="A273" s="44"/>
      <c r="B273" s="10" t="str">
        <f>CONCATENATE("          ", "9152", " - ", "MISC. INCOME")</f>
        <v xml:space="preserve">          9152 - MISC. INCOME</v>
      </c>
      <c r="C273" s="10"/>
      <c r="D273" s="2">
        <f>--397.11</f>
        <v>397.11</v>
      </c>
      <c r="E273" s="2"/>
      <c r="F273" s="19">
        <f t="shared" si="156"/>
        <v>2.1582625896477089E-3</v>
      </c>
      <c r="G273" s="2"/>
      <c r="H273" s="2">
        <f t="shared" ref="H273:H276" si="167">0</f>
        <v>0</v>
      </c>
      <c r="I273" s="2"/>
      <c r="J273" s="19">
        <f t="shared" si="157"/>
        <v>0</v>
      </c>
      <c r="K273" s="2"/>
      <c r="L273" s="2">
        <f t="shared" si="158"/>
        <v>397.11</v>
      </c>
      <c r="M273" s="2"/>
      <c r="N273" s="19">
        <f t="shared" si="159"/>
        <v>0</v>
      </c>
      <c r="O273" s="10"/>
      <c r="P273" s="2">
        <f>--3710.56</f>
        <v>3710.56</v>
      </c>
      <c r="Q273" s="2"/>
      <c r="R273" s="19">
        <f t="shared" si="160"/>
        <v>8.6959573882526618E-4</v>
      </c>
      <c r="S273" s="2"/>
      <c r="T273" s="2">
        <f>--4699.86</f>
        <v>4699.8599999999997</v>
      </c>
      <c r="U273" s="2"/>
      <c r="V273" s="19">
        <f t="shared" si="161"/>
        <v>4.2870889537189216E-4</v>
      </c>
      <c r="W273" s="2"/>
      <c r="X273" s="2">
        <f t="shared" si="162"/>
        <v>-989.29999999999973</v>
      </c>
      <c r="Y273" s="2"/>
      <c r="Z273" s="19">
        <f t="shared" si="163"/>
        <v>-0.21049563178477654</v>
      </c>
    </row>
    <row r="274" spans="1:26" s="23" customFormat="1" hidden="1" outlineLevel="1" x14ac:dyDescent="0.25">
      <c r="A274" s="44"/>
      <c r="B274" s="10" t="str">
        <f>CONCATENATE("          ", "9153", " - ", "MISC. INCOME")</f>
        <v xml:space="preserve">          9153 - MISC. INCOME</v>
      </c>
      <c r="C274" s="10"/>
      <c r="D274" s="2">
        <f t="shared" ref="D274:D275" si="168">0</f>
        <v>0</v>
      </c>
      <c r="E274" s="2"/>
      <c r="F274" s="19">
        <f t="shared" si="156"/>
        <v>0</v>
      </c>
      <c r="G274" s="2"/>
      <c r="H274" s="2">
        <f t="shared" si="167"/>
        <v>0</v>
      </c>
      <c r="I274" s="2"/>
      <c r="J274" s="19">
        <f t="shared" si="157"/>
        <v>0</v>
      </c>
      <c r="K274" s="2"/>
      <c r="L274" s="2">
        <f t="shared" si="158"/>
        <v>0</v>
      </c>
      <c r="M274" s="2"/>
      <c r="N274" s="19">
        <f t="shared" si="159"/>
        <v>0</v>
      </c>
      <c r="O274" s="10"/>
      <c r="P274" s="2">
        <f t="shared" ref="P274:P275" si="169">0</f>
        <v>0</v>
      </c>
      <c r="Q274" s="2"/>
      <c r="R274" s="19">
        <f t="shared" si="160"/>
        <v>0</v>
      </c>
      <c r="S274" s="2"/>
      <c r="T274" s="2">
        <f>--450</f>
        <v>450</v>
      </c>
      <c r="U274" s="2"/>
      <c r="V274" s="19">
        <f t="shared" si="161"/>
        <v>4.1047819066387402E-5</v>
      </c>
      <c r="W274" s="2"/>
      <c r="X274" s="2">
        <f t="shared" si="162"/>
        <v>-450</v>
      </c>
      <c r="Y274" s="2"/>
      <c r="Z274" s="19">
        <f t="shared" si="163"/>
        <v>-1</v>
      </c>
    </row>
    <row r="275" spans="1:26" s="23" customFormat="1" hidden="1" outlineLevel="1" x14ac:dyDescent="0.25">
      <c r="A275" s="44"/>
      <c r="B275" s="10" t="str">
        <f>CONCATENATE("          ", "9160", " - ", "MISC. INCOME")</f>
        <v xml:space="preserve">          9160 - MISC. INCOME</v>
      </c>
      <c r="C275" s="10"/>
      <c r="D275" s="2">
        <f t="shared" si="168"/>
        <v>0</v>
      </c>
      <c r="E275" s="2"/>
      <c r="F275" s="19">
        <f t="shared" si="156"/>
        <v>0</v>
      </c>
      <c r="G275" s="2"/>
      <c r="H275" s="2">
        <f t="shared" si="167"/>
        <v>0</v>
      </c>
      <c r="I275" s="2"/>
      <c r="J275" s="19">
        <f t="shared" si="157"/>
        <v>0</v>
      </c>
      <c r="K275" s="2"/>
      <c r="L275" s="2">
        <f t="shared" si="158"/>
        <v>0</v>
      </c>
      <c r="M275" s="2"/>
      <c r="N275" s="19">
        <f t="shared" si="159"/>
        <v>0</v>
      </c>
      <c r="O275" s="10"/>
      <c r="P275" s="2">
        <f t="shared" si="169"/>
        <v>0</v>
      </c>
      <c r="Q275" s="2"/>
      <c r="R275" s="19">
        <f t="shared" si="160"/>
        <v>0</v>
      </c>
      <c r="S275" s="2"/>
      <c r="T275" s="2">
        <f>--22475</f>
        <v>22475</v>
      </c>
      <c r="U275" s="2"/>
      <c r="V275" s="19">
        <f t="shared" si="161"/>
        <v>2.050110518926793E-3</v>
      </c>
      <c r="W275" s="2"/>
      <c r="X275" s="2">
        <f t="shared" si="162"/>
        <v>-22475</v>
      </c>
      <c r="Y275" s="2"/>
      <c r="Z275" s="19">
        <f t="shared" si="163"/>
        <v>-1</v>
      </c>
    </row>
    <row r="276" spans="1:26" s="23" customFormat="1" hidden="1" outlineLevel="1" x14ac:dyDescent="0.25">
      <c r="A276" s="44"/>
      <c r="B276" s="10" t="str">
        <f>CONCATENATE("          ", "9163", " - ", "MISC. INCOME")</f>
        <v xml:space="preserve">          9163 - MISC. INCOME</v>
      </c>
      <c r="C276" s="10"/>
      <c r="D276" s="2">
        <f>--175014.7</f>
        <v>175014.7</v>
      </c>
      <c r="E276" s="2"/>
      <c r="F276" s="19">
        <f t="shared" si="156"/>
        <v>0.95119155812852074</v>
      </c>
      <c r="G276" s="2"/>
      <c r="H276" s="2">
        <f t="shared" si="167"/>
        <v>0</v>
      </c>
      <c r="I276" s="2"/>
      <c r="J276" s="19">
        <f t="shared" si="157"/>
        <v>0</v>
      </c>
      <c r="K276" s="2"/>
      <c r="L276" s="2">
        <f t="shared" si="158"/>
        <v>175014.7</v>
      </c>
      <c r="M276" s="2"/>
      <c r="N276" s="19">
        <f t="shared" si="159"/>
        <v>0</v>
      </c>
      <c r="O276" s="10"/>
      <c r="P276" s="2">
        <f>--346434.46</f>
        <v>346434.46</v>
      </c>
      <c r="Q276" s="2"/>
      <c r="R276" s="19">
        <f t="shared" si="160"/>
        <v>8.1189343440944806E-2</v>
      </c>
      <c r="S276" s="2"/>
      <c r="T276" s="2">
        <f>--84439.88</f>
        <v>84439.88</v>
      </c>
      <c r="U276" s="2"/>
      <c r="V276" s="19">
        <f t="shared" si="161"/>
        <v>7.7023842582832538E-3</v>
      </c>
      <c r="W276" s="2"/>
      <c r="X276" s="2">
        <f t="shared" si="162"/>
        <v>261994.58000000002</v>
      </c>
      <c r="Y276" s="2"/>
      <c r="Z276" s="19">
        <f t="shared" si="163"/>
        <v>3.1027351057343995</v>
      </c>
    </row>
    <row r="277" spans="1:26" x14ac:dyDescent="0.25">
      <c r="A277" s="9"/>
      <c r="B277" s="11"/>
      <c r="C277" s="11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O277" s="11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s="24" customFormat="1" x14ac:dyDescent="0.25">
      <c r="A278" s="11"/>
      <c r="B278" s="29" t="s">
        <v>276</v>
      </c>
      <c r="C278" s="29"/>
      <c r="D278" s="22">
        <f>+D168-D170+D267</f>
        <v>33778.540000000095</v>
      </c>
      <c r="E278" s="14"/>
      <c r="F278" s="20">
        <f>IF(D$12=0,0,D278/D$12)</f>
        <v>0.18358379092674301</v>
      </c>
      <c r="G278" s="14"/>
      <c r="H278" s="22">
        <f>+H168-H170+H267</f>
        <v>-178752.65999999997</v>
      </c>
      <c r="I278" s="14"/>
      <c r="J278" s="20">
        <f>IF(H$12=0,0,H278/H$12)</f>
        <v>-0.45309206972672683</v>
      </c>
      <c r="K278" s="15"/>
      <c r="L278" s="22">
        <f>+D278-H278</f>
        <v>212531.20000000007</v>
      </c>
      <c r="M278" s="15"/>
      <c r="N278" s="20">
        <f>IF(H278=0,0,L278/H278)</f>
        <v>-1.1889680410909695</v>
      </c>
      <c r="O278" s="28"/>
      <c r="P278" s="22">
        <f>+P168-P170+P267</f>
        <v>-120184.59999999916</v>
      </c>
      <c r="Q278" s="14"/>
      <c r="R278" s="20">
        <f>IF(P$12=0,0,P278/P$12)</f>
        <v>-2.8166103238437962E-2</v>
      </c>
      <c r="S278" s="14"/>
      <c r="T278" s="22">
        <f>+T168-T170+T267</f>
        <v>1133722.2300000004</v>
      </c>
      <c r="U278" s="14"/>
      <c r="V278" s="20">
        <f>IF(T$12=0,0,T278/T$12)</f>
        <v>0.10341516659684724</v>
      </c>
      <c r="W278" s="15"/>
      <c r="X278" s="22">
        <f>+P278-T278</f>
        <v>-1253906.8299999996</v>
      </c>
      <c r="Y278" s="15"/>
      <c r="Z278" s="20">
        <f>IF(T278=0,0,X278/T278)</f>
        <v>-1.1060088589777402</v>
      </c>
    </row>
    <row r="279" spans="1:26" x14ac:dyDescent="0.25">
      <c r="A279" s="9"/>
      <c r="B279" s="11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4" customFormat="1" x14ac:dyDescent="0.25">
      <c r="A280" s="51"/>
      <c r="B280" s="11" t="s">
        <v>127</v>
      </c>
      <c r="C280" s="11"/>
      <c r="D280" s="4">
        <v>70811.44</v>
      </c>
      <c r="E280" s="4"/>
      <c r="F280" s="13">
        <f>IF(D$12=0,0,D280/D$12)</f>
        <v>0.38485478046657939</v>
      </c>
      <c r="G280" s="4"/>
      <c r="H280" s="4">
        <v>97573.72</v>
      </c>
      <c r="I280" s="4"/>
      <c r="J280" s="13">
        <f>IF(H$12=0,0,H280/H$12)</f>
        <v>0.24732431252064235</v>
      </c>
      <c r="K280" s="4"/>
      <c r="L280" s="4">
        <f>+D280-H280</f>
        <v>-26762.28</v>
      </c>
      <c r="M280" s="4"/>
      <c r="N280" s="13">
        <f>IF(H280=0,0,L280/H280)</f>
        <v>-0.27427754112480285</v>
      </c>
      <c r="O280" s="11"/>
      <c r="P280" s="4">
        <v>879391.28</v>
      </c>
      <c r="Q280" s="4"/>
      <c r="R280" s="13">
        <f>IF(P$12=0,0,P280/P$12)</f>
        <v>0.20609150905741899</v>
      </c>
      <c r="S280" s="4"/>
      <c r="T280" s="4">
        <v>1174693.1200000001</v>
      </c>
      <c r="U280" s="4"/>
      <c r="V280" s="13">
        <f>IF(T$12=0,0,T280/T$12)</f>
        <v>0.10715242366286691</v>
      </c>
      <c r="W280" s="4"/>
      <c r="X280" s="4">
        <f>+P280-T280</f>
        <v>-295301.84000000008</v>
      </c>
      <c r="Y280" s="4"/>
      <c r="Z280" s="13">
        <f>IF(T280=0,0,X280/T280)</f>
        <v>-0.2513863705952411</v>
      </c>
    </row>
    <row r="281" spans="1:26" x14ac:dyDescent="0.25">
      <c r="A281" s="9"/>
      <c r="B281" s="11"/>
      <c r="C281" s="11"/>
      <c r="D281" s="3"/>
      <c r="E281" s="3"/>
      <c r="F281" s="8"/>
      <c r="G281" s="3"/>
      <c r="H281" s="3"/>
      <c r="I281" s="3"/>
      <c r="J281" s="8"/>
      <c r="K281" s="3"/>
      <c r="L281" s="3"/>
      <c r="M281" s="3"/>
      <c r="N281" s="8"/>
      <c r="O281" s="11"/>
      <c r="P281" s="3"/>
      <c r="Q281" s="3"/>
      <c r="R281" s="8"/>
      <c r="S281" s="3"/>
      <c r="T281" s="3"/>
      <c r="U281" s="3"/>
      <c r="V281" s="8"/>
      <c r="W281" s="3"/>
      <c r="X281" s="3"/>
      <c r="Y281" s="3"/>
      <c r="Z281" s="8"/>
    </row>
    <row r="282" spans="1:26" s="24" customFormat="1" ht="15.75" thickBot="1" x14ac:dyDescent="0.3">
      <c r="A282" s="11"/>
      <c r="B282" s="29" t="s">
        <v>125</v>
      </c>
      <c r="C282" s="29"/>
      <c r="D282" s="30">
        <f>+D278-D280</f>
        <v>-37032.899999999907</v>
      </c>
      <c r="E282" s="14"/>
      <c r="F282" s="36">
        <f>IF(D$12=0,0,D282/D$12)</f>
        <v>-0.20127098953983638</v>
      </c>
      <c r="G282" s="14"/>
      <c r="H282" s="30">
        <f>+H278-H280</f>
        <v>-276326.38</v>
      </c>
      <c r="I282" s="14"/>
      <c r="J282" s="36">
        <f>IF(H$12=0,0,H282/H$12)</f>
        <v>-0.70041638224736924</v>
      </c>
      <c r="K282" s="15"/>
      <c r="L282" s="30">
        <f>D282-H282</f>
        <v>239293.4800000001</v>
      </c>
      <c r="M282" s="15"/>
      <c r="N282" s="36">
        <f>IF(H282=0,0,L282/H282)</f>
        <v>-0.8659813080459422</v>
      </c>
      <c r="O282" s="28"/>
      <c r="P282" s="30">
        <f>+P278-P280</f>
        <v>-999575.87999999919</v>
      </c>
      <c r="Q282" s="14"/>
      <c r="R282" s="36">
        <f>IF(P$12=0,0,P282/P$12)</f>
        <v>-0.23425761229585695</v>
      </c>
      <c r="S282" s="14"/>
      <c r="T282" s="30">
        <f>+T278-T280</f>
        <v>-40970.889999999665</v>
      </c>
      <c r="U282" s="14"/>
      <c r="V282" s="36">
        <f>IF(T$12=0,0,T282/T$12)</f>
        <v>-3.7372570660196601E-3</v>
      </c>
      <c r="W282" s="15"/>
      <c r="X282" s="30">
        <f>P282-T282</f>
        <v>-958604.98999999953</v>
      </c>
      <c r="Y282" s="15"/>
      <c r="Z282" s="36">
        <f>IF(T282=0,0,X282/T282)</f>
        <v>23.397221539488338</v>
      </c>
    </row>
    <row r="283" spans="1:26" ht="15.75" thickTop="1" x14ac:dyDescent="0.25">
      <c r="A283" s="9"/>
      <c r="B283" s="9"/>
      <c r="C283" s="9"/>
      <c r="D283" s="3"/>
      <c r="E283" s="3"/>
      <c r="F283" s="8"/>
      <c r="G283" s="3"/>
      <c r="H283" s="3"/>
      <c r="I283" s="3"/>
      <c r="J283" s="8"/>
      <c r="K283" s="3"/>
      <c r="L283" s="3"/>
      <c r="M283" s="3"/>
      <c r="N283" s="8"/>
      <c r="P283" s="3"/>
      <c r="Q283" s="3"/>
      <c r="R283" s="8"/>
      <c r="S283" s="3"/>
      <c r="T283" s="3"/>
      <c r="U283" s="3"/>
      <c r="V283" s="8"/>
      <c r="W283" s="3"/>
      <c r="X283" s="3"/>
      <c r="Y283" s="3"/>
      <c r="Z283" s="8"/>
    </row>
    <row r="284" spans="1:26" x14ac:dyDescent="0.25">
      <c r="A284" s="9"/>
      <c r="B284" s="9"/>
      <c r="C284" s="9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4" customFormat="1" ht="15.75" thickBot="1" x14ac:dyDescent="0.3">
      <c r="A285" s="11"/>
      <c r="B285" s="29" t="s">
        <v>293</v>
      </c>
      <c r="C285" s="29"/>
      <c r="D285" s="35">
        <f>SUM(D282:D284)</f>
        <v>-37032.899999999907</v>
      </c>
      <c r="E285" s="14"/>
      <c r="F285" s="34">
        <f>IF(D$12=0,0,D285/D$12)</f>
        <v>-0.20127098953983638</v>
      </c>
      <c r="G285" s="14"/>
      <c r="H285" s="35">
        <f>SUM(H282:H284)</f>
        <v>-276326.38</v>
      </c>
      <c r="I285" s="14"/>
      <c r="J285" s="34">
        <f>IF(H$12=0,0,H285/H$12)</f>
        <v>-0.70041638224736924</v>
      </c>
      <c r="K285" s="15"/>
      <c r="L285" s="35">
        <f>+D285-H285</f>
        <v>239293.4800000001</v>
      </c>
      <c r="M285" s="15"/>
      <c r="N285" s="34">
        <f>IF(H285=0,0,L285/H285)</f>
        <v>-0.8659813080459422</v>
      </c>
      <c r="O285" s="28"/>
      <c r="P285" s="35">
        <f>SUM(P282:P284)</f>
        <v>-999575.87999999919</v>
      </c>
      <c r="Q285" s="14"/>
      <c r="R285" s="34">
        <f>IF(P$12=0,0,P285/P$12)</f>
        <v>-0.23425761229585695</v>
      </c>
      <c r="S285" s="14"/>
      <c r="T285" s="35">
        <f>SUM(T282:T284)</f>
        <v>-40970.889999999665</v>
      </c>
      <c r="U285" s="14"/>
      <c r="V285" s="34">
        <f>IF(T$12=0,0,T285/T$12)</f>
        <v>-3.7372570660196601E-3</v>
      </c>
      <c r="W285" s="15"/>
      <c r="X285" s="35">
        <f>+P285-T285</f>
        <v>-958604.98999999953</v>
      </c>
      <c r="Y285" s="15"/>
      <c r="Z285" s="34">
        <f>IF(T285=0,0,X285/T285)</f>
        <v>23.397221539488338</v>
      </c>
    </row>
    <row r="286" spans="1:26" ht="15.75" thickTop="1" x14ac:dyDescent="0.25">
      <c r="A286" s="9"/>
      <c r="C286" s="9"/>
      <c r="D286" s="18"/>
      <c r="E286" s="18"/>
      <c r="G286" s="18"/>
      <c r="H286" s="18"/>
      <c r="I286" s="18"/>
      <c r="J286" s="43"/>
      <c r="K286" s="18"/>
      <c r="L286" s="18"/>
      <c r="M286" s="18"/>
      <c r="P286" s="18"/>
      <c r="Q286" s="18"/>
      <c r="R286" s="43"/>
      <c r="S286" s="18"/>
      <c r="T286" s="18"/>
      <c r="U286" s="18"/>
      <c r="V286" s="43"/>
      <c r="W286" s="18"/>
      <c r="X286" s="18"/>
    </row>
    <row r="287" spans="1:26" x14ac:dyDescent="0.25">
      <c r="A287" s="9"/>
      <c r="B287" s="54">
        <v>44295.963228125001</v>
      </c>
      <c r="D287" s="18"/>
      <c r="E287" s="18"/>
      <c r="G287" s="18"/>
      <c r="H287" s="18"/>
      <c r="I287" s="18"/>
      <c r="J287" s="43"/>
      <c r="K287" s="18"/>
      <c r="L287" s="18"/>
      <c r="M287" s="18"/>
      <c r="P287" s="18"/>
      <c r="Q287" s="18"/>
      <c r="R287" s="43"/>
      <c r="S287" s="18"/>
      <c r="T287" s="18"/>
      <c r="U287" s="18"/>
      <c r="V287" s="43"/>
      <c r="W287" s="18"/>
      <c r="X287" s="18"/>
    </row>
    <row r="288" spans="1:26" x14ac:dyDescent="0.25">
      <c r="A288" s="9"/>
      <c r="B288" s="58" t="s">
        <v>56</v>
      </c>
      <c r="D288" s="18"/>
      <c r="E288" s="18"/>
      <c r="G288" s="18"/>
      <c r="H288" s="18"/>
      <c r="I288" s="18"/>
      <c r="J288" s="43"/>
      <c r="K288" s="18"/>
      <c r="L288" s="18"/>
      <c r="M288" s="18"/>
      <c r="P288" s="18"/>
      <c r="Q288" s="18"/>
      <c r="R288" s="43"/>
      <c r="S288" s="18"/>
      <c r="T288" s="18"/>
      <c r="U288" s="18"/>
      <c r="V288" s="43"/>
      <c r="W288" s="18"/>
      <c r="X288" s="18"/>
    </row>
    <row r="289" spans="1:24" x14ac:dyDescent="0.25">
      <c r="A289" s="9"/>
      <c r="B289" s="62"/>
      <c r="D289" s="18"/>
      <c r="E289" s="18"/>
      <c r="G289" s="18"/>
      <c r="H289" s="18"/>
      <c r="I289" s="18"/>
      <c r="J289" s="43"/>
      <c r="K289" s="18"/>
      <c r="L289" s="18"/>
      <c r="M289" s="18"/>
      <c r="P289" s="18"/>
      <c r="Q289" s="18"/>
      <c r="R289" s="43"/>
      <c r="S289" s="18"/>
      <c r="T289" s="18"/>
      <c r="U289" s="18"/>
      <c r="V289" s="43"/>
      <c r="W289" s="18"/>
      <c r="X289" s="18"/>
    </row>
    <row r="290" spans="1:24" x14ac:dyDescent="0.25">
      <c r="D290" s="18"/>
      <c r="E290" s="18"/>
      <c r="G290" s="18"/>
      <c r="H290" s="18"/>
      <c r="I290" s="18"/>
      <c r="J290" s="43"/>
      <c r="K290" s="18"/>
      <c r="L290" s="18"/>
      <c r="M290" s="18"/>
      <c r="P290" s="18"/>
      <c r="Q290" s="18"/>
      <c r="R290" s="43"/>
      <c r="S290" s="18"/>
      <c r="T290" s="18"/>
      <c r="U290" s="18"/>
      <c r="V290" s="43"/>
      <c r="W290" s="18"/>
      <c r="X290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8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183894.67000000007</v>
      </c>
      <c r="E12" s="4"/>
      <c r="F12" s="13"/>
      <c r="G12" s="4"/>
      <c r="H12" s="4">
        <f>SUM(OSRRefH13x_0)</f>
        <v>232041.72999999998</v>
      </c>
      <c r="I12" s="4"/>
      <c r="J12" s="13"/>
      <c r="K12" s="4"/>
      <c r="L12" s="4">
        <f t="shared" ref="L12:L108" si="0">+D12-H12</f>
        <v>-48147.05999999991</v>
      </c>
      <c r="M12" s="4"/>
      <c r="N12" s="13">
        <f t="shared" ref="N12:N108" si="1">IF(H12=0,0,L12/H12)</f>
        <v>-0.20749310910584881</v>
      </c>
      <c r="O12" s="11"/>
      <c r="P12" s="4">
        <f>SUM(OSRRefP13x_0)</f>
        <v>4264173.2100000028</v>
      </c>
      <c r="Q12" s="4"/>
      <c r="R12" s="13"/>
      <c r="S12" s="4"/>
      <c r="T12" s="4">
        <f>SUM(OSRRefT13x_0)</f>
        <v>8598288.0299999993</v>
      </c>
      <c r="U12" s="4"/>
      <c r="V12" s="13"/>
      <c r="W12" s="4"/>
      <c r="X12" s="4">
        <f t="shared" ref="X12:X108" si="2">+P12-T12</f>
        <v>-4334114.8199999966</v>
      </c>
      <c r="Y12" s="4"/>
      <c r="Z12" s="13">
        <f t="shared" ref="Z12:Z108" si="3">IF(T12=0,0,X12/T12)</f>
        <v>-0.50406718231326764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-11562.13</f>
        <v>-11562.13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-11562.13</v>
      </c>
      <c r="M13" s="2"/>
      <c r="N13" s="19">
        <f t="shared" si="1"/>
        <v>0</v>
      </c>
      <c r="O13" s="10"/>
      <c r="P13" s="2">
        <f>-119923.26</f>
        <v>-119923.26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-119923.26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--7739.23</f>
        <v>7739.23</v>
      </c>
      <c r="E14" s="2"/>
      <c r="F14" s="19"/>
      <c r="G14" s="2"/>
      <c r="H14" s="2">
        <f>--6131.56</f>
        <v>6131.56</v>
      </c>
      <c r="I14" s="2"/>
      <c r="J14" s="19"/>
      <c r="K14" s="2"/>
      <c r="L14" s="2">
        <f t="shared" si="0"/>
        <v>1607.6699999999992</v>
      </c>
      <c r="M14" s="2"/>
      <c r="N14" s="19">
        <f t="shared" si="1"/>
        <v>0.26219591751528143</v>
      </c>
      <c r="O14" s="10"/>
      <c r="P14" s="2">
        <f>--1232463.24</f>
        <v>1232463.24</v>
      </c>
      <c r="Q14" s="2"/>
      <c r="R14" s="19"/>
      <c r="S14" s="2"/>
      <c r="T14" s="2">
        <f>--2396893.28</f>
        <v>2396893.2799999998</v>
      </c>
      <c r="U14" s="2"/>
      <c r="V14" s="19"/>
      <c r="W14" s="2"/>
      <c r="X14" s="2">
        <f t="shared" si="2"/>
        <v>-1164430.0399999998</v>
      </c>
      <c r="Y14" s="2"/>
      <c r="Z14" s="19">
        <f t="shared" si="3"/>
        <v>-0.48580804565483193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--1662.85</f>
        <v>1662.85</v>
      </c>
      <c r="E15" s="2"/>
      <c r="F15" s="19"/>
      <c r="G15" s="2"/>
      <c r="H15" s="2">
        <f>--4341.5</f>
        <v>4341.5</v>
      </c>
      <c r="I15" s="2"/>
      <c r="J15" s="19"/>
      <c r="K15" s="2"/>
      <c r="L15" s="2">
        <f t="shared" si="0"/>
        <v>-2678.65</v>
      </c>
      <c r="M15" s="2"/>
      <c r="N15" s="19">
        <f t="shared" si="1"/>
        <v>-0.61698721639986187</v>
      </c>
      <c r="O15" s="10"/>
      <c r="P15" s="2">
        <f>--576797.33</f>
        <v>576797.32999999996</v>
      </c>
      <c r="Q15" s="2"/>
      <c r="R15" s="19"/>
      <c r="S15" s="2"/>
      <c r="T15" s="2">
        <f>--1244314.69</f>
        <v>1244314.69</v>
      </c>
      <c r="U15" s="2"/>
      <c r="V15" s="19"/>
      <c r="W15" s="2"/>
      <c r="X15" s="2">
        <f t="shared" si="2"/>
        <v>-667517.36</v>
      </c>
      <c r="Y15" s="2"/>
      <c r="Z15" s="19">
        <f t="shared" si="3"/>
        <v>-0.53645381298198769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--49.99</f>
        <v>49.99</v>
      </c>
      <c r="E16" s="2"/>
      <c r="F16" s="19"/>
      <c r="G16" s="2"/>
      <c r="H16" s="2">
        <f>--78</f>
        <v>78</v>
      </c>
      <c r="I16" s="2"/>
      <c r="J16" s="19"/>
      <c r="K16" s="2"/>
      <c r="L16" s="2">
        <f t="shared" si="0"/>
        <v>-28.009999999999998</v>
      </c>
      <c r="M16" s="2"/>
      <c r="N16" s="19">
        <f t="shared" si="1"/>
        <v>-0.35910256410256408</v>
      </c>
      <c r="O16" s="10"/>
      <c r="P16" s="2">
        <f>--17977.88</f>
        <v>17977.88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-15717.009999999998</v>
      </c>
      <c r="Y16" s="2"/>
      <c r="Z16" s="19">
        <f t="shared" si="3"/>
        <v>-0.46645084759143002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>--253.6</f>
        <v>253.6</v>
      </c>
      <c r="I18" s="2"/>
      <c r="J18" s="19"/>
      <c r="K18" s="2"/>
      <c r="L18" s="2">
        <f t="shared" si="0"/>
        <v>-253.6</v>
      </c>
      <c r="M18" s="2"/>
      <c r="N18" s="19">
        <f t="shared" si="1"/>
        <v>-1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--29.21</f>
        <v>29.21</v>
      </c>
      <c r="E19" s="2"/>
      <c r="F19" s="19"/>
      <c r="G19" s="2"/>
      <c r="H19" s="2">
        <f>--412.75</f>
        <v>412.75</v>
      </c>
      <c r="I19" s="2"/>
      <c r="J19" s="19"/>
      <c r="K19" s="2"/>
      <c r="L19" s="2">
        <f t="shared" si="0"/>
        <v>-383.54</v>
      </c>
      <c r="M19" s="2"/>
      <c r="N19" s="19">
        <f t="shared" si="1"/>
        <v>-0.9292307692307693</v>
      </c>
      <c r="O19" s="10"/>
      <c r="P19" s="2">
        <f>--1202.02</f>
        <v>1202.02</v>
      </c>
      <c r="Q19" s="2"/>
      <c r="R19" s="19"/>
      <c r="S19" s="2"/>
      <c r="T19" s="2">
        <f>--2695</f>
        <v>2695</v>
      </c>
      <c r="U19" s="2"/>
      <c r="V19" s="19"/>
      <c r="W19" s="2"/>
      <c r="X19" s="2">
        <f t="shared" si="2"/>
        <v>-1492.98</v>
      </c>
      <c r="Y19" s="2"/>
      <c r="Z19" s="19">
        <f t="shared" si="3"/>
        <v>-0.5539814471243043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--35.82</f>
        <v>35.82</v>
      </c>
      <c r="E20" s="2"/>
      <c r="F20" s="19"/>
      <c r="G20" s="2"/>
      <c r="H20" s="2">
        <f>--67.24</f>
        <v>67.239999999999995</v>
      </c>
      <c r="I20" s="2"/>
      <c r="J20" s="19"/>
      <c r="K20" s="2"/>
      <c r="L20" s="2">
        <f t="shared" si="0"/>
        <v>-31.419999999999995</v>
      </c>
      <c r="M20" s="2"/>
      <c r="N20" s="19">
        <f t="shared" si="1"/>
        <v>-0.46728138013087445</v>
      </c>
      <c r="O20" s="10"/>
      <c r="P20" s="2">
        <f>--447.7</f>
        <v>447.7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-771.48</v>
      </c>
      <c r="Y20" s="2"/>
      <c r="Z20" s="19">
        <f t="shared" si="3"/>
        <v>-0.63278597089847277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--10.98</f>
        <v>10.98</v>
      </c>
      <c r="I21" s="2"/>
      <c r="J21" s="19"/>
      <c r="K21" s="2"/>
      <c r="L21" s="2">
        <f t="shared" si="0"/>
        <v>-10.98</v>
      </c>
      <c r="M21" s="2"/>
      <c r="N21" s="19">
        <f t="shared" si="1"/>
        <v>-1</v>
      </c>
      <c r="O21" s="10"/>
      <c r="P21" s="2">
        <f>0</f>
        <v>0</v>
      </c>
      <c r="Q21" s="2"/>
      <c r="R21" s="19"/>
      <c r="S21" s="2"/>
      <c r="T21" s="2">
        <f>--282.57</f>
        <v>282.57</v>
      </c>
      <c r="U21" s="2"/>
      <c r="V21" s="19"/>
      <c r="W21" s="2"/>
      <c r="X21" s="2">
        <f t="shared" si="2"/>
        <v>-282.57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--67.3</f>
        <v>67.3</v>
      </c>
      <c r="E22" s="2"/>
      <c r="F22" s="19"/>
      <c r="G22" s="2"/>
      <c r="H22" s="2">
        <f>--56.6</f>
        <v>56.6</v>
      </c>
      <c r="I22" s="2"/>
      <c r="J22" s="19"/>
      <c r="K22" s="2"/>
      <c r="L22" s="2">
        <f t="shared" si="0"/>
        <v>10.699999999999996</v>
      </c>
      <c r="M22" s="2"/>
      <c r="N22" s="19">
        <f t="shared" si="1"/>
        <v>0.18904593639575965</v>
      </c>
      <c r="O22" s="10"/>
      <c r="P22" s="2">
        <f>--400.14</f>
        <v>400.14</v>
      </c>
      <c r="Q22" s="2"/>
      <c r="R22" s="19"/>
      <c r="S22" s="2"/>
      <c r="T22" s="2">
        <f>--4154.31</f>
        <v>4154.3100000000004</v>
      </c>
      <c r="U22" s="2"/>
      <c r="V22" s="19"/>
      <c r="W22" s="2"/>
      <c r="X22" s="2">
        <f t="shared" si="2"/>
        <v>-3754.1700000000005</v>
      </c>
      <c r="Y22" s="2"/>
      <c r="Z22" s="19">
        <f t="shared" si="3"/>
        <v>-0.90368075564895256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6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5"/>
        <v>0</v>
      </c>
      <c r="E24" s="2"/>
      <c r="F24" s="19"/>
      <c r="G24" s="2"/>
      <c r="H24" s="2">
        <f>--2919.17</f>
        <v>2919.17</v>
      </c>
      <c r="I24" s="2"/>
      <c r="J24" s="19"/>
      <c r="K24" s="2"/>
      <c r="L24" s="2">
        <f t="shared" si="0"/>
        <v>-2919.17</v>
      </c>
      <c r="M24" s="2"/>
      <c r="N24" s="19">
        <f t="shared" si="1"/>
        <v>-1</v>
      </c>
      <c r="O24" s="10"/>
      <c r="P24" s="2">
        <f t="shared" si="6"/>
        <v>0</v>
      </c>
      <c r="Q24" s="2"/>
      <c r="R24" s="19"/>
      <c r="S24" s="2"/>
      <c r="T24" s="2">
        <f>--54702.86</f>
        <v>54702.86</v>
      </c>
      <c r="U24" s="2"/>
      <c r="V24" s="19"/>
      <c r="W24" s="2"/>
      <c r="X24" s="2">
        <f t="shared" si="2"/>
        <v>-54702.86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--16.37</f>
        <v>16.37</v>
      </c>
      <c r="E25" s="2"/>
      <c r="F25" s="19"/>
      <c r="G25" s="2"/>
      <c r="H25" s="2">
        <f>--4393.86</f>
        <v>4393.8599999999997</v>
      </c>
      <c r="I25" s="2"/>
      <c r="J25" s="19"/>
      <c r="K25" s="2"/>
      <c r="L25" s="2">
        <f t="shared" si="0"/>
        <v>-4377.49</v>
      </c>
      <c r="M25" s="2"/>
      <c r="N25" s="19">
        <f t="shared" si="1"/>
        <v>-0.99627434647439839</v>
      </c>
      <c r="O25" s="10"/>
      <c r="P25" s="2">
        <f>--464.75</f>
        <v>464.75</v>
      </c>
      <c r="Q25" s="2"/>
      <c r="R25" s="19"/>
      <c r="S25" s="2"/>
      <c r="T25" s="2">
        <f>--79868.06</f>
        <v>79868.06</v>
      </c>
      <c r="U25" s="2"/>
      <c r="V25" s="19"/>
      <c r="W25" s="2"/>
      <c r="X25" s="2">
        <f t="shared" si="2"/>
        <v>-79403.31</v>
      </c>
      <c r="Y25" s="2"/>
      <c r="Z25" s="19">
        <f t="shared" si="3"/>
        <v>-0.99418102806052888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--3028</f>
        <v>3028</v>
      </c>
      <c r="E26" s="2"/>
      <c r="F26" s="19"/>
      <c r="G26" s="2"/>
      <c r="H26" s="2">
        <f>--8153.25</f>
        <v>8153.25</v>
      </c>
      <c r="I26" s="2"/>
      <c r="J26" s="19"/>
      <c r="K26" s="2"/>
      <c r="L26" s="2">
        <f t="shared" si="0"/>
        <v>-5125.25</v>
      </c>
      <c r="M26" s="2"/>
      <c r="N26" s="19">
        <f t="shared" si="1"/>
        <v>-0.62861435623830986</v>
      </c>
      <c r="O26" s="10"/>
      <c r="P26" s="2">
        <f>--57512.32</f>
        <v>57512.32</v>
      </c>
      <c r="Q26" s="2"/>
      <c r="R26" s="19"/>
      <c r="S26" s="2"/>
      <c r="T26" s="2">
        <f>--269846.58</f>
        <v>269846.58</v>
      </c>
      <c r="U26" s="2"/>
      <c r="V26" s="19"/>
      <c r="W26" s="2"/>
      <c r="X26" s="2">
        <f t="shared" si="2"/>
        <v>-212334.26</v>
      </c>
      <c r="Y26" s="2"/>
      <c r="Z26" s="19">
        <f t="shared" si="3"/>
        <v>-0.78687030237700251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--3372.76</f>
        <v>3372.76</v>
      </c>
      <c r="E27" s="2"/>
      <c r="F27" s="19"/>
      <c r="G27" s="2"/>
      <c r="H27" s="2">
        <f>--17260.82</f>
        <v>17260.82</v>
      </c>
      <c r="I27" s="2"/>
      <c r="J27" s="19"/>
      <c r="K27" s="2"/>
      <c r="L27" s="2">
        <f t="shared" si="0"/>
        <v>-13888.06</v>
      </c>
      <c r="M27" s="2"/>
      <c r="N27" s="19">
        <f t="shared" si="1"/>
        <v>-0.80460024494780669</v>
      </c>
      <c r="O27" s="10"/>
      <c r="P27" s="2">
        <f>--44249.38</f>
        <v>44249.38</v>
      </c>
      <c r="Q27" s="2"/>
      <c r="R27" s="19"/>
      <c r="S27" s="2"/>
      <c r="T27" s="2">
        <f>--292597.05</f>
        <v>292597.05</v>
      </c>
      <c r="U27" s="2"/>
      <c r="V27" s="19"/>
      <c r="W27" s="2"/>
      <c r="X27" s="2">
        <f t="shared" si="2"/>
        <v>-248347.66999999998</v>
      </c>
      <c r="Y27" s="2"/>
      <c r="Z27" s="19">
        <f t="shared" si="3"/>
        <v>-0.84877024563303016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--434.03</f>
        <v>434.03</v>
      </c>
      <c r="E28" s="2"/>
      <c r="F28" s="19"/>
      <c r="G28" s="2"/>
      <c r="H28" s="2">
        <f>--44.3</f>
        <v>44.3</v>
      </c>
      <c r="I28" s="2"/>
      <c r="J28" s="19"/>
      <c r="K28" s="2"/>
      <c r="L28" s="2">
        <f t="shared" si="0"/>
        <v>389.72999999999996</v>
      </c>
      <c r="M28" s="2"/>
      <c r="N28" s="19">
        <f t="shared" si="1"/>
        <v>8.7975169300225726</v>
      </c>
      <c r="O28" s="10"/>
      <c r="P28" s="2">
        <f>--3614.87</f>
        <v>3614.87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3128.5299999999997</v>
      </c>
      <c r="Y28" s="2"/>
      <c r="Z28" s="19">
        <f t="shared" si="3"/>
        <v>6.4328042110457702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7">0</f>
        <v>0</v>
      </c>
      <c r="E29" s="2"/>
      <c r="F29" s="19"/>
      <c r="G29" s="2"/>
      <c r="H29" s="2">
        <f>--240.81</f>
        <v>240.81</v>
      </c>
      <c r="I29" s="2"/>
      <c r="J29" s="19"/>
      <c r="K29" s="2"/>
      <c r="L29" s="2">
        <f t="shared" si="0"/>
        <v>-240.81</v>
      </c>
      <c r="M29" s="2"/>
      <c r="N29" s="19">
        <f t="shared" si="1"/>
        <v>-1</v>
      </c>
      <c r="O29" s="10"/>
      <c r="P29" s="2">
        <f t="shared" ref="P29:P30" si="8">0</f>
        <v>0</v>
      </c>
      <c r="Q29" s="2"/>
      <c r="R29" s="19"/>
      <c r="S29" s="2"/>
      <c r="T29" s="2">
        <f>--1905.06</f>
        <v>1905.06</v>
      </c>
      <c r="U29" s="2"/>
      <c r="V29" s="19"/>
      <c r="W29" s="2"/>
      <c r="X29" s="2">
        <f t="shared" si="2"/>
        <v>-1905.06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7"/>
        <v>0</v>
      </c>
      <c r="E30" s="2"/>
      <c r="F30" s="19"/>
      <c r="G30" s="2"/>
      <c r="H30" s="2">
        <f>--25.55</f>
        <v>25.55</v>
      </c>
      <c r="I30" s="2"/>
      <c r="J30" s="19"/>
      <c r="K30" s="2"/>
      <c r="L30" s="2">
        <f t="shared" si="0"/>
        <v>-25.55</v>
      </c>
      <c r="M30" s="2"/>
      <c r="N30" s="19">
        <f t="shared" si="1"/>
        <v>-1</v>
      </c>
      <c r="O30" s="10"/>
      <c r="P30" s="2">
        <f t="shared" si="8"/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7"/>
        <v>0</v>
      </c>
      <c r="E31" s="2"/>
      <c r="F31" s="19"/>
      <c r="G31" s="2"/>
      <c r="H31" s="2">
        <f>--600.08</f>
        <v>600.08000000000004</v>
      </c>
      <c r="I31" s="2"/>
      <c r="J31" s="19"/>
      <c r="K31" s="2"/>
      <c r="L31" s="2">
        <f t="shared" si="0"/>
        <v>-600.08000000000004</v>
      </c>
      <c r="M31" s="2"/>
      <c r="N31" s="19">
        <f t="shared" si="1"/>
        <v>-1</v>
      </c>
      <c r="O31" s="10"/>
      <c r="P31" s="2">
        <f>--6.78</f>
        <v>6.78</v>
      </c>
      <c r="Q31" s="2"/>
      <c r="R31" s="19"/>
      <c r="S31" s="2"/>
      <c r="T31" s="2">
        <f>--7803.51</f>
        <v>7803.51</v>
      </c>
      <c r="U31" s="2"/>
      <c r="V31" s="19"/>
      <c r="W31" s="2"/>
      <c r="X31" s="2">
        <f t="shared" si="2"/>
        <v>-7796.7300000000005</v>
      </c>
      <c r="Y31" s="2"/>
      <c r="Z31" s="19">
        <f t="shared" si="3"/>
        <v>-0.99913116020867532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7"/>
        <v>0</v>
      </c>
      <c r="E32" s="2"/>
      <c r="F32" s="19"/>
      <c r="G32" s="2"/>
      <c r="H32" s="2">
        <f>--101.32</f>
        <v>101.32</v>
      </c>
      <c r="I32" s="2"/>
      <c r="J32" s="19"/>
      <c r="K32" s="2"/>
      <c r="L32" s="2">
        <f t="shared" si="0"/>
        <v>-101.32</v>
      </c>
      <c r="M32" s="2"/>
      <c r="N32" s="19">
        <f t="shared" si="1"/>
        <v>-1</v>
      </c>
      <c r="O32" s="10"/>
      <c r="P32" s="2">
        <f t="shared" ref="P32:P33" si="9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7"/>
        <v>0</v>
      </c>
      <c r="E33" s="2"/>
      <c r="F33" s="19"/>
      <c r="G33" s="2"/>
      <c r="H33" s="2">
        <f>--24.8</f>
        <v>24.8</v>
      </c>
      <c r="I33" s="2"/>
      <c r="J33" s="19"/>
      <c r="K33" s="2"/>
      <c r="L33" s="2">
        <f t="shared" si="0"/>
        <v>-24.8</v>
      </c>
      <c r="M33" s="2"/>
      <c r="N33" s="19">
        <f t="shared" si="1"/>
        <v>-1</v>
      </c>
      <c r="O33" s="10"/>
      <c r="P33" s="2">
        <f t="shared" si="9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--82653.17</f>
        <v>82653.17</v>
      </c>
      <c r="E34" s="2"/>
      <c r="F34" s="19"/>
      <c r="G34" s="2"/>
      <c r="H34" s="2">
        <f>--93833.27</f>
        <v>93833.27</v>
      </c>
      <c r="I34" s="2"/>
      <c r="J34" s="19"/>
      <c r="K34" s="2"/>
      <c r="L34" s="2">
        <f t="shared" si="0"/>
        <v>-11180.100000000006</v>
      </c>
      <c r="M34" s="2"/>
      <c r="N34" s="19">
        <f t="shared" si="1"/>
        <v>-0.11914857065090032</v>
      </c>
      <c r="O34" s="10"/>
      <c r="P34" s="2">
        <f>--754001.15</f>
        <v>754001.15</v>
      </c>
      <c r="Q34" s="2"/>
      <c r="R34" s="19"/>
      <c r="S34" s="2"/>
      <c r="T34" s="2">
        <f>--1776128.49</f>
        <v>1776128.49</v>
      </c>
      <c r="U34" s="2"/>
      <c r="V34" s="19"/>
      <c r="W34" s="2"/>
      <c r="X34" s="2">
        <f t="shared" si="2"/>
        <v>-1022127.34</v>
      </c>
      <c r="Y34" s="2"/>
      <c r="Z34" s="19">
        <f t="shared" si="3"/>
        <v>-0.57548051605207906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--47817.47</f>
        <v>47817.47</v>
      </c>
      <c r="E35" s="2"/>
      <c r="F35" s="19"/>
      <c r="G35" s="2"/>
      <c r="H35" s="2">
        <f>--25196.53</f>
        <v>25196.53</v>
      </c>
      <c r="I35" s="2"/>
      <c r="J35" s="19"/>
      <c r="K35" s="2"/>
      <c r="L35" s="2">
        <f t="shared" si="0"/>
        <v>22620.940000000002</v>
      </c>
      <c r="M35" s="2"/>
      <c r="N35" s="19">
        <f t="shared" si="1"/>
        <v>0.89777997208345761</v>
      </c>
      <c r="O35" s="10"/>
      <c r="P35" s="2">
        <f>--324016.78</f>
        <v>324016.78000000003</v>
      </c>
      <c r="Q35" s="2"/>
      <c r="R35" s="19"/>
      <c r="S35" s="2"/>
      <c r="T35" s="2">
        <f>--467017.72</f>
        <v>467017.72</v>
      </c>
      <c r="U35" s="2"/>
      <c r="V35" s="19"/>
      <c r="W35" s="2"/>
      <c r="X35" s="2">
        <f t="shared" si="2"/>
        <v>-143000.93999999994</v>
      </c>
      <c r="Y35" s="2"/>
      <c r="Z35" s="19">
        <f t="shared" si="3"/>
        <v>-0.30620024439329613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--11053.28</f>
        <v>11053.28</v>
      </c>
      <c r="E36" s="2"/>
      <c r="F36" s="19"/>
      <c r="G36" s="2"/>
      <c r="H36" s="2">
        <f>--18014.27</f>
        <v>18014.27</v>
      </c>
      <c r="I36" s="2"/>
      <c r="J36" s="19"/>
      <c r="K36" s="2"/>
      <c r="L36" s="2">
        <f t="shared" si="0"/>
        <v>-6960.99</v>
      </c>
      <c r="M36" s="2"/>
      <c r="N36" s="19">
        <f t="shared" si="1"/>
        <v>-0.38641532518386812</v>
      </c>
      <c r="O36" s="10"/>
      <c r="P36" s="2">
        <f>--90048.2</f>
        <v>90048.2</v>
      </c>
      <c r="Q36" s="2"/>
      <c r="R36" s="19"/>
      <c r="S36" s="2"/>
      <c r="T36" s="2">
        <f>--277580.41</f>
        <v>277580.40999999997</v>
      </c>
      <c r="U36" s="2"/>
      <c r="V36" s="19"/>
      <c r="W36" s="2"/>
      <c r="X36" s="2">
        <f t="shared" si="2"/>
        <v>-187532.20999999996</v>
      </c>
      <c r="Y36" s="2"/>
      <c r="Z36" s="19">
        <f t="shared" si="3"/>
        <v>-0.67559598316033898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--8285.51</f>
        <v>8285.51</v>
      </c>
      <c r="E37" s="2"/>
      <c r="F37" s="19"/>
      <c r="G37" s="2"/>
      <c r="H37" s="2">
        <f>--666.52</f>
        <v>666.52</v>
      </c>
      <c r="I37" s="2"/>
      <c r="J37" s="19"/>
      <c r="K37" s="2"/>
      <c r="L37" s="2">
        <f t="shared" si="0"/>
        <v>7618.99</v>
      </c>
      <c r="M37" s="2"/>
      <c r="N37" s="19">
        <f t="shared" si="1"/>
        <v>11.430999819960391</v>
      </c>
      <c r="O37" s="10"/>
      <c r="P37" s="2">
        <f>--132436.17</f>
        <v>132436.17000000001</v>
      </c>
      <c r="Q37" s="2"/>
      <c r="R37" s="19"/>
      <c r="S37" s="2"/>
      <c r="T37" s="2">
        <f>--76568.23</f>
        <v>76568.23</v>
      </c>
      <c r="U37" s="2"/>
      <c r="V37" s="19"/>
      <c r="W37" s="2"/>
      <c r="X37" s="2">
        <f t="shared" si="2"/>
        <v>55867.940000000017</v>
      </c>
      <c r="Y37" s="2"/>
      <c r="Z37" s="19">
        <f t="shared" si="3"/>
        <v>0.72964909858827898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--1774.45</f>
        <v>1774.45</v>
      </c>
      <c r="E38" s="2"/>
      <c r="F38" s="19"/>
      <c r="G38" s="2"/>
      <c r="H38" s="2">
        <f>--3732.24</f>
        <v>3732.24</v>
      </c>
      <c r="I38" s="2"/>
      <c r="J38" s="19"/>
      <c r="K38" s="2"/>
      <c r="L38" s="2">
        <f t="shared" si="0"/>
        <v>-1957.7899999999997</v>
      </c>
      <c r="M38" s="2"/>
      <c r="N38" s="19">
        <f t="shared" si="1"/>
        <v>-0.52456165734250737</v>
      </c>
      <c r="O38" s="10"/>
      <c r="P38" s="2">
        <f>--31346.85</f>
        <v>31346.85</v>
      </c>
      <c r="Q38" s="2"/>
      <c r="R38" s="19"/>
      <c r="S38" s="2"/>
      <c r="T38" s="2">
        <f>--66666.73</f>
        <v>66666.73</v>
      </c>
      <c r="U38" s="2"/>
      <c r="V38" s="19"/>
      <c r="W38" s="2"/>
      <c r="X38" s="2">
        <f t="shared" si="2"/>
        <v>-35319.879999999997</v>
      </c>
      <c r="Y38" s="2"/>
      <c r="Z38" s="19">
        <f t="shared" si="3"/>
        <v>-0.52979769669218812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--8707.87</f>
        <v>8707.8700000000008</v>
      </c>
      <c r="E39" s="2"/>
      <c r="F39" s="19"/>
      <c r="G39" s="2"/>
      <c r="H39" s="2">
        <f>--3847.78</f>
        <v>3847.78</v>
      </c>
      <c r="I39" s="2"/>
      <c r="J39" s="19"/>
      <c r="K39" s="2"/>
      <c r="L39" s="2">
        <f t="shared" si="0"/>
        <v>4860.09</v>
      </c>
      <c r="M39" s="2"/>
      <c r="N39" s="19">
        <f t="shared" si="1"/>
        <v>1.2630893658161328</v>
      </c>
      <c r="O39" s="10"/>
      <c r="P39" s="2">
        <f>--144197.44</f>
        <v>144197.44</v>
      </c>
      <c r="Q39" s="2"/>
      <c r="R39" s="19"/>
      <c r="S39" s="2"/>
      <c r="T39" s="2">
        <f>--74400.82</f>
        <v>74400.820000000007</v>
      </c>
      <c r="U39" s="2"/>
      <c r="V39" s="19"/>
      <c r="W39" s="2"/>
      <c r="X39" s="2">
        <f t="shared" si="2"/>
        <v>69796.62</v>
      </c>
      <c r="Y39" s="2"/>
      <c r="Z39" s="19">
        <f t="shared" si="3"/>
        <v>0.93811627344967419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 t="shared" ref="D40:D45" si="10">0</f>
        <v>0</v>
      </c>
      <c r="E40" s="2"/>
      <c r="F40" s="19"/>
      <c r="G40" s="2"/>
      <c r="H40" s="2">
        <f>--490.15</f>
        <v>490.15</v>
      </c>
      <c r="I40" s="2"/>
      <c r="J40" s="19"/>
      <c r="K40" s="2"/>
      <c r="L40" s="2">
        <f t="shared" si="0"/>
        <v>-490.15</v>
      </c>
      <c r="M40" s="2"/>
      <c r="N40" s="19">
        <f t="shared" si="1"/>
        <v>-1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"4081", " - ", "TAXABLE SALES-ELECTRONICS")</f>
        <v xml:space="preserve">          4081 - TAXABLE SALES-ELECTRONICS</v>
      </c>
      <c r="C41" s="10"/>
      <c r="D41" s="2">
        <f t="shared" si="10"/>
        <v>0</v>
      </c>
      <c r="E41" s="2"/>
      <c r="F41" s="19"/>
      <c r="G41" s="2"/>
      <c r="H41" s="2">
        <f>--64.95</f>
        <v>64.95</v>
      </c>
      <c r="I41" s="2"/>
      <c r="J41" s="19"/>
      <c r="K41" s="2"/>
      <c r="L41" s="2">
        <f t="shared" si="0"/>
        <v>-64.95</v>
      </c>
      <c r="M41" s="2"/>
      <c r="N41" s="19">
        <f t="shared" si="1"/>
        <v>-1</v>
      </c>
      <c r="O41" s="10"/>
      <c r="P41" s="2">
        <f>--71.95</f>
        <v>71.95</v>
      </c>
      <c r="Q41" s="2"/>
      <c r="R41" s="19"/>
      <c r="S41" s="2"/>
      <c r="T41" s="2">
        <f>--3174.93</f>
        <v>3174.93</v>
      </c>
      <c r="U41" s="2"/>
      <c r="V41" s="19"/>
      <c r="W41" s="2"/>
      <c r="X41" s="2">
        <f t="shared" si="2"/>
        <v>-3102.98</v>
      </c>
      <c r="Y41" s="2"/>
      <c r="Z41" s="19">
        <f t="shared" si="3"/>
        <v>-0.97733808304435066</v>
      </c>
    </row>
    <row r="42" spans="1:26" s="23" customFormat="1" hidden="1" outlineLevel="1" x14ac:dyDescent="0.25">
      <c r="A42" s="44"/>
      <c r="B42" s="10" t="str">
        <f>CONCATENATE("          ", "4082", " - ", "TAXABLE SALES-COMPUTER HARDWAR")</f>
        <v xml:space="preserve">          4082 - TAXABLE SALES-COMPUTER HARDWAR</v>
      </c>
      <c r="C42" s="10"/>
      <c r="D42" s="2">
        <f t="shared" si="10"/>
        <v>0</v>
      </c>
      <c r="E42" s="2"/>
      <c r="F42" s="19"/>
      <c r="G42" s="2"/>
      <c r="H42" s="2">
        <f>--67.96</f>
        <v>67.959999999999994</v>
      </c>
      <c r="I42" s="2"/>
      <c r="J42" s="19"/>
      <c r="K42" s="2"/>
      <c r="L42" s="2">
        <f t="shared" si="0"/>
        <v>-67.959999999999994</v>
      </c>
      <c r="M42" s="2"/>
      <c r="N42" s="19">
        <f t="shared" si="1"/>
        <v>-1</v>
      </c>
      <c r="O42" s="10"/>
      <c r="P42" s="2">
        <f>0</f>
        <v>0</v>
      </c>
      <c r="Q42" s="2"/>
      <c r="R42" s="19"/>
      <c r="S42" s="2"/>
      <c r="T42" s="2">
        <f>--363.94</f>
        <v>363.94</v>
      </c>
      <c r="U42" s="2"/>
      <c r="V42" s="19"/>
      <c r="W42" s="2"/>
      <c r="X42" s="2">
        <f t="shared" si="2"/>
        <v>-363.94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"4083", " - ", "TAXABLE SALES-COMPUTER EQUIPME")</f>
        <v xml:space="preserve">          4083 - TAXABLE SALES-COMPUTER EQUIPME</v>
      </c>
      <c r="C43" s="10"/>
      <c r="D43" s="2">
        <f t="shared" si="10"/>
        <v>0</v>
      </c>
      <c r="E43" s="2"/>
      <c r="F43" s="19"/>
      <c r="G43" s="2"/>
      <c r="H43" s="2">
        <f>--29.97</f>
        <v>29.97</v>
      </c>
      <c r="I43" s="2"/>
      <c r="J43" s="19"/>
      <c r="K43" s="2"/>
      <c r="L43" s="2">
        <f t="shared" si="0"/>
        <v>-29.97</v>
      </c>
      <c r="M43" s="2"/>
      <c r="N43" s="19">
        <f t="shared" si="1"/>
        <v>-1</v>
      </c>
      <c r="O43" s="10"/>
      <c r="P43" s="2">
        <f>--9.99</f>
        <v>9.99</v>
      </c>
      <c r="Q43" s="2"/>
      <c r="R43" s="19"/>
      <c r="S43" s="2"/>
      <c r="T43" s="2">
        <f>--914.33</f>
        <v>914.33</v>
      </c>
      <c r="U43" s="2"/>
      <c r="V43" s="19"/>
      <c r="W43" s="2"/>
      <c r="X43" s="2">
        <f t="shared" si="2"/>
        <v>-904.34</v>
      </c>
      <c r="Y43" s="2"/>
      <c r="Z43" s="19">
        <f t="shared" si="3"/>
        <v>-0.98907396672973646</v>
      </c>
    </row>
    <row r="44" spans="1:26" s="23" customFormat="1" hidden="1" outlineLevel="1" x14ac:dyDescent="0.25">
      <c r="A44" s="44"/>
      <c r="B44" s="10" t="str">
        <f>CONCATENATE("          ", "4086", " - ", "TAXABLE SALES-COMPUTER SUPPLIE")</f>
        <v xml:space="preserve">          4086 - TAXABLE SALES-COMPUTER SUPPLIE</v>
      </c>
      <c r="C44" s="10"/>
      <c r="D44" s="2">
        <f t="shared" si="10"/>
        <v>0</v>
      </c>
      <c r="E44" s="2"/>
      <c r="F44" s="19"/>
      <c r="G44" s="2"/>
      <c r="H44" s="2">
        <f>--9</f>
        <v>9</v>
      </c>
      <c r="I44" s="2"/>
      <c r="J44" s="19"/>
      <c r="K44" s="2"/>
      <c r="L44" s="2">
        <f t="shared" si="0"/>
        <v>-9</v>
      </c>
      <c r="M44" s="2"/>
      <c r="N44" s="19">
        <f t="shared" si="1"/>
        <v>-1</v>
      </c>
      <c r="O44" s="10"/>
      <c r="P44" s="2">
        <f t="shared" ref="P44:P45" si="11">0</f>
        <v>0</v>
      </c>
      <c r="Q44" s="2"/>
      <c r="R44" s="19"/>
      <c r="S44" s="2"/>
      <c r="T44" s="2">
        <f>--813.74</f>
        <v>813.74</v>
      </c>
      <c r="U44" s="2"/>
      <c r="V44" s="19"/>
      <c r="W44" s="2"/>
      <c r="X44" s="2">
        <f t="shared" si="2"/>
        <v>-813.74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"4092", " - ", "TAXABLE SALES-GRAD MERCH")</f>
        <v xml:space="preserve">          4092 - TAXABLE SALES-GRAD MERCH</v>
      </c>
      <c r="C45" s="10"/>
      <c r="D45" s="2">
        <f t="shared" si="10"/>
        <v>0</v>
      </c>
      <c r="E45" s="2"/>
      <c r="F45" s="19"/>
      <c r="G45" s="2"/>
      <c r="H45" s="2">
        <f>--10952.9</f>
        <v>10952.9</v>
      </c>
      <c r="I45" s="2"/>
      <c r="J45" s="19"/>
      <c r="K45" s="2"/>
      <c r="L45" s="2">
        <f t="shared" si="0"/>
        <v>-10952.9</v>
      </c>
      <c r="M45" s="2"/>
      <c r="N45" s="19">
        <f t="shared" si="1"/>
        <v>-1</v>
      </c>
      <c r="O45" s="10"/>
      <c r="P45" s="2">
        <f t="shared" si="11"/>
        <v>0</v>
      </c>
      <c r="Q45" s="2"/>
      <c r="R45" s="19"/>
      <c r="S45" s="2"/>
      <c r="T45" s="2">
        <f>--18612.27</f>
        <v>18612.27</v>
      </c>
      <c r="U45" s="2"/>
      <c r="V45" s="19"/>
      <c r="W45" s="2"/>
      <c r="X45" s="2">
        <f t="shared" si="2"/>
        <v>-18612.27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"4095", " - ", "TAXABLE SALES-CUSTOMER SERVICE")</f>
        <v xml:space="preserve">          4095 - TAXABLE SALES-CUSTOMER SERVICE</v>
      </c>
      <c r="C46" s="10"/>
      <c r="D46" s="2">
        <f>--775.28</f>
        <v>775.28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775.28</v>
      </c>
      <c r="M46" s="2"/>
      <c r="N46" s="19">
        <f t="shared" si="1"/>
        <v>0</v>
      </c>
      <c r="O46" s="10"/>
      <c r="P46" s="2">
        <f>--915.13</f>
        <v>915.13</v>
      </c>
      <c r="Q46" s="2"/>
      <c r="R46" s="19"/>
      <c r="S46" s="2"/>
      <c r="T46" s="2">
        <f>--309.26</f>
        <v>309.26</v>
      </c>
      <c r="U46" s="2"/>
      <c r="V46" s="19"/>
      <c r="W46" s="2"/>
      <c r="X46" s="2">
        <f t="shared" si="2"/>
        <v>605.87</v>
      </c>
      <c r="Y46" s="2"/>
      <c r="Z46" s="19">
        <f t="shared" si="3"/>
        <v>1.9590959063571105</v>
      </c>
    </row>
    <row r="47" spans="1:26" s="23" customFormat="1" hidden="1" outlineLevel="1" x14ac:dyDescent="0.25">
      <c r="A47" s="44"/>
      <c r="B47" s="10" t="str">
        <f>CONCATENATE("          ", "4100", " - ", "NON-TAXABLE SALES")</f>
        <v xml:space="preserve">          4100 - NON-TAXABLE SALES</v>
      </c>
      <c r="C47" s="10"/>
      <c r="D47" s="2">
        <f>--2050.54</f>
        <v>2050.54</v>
      </c>
      <c r="E47" s="2"/>
      <c r="F47" s="19"/>
      <c r="G47" s="2"/>
      <c r="H47" s="2">
        <f>--1572.53</f>
        <v>1572.53</v>
      </c>
      <c r="I47" s="2"/>
      <c r="J47" s="19"/>
      <c r="K47" s="2"/>
      <c r="L47" s="2">
        <f t="shared" si="0"/>
        <v>478.01</v>
      </c>
      <c r="M47" s="2"/>
      <c r="N47" s="19">
        <f t="shared" si="1"/>
        <v>0.30397512289113721</v>
      </c>
      <c r="O47" s="10"/>
      <c r="P47" s="2">
        <f>--286224.1</f>
        <v>286224.09999999998</v>
      </c>
      <c r="Q47" s="2"/>
      <c r="R47" s="19"/>
      <c r="S47" s="2"/>
      <c r="T47" s="2">
        <f>--574312.65</f>
        <v>574312.65</v>
      </c>
      <c r="U47" s="2"/>
      <c r="V47" s="19"/>
      <c r="W47" s="2"/>
      <c r="X47" s="2">
        <f t="shared" si="2"/>
        <v>-288088.55000000005</v>
      </c>
      <c r="Y47" s="2"/>
      <c r="Z47" s="19">
        <f t="shared" si="3"/>
        <v>-0.5016232012302011</v>
      </c>
    </row>
    <row r="48" spans="1:26" s="23" customFormat="1" hidden="1" outlineLevel="1" x14ac:dyDescent="0.25">
      <c r="A48" s="44"/>
      <c r="B48" s="10" t="str">
        <f>CONCATENATE("          ", "4101", " - ", "NON-TAXABLE SALES-NEW TEXT")</f>
        <v xml:space="preserve">          4101 - NON-TAXABLE SALES-NEW TEXT</v>
      </c>
      <c r="C48" s="10"/>
      <c r="D48" s="2">
        <f>--1044.17</f>
        <v>1044.17</v>
      </c>
      <c r="E48" s="2"/>
      <c r="F48" s="19"/>
      <c r="G48" s="2"/>
      <c r="H48" s="2">
        <f>--2453.65</f>
        <v>2453.65</v>
      </c>
      <c r="I48" s="2"/>
      <c r="J48" s="19"/>
      <c r="K48" s="2"/>
      <c r="L48" s="2">
        <f t="shared" si="0"/>
        <v>-1409.48</v>
      </c>
      <c r="M48" s="2"/>
      <c r="N48" s="19">
        <f t="shared" si="1"/>
        <v>-0.57444215760193995</v>
      </c>
      <c r="O48" s="10"/>
      <c r="P48" s="2">
        <f>--112055.71</f>
        <v>112055.71</v>
      </c>
      <c r="Q48" s="2"/>
      <c r="R48" s="19"/>
      <c r="S48" s="2"/>
      <c r="T48" s="2">
        <f>--142191.42</f>
        <v>142191.42000000001</v>
      </c>
      <c r="U48" s="2"/>
      <c r="V48" s="19"/>
      <c r="W48" s="2"/>
      <c r="X48" s="2">
        <f t="shared" si="2"/>
        <v>-30135.710000000006</v>
      </c>
      <c r="Y48" s="2"/>
      <c r="Z48" s="19">
        <f t="shared" si="3"/>
        <v>-0.21193761198812139</v>
      </c>
    </row>
    <row r="49" spans="1:26" s="23" customFormat="1" hidden="1" outlineLevel="1" x14ac:dyDescent="0.25">
      <c r="A49" s="44"/>
      <c r="B49" s="10" t="str">
        <f>CONCATENATE("          ", "4102", " - ", "NON-TAXABLE SALES-USED TEXT")</f>
        <v xml:space="preserve">          4102 - NON-TAXABLE SALES-USED TEXT</v>
      </c>
      <c r="C49" s="10"/>
      <c r="D49" s="2">
        <f>--1572.06</f>
        <v>1572.06</v>
      </c>
      <c r="E49" s="2"/>
      <c r="F49" s="19"/>
      <c r="G49" s="2"/>
      <c r="H49" s="2">
        <f>--388.84</f>
        <v>388.84</v>
      </c>
      <c r="I49" s="2"/>
      <c r="J49" s="19"/>
      <c r="K49" s="2"/>
      <c r="L49" s="2">
        <f t="shared" si="0"/>
        <v>1183.22</v>
      </c>
      <c r="M49" s="2"/>
      <c r="N49" s="19">
        <f t="shared" si="1"/>
        <v>3.0429482563522274</v>
      </c>
      <c r="O49" s="10"/>
      <c r="P49" s="2">
        <f>--47959.43</f>
        <v>47959.43</v>
      </c>
      <c r="Q49" s="2"/>
      <c r="R49" s="19"/>
      <c r="S49" s="2"/>
      <c r="T49" s="2">
        <f>--68855.7</f>
        <v>68855.7</v>
      </c>
      <c r="U49" s="2"/>
      <c r="V49" s="19"/>
      <c r="W49" s="2"/>
      <c r="X49" s="2">
        <f t="shared" si="2"/>
        <v>-20896.269999999997</v>
      </c>
      <c r="Y49" s="2"/>
      <c r="Z49" s="19">
        <f t="shared" si="3"/>
        <v>-0.30347916004049041</v>
      </c>
    </row>
    <row r="50" spans="1:26" s="23" customFormat="1" hidden="1" outlineLevel="1" x14ac:dyDescent="0.25">
      <c r="A50" s="44"/>
      <c r="B50" s="10" t="str">
        <f>CONCATENATE("          ", "4103", " - ", "NON-TAXABLE SALES-RENTAL TEXT")</f>
        <v xml:space="preserve">          4103 - NON-TAXABLE SALES-RENTAL TEXT</v>
      </c>
      <c r="C50" s="10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>--1138.95</f>
        <v>1138.95</v>
      </c>
      <c r="Q50" s="2"/>
      <c r="R50" s="19"/>
      <c r="S50" s="2"/>
      <c r="T50" s="2">
        <f>--664.97</f>
        <v>664.97</v>
      </c>
      <c r="U50" s="2"/>
      <c r="V50" s="19"/>
      <c r="W50" s="2"/>
      <c r="X50" s="2">
        <f t="shared" si="2"/>
        <v>473.98</v>
      </c>
      <c r="Y50" s="2"/>
      <c r="Z50" s="19">
        <f t="shared" si="3"/>
        <v>0.71278403537001667</v>
      </c>
    </row>
    <row r="51" spans="1:26" s="23" customFormat="1" hidden="1" outlineLevel="1" x14ac:dyDescent="0.25">
      <c r="A51" s="44"/>
      <c r="B51" s="10" t="str">
        <f>CONCATENATE("          ", "4104", " - ", "NON-TAXABLE SALES-DIGITAL TEXT")</f>
        <v xml:space="preserve">          4104 - NON-TAXABLE SALES-DIGITAL TEXT</v>
      </c>
      <c r="C51" s="10"/>
      <c r="D51" s="2">
        <f>--1097.13</f>
        <v>1097.1300000000001</v>
      </c>
      <c r="E51" s="2"/>
      <c r="F51" s="19"/>
      <c r="G51" s="2"/>
      <c r="H51" s="2">
        <f>--961.31</f>
        <v>961.31</v>
      </c>
      <c r="I51" s="2"/>
      <c r="J51" s="19"/>
      <c r="K51" s="2"/>
      <c r="L51" s="2">
        <f t="shared" si="0"/>
        <v>135.82000000000016</v>
      </c>
      <c r="M51" s="2"/>
      <c r="N51" s="19">
        <f t="shared" si="1"/>
        <v>0.14128636964142699</v>
      </c>
      <c r="O51" s="10"/>
      <c r="P51" s="2">
        <f>--476971.18</f>
        <v>476971.18</v>
      </c>
      <c r="Q51" s="2"/>
      <c r="R51" s="19"/>
      <c r="S51" s="2"/>
      <c r="T51" s="2">
        <f>--524351.65</f>
        <v>524351.65</v>
      </c>
      <c r="U51" s="2"/>
      <c r="V51" s="19"/>
      <c r="W51" s="2"/>
      <c r="X51" s="2">
        <f t="shared" si="2"/>
        <v>-47380.47000000003</v>
      </c>
      <c r="Y51" s="2"/>
      <c r="Z51" s="19">
        <f t="shared" si="3"/>
        <v>-9.0360104712171749E-2</v>
      </c>
    </row>
    <row r="52" spans="1:26" s="23" customFormat="1" hidden="1" outlineLevel="1" x14ac:dyDescent="0.25">
      <c r="A52" s="44"/>
      <c r="B52" s="10" t="str">
        <f>CONCATENATE("          ", "4111", " - ", "NON-TAXABLE SALES-NO VALUE TEX")</f>
        <v xml:space="preserve">          4111 - NON-TAXABLE SALES-NO VALUE TEX</v>
      </c>
      <c r="C52" s="10"/>
      <c r="D52" s="2">
        <f>0</f>
        <v>0</v>
      </c>
      <c r="E52" s="2"/>
      <c r="F52" s="19"/>
      <c r="G52" s="2"/>
      <c r="H52" s="2">
        <f>--369.34</f>
        <v>369.34</v>
      </c>
      <c r="I52" s="2"/>
      <c r="J52" s="19"/>
      <c r="K52" s="2"/>
      <c r="L52" s="2">
        <f t="shared" si="0"/>
        <v>-369.34</v>
      </c>
      <c r="M52" s="2"/>
      <c r="N52" s="19">
        <f t="shared" si="1"/>
        <v>-1</v>
      </c>
      <c r="O52" s="10"/>
      <c r="P52" s="2">
        <f>0</f>
        <v>0</v>
      </c>
      <c r="Q52" s="2"/>
      <c r="R52" s="19"/>
      <c r="S52" s="2"/>
      <c r="T52" s="2">
        <f>--14729.33</f>
        <v>14729.33</v>
      </c>
      <c r="U52" s="2"/>
      <c r="V52" s="19"/>
      <c r="W52" s="2"/>
      <c r="X52" s="2">
        <f t="shared" si="2"/>
        <v>-14729.33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"4113", " - ", "NON-TAXABLE SALES-TRADE BOOKS")</f>
        <v xml:space="preserve">          4113 - NON-TAXABLE SALES-TRADE BOOKS</v>
      </c>
      <c r="C53" s="10"/>
      <c r="D53" s="2">
        <f>--1250</f>
        <v>1250</v>
      </c>
      <c r="E53" s="2"/>
      <c r="F53" s="19"/>
      <c r="G53" s="2"/>
      <c r="H53" s="2">
        <f>--2440</f>
        <v>2440</v>
      </c>
      <c r="I53" s="2"/>
      <c r="J53" s="19"/>
      <c r="K53" s="2"/>
      <c r="L53" s="2">
        <f t="shared" si="0"/>
        <v>-1190</v>
      </c>
      <c r="M53" s="2"/>
      <c r="N53" s="19">
        <f t="shared" si="1"/>
        <v>-0.48770491803278687</v>
      </c>
      <c r="O53" s="10"/>
      <c r="P53" s="2">
        <f>--11389.25</f>
        <v>11389.25</v>
      </c>
      <c r="Q53" s="2"/>
      <c r="R53" s="19"/>
      <c r="S53" s="2"/>
      <c r="T53" s="2">
        <f>--5801.92</f>
        <v>5801.92</v>
      </c>
      <c r="U53" s="2"/>
      <c r="V53" s="19"/>
      <c r="W53" s="2"/>
      <c r="X53" s="2">
        <f t="shared" si="2"/>
        <v>5587.33</v>
      </c>
      <c r="Y53" s="2"/>
      <c r="Z53" s="19">
        <f t="shared" si="3"/>
        <v>0.96301396778997295</v>
      </c>
    </row>
    <row r="54" spans="1:26" s="23" customFormat="1" hidden="1" outlineLevel="1" x14ac:dyDescent="0.25">
      <c r="A54" s="44"/>
      <c r="B54" s="10" t="str">
        <f>CONCATENATE("          ", "4118", " - ", "NON-TAXABLE SALES-STUDY GUIDES")</f>
        <v xml:space="preserve">          4118 - NON-TAXABLE SALES-STUDY GUIDES</v>
      </c>
      <c r="C54" s="10"/>
      <c r="D54" s="2">
        <f t="shared" ref="D54:D56" si="12">0</f>
        <v>0</v>
      </c>
      <c r="E54" s="2"/>
      <c r="F54" s="19"/>
      <c r="G54" s="2"/>
      <c r="H54" s="2">
        <f>--7.02</f>
        <v>7.02</v>
      </c>
      <c r="I54" s="2"/>
      <c r="J54" s="19"/>
      <c r="K54" s="2"/>
      <c r="L54" s="2">
        <f t="shared" si="0"/>
        <v>-7.02</v>
      </c>
      <c r="M54" s="2"/>
      <c r="N54" s="19">
        <f t="shared" si="1"/>
        <v>-1</v>
      </c>
      <c r="O54" s="10"/>
      <c r="P54" s="2">
        <f>--771.73</f>
        <v>771.73</v>
      </c>
      <c r="Q54" s="2"/>
      <c r="R54" s="19"/>
      <c r="S54" s="2"/>
      <c r="T54" s="2">
        <f>--68.92</f>
        <v>68.92</v>
      </c>
      <c r="U54" s="2"/>
      <c r="V54" s="19"/>
      <c r="W54" s="2"/>
      <c r="X54" s="2">
        <f t="shared" si="2"/>
        <v>702.81000000000006</v>
      </c>
      <c r="Y54" s="2"/>
      <c r="Z54" s="19">
        <f t="shared" si="3"/>
        <v>10.197475333720256</v>
      </c>
    </row>
    <row r="55" spans="1:26" s="23" customFormat="1" hidden="1" outlineLevel="1" x14ac:dyDescent="0.25">
      <c r="A55" s="44"/>
      <c r="B55" s="10" t="str">
        <f>CONCATENATE("          ", "4125", " - ", "NON-TAXABLE SALES-TEST FORMS")</f>
        <v xml:space="preserve">          4125 - NON-TAXABLE SALES-TEST FORMS</v>
      </c>
      <c r="C55" s="10"/>
      <c r="D55" s="2">
        <f t="shared" si="12"/>
        <v>0</v>
      </c>
      <c r="E55" s="2"/>
      <c r="F55" s="19"/>
      <c r="G55" s="2"/>
      <c r="H55" s="2">
        <f>--4.54</f>
        <v>4.54</v>
      </c>
      <c r="I55" s="2"/>
      <c r="J55" s="19"/>
      <c r="K55" s="2"/>
      <c r="L55" s="2">
        <f t="shared" si="0"/>
        <v>-4.54</v>
      </c>
      <c r="M55" s="2"/>
      <c r="N55" s="19">
        <f t="shared" si="1"/>
        <v>-1</v>
      </c>
      <c r="O55" s="10"/>
      <c r="P55" s="2">
        <f>0</f>
        <v>0</v>
      </c>
      <c r="Q55" s="2"/>
      <c r="R55" s="19"/>
      <c r="S55" s="2"/>
      <c r="T55" s="2">
        <f>--267.61</f>
        <v>267.61</v>
      </c>
      <c r="U55" s="2"/>
      <c r="V55" s="19"/>
      <c r="W55" s="2"/>
      <c r="X55" s="2">
        <f t="shared" si="2"/>
        <v>-267.61</v>
      </c>
      <c r="Y55" s="2"/>
      <c r="Z55" s="19">
        <f t="shared" si="3"/>
        <v>-1</v>
      </c>
    </row>
    <row r="56" spans="1:26" s="23" customFormat="1" hidden="1" outlineLevel="1" x14ac:dyDescent="0.25">
      <c r="A56" s="44"/>
      <c r="B56" s="10" t="str">
        <f>CONCATENATE("          ", "4126", " - ", "NON-TAXABLE SALES-WRITING INST")</f>
        <v xml:space="preserve">          4126 - NON-TAXABLE SALES-WRITING INST</v>
      </c>
      <c r="C56" s="10"/>
      <c r="D56" s="2">
        <f t="shared" si="12"/>
        <v>0</v>
      </c>
      <c r="E56" s="2"/>
      <c r="F56" s="19"/>
      <c r="G56" s="2"/>
      <c r="H56" s="2">
        <f>--110.71</f>
        <v>110.71</v>
      </c>
      <c r="I56" s="2"/>
      <c r="J56" s="19"/>
      <c r="K56" s="2"/>
      <c r="L56" s="2">
        <f t="shared" si="0"/>
        <v>-110.71</v>
      </c>
      <c r="M56" s="2"/>
      <c r="N56" s="19">
        <f t="shared" si="1"/>
        <v>-1</v>
      </c>
      <c r="O56" s="10"/>
      <c r="P56" s="2">
        <f>--52.68</f>
        <v>52.68</v>
      </c>
      <c r="Q56" s="2"/>
      <c r="R56" s="19"/>
      <c r="S56" s="2"/>
      <c r="T56" s="2">
        <f>--3017.29</f>
        <v>3017.29</v>
      </c>
      <c r="U56" s="2"/>
      <c r="V56" s="19"/>
      <c r="W56" s="2"/>
      <c r="X56" s="2">
        <f t="shared" si="2"/>
        <v>-2964.61</v>
      </c>
      <c r="Y56" s="2"/>
      <c r="Z56" s="19">
        <f t="shared" si="3"/>
        <v>-0.98254062420251287</v>
      </c>
    </row>
    <row r="57" spans="1:26" s="23" customFormat="1" hidden="1" outlineLevel="1" x14ac:dyDescent="0.25">
      <c r="A57" s="44"/>
      <c r="B57" s="10" t="str">
        <f>CONCATENATE("          ", "4127", " - ", "NON-TAXABLE SALES-SCHOOL SUPPL")</f>
        <v xml:space="preserve">          4127 - NON-TAXABLE SALES-SCHOOL SUPPL</v>
      </c>
      <c r="C57" s="10"/>
      <c r="D57" s="2">
        <f>--389.95</f>
        <v>389.95</v>
      </c>
      <c r="E57" s="2"/>
      <c r="F57" s="19"/>
      <c r="G57" s="2"/>
      <c r="H57" s="2">
        <f>--53.81</f>
        <v>53.81</v>
      </c>
      <c r="I57" s="2"/>
      <c r="J57" s="19"/>
      <c r="K57" s="2"/>
      <c r="L57" s="2">
        <f t="shared" si="0"/>
        <v>336.14</v>
      </c>
      <c r="M57" s="2"/>
      <c r="N57" s="19">
        <f t="shared" si="1"/>
        <v>6.246794276156848</v>
      </c>
      <c r="O57" s="10"/>
      <c r="P57" s="2">
        <f>--6607.31</f>
        <v>6607.31</v>
      </c>
      <c r="Q57" s="2"/>
      <c r="R57" s="19"/>
      <c r="S57" s="2"/>
      <c r="T57" s="2">
        <f>--4716.22</f>
        <v>4716.22</v>
      </c>
      <c r="U57" s="2"/>
      <c r="V57" s="19"/>
      <c r="W57" s="2"/>
      <c r="X57" s="2">
        <f t="shared" si="2"/>
        <v>1891.0900000000001</v>
      </c>
      <c r="Y57" s="2"/>
      <c r="Z57" s="19">
        <f t="shared" si="3"/>
        <v>0.40097578145209511</v>
      </c>
    </row>
    <row r="58" spans="1:26" s="23" customFormat="1" hidden="1" outlineLevel="1" x14ac:dyDescent="0.25">
      <c r="A58" s="44"/>
      <c r="B58" s="10" t="str">
        <f>CONCATENATE("          ", "4128", " - ", "NON-TAXABLE SALES-ART/TECH")</f>
        <v xml:space="preserve">          4128 - NON-TAXABLE SALES-ART/TECH</v>
      </c>
      <c r="C58" s="10"/>
      <c r="D58" s="2">
        <f>0</f>
        <v>0</v>
      </c>
      <c r="E58" s="2"/>
      <c r="F58" s="19"/>
      <c r="G58" s="2"/>
      <c r="H58" s="2">
        <f>--52.12</f>
        <v>52.12</v>
      </c>
      <c r="I58" s="2"/>
      <c r="J58" s="19"/>
      <c r="K58" s="2"/>
      <c r="L58" s="2">
        <f t="shared" si="0"/>
        <v>-52.12</v>
      </c>
      <c r="M58" s="2"/>
      <c r="N58" s="19">
        <f t="shared" si="1"/>
        <v>-1</v>
      </c>
      <c r="O58" s="10"/>
      <c r="P58" s="2">
        <f>--38.58</f>
        <v>38.58</v>
      </c>
      <c r="Q58" s="2"/>
      <c r="R58" s="19"/>
      <c r="S58" s="2"/>
      <c r="T58" s="2">
        <f>--730.62</f>
        <v>730.62</v>
      </c>
      <c r="U58" s="2"/>
      <c r="V58" s="19"/>
      <c r="W58" s="2"/>
      <c r="X58" s="2">
        <f t="shared" si="2"/>
        <v>-692.04</v>
      </c>
      <c r="Y58" s="2"/>
      <c r="Z58" s="19">
        <f t="shared" si="3"/>
        <v>-0.94719553256138611</v>
      </c>
    </row>
    <row r="59" spans="1:26" s="23" customFormat="1" hidden="1" outlineLevel="1" x14ac:dyDescent="0.25">
      <c r="A59" s="44"/>
      <c r="B59" s="10" t="str">
        <f>CONCATENATE("          ", "4131", " - ", "NON-TAXABLE SALES-FOOD")</f>
        <v xml:space="preserve">          4131 - NON-TAXABLE SALES-FOOD</v>
      </c>
      <c r="C59" s="10"/>
      <c r="D59" s="2">
        <f>--829.28</f>
        <v>829.28</v>
      </c>
      <c r="E59" s="2"/>
      <c r="F59" s="19"/>
      <c r="G59" s="2"/>
      <c r="H59" s="2">
        <f>--4482.02</f>
        <v>4482.0200000000004</v>
      </c>
      <c r="I59" s="2"/>
      <c r="J59" s="19"/>
      <c r="K59" s="2"/>
      <c r="L59" s="2">
        <f t="shared" si="0"/>
        <v>-3652.7400000000007</v>
      </c>
      <c r="M59" s="2"/>
      <c r="N59" s="19">
        <f t="shared" si="1"/>
        <v>-0.81497628301524772</v>
      </c>
      <c r="O59" s="10"/>
      <c r="P59" s="2">
        <f>--10404.43</f>
        <v>10404.43</v>
      </c>
      <c r="Q59" s="2"/>
      <c r="R59" s="19"/>
      <c r="S59" s="2"/>
      <c r="T59" s="2">
        <f>--57883.57</f>
        <v>57883.57</v>
      </c>
      <c r="U59" s="2"/>
      <c r="V59" s="19"/>
      <c r="W59" s="2"/>
      <c r="X59" s="2">
        <f t="shared" si="2"/>
        <v>-47479.14</v>
      </c>
      <c r="Y59" s="2"/>
      <c r="Z59" s="19">
        <f t="shared" si="3"/>
        <v>-0.82025244814720311</v>
      </c>
    </row>
    <row r="60" spans="1:26" s="23" customFormat="1" hidden="1" outlineLevel="1" x14ac:dyDescent="0.25">
      <c r="A60" s="44"/>
      <c r="B60" s="10" t="str">
        <f>CONCATENATE("          ", "4132", " - ", "NON-TAXABLE SALES-JUICE")</f>
        <v xml:space="preserve">          4132 - NON-TAXABLE SALES-JUICE</v>
      </c>
      <c r="C60" s="10"/>
      <c r="D60" s="2">
        <f t="shared" ref="D60:D64" si="13">0</f>
        <v>0</v>
      </c>
      <c r="E60" s="2"/>
      <c r="F60" s="19"/>
      <c r="G60" s="2"/>
      <c r="H60" s="2">
        <f>--1150.46</f>
        <v>1150.46</v>
      </c>
      <c r="I60" s="2"/>
      <c r="J60" s="19"/>
      <c r="K60" s="2"/>
      <c r="L60" s="2">
        <f t="shared" si="0"/>
        <v>-1150.46</v>
      </c>
      <c r="M60" s="2"/>
      <c r="N60" s="19">
        <f t="shared" si="1"/>
        <v>-1</v>
      </c>
      <c r="O60" s="10"/>
      <c r="P60" s="2">
        <f>--22.49</f>
        <v>22.49</v>
      </c>
      <c r="Q60" s="2"/>
      <c r="R60" s="19"/>
      <c r="S60" s="2"/>
      <c r="T60" s="2">
        <f>--16199.63</f>
        <v>16199.63</v>
      </c>
      <c r="U60" s="2"/>
      <c r="V60" s="19"/>
      <c r="W60" s="2"/>
      <c r="X60" s="2">
        <f t="shared" si="2"/>
        <v>-16177.14</v>
      </c>
      <c r="Y60" s="2"/>
      <c r="Z60" s="19">
        <f t="shared" si="3"/>
        <v>-0.99861169668689964</v>
      </c>
    </row>
    <row r="61" spans="1:26" s="23" customFormat="1" hidden="1" outlineLevel="1" x14ac:dyDescent="0.25">
      <c r="A61" s="44"/>
      <c r="B61" s="10" t="str">
        <f>CONCATENATE("          ", "4133", " - ", "NON-TAXABLE SALES-CANDY")</f>
        <v xml:space="preserve">          4133 - NON-TAXABLE SALES-CANDY</v>
      </c>
      <c r="C61" s="10"/>
      <c r="D61" s="2">
        <f t="shared" si="13"/>
        <v>0</v>
      </c>
      <c r="E61" s="2"/>
      <c r="F61" s="19"/>
      <c r="G61" s="2"/>
      <c r="H61" s="2">
        <f>--1261.31</f>
        <v>1261.31</v>
      </c>
      <c r="I61" s="2"/>
      <c r="J61" s="19"/>
      <c r="K61" s="2"/>
      <c r="L61" s="2">
        <f t="shared" si="0"/>
        <v>-1261.31</v>
      </c>
      <c r="M61" s="2"/>
      <c r="N61" s="19">
        <f t="shared" si="1"/>
        <v>-1</v>
      </c>
      <c r="O61" s="10"/>
      <c r="P61" s="2">
        <f>--80.71</f>
        <v>80.709999999999994</v>
      </c>
      <c r="Q61" s="2"/>
      <c r="R61" s="19"/>
      <c r="S61" s="2"/>
      <c r="T61" s="2">
        <f>--18084.29</f>
        <v>18084.29</v>
      </c>
      <c r="U61" s="2"/>
      <c r="V61" s="19"/>
      <c r="W61" s="2"/>
      <c r="X61" s="2">
        <f t="shared" si="2"/>
        <v>-18003.580000000002</v>
      </c>
      <c r="Y61" s="2"/>
      <c r="Z61" s="19">
        <f t="shared" si="3"/>
        <v>-0.99553701030010033</v>
      </c>
    </row>
    <row r="62" spans="1:26" s="23" customFormat="1" hidden="1" outlineLevel="1" x14ac:dyDescent="0.25">
      <c r="A62" s="44"/>
      <c r="B62" s="10" t="str">
        <f>CONCATENATE("          ", "4134", " - ", "NON-TAXABLE SALES-SODA")</f>
        <v xml:space="preserve">          4134 - NON-TAXABLE SALES-SODA</v>
      </c>
      <c r="C62" s="10"/>
      <c r="D62" s="2">
        <f t="shared" si="13"/>
        <v>0</v>
      </c>
      <c r="E62" s="2"/>
      <c r="F62" s="19"/>
      <c r="G62" s="2"/>
      <c r="H62" s="2">
        <f t="shared" ref="H62:H63" si="14"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0"/>
      <c r="P62" s="2">
        <f>--45.53</f>
        <v>45.53</v>
      </c>
      <c r="Q62" s="2"/>
      <c r="R62" s="19"/>
      <c r="S62" s="2"/>
      <c r="T62" s="2">
        <f>--1.89</f>
        <v>1.89</v>
      </c>
      <c r="U62" s="2"/>
      <c r="V62" s="19"/>
      <c r="W62" s="2"/>
      <c r="X62" s="2">
        <f t="shared" si="2"/>
        <v>43.64</v>
      </c>
      <c r="Y62" s="2"/>
      <c r="Z62" s="19">
        <f t="shared" si="3"/>
        <v>23.089947089947092</v>
      </c>
    </row>
    <row r="63" spans="1:26" s="23" customFormat="1" hidden="1" outlineLevel="1" x14ac:dyDescent="0.25">
      <c r="A63" s="44"/>
      <c r="B63" s="10" t="str">
        <f>CONCATENATE("          ", "4135", " - ", "NON-TAXABLE SALES")</f>
        <v xml:space="preserve">          4135 - NON-TAXABLE SALES</v>
      </c>
      <c r="C63" s="10"/>
      <c r="D63" s="2">
        <f t="shared" si="13"/>
        <v>0</v>
      </c>
      <c r="E63" s="2"/>
      <c r="F63" s="19"/>
      <c r="G63" s="2"/>
      <c r="H63" s="2">
        <f t="shared" si="14"/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0"/>
      <c r="P63" s="2">
        <f>0</f>
        <v>0</v>
      </c>
      <c r="Q63" s="2"/>
      <c r="R63" s="19"/>
      <c r="S63" s="2"/>
      <c r="T63" s="2">
        <f>--161.4</f>
        <v>161.4</v>
      </c>
      <c r="U63" s="2"/>
      <c r="V63" s="19"/>
      <c r="W63" s="2"/>
      <c r="X63" s="2">
        <f t="shared" si="2"/>
        <v>-161.4</v>
      </c>
      <c r="Y63" s="2"/>
      <c r="Z63" s="19">
        <f t="shared" si="3"/>
        <v>-1</v>
      </c>
    </row>
    <row r="64" spans="1:26" s="23" customFormat="1" hidden="1" outlineLevel="1" x14ac:dyDescent="0.25">
      <c r="A64" s="44"/>
      <c r="B64" s="10" t="str">
        <f>CONCATENATE("          ", "4137", " - ", "NON-TAXABLE SALES-WATER")</f>
        <v xml:space="preserve">          4137 - NON-TAXABLE SALES-WATER</v>
      </c>
      <c r="C64" s="10"/>
      <c r="D64" s="2">
        <f t="shared" si="13"/>
        <v>0</v>
      </c>
      <c r="E64" s="2"/>
      <c r="F64" s="19"/>
      <c r="G64" s="2"/>
      <c r="H64" s="2">
        <f>--630.5</f>
        <v>630.5</v>
      </c>
      <c r="I64" s="2"/>
      <c r="J64" s="19"/>
      <c r="K64" s="2"/>
      <c r="L64" s="2">
        <f t="shared" si="0"/>
        <v>-630.5</v>
      </c>
      <c r="M64" s="2"/>
      <c r="N64" s="19">
        <f t="shared" si="1"/>
        <v>-1</v>
      </c>
      <c r="O64" s="10"/>
      <c r="P64" s="2">
        <f>--68.25</f>
        <v>68.25</v>
      </c>
      <c r="Q64" s="2"/>
      <c r="R64" s="19"/>
      <c r="S64" s="2"/>
      <c r="T64" s="2">
        <f>--8519.06</f>
        <v>8519.06</v>
      </c>
      <c r="U64" s="2"/>
      <c r="V64" s="19"/>
      <c r="W64" s="2"/>
      <c r="X64" s="2">
        <f t="shared" si="2"/>
        <v>-8450.81</v>
      </c>
      <c r="Y64" s="2"/>
      <c r="Z64" s="19">
        <f t="shared" si="3"/>
        <v>-0.99198855272764841</v>
      </c>
    </row>
    <row r="65" spans="1:26" s="23" customFormat="1" hidden="1" outlineLevel="1" x14ac:dyDescent="0.25">
      <c r="A65" s="44"/>
      <c r="B65" s="10" t="str">
        <f>CONCATENATE("          ", "4140", " - ", "NON-TAXABLE SALES-LOGO CLOTHIN")</f>
        <v xml:space="preserve">          4140 - NON-TAXABLE SALES-LOGO CLOTHIN</v>
      </c>
      <c r="C65" s="10"/>
      <c r="D65" s="2">
        <f>--16626.41</f>
        <v>16626.41</v>
      </c>
      <c r="E65" s="2"/>
      <c r="F65" s="19"/>
      <c r="G65" s="2"/>
      <c r="H65" s="2">
        <f>--5466.31</f>
        <v>5466.31</v>
      </c>
      <c r="I65" s="2"/>
      <c r="J65" s="19"/>
      <c r="K65" s="2"/>
      <c r="L65" s="2">
        <f t="shared" si="0"/>
        <v>11160.099999999999</v>
      </c>
      <c r="M65" s="2"/>
      <c r="N65" s="19">
        <f t="shared" si="1"/>
        <v>2.0416149102410945</v>
      </c>
      <c r="O65" s="10"/>
      <c r="P65" s="2">
        <f>--131751.69</f>
        <v>131751.69</v>
      </c>
      <c r="Q65" s="2"/>
      <c r="R65" s="19"/>
      <c r="S65" s="2"/>
      <c r="T65" s="2">
        <f>--48048.98</f>
        <v>48048.98</v>
      </c>
      <c r="U65" s="2"/>
      <c r="V65" s="19"/>
      <c r="W65" s="2"/>
      <c r="X65" s="2">
        <f t="shared" si="2"/>
        <v>83702.709999999992</v>
      </c>
      <c r="Y65" s="2"/>
      <c r="Z65" s="19">
        <f t="shared" si="3"/>
        <v>1.7420288630476648</v>
      </c>
    </row>
    <row r="66" spans="1:26" s="23" customFormat="1" hidden="1" outlineLevel="1" x14ac:dyDescent="0.25">
      <c r="A66" s="44"/>
      <c r="B66" s="10" t="str">
        <f>CONCATENATE("          ", "4141", " - ", "NON-TAXABLE SALES-LOGO GIFTS")</f>
        <v xml:space="preserve">          4141 - NON-TAXABLE SALES-LOGO GIFTS</v>
      </c>
      <c r="C66" s="10"/>
      <c r="D66" s="2">
        <f>--1055.22</f>
        <v>1055.22</v>
      </c>
      <c r="E66" s="2"/>
      <c r="F66" s="19"/>
      <c r="G66" s="2"/>
      <c r="H66" s="2">
        <f>--242.39</f>
        <v>242.39</v>
      </c>
      <c r="I66" s="2"/>
      <c r="J66" s="19"/>
      <c r="K66" s="2"/>
      <c r="L66" s="2">
        <f t="shared" si="0"/>
        <v>812.83</v>
      </c>
      <c r="M66" s="2"/>
      <c r="N66" s="19">
        <f t="shared" si="1"/>
        <v>3.3533974173852061</v>
      </c>
      <c r="O66" s="10"/>
      <c r="P66" s="2">
        <f>--9568.24</f>
        <v>9568.24</v>
      </c>
      <c r="Q66" s="2"/>
      <c r="R66" s="19"/>
      <c r="S66" s="2"/>
      <c r="T66" s="2">
        <f>--10914.56</f>
        <v>10914.56</v>
      </c>
      <c r="U66" s="2"/>
      <c r="V66" s="19"/>
      <c r="W66" s="2"/>
      <c r="X66" s="2">
        <f t="shared" si="2"/>
        <v>-1346.3199999999997</v>
      </c>
      <c r="Y66" s="2"/>
      <c r="Z66" s="19">
        <f t="shared" si="3"/>
        <v>-0.12335082678550485</v>
      </c>
    </row>
    <row r="67" spans="1:26" s="23" customFormat="1" hidden="1" outlineLevel="1" x14ac:dyDescent="0.25">
      <c r="A67" s="44"/>
      <c r="B67" s="10" t="str">
        <f>CONCATENATE("          ", "4142", " - ", "NON-TAXABLE SALES-EVERYDAY GIF")</f>
        <v xml:space="preserve">          4142 - NON-TAXABLE SALES-EVERYDAY GIF</v>
      </c>
      <c r="C67" s="10"/>
      <c r="D67" s="2">
        <f>--16.9</f>
        <v>16.899999999999999</v>
      </c>
      <c r="E67" s="2"/>
      <c r="F67" s="19"/>
      <c r="G67" s="2"/>
      <c r="H67" s="2">
        <f>--48.58</f>
        <v>48.58</v>
      </c>
      <c r="I67" s="2"/>
      <c r="J67" s="19"/>
      <c r="K67" s="2"/>
      <c r="L67" s="2">
        <f t="shared" si="0"/>
        <v>-31.68</v>
      </c>
      <c r="M67" s="2"/>
      <c r="N67" s="19">
        <f t="shared" si="1"/>
        <v>-0.65212021407986831</v>
      </c>
      <c r="O67" s="10"/>
      <c r="P67" s="2">
        <f>--2281.37</f>
        <v>2281.37</v>
      </c>
      <c r="Q67" s="2"/>
      <c r="R67" s="19"/>
      <c r="S67" s="2"/>
      <c r="T67" s="2">
        <f>--13741.43</f>
        <v>13741.43</v>
      </c>
      <c r="U67" s="2"/>
      <c r="V67" s="19"/>
      <c r="W67" s="2"/>
      <c r="X67" s="2">
        <f t="shared" si="2"/>
        <v>-11460.060000000001</v>
      </c>
      <c r="Y67" s="2"/>
      <c r="Z67" s="19">
        <f t="shared" si="3"/>
        <v>-0.83397870527303208</v>
      </c>
    </row>
    <row r="68" spans="1:26" s="23" customFormat="1" hidden="1" outlineLevel="1" x14ac:dyDescent="0.25">
      <c r="A68" s="44"/>
      <c r="B68" s="10" t="str">
        <f>CONCATENATE("          ", "4143", " - ", "NON-TAXABLE SALES-CARDS")</f>
        <v xml:space="preserve">          4143 - NON-TAXABLE SALES-CARDS</v>
      </c>
      <c r="C68" s="10"/>
      <c r="D68" s="2">
        <f>--261.82</f>
        <v>261.82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261.82</v>
      </c>
      <c r="M68" s="2"/>
      <c r="N68" s="19">
        <f t="shared" si="1"/>
        <v>0</v>
      </c>
      <c r="O68" s="10"/>
      <c r="P68" s="2">
        <f>--2381.48</f>
        <v>2381.48</v>
      </c>
      <c r="Q68" s="2"/>
      <c r="R68" s="19"/>
      <c r="S68" s="2"/>
      <c r="T68" s="2">
        <f>--9.99</f>
        <v>9.99</v>
      </c>
      <c r="U68" s="2"/>
      <c r="V68" s="19"/>
      <c r="W68" s="2"/>
      <c r="X68" s="2">
        <f t="shared" si="2"/>
        <v>2371.4900000000002</v>
      </c>
      <c r="Y68" s="2"/>
      <c r="Z68" s="19">
        <f t="shared" si="3"/>
        <v>237.38638638638639</v>
      </c>
    </row>
    <row r="69" spans="1:26" s="23" customFormat="1" hidden="1" outlineLevel="1" x14ac:dyDescent="0.25">
      <c r="A69" s="44"/>
      <c r="B69" s="10" t="str">
        <f>CONCATENATE("          ", "4144", " - ", "NON-TAXABLE SALES-ACCESSORIES")</f>
        <v xml:space="preserve">          4144 - NON-TAXABLE SALES-ACCESSORIES</v>
      </c>
      <c r="C69" s="10"/>
      <c r="D69" s="2">
        <f>--29.9</f>
        <v>29.9</v>
      </c>
      <c r="E69" s="2"/>
      <c r="F69" s="19"/>
      <c r="G69" s="2"/>
      <c r="H69" s="2">
        <f>--150</f>
        <v>150</v>
      </c>
      <c r="I69" s="2"/>
      <c r="J69" s="19"/>
      <c r="K69" s="2"/>
      <c r="L69" s="2">
        <f t="shared" si="0"/>
        <v>-120.1</v>
      </c>
      <c r="M69" s="2"/>
      <c r="N69" s="19">
        <f t="shared" si="1"/>
        <v>-0.80066666666666664</v>
      </c>
      <c r="O69" s="10"/>
      <c r="P69" s="2">
        <f>--679.25</f>
        <v>679.25</v>
      </c>
      <c r="Q69" s="2"/>
      <c r="R69" s="19"/>
      <c r="S69" s="2"/>
      <c r="T69" s="2">
        <f>--2040.27</f>
        <v>2040.27</v>
      </c>
      <c r="U69" s="2"/>
      <c r="V69" s="19"/>
      <c r="W69" s="2"/>
      <c r="X69" s="2">
        <f t="shared" si="2"/>
        <v>-1361.02</v>
      </c>
      <c r="Y69" s="2"/>
      <c r="Z69" s="19">
        <f t="shared" si="3"/>
        <v>-0.66707837688149119</v>
      </c>
    </row>
    <row r="70" spans="1:26" s="23" customFormat="1" hidden="1" outlineLevel="1" x14ac:dyDescent="0.25">
      <c r="A70" s="44"/>
      <c r="B70" s="10" t="str">
        <f>CONCATENATE("          ", "4145", " - ", "NON-TAXABLE SALES-SPECIAL ORDE")</f>
        <v xml:space="preserve">          4145 - NON-TAXABLE SALES-SPECIAL ORDE</v>
      </c>
      <c r="C70" s="10"/>
      <c r="D70" s="2">
        <f>0</f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0"/>
      <c r="P70" s="2">
        <f>--53716.09</f>
        <v>53716.09</v>
      </c>
      <c r="Q70" s="2"/>
      <c r="R70" s="19"/>
      <c r="S70" s="2"/>
      <c r="T70" s="2">
        <f>--140</f>
        <v>140</v>
      </c>
      <c r="U70" s="2"/>
      <c r="V70" s="19"/>
      <c r="W70" s="2"/>
      <c r="X70" s="2">
        <f t="shared" si="2"/>
        <v>53576.09</v>
      </c>
      <c r="Y70" s="2"/>
      <c r="Z70" s="19">
        <f t="shared" si="3"/>
        <v>382.6863571428571</v>
      </c>
    </row>
    <row r="71" spans="1:26" s="23" customFormat="1" hidden="1" outlineLevel="1" x14ac:dyDescent="0.25">
      <c r="A71" s="44"/>
      <c r="B71" s="10" t="str">
        <f>CONCATENATE("          ", "4146", " - ", "NON-TAXABLE SALES-COIN OP MACH")</f>
        <v xml:space="preserve">          4146 - NON-TAXABLE SALES-COIN OP MACH</v>
      </c>
      <c r="C71" s="10"/>
      <c r="D71" s="2">
        <f>--90.7</f>
        <v>90.7</v>
      </c>
      <c r="E71" s="2"/>
      <c r="F71" s="19"/>
      <c r="G71" s="2"/>
      <c r="H71" s="2">
        <f>--13383.2</f>
        <v>13383.2</v>
      </c>
      <c r="I71" s="2"/>
      <c r="J71" s="19"/>
      <c r="K71" s="2"/>
      <c r="L71" s="2">
        <f t="shared" si="0"/>
        <v>-13292.5</v>
      </c>
      <c r="M71" s="2"/>
      <c r="N71" s="19">
        <f t="shared" si="1"/>
        <v>-0.99322284655388837</v>
      </c>
      <c r="O71" s="10"/>
      <c r="P71" s="2">
        <f>--299.1</f>
        <v>299.10000000000002</v>
      </c>
      <c r="Q71" s="2"/>
      <c r="R71" s="19"/>
      <c r="S71" s="2"/>
      <c r="T71" s="2">
        <f>--205786.95</f>
        <v>205786.95</v>
      </c>
      <c r="U71" s="2"/>
      <c r="V71" s="19"/>
      <c r="W71" s="2"/>
      <c r="X71" s="2">
        <f t="shared" si="2"/>
        <v>-205487.85</v>
      </c>
      <c r="Y71" s="2"/>
      <c r="Z71" s="19">
        <f t="shared" si="3"/>
        <v>-0.99854655506580958</v>
      </c>
    </row>
    <row r="72" spans="1:26" s="23" customFormat="1" hidden="1" outlineLevel="1" x14ac:dyDescent="0.25">
      <c r="A72" s="44"/>
      <c r="B72" s="10" t="str">
        <f>CONCATENATE("          ", "4147", " - ", "NON-TAXABLE SALES-MISC")</f>
        <v xml:space="preserve">          4147 - NON-TAXABLE SALES-MISC</v>
      </c>
      <c r="C72" s="10"/>
      <c r="D72" s="2">
        <f>--11</f>
        <v>11</v>
      </c>
      <c r="E72" s="2"/>
      <c r="F72" s="19"/>
      <c r="G72" s="2"/>
      <c r="H72" s="2">
        <f>--933.53</f>
        <v>933.53</v>
      </c>
      <c r="I72" s="2"/>
      <c r="J72" s="19"/>
      <c r="K72" s="2"/>
      <c r="L72" s="2">
        <f t="shared" si="0"/>
        <v>-922.53</v>
      </c>
      <c r="M72" s="2"/>
      <c r="N72" s="19">
        <f t="shared" si="1"/>
        <v>-0.98821676860947161</v>
      </c>
      <c r="O72" s="10"/>
      <c r="P72" s="2">
        <f>--143.5</f>
        <v>143.5</v>
      </c>
      <c r="Q72" s="2"/>
      <c r="R72" s="19"/>
      <c r="S72" s="2"/>
      <c r="T72" s="2">
        <f>--3436.37</f>
        <v>3436.37</v>
      </c>
      <c r="U72" s="2"/>
      <c r="V72" s="19"/>
      <c r="W72" s="2"/>
      <c r="X72" s="2">
        <f t="shared" si="2"/>
        <v>-3292.87</v>
      </c>
      <c r="Y72" s="2"/>
      <c r="Z72" s="19">
        <f t="shared" si="3"/>
        <v>-0.95824081807255912</v>
      </c>
    </row>
    <row r="73" spans="1:26" s="23" customFormat="1" hidden="1" outlineLevel="1" x14ac:dyDescent="0.25">
      <c r="A73" s="44"/>
      <c r="B73" s="10" t="str">
        <f>CONCATENATE("          ", "4186", " - ", "NON-TAXABLE SALES-COMPUTER SUP")</f>
        <v xml:space="preserve">          4186 - NON-TAXABLE SALES-COMPUTER SUP</v>
      </c>
      <c r="C73" s="10"/>
      <c r="D73" s="2">
        <f>0</f>
        <v>0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0"/>
      <c r="P73" s="2">
        <f>0</f>
        <v>0</v>
      </c>
      <c r="Q73" s="2"/>
      <c r="R73" s="19"/>
      <c r="S73" s="2"/>
      <c r="T73" s="2">
        <f>-30.97</f>
        <v>-30.97</v>
      </c>
      <c r="U73" s="2"/>
      <c r="V73" s="19"/>
      <c r="W73" s="2"/>
      <c r="X73" s="2">
        <f t="shared" si="2"/>
        <v>30.97</v>
      </c>
      <c r="Y73" s="2"/>
      <c r="Z73" s="19">
        <f t="shared" si="3"/>
        <v>-1</v>
      </c>
    </row>
    <row r="74" spans="1:26" s="23" customFormat="1" hidden="1" outlineLevel="1" x14ac:dyDescent="0.25">
      <c r="A74" s="44"/>
      <c r="B74" s="10" t="str">
        <f>CONCATENATE("          ", "4201", " - ", "SALES RETURN TAXABLE-NEW TEXT")</f>
        <v xml:space="preserve">          4201 - SALES RETURN TAXABLE-NEW TEXT</v>
      </c>
      <c r="C74" s="10"/>
      <c r="D74" s="2">
        <f>-596.94</f>
        <v>-596.94000000000005</v>
      </c>
      <c r="E74" s="2"/>
      <c r="F74" s="19"/>
      <c r="G74" s="2"/>
      <c r="H74" s="2">
        <f>-420.3</f>
        <v>-420.3</v>
      </c>
      <c r="I74" s="2"/>
      <c r="J74" s="19"/>
      <c r="K74" s="2"/>
      <c r="L74" s="2">
        <f t="shared" si="0"/>
        <v>-176.64000000000004</v>
      </c>
      <c r="M74" s="2"/>
      <c r="N74" s="19">
        <f t="shared" si="1"/>
        <v>0.42027123483226275</v>
      </c>
      <c r="O74" s="10"/>
      <c r="P74" s="2">
        <f>-51261.17</f>
        <v>-51261.17</v>
      </c>
      <c r="Q74" s="2"/>
      <c r="R74" s="19"/>
      <c r="S74" s="2"/>
      <c r="T74" s="2">
        <f>-121160.71</f>
        <v>-121160.71</v>
      </c>
      <c r="U74" s="2"/>
      <c r="V74" s="19"/>
      <c r="W74" s="2"/>
      <c r="X74" s="2">
        <f t="shared" si="2"/>
        <v>69899.540000000008</v>
      </c>
      <c r="Y74" s="2"/>
      <c r="Z74" s="19">
        <f t="shared" si="3"/>
        <v>-0.57691589955192579</v>
      </c>
    </row>
    <row r="75" spans="1:26" s="23" customFormat="1" hidden="1" outlineLevel="1" x14ac:dyDescent="0.25">
      <c r="A75" s="44"/>
      <c r="B75" s="10" t="str">
        <f>CONCATENATE("          ", "4202", " - ", "SALES RETURN TAXABLE-USED TEXT")</f>
        <v xml:space="preserve">          4202 - SALES RETURN TAXABLE-USED TEXT</v>
      </c>
      <c r="C75" s="10"/>
      <c r="D75" s="2">
        <f>-153.8</f>
        <v>-153.80000000000001</v>
      </c>
      <c r="E75" s="2"/>
      <c r="F75" s="19"/>
      <c r="G75" s="2"/>
      <c r="H75" s="2">
        <f>-133.45</f>
        <v>-133.44999999999999</v>
      </c>
      <c r="I75" s="2"/>
      <c r="J75" s="19"/>
      <c r="K75" s="2"/>
      <c r="L75" s="2">
        <f t="shared" si="0"/>
        <v>-20.350000000000023</v>
      </c>
      <c r="M75" s="2"/>
      <c r="N75" s="19">
        <f t="shared" si="1"/>
        <v>0.15249156987635837</v>
      </c>
      <c r="O75" s="10"/>
      <c r="P75" s="2">
        <f>-19889.31</f>
        <v>-19889.310000000001</v>
      </c>
      <c r="Q75" s="2"/>
      <c r="R75" s="19"/>
      <c r="S75" s="2"/>
      <c r="T75" s="2">
        <f>-45520.76</f>
        <v>-45520.76</v>
      </c>
      <c r="U75" s="2"/>
      <c r="V75" s="19"/>
      <c r="W75" s="2"/>
      <c r="X75" s="2">
        <f t="shared" si="2"/>
        <v>25631.45</v>
      </c>
      <c r="Y75" s="2"/>
      <c r="Z75" s="19">
        <f t="shared" si="3"/>
        <v>-0.56307166224816985</v>
      </c>
    </row>
    <row r="76" spans="1:26" s="23" customFormat="1" hidden="1" outlineLevel="1" x14ac:dyDescent="0.25">
      <c r="A76" s="44"/>
      <c r="B76" s="10" t="str">
        <f>CONCATENATE("          ", "4203", " - ", "SALES RETURN TAXABLE-RENTAL TE")</f>
        <v xml:space="preserve">          4203 - SALES RETURN TAXABLE-RENTAL TE</v>
      </c>
      <c r="C76" s="10"/>
      <c r="D76" s="2">
        <f t="shared" ref="D76:D80" si="15">0</f>
        <v>0</v>
      </c>
      <c r="E76" s="2"/>
      <c r="F76" s="19"/>
      <c r="G76" s="2"/>
      <c r="H76" s="2">
        <f t="shared" ref="H76:H77" si="16"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0"/>
      <c r="P76" s="2">
        <f>0</f>
        <v>0</v>
      </c>
      <c r="Q76" s="2"/>
      <c r="R76" s="19"/>
      <c r="S76" s="2"/>
      <c r="T76" s="2">
        <f>-144.99</f>
        <v>-144.99</v>
      </c>
      <c r="U76" s="2"/>
      <c r="V76" s="19"/>
      <c r="W76" s="2"/>
      <c r="X76" s="2">
        <f t="shared" si="2"/>
        <v>144.99</v>
      </c>
      <c r="Y76" s="2"/>
      <c r="Z76" s="19">
        <f t="shared" si="3"/>
        <v>-1</v>
      </c>
    </row>
    <row r="77" spans="1:26" s="23" customFormat="1" hidden="1" outlineLevel="1" x14ac:dyDescent="0.25">
      <c r="A77" s="44"/>
      <c r="B77" s="10" t="str">
        <f>CONCATENATE("          ", "4204", " - ", "SALES RETURN TAXABLE-DIGITAL T")</f>
        <v xml:space="preserve">          4204 - SALES RETURN TAXABLE-DIGITAL T</v>
      </c>
      <c r="C77" s="10"/>
      <c r="D77" s="2">
        <f t="shared" si="15"/>
        <v>0</v>
      </c>
      <c r="E77" s="2"/>
      <c r="F77" s="19"/>
      <c r="G77" s="2"/>
      <c r="H77" s="2">
        <f t="shared" si="16"/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0"/>
      <c r="P77" s="2">
        <f>-1763.1</f>
        <v>-1763.1</v>
      </c>
      <c r="Q77" s="2"/>
      <c r="R77" s="19"/>
      <c r="S77" s="2"/>
      <c r="T77" s="2">
        <f>-17255.33</f>
        <v>-17255.330000000002</v>
      </c>
      <c r="U77" s="2"/>
      <c r="V77" s="19"/>
      <c r="W77" s="2"/>
      <c r="X77" s="2">
        <f t="shared" si="2"/>
        <v>15492.230000000001</v>
      </c>
      <c r="Y77" s="2"/>
      <c r="Z77" s="19">
        <f t="shared" si="3"/>
        <v>-0.89782287559843832</v>
      </c>
    </row>
    <row r="78" spans="1:26" s="23" customFormat="1" hidden="1" outlineLevel="1" x14ac:dyDescent="0.25">
      <c r="A78" s="44"/>
      <c r="B78" s="10" t="str">
        <f>CONCATENATE("          ", "4213", " - ", "NON-TAXABLE SALES-TRADE BOOKS")</f>
        <v xml:space="preserve">          4213 - NON-TAXABLE SALES-TRADE BOOKS</v>
      </c>
      <c r="C78" s="10"/>
      <c r="D78" s="2">
        <f t="shared" si="15"/>
        <v>0</v>
      </c>
      <c r="E78" s="2"/>
      <c r="F78" s="19"/>
      <c r="G78" s="2"/>
      <c r="H78" s="2">
        <f>-374.85</f>
        <v>-374.85</v>
      </c>
      <c r="I78" s="2"/>
      <c r="J78" s="19"/>
      <c r="K78" s="2"/>
      <c r="L78" s="2">
        <f t="shared" si="0"/>
        <v>374.85</v>
      </c>
      <c r="M78" s="2"/>
      <c r="N78" s="19">
        <f t="shared" si="1"/>
        <v>-1</v>
      </c>
      <c r="O78" s="10"/>
      <c r="P78" s="2">
        <f>-69.93</f>
        <v>-69.930000000000007</v>
      </c>
      <c r="Q78" s="2"/>
      <c r="R78" s="19"/>
      <c r="S78" s="2"/>
      <c r="T78" s="2">
        <f>-594.91</f>
        <v>-594.91</v>
      </c>
      <c r="U78" s="2"/>
      <c r="V78" s="19"/>
      <c r="W78" s="2"/>
      <c r="X78" s="2">
        <f t="shared" si="2"/>
        <v>524.98</v>
      </c>
      <c r="Y78" s="2"/>
      <c r="Z78" s="19">
        <f t="shared" si="3"/>
        <v>-0.88245280798776293</v>
      </c>
    </row>
    <row r="79" spans="1:26" s="23" customFormat="1" hidden="1" outlineLevel="1" x14ac:dyDescent="0.25">
      <c r="A79" s="44"/>
      <c r="B79" s="10" t="str">
        <f>CONCATENATE("          ", "4214", " - ", "SALES RETURN TAXABLE-REMAINDER")</f>
        <v xml:space="preserve">          4214 - SALES RETURN TAXABLE-REMAINDER</v>
      </c>
      <c r="C79" s="10"/>
      <c r="D79" s="2">
        <f t="shared" si="15"/>
        <v>0</v>
      </c>
      <c r="E79" s="2"/>
      <c r="F79" s="19"/>
      <c r="G79" s="2"/>
      <c r="H79" s="2">
        <f t="shared" ref="H79:H81" si="17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0"/>
      <c r="P79" s="2">
        <f t="shared" ref="P79:P80" si="18">0</f>
        <v>0</v>
      </c>
      <c r="Q79" s="2"/>
      <c r="R79" s="19"/>
      <c r="S79" s="2"/>
      <c r="T79" s="2">
        <f>-11.94</f>
        <v>-11.94</v>
      </c>
      <c r="U79" s="2"/>
      <c r="V79" s="19"/>
      <c r="W79" s="2"/>
      <c r="X79" s="2">
        <f t="shared" si="2"/>
        <v>11.94</v>
      </c>
      <c r="Y79" s="2"/>
      <c r="Z79" s="19">
        <f t="shared" si="3"/>
        <v>-1</v>
      </c>
    </row>
    <row r="80" spans="1:26" s="23" customFormat="1" hidden="1" outlineLevel="1" x14ac:dyDescent="0.25">
      <c r="A80" s="44"/>
      <c r="B80" s="10" t="str">
        <f>CONCATENATE("          ", "4217", " - ", "NON-TAXABLE SALES-DORM/HOUSEWA")</f>
        <v xml:space="preserve">          4217 - NON-TAXABLE SALES-DORM/HOUSEWA</v>
      </c>
      <c r="C80" s="10"/>
      <c r="D80" s="2">
        <f t="shared" si="15"/>
        <v>0</v>
      </c>
      <c r="E80" s="2"/>
      <c r="F80" s="19"/>
      <c r="G80" s="2"/>
      <c r="H80" s="2">
        <f t="shared" si="17"/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0"/>
      <c r="P80" s="2">
        <f t="shared" si="18"/>
        <v>0</v>
      </c>
      <c r="Q80" s="2"/>
      <c r="R80" s="19"/>
      <c r="S80" s="2"/>
      <c r="T80" s="2">
        <f>-2.98</f>
        <v>-2.98</v>
      </c>
      <c r="U80" s="2"/>
      <c r="V80" s="19"/>
      <c r="W80" s="2"/>
      <c r="X80" s="2">
        <f t="shared" si="2"/>
        <v>2.98</v>
      </c>
      <c r="Y80" s="2"/>
      <c r="Z80" s="19">
        <f t="shared" si="3"/>
        <v>-1</v>
      </c>
    </row>
    <row r="81" spans="1:26" s="23" customFormat="1" hidden="1" outlineLevel="1" x14ac:dyDescent="0.25">
      <c r="A81" s="44"/>
      <c r="B81" s="10" t="str">
        <f>CONCATENATE("          ", "4218", " - ", "SALES RETURN TAXABLE-STUDY GUI")</f>
        <v xml:space="preserve">          4218 - SALES RETURN TAXABLE-STUDY GUI</v>
      </c>
      <c r="C81" s="10"/>
      <c r="D81" s="2">
        <f>-5.21</f>
        <v>-5.21</v>
      </c>
      <c r="E81" s="2"/>
      <c r="F81" s="19"/>
      <c r="G81" s="2"/>
      <c r="H81" s="2">
        <f t="shared" si="17"/>
        <v>0</v>
      </c>
      <c r="I81" s="2"/>
      <c r="J81" s="19"/>
      <c r="K81" s="2"/>
      <c r="L81" s="2">
        <f t="shared" si="0"/>
        <v>-5.21</v>
      </c>
      <c r="M81" s="2"/>
      <c r="N81" s="19">
        <f t="shared" si="1"/>
        <v>0</v>
      </c>
      <c r="O81" s="10"/>
      <c r="P81" s="2">
        <f>-5.21</f>
        <v>-5.21</v>
      </c>
      <c r="Q81" s="2"/>
      <c r="R81" s="19"/>
      <c r="S81" s="2"/>
      <c r="T81" s="2">
        <f>-39.25</f>
        <v>-39.25</v>
      </c>
      <c r="U81" s="2"/>
      <c r="V81" s="19"/>
      <c r="W81" s="2"/>
      <c r="X81" s="2">
        <f t="shared" si="2"/>
        <v>34.04</v>
      </c>
      <c r="Y81" s="2"/>
      <c r="Z81" s="19">
        <f t="shared" si="3"/>
        <v>-0.86726114649681529</v>
      </c>
    </row>
    <row r="82" spans="1:26" s="23" customFormat="1" hidden="1" outlineLevel="1" x14ac:dyDescent="0.25">
      <c r="A82" s="44"/>
      <c r="B82" s="10" t="str">
        <f>CONCATENATE("          ", "4225", " - ", "SALES RETURN TAXABLE-TEST FORM")</f>
        <v xml:space="preserve">          4225 - SALES RETURN TAXABLE-TEST FORM</v>
      </c>
      <c r="C82" s="10"/>
      <c r="D82" s="2">
        <f t="shared" ref="D82:D83" si="19">0</f>
        <v>0</v>
      </c>
      <c r="E82" s="2"/>
      <c r="F82" s="19"/>
      <c r="G82" s="2"/>
      <c r="H82" s="2">
        <f>-8.16</f>
        <v>-8.16</v>
      </c>
      <c r="I82" s="2"/>
      <c r="J82" s="19"/>
      <c r="K82" s="2"/>
      <c r="L82" s="2">
        <f t="shared" si="0"/>
        <v>8.16</v>
      </c>
      <c r="M82" s="2"/>
      <c r="N82" s="19">
        <f t="shared" si="1"/>
        <v>-1</v>
      </c>
      <c r="O82" s="10"/>
      <c r="P82" s="2">
        <f>0</f>
        <v>0</v>
      </c>
      <c r="Q82" s="2"/>
      <c r="R82" s="19"/>
      <c r="S82" s="2"/>
      <c r="T82" s="2">
        <f>-176.41</f>
        <v>-176.41</v>
      </c>
      <c r="U82" s="2"/>
      <c r="V82" s="19"/>
      <c r="W82" s="2"/>
      <c r="X82" s="2">
        <f t="shared" si="2"/>
        <v>176.41</v>
      </c>
      <c r="Y82" s="2"/>
      <c r="Z82" s="19">
        <f t="shared" si="3"/>
        <v>-1</v>
      </c>
    </row>
    <row r="83" spans="1:26" s="23" customFormat="1" hidden="1" outlineLevel="1" x14ac:dyDescent="0.25">
      <c r="A83" s="44"/>
      <c r="B83" s="10" t="str">
        <f>CONCATENATE("          ", "4226", " - ", "SALES RETURN TAXABLE-WRITING I")</f>
        <v xml:space="preserve">          4226 - SALES RETURN TAXABLE-WRITING I</v>
      </c>
      <c r="C83" s="10"/>
      <c r="D83" s="2">
        <f t="shared" si="19"/>
        <v>0</v>
      </c>
      <c r="E83" s="2"/>
      <c r="F83" s="19"/>
      <c r="G83" s="2"/>
      <c r="H83" s="2">
        <f>-11.25</f>
        <v>-11.25</v>
      </c>
      <c r="I83" s="2"/>
      <c r="J83" s="19"/>
      <c r="K83" s="2"/>
      <c r="L83" s="2">
        <f t="shared" si="0"/>
        <v>11.25</v>
      </c>
      <c r="M83" s="2"/>
      <c r="N83" s="19">
        <f t="shared" si="1"/>
        <v>-1</v>
      </c>
      <c r="O83" s="10"/>
      <c r="P83" s="2">
        <f>-34.23</f>
        <v>-34.229999999999997</v>
      </c>
      <c r="Q83" s="2"/>
      <c r="R83" s="19"/>
      <c r="S83" s="2"/>
      <c r="T83" s="2">
        <f>-765.04</f>
        <v>-765.04</v>
      </c>
      <c r="U83" s="2"/>
      <c r="V83" s="19"/>
      <c r="W83" s="2"/>
      <c r="X83" s="2">
        <f t="shared" si="2"/>
        <v>730.81</v>
      </c>
      <c r="Y83" s="2"/>
      <c r="Z83" s="19">
        <f t="shared" si="3"/>
        <v>-0.95525724145142732</v>
      </c>
    </row>
    <row r="84" spans="1:26" s="23" customFormat="1" hidden="1" outlineLevel="1" x14ac:dyDescent="0.25">
      <c r="A84" s="44"/>
      <c r="B84" s="10" t="str">
        <f>CONCATENATE("          ", "4227", " - ", "SALES RETURN TAXABLE-SCHOOL SU")</f>
        <v xml:space="preserve">          4227 - SALES RETURN TAXABLE-SCHOOL SU</v>
      </c>
      <c r="C84" s="10"/>
      <c r="D84" s="2">
        <f>-64.39</f>
        <v>-64.39</v>
      </c>
      <c r="E84" s="2"/>
      <c r="F84" s="19"/>
      <c r="G84" s="2"/>
      <c r="H84" s="2">
        <f>-979.19</f>
        <v>-979.19</v>
      </c>
      <c r="I84" s="2"/>
      <c r="J84" s="19"/>
      <c r="K84" s="2"/>
      <c r="L84" s="2">
        <f t="shared" si="0"/>
        <v>914.80000000000007</v>
      </c>
      <c r="M84" s="2"/>
      <c r="N84" s="19">
        <f t="shared" si="1"/>
        <v>-0.93424156700946703</v>
      </c>
      <c r="O84" s="10"/>
      <c r="P84" s="2">
        <f>-846.12</f>
        <v>-846.12</v>
      </c>
      <c r="Q84" s="2"/>
      <c r="R84" s="19"/>
      <c r="S84" s="2"/>
      <c r="T84" s="2">
        <f>-8593.61</f>
        <v>-8593.61</v>
      </c>
      <c r="U84" s="2"/>
      <c r="V84" s="19"/>
      <c r="W84" s="2"/>
      <c r="X84" s="2">
        <f t="shared" si="2"/>
        <v>7747.4900000000007</v>
      </c>
      <c r="Y84" s="2"/>
      <c r="Z84" s="19">
        <f t="shared" si="3"/>
        <v>-0.90154079601005865</v>
      </c>
    </row>
    <row r="85" spans="1:26" s="23" customFormat="1" hidden="1" outlineLevel="1" x14ac:dyDescent="0.25">
      <c r="A85" s="44"/>
      <c r="B85" s="10" t="str">
        <f>CONCATENATE("          ", "4228", " - ", "SALES RETURN TAXABLE-ART/TECH")</f>
        <v xml:space="preserve">          4228 - SALES RETURN TAXABLE-ART/TECH</v>
      </c>
      <c r="C85" s="10"/>
      <c r="D85" s="2">
        <f>-98.38</f>
        <v>-98.38</v>
      </c>
      <c r="E85" s="2"/>
      <c r="F85" s="19"/>
      <c r="G85" s="2"/>
      <c r="H85" s="2">
        <f>-139.18</f>
        <v>-139.18</v>
      </c>
      <c r="I85" s="2"/>
      <c r="J85" s="19"/>
      <c r="K85" s="2"/>
      <c r="L85" s="2">
        <f t="shared" si="0"/>
        <v>40.800000000000011</v>
      </c>
      <c r="M85" s="2"/>
      <c r="N85" s="19">
        <f t="shared" si="1"/>
        <v>-0.29314556689179488</v>
      </c>
      <c r="O85" s="10"/>
      <c r="P85" s="2">
        <f>-12837.62</f>
        <v>-12837.62</v>
      </c>
      <c r="Q85" s="2"/>
      <c r="R85" s="19"/>
      <c r="S85" s="2"/>
      <c r="T85" s="2">
        <f>-4739.1</f>
        <v>-4739.1000000000004</v>
      </c>
      <c r="U85" s="2"/>
      <c r="V85" s="19"/>
      <c r="W85" s="2"/>
      <c r="X85" s="2">
        <f t="shared" si="2"/>
        <v>-8098.52</v>
      </c>
      <c r="Y85" s="2"/>
      <c r="Z85" s="19">
        <f t="shared" si="3"/>
        <v>1.7088729927623387</v>
      </c>
    </row>
    <row r="86" spans="1:26" s="23" customFormat="1" hidden="1" outlineLevel="1" x14ac:dyDescent="0.25">
      <c r="A86" s="44"/>
      <c r="B86" s="10" t="str">
        <f>CONCATENATE("          ", "4233", " - ", "SALES RETURN TAXABLE-CANDY")</f>
        <v xml:space="preserve">          4233 - SALES RETURN TAXABLE-CANDY</v>
      </c>
      <c r="C86" s="10"/>
      <c r="D86" s="2">
        <f>0</f>
        <v>0</v>
      </c>
      <c r="E86" s="2"/>
      <c r="F86" s="19"/>
      <c r="G86" s="2"/>
      <c r="H86" s="2">
        <f>-6.96</f>
        <v>-6.96</v>
      </c>
      <c r="I86" s="2"/>
      <c r="J86" s="19"/>
      <c r="K86" s="2"/>
      <c r="L86" s="2">
        <f t="shared" si="0"/>
        <v>6.96</v>
      </c>
      <c r="M86" s="2"/>
      <c r="N86" s="19">
        <f t="shared" si="1"/>
        <v>-1</v>
      </c>
      <c r="O86" s="10"/>
      <c r="P86" s="2">
        <f>0</f>
        <v>0</v>
      </c>
      <c r="Q86" s="2"/>
      <c r="R86" s="19"/>
      <c r="S86" s="2"/>
      <c r="T86" s="2">
        <f>-8.25</f>
        <v>-8.25</v>
      </c>
      <c r="U86" s="2"/>
      <c r="V86" s="19"/>
      <c r="W86" s="2"/>
      <c r="X86" s="2">
        <f t="shared" si="2"/>
        <v>8.25</v>
      </c>
      <c r="Y86" s="2"/>
      <c r="Z86" s="19">
        <f t="shared" si="3"/>
        <v>-1</v>
      </c>
    </row>
    <row r="87" spans="1:26" s="23" customFormat="1" hidden="1" outlineLevel="1" x14ac:dyDescent="0.25">
      <c r="A87" s="44"/>
      <c r="B87" s="10" t="str">
        <f>CONCATENATE("          ", "4240", " - ", "SALES RETURN TAXABLE-LOGO CLOT")</f>
        <v xml:space="preserve">          4240 - SALES RETURN TAXABLE-LOGO CLOT</v>
      </c>
      <c r="C87" s="10"/>
      <c r="D87" s="2">
        <f>-3924.84</f>
        <v>-3924.84</v>
      </c>
      <c r="E87" s="2"/>
      <c r="F87" s="19"/>
      <c r="G87" s="2"/>
      <c r="H87" s="2">
        <f>-3000.56</f>
        <v>-3000.56</v>
      </c>
      <c r="I87" s="2"/>
      <c r="J87" s="19"/>
      <c r="K87" s="2"/>
      <c r="L87" s="2">
        <f t="shared" si="0"/>
        <v>-924.2800000000002</v>
      </c>
      <c r="M87" s="2"/>
      <c r="N87" s="19">
        <f t="shared" si="1"/>
        <v>0.30803583331111534</v>
      </c>
      <c r="O87" s="10"/>
      <c r="P87" s="2">
        <f>-35054.35</f>
        <v>-35054.35</v>
      </c>
      <c r="Q87" s="2"/>
      <c r="R87" s="19"/>
      <c r="S87" s="2"/>
      <c r="T87" s="2">
        <f>-72812.23</f>
        <v>-72812.23</v>
      </c>
      <c r="U87" s="2"/>
      <c r="V87" s="19"/>
      <c r="W87" s="2"/>
      <c r="X87" s="2">
        <f t="shared" si="2"/>
        <v>37757.879999999997</v>
      </c>
      <c r="Y87" s="2"/>
      <c r="Z87" s="19">
        <f t="shared" si="3"/>
        <v>-0.51856508171772786</v>
      </c>
    </row>
    <row r="88" spans="1:26" s="23" customFormat="1" hidden="1" outlineLevel="1" x14ac:dyDescent="0.25">
      <c r="A88" s="44"/>
      <c r="B88" s="10" t="str">
        <f>CONCATENATE("          ", "4241", " - ", "SALES RETURN TAXABLE-LOGO GIFT")</f>
        <v xml:space="preserve">          4241 - SALES RETURN TAXABLE-LOGO GIFT</v>
      </c>
      <c r="C88" s="10"/>
      <c r="D88" s="2">
        <f>-1222.82</f>
        <v>-1222.82</v>
      </c>
      <c r="E88" s="2"/>
      <c r="F88" s="19"/>
      <c r="G88" s="2"/>
      <c r="H88" s="2">
        <f>-214.4</f>
        <v>-214.4</v>
      </c>
      <c r="I88" s="2"/>
      <c r="J88" s="19"/>
      <c r="K88" s="2"/>
      <c r="L88" s="2">
        <f t="shared" si="0"/>
        <v>-1008.42</v>
      </c>
      <c r="M88" s="2"/>
      <c r="N88" s="19">
        <f t="shared" si="1"/>
        <v>4.7034514925373134</v>
      </c>
      <c r="O88" s="10"/>
      <c r="P88" s="2">
        <f>-6518.34</f>
        <v>-6518.34</v>
      </c>
      <c r="Q88" s="2"/>
      <c r="R88" s="19"/>
      <c r="S88" s="2"/>
      <c r="T88" s="2">
        <f>-6141.38</f>
        <v>-6141.38</v>
      </c>
      <c r="U88" s="2"/>
      <c r="V88" s="19"/>
      <c r="W88" s="2"/>
      <c r="X88" s="2">
        <f t="shared" si="2"/>
        <v>-376.96000000000004</v>
      </c>
      <c r="Y88" s="2"/>
      <c r="Z88" s="19">
        <f t="shared" si="3"/>
        <v>6.138034122623906E-2</v>
      </c>
    </row>
    <row r="89" spans="1:26" s="23" customFormat="1" hidden="1" outlineLevel="1" x14ac:dyDescent="0.25">
      <c r="A89" s="44"/>
      <c r="B89" s="10" t="str">
        <f>CONCATENATE("          ", "4242", " - ", "SALES RETURN TAXABLE-EVERYDAY")</f>
        <v xml:space="preserve">          4242 - SALES RETURN TAXABLE-EVERYDAY</v>
      </c>
      <c r="C89" s="10"/>
      <c r="D89" s="2">
        <f>-565.08</f>
        <v>-565.08000000000004</v>
      </c>
      <c r="E89" s="2"/>
      <c r="F89" s="19"/>
      <c r="G89" s="2"/>
      <c r="H89" s="2">
        <f>-284.33</f>
        <v>-284.33</v>
      </c>
      <c r="I89" s="2"/>
      <c r="J89" s="19"/>
      <c r="K89" s="2"/>
      <c r="L89" s="2">
        <f t="shared" si="0"/>
        <v>-280.75000000000006</v>
      </c>
      <c r="M89" s="2"/>
      <c r="N89" s="19">
        <f t="shared" si="1"/>
        <v>0.98740899658847137</v>
      </c>
      <c r="O89" s="10"/>
      <c r="P89" s="2">
        <f>-2303.82</f>
        <v>-2303.8200000000002</v>
      </c>
      <c r="Q89" s="2"/>
      <c r="R89" s="19"/>
      <c r="S89" s="2"/>
      <c r="T89" s="2">
        <f>-4178.41</f>
        <v>-4178.41</v>
      </c>
      <c r="U89" s="2"/>
      <c r="V89" s="19"/>
      <c r="W89" s="2"/>
      <c r="X89" s="2">
        <f t="shared" si="2"/>
        <v>1874.5899999999997</v>
      </c>
      <c r="Y89" s="2"/>
      <c r="Z89" s="19">
        <f t="shared" si="3"/>
        <v>-0.44863716102536605</v>
      </c>
    </row>
    <row r="90" spans="1:26" s="23" customFormat="1" hidden="1" outlineLevel="1" x14ac:dyDescent="0.25">
      <c r="A90" s="44"/>
      <c r="B90" s="10" t="str">
        <f>CONCATENATE("          ", "4243", " - ", "SALES RETURN TAXABLE-CARDS")</f>
        <v xml:space="preserve">          4243 - SALES RETURN TAXABLE-CARDS</v>
      </c>
      <c r="C90" s="10"/>
      <c r="D90" s="2">
        <f>-572.63</f>
        <v>-572.63</v>
      </c>
      <c r="E90" s="2"/>
      <c r="F90" s="19"/>
      <c r="G90" s="2"/>
      <c r="H90" s="2">
        <f>-159.92</f>
        <v>-159.91999999999999</v>
      </c>
      <c r="I90" s="2"/>
      <c r="J90" s="19"/>
      <c r="K90" s="2"/>
      <c r="L90" s="2">
        <f t="shared" si="0"/>
        <v>-412.71000000000004</v>
      </c>
      <c r="M90" s="2"/>
      <c r="N90" s="19">
        <f t="shared" si="1"/>
        <v>2.5807278639319664</v>
      </c>
      <c r="O90" s="10"/>
      <c r="P90" s="2">
        <f>-5942.23</f>
        <v>-5942.23</v>
      </c>
      <c r="Q90" s="2"/>
      <c r="R90" s="19"/>
      <c r="S90" s="2"/>
      <c r="T90" s="2">
        <f>-2993.31</f>
        <v>-2993.31</v>
      </c>
      <c r="U90" s="2"/>
      <c r="V90" s="19"/>
      <c r="W90" s="2"/>
      <c r="X90" s="2">
        <f t="shared" si="2"/>
        <v>-2948.9199999999996</v>
      </c>
      <c r="Y90" s="2"/>
      <c r="Z90" s="19">
        <f t="shared" si="3"/>
        <v>0.98517026301986754</v>
      </c>
    </row>
    <row r="91" spans="1:26" s="23" customFormat="1" hidden="1" outlineLevel="1" x14ac:dyDescent="0.25">
      <c r="A91" s="44"/>
      <c r="B91" s="10" t="str">
        <f>CONCATENATE("          ", "4244", " - ", "SALES RETURN TAXABLE-ACCESSORI")</f>
        <v xml:space="preserve">          4244 - SALES RETURN TAXABLE-ACCESSORI</v>
      </c>
      <c r="C91" s="10"/>
      <c r="D91" s="2">
        <f>-240.42</f>
        <v>-240.42</v>
      </c>
      <c r="E91" s="2"/>
      <c r="F91" s="19"/>
      <c r="G91" s="2"/>
      <c r="H91" s="2">
        <f>-39.9</f>
        <v>-39.9</v>
      </c>
      <c r="I91" s="2"/>
      <c r="J91" s="19"/>
      <c r="K91" s="2"/>
      <c r="L91" s="2">
        <f t="shared" si="0"/>
        <v>-200.51999999999998</v>
      </c>
      <c r="M91" s="2"/>
      <c r="N91" s="19">
        <f t="shared" si="1"/>
        <v>5.0255639097744362</v>
      </c>
      <c r="O91" s="10"/>
      <c r="P91" s="2">
        <f>-1235.26</f>
        <v>-1235.26</v>
      </c>
      <c r="Q91" s="2"/>
      <c r="R91" s="19"/>
      <c r="S91" s="2"/>
      <c r="T91" s="2">
        <f>-2470.7</f>
        <v>-2470.6999999999998</v>
      </c>
      <c r="U91" s="2"/>
      <c r="V91" s="19"/>
      <c r="W91" s="2"/>
      <c r="X91" s="2">
        <f t="shared" si="2"/>
        <v>1235.4399999999998</v>
      </c>
      <c r="Y91" s="2"/>
      <c r="Z91" s="19">
        <f t="shared" si="3"/>
        <v>-0.50003642692354389</v>
      </c>
    </row>
    <row r="92" spans="1:26" s="23" customFormat="1" hidden="1" outlineLevel="1" x14ac:dyDescent="0.25">
      <c r="A92" s="44"/>
      <c r="B92" s="10" t="str">
        <f>CONCATENATE("          ", "4245", " - ", "SALES RETURN TAXABLE-SPECIAL O")</f>
        <v xml:space="preserve">          4245 - SALES RETURN TAXABLE-SPECIAL O</v>
      </c>
      <c r="C92" s="10"/>
      <c r="D92" s="2">
        <f t="shared" ref="D92:D96" si="20">0</f>
        <v>0</v>
      </c>
      <c r="E92" s="2"/>
      <c r="F92" s="19"/>
      <c r="G92" s="2"/>
      <c r="H92" s="2">
        <f>-19.98</f>
        <v>-19.98</v>
      </c>
      <c r="I92" s="2"/>
      <c r="J92" s="19"/>
      <c r="K92" s="2"/>
      <c r="L92" s="2">
        <f t="shared" si="0"/>
        <v>19.98</v>
      </c>
      <c r="M92" s="2"/>
      <c r="N92" s="19">
        <f t="shared" si="1"/>
        <v>-1</v>
      </c>
      <c r="O92" s="10"/>
      <c r="P92" s="2">
        <f>-11353.59</f>
        <v>-11353.59</v>
      </c>
      <c r="Q92" s="2"/>
      <c r="R92" s="19"/>
      <c r="S92" s="2"/>
      <c r="T92" s="2">
        <f>-1735.03</f>
        <v>-1735.03</v>
      </c>
      <c r="U92" s="2"/>
      <c r="V92" s="19"/>
      <c r="W92" s="2"/>
      <c r="X92" s="2">
        <f t="shared" si="2"/>
        <v>-9618.56</v>
      </c>
      <c r="Y92" s="2"/>
      <c r="Z92" s="19">
        <f t="shared" si="3"/>
        <v>5.5437427594911899</v>
      </c>
    </row>
    <row r="93" spans="1:26" s="23" customFormat="1" hidden="1" outlineLevel="1" x14ac:dyDescent="0.25">
      <c r="A93" s="44"/>
      <c r="B93" s="10" t="str">
        <f>CONCATENATE("          ", "4281", " - ", "SALES RETURN TAXABLE-ELECTRONI")</f>
        <v xml:space="preserve">          4281 - SALES RETURN TAXABLE-ELECTRONI</v>
      </c>
      <c r="C93" s="10"/>
      <c r="D93" s="2">
        <f t="shared" si="20"/>
        <v>0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0"/>
      <c r="P93" s="2">
        <f t="shared" ref="P93:P95" si="21">0</f>
        <v>0</v>
      </c>
      <c r="Q93" s="2"/>
      <c r="R93" s="19"/>
      <c r="S93" s="2"/>
      <c r="T93" s="2">
        <f>-54.97</f>
        <v>-54.97</v>
      </c>
      <c r="U93" s="2"/>
      <c r="V93" s="19"/>
      <c r="W93" s="2"/>
      <c r="X93" s="2">
        <f t="shared" si="2"/>
        <v>54.97</v>
      </c>
      <c r="Y93" s="2"/>
      <c r="Z93" s="19">
        <f t="shared" si="3"/>
        <v>-1</v>
      </c>
    </row>
    <row r="94" spans="1:26" s="23" customFormat="1" hidden="1" outlineLevel="1" x14ac:dyDescent="0.25">
      <c r="A94" s="44"/>
      <c r="B94" s="10" t="str">
        <f>CONCATENATE("          ", "4292", " - ", "SALES RETURN TAXABLE-GRAD MERC")</f>
        <v xml:space="preserve">          4292 - SALES RETURN TAXABLE-GRAD MERC</v>
      </c>
      <c r="C94" s="10"/>
      <c r="D94" s="2">
        <f t="shared" si="20"/>
        <v>0</v>
      </c>
      <c r="E94" s="2"/>
      <c r="F94" s="19"/>
      <c r="G94" s="2"/>
      <c r="H94" s="2">
        <f>-94.9</f>
        <v>-94.9</v>
      </c>
      <c r="I94" s="2"/>
      <c r="J94" s="19"/>
      <c r="K94" s="2"/>
      <c r="L94" s="2">
        <f t="shared" si="0"/>
        <v>94.9</v>
      </c>
      <c r="M94" s="2"/>
      <c r="N94" s="19">
        <f t="shared" si="1"/>
        <v>-1</v>
      </c>
      <c r="O94" s="10"/>
      <c r="P94" s="2">
        <f t="shared" si="21"/>
        <v>0</v>
      </c>
      <c r="Q94" s="2"/>
      <c r="R94" s="19"/>
      <c r="S94" s="2"/>
      <c r="T94" s="2">
        <f>-513.95</f>
        <v>-513.95000000000005</v>
      </c>
      <c r="U94" s="2"/>
      <c r="V94" s="19"/>
      <c r="W94" s="2"/>
      <c r="X94" s="2">
        <f t="shared" si="2"/>
        <v>513.95000000000005</v>
      </c>
      <c r="Y94" s="2"/>
      <c r="Z94" s="19">
        <f t="shared" si="3"/>
        <v>-1</v>
      </c>
    </row>
    <row r="95" spans="1:26" s="23" customFormat="1" hidden="1" outlineLevel="1" x14ac:dyDescent="0.25">
      <c r="A95" s="44"/>
      <c r="B95" s="10" t="str">
        <f>CONCATENATE("          ", "4295", " - ", "SALES RETURN TAXABLE-CUSTOMER")</f>
        <v xml:space="preserve">          4295 - SALES RETURN TAXABLE-CUSTOMER</v>
      </c>
      <c r="C95" s="10"/>
      <c r="D95" s="2">
        <f t="shared" si="20"/>
        <v>0</v>
      </c>
      <c r="E95" s="2"/>
      <c r="F95" s="19"/>
      <c r="G95" s="2"/>
      <c r="H95" s="2">
        <f t="shared" ref="H95:H98" si="22"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0"/>
      <c r="P95" s="2">
        <f t="shared" si="21"/>
        <v>0</v>
      </c>
      <c r="Q95" s="2"/>
      <c r="R95" s="19"/>
      <c r="S95" s="2"/>
      <c r="T95" s="2">
        <f>--0.99</f>
        <v>0.99</v>
      </c>
      <c r="U95" s="2"/>
      <c r="V95" s="19"/>
      <c r="W95" s="2"/>
      <c r="X95" s="2">
        <f t="shared" si="2"/>
        <v>-0.99</v>
      </c>
      <c r="Y95" s="2"/>
      <c r="Z95" s="19">
        <f t="shared" si="3"/>
        <v>-1</v>
      </c>
    </row>
    <row r="96" spans="1:26" s="23" customFormat="1" hidden="1" outlineLevel="1" x14ac:dyDescent="0.25">
      <c r="A96" s="44"/>
      <c r="B96" s="10" t="str">
        <f>CONCATENATE("          ", "4301", " - ", "SALES RETURN NON TAXABLE-NEW T")</f>
        <v xml:space="preserve">          4301 - SALES RETURN NON TAXABLE-NEW T</v>
      </c>
      <c r="C96" s="10"/>
      <c r="D96" s="2">
        <f t="shared" si="20"/>
        <v>0</v>
      </c>
      <c r="E96" s="2"/>
      <c r="F96" s="19"/>
      <c r="G96" s="2"/>
      <c r="H96" s="2">
        <f t="shared" si="22"/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0"/>
      <c r="P96" s="2">
        <f>-3237.29</f>
        <v>-3237.29</v>
      </c>
      <c r="Q96" s="2"/>
      <c r="R96" s="19"/>
      <c r="S96" s="2"/>
      <c r="T96" s="2">
        <f>-15221.62</f>
        <v>-15221.62</v>
      </c>
      <c r="U96" s="2"/>
      <c r="V96" s="19"/>
      <c r="W96" s="2"/>
      <c r="X96" s="2">
        <f t="shared" si="2"/>
        <v>11984.330000000002</v>
      </c>
      <c r="Y96" s="2"/>
      <c r="Z96" s="19">
        <f t="shared" si="3"/>
        <v>-0.78732289992786586</v>
      </c>
    </row>
    <row r="97" spans="1:26" s="23" customFormat="1" hidden="1" outlineLevel="1" x14ac:dyDescent="0.25">
      <c r="A97" s="44"/>
      <c r="B97" s="10" t="str">
        <f>CONCATENATE("          ", "4302", " - ", "SALES RETURN NON TAXABLE-TEXT")</f>
        <v xml:space="preserve">          4302 - SALES RETURN NON TAXABLE-TEXT</v>
      </c>
      <c r="C97" s="10"/>
      <c r="D97" s="2">
        <f>-270.87</f>
        <v>-270.87</v>
      </c>
      <c r="E97" s="2"/>
      <c r="F97" s="19"/>
      <c r="G97" s="2"/>
      <c r="H97" s="2">
        <f t="shared" si="22"/>
        <v>0</v>
      </c>
      <c r="I97" s="2"/>
      <c r="J97" s="19"/>
      <c r="K97" s="2"/>
      <c r="L97" s="2">
        <f t="shared" si="0"/>
        <v>-270.87</v>
      </c>
      <c r="M97" s="2"/>
      <c r="N97" s="19">
        <f t="shared" si="1"/>
        <v>0</v>
      </c>
      <c r="O97" s="10"/>
      <c r="P97" s="2">
        <f>-2344.35</f>
        <v>-2344.35</v>
      </c>
      <c r="Q97" s="2"/>
      <c r="R97" s="19"/>
      <c r="S97" s="2"/>
      <c r="T97" s="2">
        <f>-1312.37</f>
        <v>-1312.37</v>
      </c>
      <c r="U97" s="2"/>
      <c r="V97" s="19"/>
      <c r="W97" s="2"/>
      <c r="X97" s="2">
        <f t="shared" si="2"/>
        <v>-1031.98</v>
      </c>
      <c r="Y97" s="2"/>
      <c r="Z97" s="19">
        <f t="shared" si="3"/>
        <v>0.78634836212348658</v>
      </c>
    </row>
    <row r="98" spans="1:26" s="23" customFormat="1" hidden="1" outlineLevel="1" x14ac:dyDescent="0.25">
      <c r="A98" s="44"/>
      <c r="B98" s="10" t="str">
        <f>CONCATENATE("          ", "4303", " - ", "SALES RETURN NON-TAXABLE-RENTA")</f>
        <v xml:space="preserve">          4303 - SALES RETURN NON-TAXABLE-RENTA</v>
      </c>
      <c r="C98" s="10"/>
      <c r="D98" s="2">
        <f>0</f>
        <v>0</v>
      </c>
      <c r="E98" s="2"/>
      <c r="F98" s="19"/>
      <c r="G98" s="2"/>
      <c r="H98" s="2">
        <f t="shared" si="22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0"/>
      <c r="P98" s="2">
        <f>0</f>
        <v>0</v>
      </c>
      <c r="Q98" s="2"/>
      <c r="R98" s="19"/>
      <c r="S98" s="2"/>
      <c r="T98" s="2">
        <f>-184.99</f>
        <v>-184.99</v>
      </c>
      <c r="U98" s="2"/>
      <c r="V98" s="19"/>
      <c r="W98" s="2"/>
      <c r="X98" s="2">
        <f t="shared" si="2"/>
        <v>184.99</v>
      </c>
      <c r="Y98" s="2"/>
      <c r="Z98" s="19">
        <f t="shared" si="3"/>
        <v>-1</v>
      </c>
    </row>
    <row r="99" spans="1:26" s="23" customFormat="1" hidden="1" outlineLevel="1" x14ac:dyDescent="0.25">
      <c r="A99" s="44"/>
      <c r="B99" s="10" t="str">
        <f>CONCATENATE("          ", "4304", " - ", "SALES RETURN NON TAXABLE-DIGIT")</f>
        <v xml:space="preserve">          4304 - SALES RETURN NON TAXABLE-DIGIT</v>
      </c>
      <c r="C99" s="10"/>
      <c r="D99" s="2">
        <f>-275.04</f>
        <v>-275.04000000000002</v>
      </c>
      <c r="E99" s="2"/>
      <c r="F99" s="19"/>
      <c r="G99" s="2"/>
      <c r="H99" s="2">
        <f>-44.15</f>
        <v>-44.15</v>
      </c>
      <c r="I99" s="2"/>
      <c r="J99" s="19"/>
      <c r="K99" s="2"/>
      <c r="L99" s="2">
        <f t="shared" si="0"/>
        <v>-230.89000000000001</v>
      </c>
      <c r="M99" s="2"/>
      <c r="N99" s="19">
        <f t="shared" si="1"/>
        <v>5.2296715741789361</v>
      </c>
      <c r="O99" s="10"/>
      <c r="P99" s="2">
        <f>-27543.76</f>
        <v>-27543.759999999998</v>
      </c>
      <c r="Q99" s="2"/>
      <c r="R99" s="19"/>
      <c r="S99" s="2"/>
      <c r="T99" s="2">
        <f>-19036.13</f>
        <v>-19036.13</v>
      </c>
      <c r="U99" s="2"/>
      <c r="V99" s="19"/>
      <c r="W99" s="2"/>
      <c r="X99" s="2">
        <f t="shared" si="2"/>
        <v>-8507.6299999999974</v>
      </c>
      <c r="Y99" s="2"/>
      <c r="Z99" s="19">
        <f t="shared" si="3"/>
        <v>0.44692014605909902</v>
      </c>
    </row>
    <row r="100" spans="1:26" s="23" customFormat="1" hidden="1" outlineLevel="1" x14ac:dyDescent="0.25">
      <c r="A100" s="44"/>
      <c r="B100" s="10" t="str">
        <f>CONCATENATE("          ", "4311", " - ", "SALES RETURN NON TAXABLE-NO VA")</f>
        <v xml:space="preserve">          4311 - SALES RETURN NON TAXABLE-NO VA</v>
      </c>
      <c r="C100" s="10"/>
      <c r="D100" s="2">
        <f t="shared" ref="D100:D103" si="23">0</f>
        <v>0</v>
      </c>
      <c r="E100" s="2"/>
      <c r="F100" s="19"/>
      <c r="G100" s="2"/>
      <c r="H100" s="2">
        <f>-57.9</f>
        <v>-57.9</v>
      </c>
      <c r="I100" s="2"/>
      <c r="J100" s="19"/>
      <c r="K100" s="2"/>
      <c r="L100" s="2">
        <f t="shared" si="0"/>
        <v>57.9</v>
      </c>
      <c r="M100" s="2"/>
      <c r="N100" s="19">
        <f t="shared" si="1"/>
        <v>-1</v>
      </c>
      <c r="O100" s="10"/>
      <c r="P100" s="2">
        <f t="shared" ref="P100:P103" si="24">0</f>
        <v>0</v>
      </c>
      <c r="Q100" s="2"/>
      <c r="R100" s="19"/>
      <c r="S100" s="2"/>
      <c r="T100" s="2">
        <f>-852.66</f>
        <v>-852.66</v>
      </c>
      <c r="U100" s="2"/>
      <c r="V100" s="19"/>
      <c r="W100" s="2"/>
      <c r="X100" s="2">
        <f t="shared" si="2"/>
        <v>852.66</v>
      </c>
      <c r="Y100" s="2"/>
      <c r="Z100" s="19">
        <f t="shared" si="3"/>
        <v>-1</v>
      </c>
    </row>
    <row r="101" spans="1:26" s="23" customFormat="1" hidden="1" outlineLevel="1" x14ac:dyDescent="0.25">
      <c r="A101" s="44"/>
      <c r="B101" s="10" t="str">
        <f>CONCATENATE("          ", "4327", " - ", "SALES RETURN NON TAXABLE-SCHOO")</f>
        <v xml:space="preserve">          4327 - SALES RETURN NON TAXABLE-SCHOO</v>
      </c>
      <c r="C101" s="10"/>
      <c r="D101" s="2">
        <f t="shared" si="23"/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0"/>
      <c r="P101" s="2">
        <f t="shared" si="24"/>
        <v>0</v>
      </c>
      <c r="Q101" s="2"/>
      <c r="R101" s="19"/>
      <c r="S101" s="2"/>
      <c r="T101" s="2">
        <f>-21.87</f>
        <v>-21.87</v>
      </c>
      <c r="U101" s="2"/>
      <c r="V101" s="19"/>
      <c r="W101" s="2"/>
      <c r="X101" s="2">
        <f t="shared" si="2"/>
        <v>21.87</v>
      </c>
      <c r="Y101" s="2"/>
      <c r="Z101" s="19">
        <f t="shared" si="3"/>
        <v>-1</v>
      </c>
    </row>
    <row r="102" spans="1:26" s="23" customFormat="1" hidden="1" outlineLevel="1" x14ac:dyDescent="0.25">
      <c r="A102" s="44"/>
      <c r="B102" s="10" t="str">
        <f>CONCATENATE("          ", "4331", " - ", "SALES RETURN NON TAXABLE-FOOD")</f>
        <v xml:space="preserve">          4331 - SALES RETURN NON TAXABLE-FOOD</v>
      </c>
      <c r="C102" s="10"/>
      <c r="D102" s="2">
        <f t="shared" si="23"/>
        <v>0</v>
      </c>
      <c r="E102" s="2"/>
      <c r="F102" s="19"/>
      <c r="G102" s="2"/>
      <c r="H102" s="2">
        <f>-4.99</f>
        <v>-4.99</v>
      </c>
      <c r="I102" s="2"/>
      <c r="J102" s="19"/>
      <c r="K102" s="2"/>
      <c r="L102" s="2">
        <f t="shared" si="0"/>
        <v>4.99</v>
      </c>
      <c r="M102" s="2"/>
      <c r="N102" s="19">
        <f t="shared" si="1"/>
        <v>-1</v>
      </c>
      <c r="O102" s="10"/>
      <c r="P102" s="2">
        <f t="shared" si="24"/>
        <v>0</v>
      </c>
      <c r="Q102" s="2"/>
      <c r="R102" s="19"/>
      <c r="S102" s="2"/>
      <c r="T102" s="2">
        <f>-12.57</f>
        <v>-12.57</v>
      </c>
      <c r="U102" s="2"/>
      <c r="V102" s="19"/>
      <c r="W102" s="2"/>
      <c r="X102" s="2">
        <f t="shared" si="2"/>
        <v>12.57</v>
      </c>
      <c r="Y102" s="2"/>
      <c r="Z102" s="19">
        <f t="shared" si="3"/>
        <v>-1</v>
      </c>
    </row>
    <row r="103" spans="1:26" s="23" customFormat="1" hidden="1" outlineLevel="1" x14ac:dyDescent="0.25">
      <c r="A103" s="44"/>
      <c r="B103" s="10" t="str">
        <f>CONCATENATE("          ", "4332", " - ", "SALES RETURN NON TAXABLE-JUICE")</f>
        <v xml:space="preserve">          4332 - SALES RETURN NON TAXABLE-JUICE</v>
      </c>
      <c r="C103" s="10"/>
      <c r="D103" s="2">
        <f t="shared" si="23"/>
        <v>0</v>
      </c>
      <c r="E103" s="2"/>
      <c r="F103" s="19"/>
      <c r="G103" s="2"/>
      <c r="H103" s="2">
        <f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0"/>
      <c r="P103" s="2">
        <f t="shared" si="24"/>
        <v>0</v>
      </c>
      <c r="Q103" s="2"/>
      <c r="R103" s="19"/>
      <c r="S103" s="2"/>
      <c r="T103" s="2">
        <f>-2.79</f>
        <v>-2.79</v>
      </c>
      <c r="U103" s="2"/>
      <c r="V103" s="19"/>
      <c r="W103" s="2"/>
      <c r="X103" s="2">
        <f t="shared" si="2"/>
        <v>2.79</v>
      </c>
      <c r="Y103" s="2"/>
      <c r="Z103" s="19">
        <f t="shared" si="3"/>
        <v>-1</v>
      </c>
    </row>
    <row r="104" spans="1:26" s="23" customFormat="1" hidden="1" outlineLevel="1" x14ac:dyDescent="0.25">
      <c r="A104" s="44"/>
      <c r="B104" s="10" t="str">
        <f>CONCATENATE("          ", "4340", " - ", "SALES RETURN NON TAXABLE-LOGO")</f>
        <v xml:space="preserve">          4340 - SALES RETURN NON TAXABLE-LOGO</v>
      </c>
      <c r="C104" s="10"/>
      <c r="D104" s="2">
        <f>-350.55</f>
        <v>-350.55</v>
      </c>
      <c r="E104" s="2"/>
      <c r="F104" s="19"/>
      <c r="G104" s="2"/>
      <c r="H104" s="2">
        <f>-63.8</f>
        <v>-63.8</v>
      </c>
      <c r="I104" s="2"/>
      <c r="J104" s="19"/>
      <c r="K104" s="2"/>
      <c r="L104" s="2">
        <f t="shared" si="0"/>
        <v>-286.75</v>
      </c>
      <c r="M104" s="2"/>
      <c r="N104" s="19">
        <f t="shared" si="1"/>
        <v>4.4945141065830727</v>
      </c>
      <c r="O104" s="10"/>
      <c r="P104" s="2">
        <f>-2643.39</f>
        <v>-2643.39</v>
      </c>
      <c r="Q104" s="2"/>
      <c r="R104" s="19"/>
      <c r="S104" s="2"/>
      <c r="T104" s="2">
        <f>-995.45</f>
        <v>-995.45</v>
      </c>
      <c r="U104" s="2"/>
      <c r="V104" s="19"/>
      <c r="W104" s="2"/>
      <c r="X104" s="2">
        <f t="shared" si="2"/>
        <v>-1647.9399999999998</v>
      </c>
      <c r="Y104" s="2"/>
      <c r="Z104" s="19">
        <f t="shared" si="3"/>
        <v>1.6554723994173486</v>
      </c>
    </row>
    <row r="105" spans="1:26" s="23" customFormat="1" hidden="1" outlineLevel="1" x14ac:dyDescent="0.25">
      <c r="A105" s="44"/>
      <c r="B105" s="10" t="str">
        <f>CONCATENATE("          ", "4341", " - ", "SALES RETURN NON TAXABLE-LOGO")</f>
        <v xml:space="preserve">          4341 - SALES RETURN NON TAXABLE-LOGO</v>
      </c>
      <c r="C105" s="10"/>
      <c r="D105" s="2">
        <f>-29.9</f>
        <v>-29.9</v>
      </c>
      <c r="E105" s="2"/>
      <c r="F105" s="19"/>
      <c r="G105" s="2"/>
      <c r="H105" s="2">
        <f t="shared" ref="H105:H107" si="25">0</f>
        <v>0</v>
      </c>
      <c r="I105" s="2"/>
      <c r="J105" s="19"/>
      <c r="K105" s="2"/>
      <c r="L105" s="2">
        <f t="shared" si="0"/>
        <v>-29.9</v>
      </c>
      <c r="M105" s="2"/>
      <c r="N105" s="19">
        <f t="shared" si="1"/>
        <v>0</v>
      </c>
      <c r="O105" s="10"/>
      <c r="P105" s="2">
        <f>-392.54</f>
        <v>-392.54</v>
      </c>
      <c r="Q105" s="2"/>
      <c r="R105" s="19"/>
      <c r="S105" s="2"/>
      <c r="T105" s="2">
        <f>-245.5</f>
        <v>-245.5</v>
      </c>
      <c r="U105" s="2"/>
      <c r="V105" s="19"/>
      <c r="W105" s="2"/>
      <c r="X105" s="2">
        <f t="shared" si="2"/>
        <v>-147.04000000000002</v>
      </c>
      <c r="Y105" s="2"/>
      <c r="Z105" s="19">
        <f t="shared" si="3"/>
        <v>0.59894093686354388</v>
      </c>
    </row>
    <row r="106" spans="1:26" s="23" customFormat="1" hidden="1" outlineLevel="1" x14ac:dyDescent="0.25">
      <c r="A106" s="44"/>
      <c r="B106" s="10" t="str">
        <f>CONCATENATE("          ", "4342", " - ", "SALES RETURN NON TAXABLE-EVERY")</f>
        <v xml:space="preserve">          4342 - SALES RETURN NON TAXABLE-EVERY</v>
      </c>
      <c r="C106" s="10"/>
      <c r="D106" s="2">
        <f t="shared" ref="D106:D108" si="26">0</f>
        <v>0</v>
      </c>
      <c r="E106" s="2"/>
      <c r="F106" s="19"/>
      <c r="G106" s="2"/>
      <c r="H106" s="2">
        <f t="shared" si="25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0"/>
      <c r="P106" s="2">
        <f>-118.7</f>
        <v>-118.7</v>
      </c>
      <c r="Q106" s="2"/>
      <c r="R106" s="19"/>
      <c r="S106" s="2"/>
      <c r="T106" s="2">
        <f>-149.22</f>
        <v>-149.22</v>
      </c>
      <c r="U106" s="2"/>
      <c r="V106" s="19"/>
      <c r="W106" s="2"/>
      <c r="X106" s="2">
        <f t="shared" si="2"/>
        <v>30.519999999999996</v>
      </c>
      <c r="Y106" s="2"/>
      <c r="Z106" s="19">
        <f t="shared" si="3"/>
        <v>-0.20453022383058569</v>
      </c>
    </row>
    <row r="107" spans="1:26" s="23" customFormat="1" hidden="1" outlineLevel="1" x14ac:dyDescent="0.25">
      <c r="A107" s="44"/>
      <c r="B107" s="10" t="str">
        <f>CONCATENATE("          ", "4346", " - ", "SALES RETURN NON TAXABLE-COIN-")</f>
        <v xml:space="preserve">          4346 - SALES RETURN NON TAXABLE-COIN-</v>
      </c>
      <c r="C107" s="10"/>
      <c r="D107" s="2">
        <f t="shared" si="26"/>
        <v>0</v>
      </c>
      <c r="E107" s="2"/>
      <c r="F107" s="19"/>
      <c r="G107" s="2"/>
      <c r="H107" s="2">
        <f t="shared" si="25"/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0"/>
      <c r="P107" s="2">
        <f t="shared" ref="P107:P108" si="27">0</f>
        <v>0</v>
      </c>
      <c r="Q107" s="2"/>
      <c r="R107" s="19"/>
      <c r="S107" s="2"/>
      <c r="T107" s="2">
        <f>-8.15</f>
        <v>-8.15</v>
      </c>
      <c r="U107" s="2"/>
      <c r="V107" s="19"/>
      <c r="W107" s="2"/>
      <c r="X107" s="2">
        <f t="shared" si="2"/>
        <v>8.15</v>
      </c>
      <c r="Y107" s="2"/>
      <c r="Z107" s="19">
        <f t="shared" si="3"/>
        <v>-1</v>
      </c>
    </row>
    <row r="108" spans="1:26" s="23" customFormat="1" hidden="1" outlineLevel="1" x14ac:dyDescent="0.25">
      <c r="A108" s="44"/>
      <c r="B108" s="10" t="str">
        <f>CONCATENATE("          ", "4347", " - ", "SALES RETURN NON TAXABLE-MISC")</f>
        <v xml:space="preserve">          4347 - SALES RETURN NON TAXABLE-MISC</v>
      </c>
      <c r="C108" s="10"/>
      <c r="D108" s="2">
        <f t="shared" si="26"/>
        <v>0</v>
      </c>
      <c r="E108" s="2"/>
      <c r="F108" s="19"/>
      <c r="G108" s="2"/>
      <c r="H108" s="2">
        <f>-84</f>
        <v>-84</v>
      </c>
      <c r="I108" s="2"/>
      <c r="J108" s="19"/>
      <c r="K108" s="2"/>
      <c r="L108" s="2">
        <f t="shared" si="0"/>
        <v>84</v>
      </c>
      <c r="M108" s="2"/>
      <c r="N108" s="19">
        <f t="shared" si="1"/>
        <v>-1</v>
      </c>
      <c r="O108" s="10"/>
      <c r="P108" s="2">
        <f t="shared" si="27"/>
        <v>0</v>
      </c>
      <c r="Q108" s="2"/>
      <c r="R108" s="19"/>
      <c r="S108" s="2"/>
      <c r="T108" s="2">
        <f>-84</f>
        <v>-84</v>
      </c>
      <c r="U108" s="2"/>
      <c r="V108" s="19"/>
      <c r="W108" s="2"/>
      <c r="X108" s="2">
        <f t="shared" si="2"/>
        <v>84</v>
      </c>
      <c r="Y108" s="2"/>
      <c r="Z108" s="19">
        <f t="shared" si="3"/>
        <v>-1</v>
      </c>
    </row>
    <row r="109" spans="1:26" x14ac:dyDescent="0.25">
      <c r="A109" s="9"/>
      <c r="B109" s="11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4" customFormat="1" collapsed="1" x14ac:dyDescent="0.25">
      <c r="A110" s="11"/>
      <c r="B110" s="28" t="s">
        <v>256</v>
      </c>
      <c r="C110" s="11"/>
      <c r="D110" s="4">
        <f>SUM(OSRRefD16x_0)</f>
        <v>98448.850000000049</v>
      </c>
      <c r="E110" s="4"/>
      <c r="F110" s="13">
        <f t="shared" ref="F110:F161" si="28">IF(D$12=0,0,D110/D$12)</f>
        <v>0.5353545592158816</v>
      </c>
      <c r="G110" s="4"/>
      <c r="H110" s="4">
        <f>SUM(OSRRefH16x_0)</f>
        <v>99442.199999999822</v>
      </c>
      <c r="I110" s="4"/>
      <c r="J110" s="13">
        <f t="shared" ref="J110:J161" si="29">IF(H$12=0,0,H110/H$12)</f>
        <v>0.42855308827425065</v>
      </c>
      <c r="K110" s="4"/>
      <c r="L110" s="4">
        <f t="shared" ref="L110:L161" si="30">+D110-H110</f>
        <v>-993.34999999977299</v>
      </c>
      <c r="M110" s="4"/>
      <c r="N110" s="13">
        <f t="shared" ref="N110:N161" si="31">IF(H110=0,0,L110/H110)</f>
        <v>-9.9892198684238161E-3</v>
      </c>
      <c r="O110" s="11"/>
      <c r="P110" s="4">
        <f>SUM(OSRRefP16x_0)</f>
        <v>2720975.7600000002</v>
      </c>
      <c r="Q110" s="4"/>
      <c r="R110" s="13">
        <f t="shared" ref="R110:R161" si="32">IF(P$12=0,0,P110/P$12)</f>
        <v>0.63810160281927164</v>
      </c>
      <c r="S110" s="4"/>
      <c r="T110" s="4">
        <f>SUM(OSRRefT16x_0)</f>
        <v>5011678.2799999993</v>
      </c>
      <c r="U110" s="4"/>
      <c r="V110" s="13">
        <f t="shared" ref="V110:V161" si="33">IF(T$12=0,0,T110/T$12)</f>
        <v>0.58286931799841091</v>
      </c>
      <c r="W110" s="4"/>
      <c r="X110" s="4">
        <f t="shared" ref="X110:X161" si="34">+P110-T110</f>
        <v>-2290702.5199999991</v>
      </c>
      <c r="Y110" s="4"/>
      <c r="Z110" s="13">
        <f t="shared" ref="Z110:Z161" si="35">IF(T110=0,0,X110/T110)</f>
        <v>-0.45707293884794203</v>
      </c>
    </row>
    <row r="111" spans="1:26" s="23" customFormat="1" hidden="1" outlineLevel="1" x14ac:dyDescent="0.25">
      <c r="A111" s="44"/>
      <c r="B111" s="10" t="str">
        <f>CONCATENATE("          ", "5000", " - ", "PURCHASES @ COST")</f>
        <v xml:space="preserve">          5000 - PURCHASES @ COST</v>
      </c>
      <c r="C111" s="10"/>
      <c r="D111" s="2">
        <v>0</v>
      </c>
      <c r="E111" s="2"/>
      <c r="F111" s="19">
        <f t="shared" si="28"/>
        <v>0</v>
      </c>
      <c r="G111" s="2"/>
      <c r="H111" s="2">
        <v>0</v>
      </c>
      <c r="I111" s="2"/>
      <c r="J111" s="19">
        <f t="shared" si="29"/>
        <v>0</v>
      </c>
      <c r="K111" s="2"/>
      <c r="L111" s="2">
        <f t="shared" si="30"/>
        <v>0</v>
      </c>
      <c r="M111" s="2"/>
      <c r="N111" s="19">
        <f t="shared" si="31"/>
        <v>0</v>
      </c>
      <c r="O111" s="10"/>
      <c r="P111" s="2">
        <v>0</v>
      </c>
      <c r="Q111" s="2"/>
      <c r="R111" s="19">
        <f t="shared" si="32"/>
        <v>0</v>
      </c>
      <c r="S111" s="2"/>
      <c r="T111" s="2">
        <v>0</v>
      </c>
      <c r="U111" s="2"/>
      <c r="V111" s="19">
        <f t="shared" si="33"/>
        <v>0</v>
      </c>
      <c r="W111" s="2"/>
      <c r="X111" s="2">
        <f t="shared" si="34"/>
        <v>0</v>
      </c>
      <c r="Y111" s="2"/>
      <c r="Z111" s="19">
        <f t="shared" si="35"/>
        <v>0</v>
      </c>
    </row>
    <row r="112" spans="1:26" s="23" customFormat="1" hidden="1" outlineLevel="1" x14ac:dyDescent="0.25">
      <c r="A112" s="44"/>
      <c r="B112" s="10" t="str">
        <f>CONCATENATE("          ", "5001", " - ", "PURCHASES @ COST-NEW TEXT")</f>
        <v xml:space="preserve">          5001 - PURCHASES @ COST-NEW TEXT</v>
      </c>
      <c r="C112" s="10"/>
      <c r="D112" s="2">
        <v>-290899.24</v>
      </c>
      <c r="E112" s="2"/>
      <c r="F112" s="19">
        <f t="shared" si="28"/>
        <v>-1.5818796705744647</v>
      </c>
      <c r="G112" s="2"/>
      <c r="H112" s="2">
        <v>-921934.35</v>
      </c>
      <c r="I112" s="2"/>
      <c r="J112" s="19">
        <f t="shared" si="29"/>
        <v>-3.973140305409721</v>
      </c>
      <c r="K112" s="2"/>
      <c r="L112" s="2">
        <f t="shared" si="30"/>
        <v>631035.11</v>
      </c>
      <c r="M112" s="2"/>
      <c r="N112" s="19">
        <f t="shared" si="31"/>
        <v>-0.68446859583873843</v>
      </c>
      <c r="O112" s="10"/>
      <c r="P112" s="2">
        <v>1035516.4</v>
      </c>
      <c r="Q112" s="2"/>
      <c r="R112" s="19">
        <f t="shared" si="32"/>
        <v>0.24284107352196402</v>
      </c>
      <c r="S112" s="2"/>
      <c r="T112" s="2">
        <v>1594665.12</v>
      </c>
      <c r="U112" s="2"/>
      <c r="V112" s="19">
        <f t="shared" si="33"/>
        <v>0.18546309619264989</v>
      </c>
      <c r="W112" s="2"/>
      <c r="X112" s="2">
        <f t="shared" si="34"/>
        <v>-559148.72000000009</v>
      </c>
      <c r="Y112" s="2"/>
      <c r="Z112" s="19">
        <f t="shared" si="35"/>
        <v>-0.35063707921322068</v>
      </c>
    </row>
    <row r="113" spans="1:26" s="23" customFormat="1" hidden="1" outlineLevel="1" x14ac:dyDescent="0.25">
      <c r="A113" s="44"/>
      <c r="B113" s="10" t="str">
        <f>CONCATENATE("          ", "5002", " - ", "PURCHASES @ COST-USED TEXT")</f>
        <v xml:space="preserve">          5002 - PURCHASES @ COST-USED TEXT</v>
      </c>
      <c r="C113" s="10"/>
      <c r="D113" s="2">
        <v>14728.45</v>
      </c>
      <c r="E113" s="2"/>
      <c r="F113" s="19">
        <f t="shared" si="28"/>
        <v>8.0091772099756861E-2</v>
      </c>
      <c r="G113" s="2"/>
      <c r="H113" s="2">
        <v>74144.740000000005</v>
      </c>
      <c r="I113" s="2"/>
      <c r="J113" s="19">
        <f t="shared" si="29"/>
        <v>0.3195319221245248</v>
      </c>
      <c r="K113" s="2"/>
      <c r="L113" s="2">
        <f t="shared" si="30"/>
        <v>-59416.290000000008</v>
      </c>
      <c r="M113" s="2"/>
      <c r="N113" s="19">
        <f t="shared" si="31"/>
        <v>-0.80135542993339792</v>
      </c>
      <c r="O113" s="10"/>
      <c r="P113" s="2">
        <v>397052.67</v>
      </c>
      <c r="Q113" s="2"/>
      <c r="R113" s="19">
        <f t="shared" si="32"/>
        <v>9.3113635503563358E-2</v>
      </c>
      <c r="S113" s="2"/>
      <c r="T113" s="2">
        <v>598700.11</v>
      </c>
      <c r="U113" s="2"/>
      <c r="V113" s="19">
        <f t="shared" si="33"/>
        <v>6.9630152875909193E-2</v>
      </c>
      <c r="W113" s="2"/>
      <c r="X113" s="2">
        <f t="shared" si="34"/>
        <v>-201647.44</v>
      </c>
      <c r="Y113" s="2"/>
      <c r="Z113" s="19">
        <f t="shared" si="35"/>
        <v>-0.3368087572257169</v>
      </c>
    </row>
    <row r="114" spans="1:26" s="23" customFormat="1" hidden="1" outlineLevel="1" x14ac:dyDescent="0.25">
      <c r="A114" s="44"/>
      <c r="B114" s="10" t="str">
        <f>CONCATENATE("          ", "5003", " - ", "PURCHASES @ COST-RENTAL TEXT")</f>
        <v xml:space="preserve">          5003 - PURCHASES @ COST-RENTAL TEXT</v>
      </c>
      <c r="C114" s="10"/>
      <c r="D114" s="2"/>
      <c r="E114" s="2"/>
      <c r="F114" s="19">
        <f t="shared" si="28"/>
        <v>0</v>
      </c>
      <c r="G114" s="2"/>
      <c r="H114" s="2"/>
      <c r="I114" s="2"/>
      <c r="J114" s="19">
        <f t="shared" si="29"/>
        <v>0</v>
      </c>
      <c r="K114" s="2"/>
      <c r="L114" s="2">
        <f t="shared" si="30"/>
        <v>0</v>
      </c>
      <c r="M114" s="2"/>
      <c r="N114" s="19">
        <f t="shared" si="31"/>
        <v>0</v>
      </c>
      <c r="O114" s="10"/>
      <c r="P114" s="2">
        <v>32.520000000000003</v>
      </c>
      <c r="Q114" s="2"/>
      <c r="R114" s="19">
        <f t="shared" si="32"/>
        <v>7.6263318581282445E-6</v>
      </c>
      <c r="S114" s="2"/>
      <c r="T114" s="2">
        <v>-78.400000000000006</v>
      </c>
      <c r="U114" s="2"/>
      <c r="V114" s="19">
        <f t="shared" si="33"/>
        <v>-9.1180941748470383E-6</v>
      </c>
      <c r="W114" s="2"/>
      <c r="X114" s="2">
        <f t="shared" si="34"/>
        <v>110.92000000000002</v>
      </c>
      <c r="Y114" s="2"/>
      <c r="Z114" s="19">
        <f t="shared" si="35"/>
        <v>-1.4147959183673471</v>
      </c>
    </row>
    <row r="115" spans="1:26" s="23" customFormat="1" hidden="1" outlineLevel="1" x14ac:dyDescent="0.25">
      <c r="A115" s="44"/>
      <c r="B115" s="10" t="str">
        <f>CONCATENATE("          ", "5004", " - ", "PURCHASES @ COST-DIGITAL TEXT")</f>
        <v xml:space="preserve">          5004 - PURCHASES @ COST-DIGITAL TEXT</v>
      </c>
      <c r="C115" s="10"/>
      <c r="D115" s="2">
        <v>-13446.08</v>
      </c>
      <c r="E115" s="2"/>
      <c r="F115" s="19">
        <f t="shared" si="28"/>
        <v>-7.3118378036731546E-2</v>
      </c>
      <c r="G115" s="2"/>
      <c r="H115" s="2">
        <v>-96834.95</v>
      </c>
      <c r="I115" s="2"/>
      <c r="J115" s="19">
        <f t="shared" si="29"/>
        <v>-0.41731696277217034</v>
      </c>
      <c r="K115" s="2"/>
      <c r="L115" s="2">
        <f t="shared" si="30"/>
        <v>83388.87</v>
      </c>
      <c r="M115" s="2"/>
      <c r="N115" s="19">
        <f t="shared" si="31"/>
        <v>-0.8611443492251506</v>
      </c>
      <c r="O115" s="10"/>
      <c r="P115" s="2">
        <v>206562.5</v>
      </c>
      <c r="Q115" s="2"/>
      <c r="R115" s="19">
        <f t="shared" si="32"/>
        <v>4.8441395278124702E-2</v>
      </c>
      <c r="S115" s="2"/>
      <c r="T115" s="2">
        <v>438322.88</v>
      </c>
      <c r="U115" s="2"/>
      <c r="V115" s="19">
        <f t="shared" si="33"/>
        <v>5.0977924729976747E-2</v>
      </c>
      <c r="W115" s="2"/>
      <c r="X115" s="2">
        <f t="shared" si="34"/>
        <v>-231760.38</v>
      </c>
      <c r="Y115" s="2"/>
      <c r="Z115" s="19">
        <f t="shared" si="35"/>
        <v>-0.52874351437004607</v>
      </c>
    </row>
    <row r="116" spans="1:26" s="23" customFormat="1" hidden="1" outlineLevel="1" x14ac:dyDescent="0.25">
      <c r="A116" s="44"/>
      <c r="B116" s="10" t="str">
        <f>CONCATENATE("          ", "5011", " - ", "PURCHASES @ COST-NO VALUE TEXT")</f>
        <v xml:space="preserve">          5011 - PURCHASES @ COST-NO VALUE TEXT</v>
      </c>
      <c r="C116" s="10"/>
      <c r="D116" s="2"/>
      <c r="E116" s="2"/>
      <c r="F116" s="19">
        <f t="shared" si="28"/>
        <v>0</v>
      </c>
      <c r="G116" s="2"/>
      <c r="H116" s="2">
        <v>588</v>
      </c>
      <c r="I116" s="2"/>
      <c r="J116" s="19">
        <f t="shared" si="29"/>
        <v>2.5340269614435302E-3</v>
      </c>
      <c r="K116" s="2"/>
      <c r="L116" s="2">
        <f t="shared" si="30"/>
        <v>-588</v>
      </c>
      <c r="M116" s="2"/>
      <c r="N116" s="19">
        <f t="shared" si="31"/>
        <v>-1</v>
      </c>
      <c r="O116" s="10"/>
      <c r="P116" s="2">
        <v>67.17</v>
      </c>
      <c r="Q116" s="2"/>
      <c r="R116" s="19">
        <f t="shared" si="32"/>
        <v>1.5752174382240904E-5</v>
      </c>
      <c r="S116" s="2"/>
      <c r="T116" s="2">
        <v>6321</v>
      </c>
      <c r="U116" s="2"/>
      <c r="V116" s="19">
        <f t="shared" si="33"/>
        <v>7.3514634284704231E-4</v>
      </c>
      <c r="W116" s="2"/>
      <c r="X116" s="2">
        <f t="shared" si="34"/>
        <v>-6253.83</v>
      </c>
      <c r="Y116" s="2"/>
      <c r="Z116" s="19">
        <f t="shared" si="35"/>
        <v>-0.98937351684859987</v>
      </c>
    </row>
    <row r="117" spans="1:26" s="23" customFormat="1" hidden="1" outlineLevel="1" x14ac:dyDescent="0.25">
      <c r="A117" s="44"/>
      <c r="B117" s="10" t="str">
        <f>CONCATENATE("          ", "5013", " - ", "PURCHASES @ COST-TRADE BOOKS")</f>
        <v xml:space="preserve">          5013 - PURCHASES @ COST-TRADE BOOKS</v>
      </c>
      <c r="C117" s="10"/>
      <c r="D117" s="2">
        <v>2907.93</v>
      </c>
      <c r="E117" s="2"/>
      <c r="F117" s="19">
        <f t="shared" si="28"/>
        <v>1.5813019485556589E-2</v>
      </c>
      <c r="G117" s="2"/>
      <c r="H117" s="2">
        <v>3297.82</v>
      </c>
      <c r="I117" s="2"/>
      <c r="J117" s="19">
        <f t="shared" si="29"/>
        <v>1.421218502378861E-2</v>
      </c>
      <c r="K117" s="2"/>
      <c r="L117" s="2">
        <f t="shared" si="30"/>
        <v>-389.89000000000033</v>
      </c>
      <c r="M117" s="2"/>
      <c r="N117" s="19">
        <f t="shared" si="31"/>
        <v>-0.11822658604775285</v>
      </c>
      <c r="O117" s="10"/>
      <c r="P117" s="2">
        <v>8870.02</v>
      </c>
      <c r="Q117" s="2"/>
      <c r="R117" s="19">
        <f t="shared" si="32"/>
        <v>2.0801265715939326E-3</v>
      </c>
      <c r="S117" s="2"/>
      <c r="T117" s="2">
        <v>6348.54</v>
      </c>
      <c r="U117" s="2"/>
      <c r="V117" s="19">
        <f t="shared" si="33"/>
        <v>7.3834930603040058E-4</v>
      </c>
      <c r="W117" s="2"/>
      <c r="X117" s="2">
        <f t="shared" si="34"/>
        <v>2521.4800000000005</v>
      </c>
      <c r="Y117" s="2"/>
      <c r="Z117" s="19">
        <f t="shared" si="35"/>
        <v>0.39717478349352775</v>
      </c>
    </row>
    <row r="118" spans="1:26" s="23" customFormat="1" hidden="1" outlineLevel="1" x14ac:dyDescent="0.25">
      <c r="A118" s="44"/>
      <c r="B118" s="10" t="str">
        <f>CONCATENATE("          ", "5014", " - ", "PURCHASES @ COST-REMAINDERS")</f>
        <v xml:space="preserve">          5014 - PURCHASES @ COST-REMAINDERS</v>
      </c>
      <c r="C118" s="10"/>
      <c r="D118" s="2"/>
      <c r="E118" s="2"/>
      <c r="F118" s="19">
        <f t="shared" si="28"/>
        <v>0</v>
      </c>
      <c r="G118" s="2"/>
      <c r="H118" s="2">
        <v>13.9</v>
      </c>
      <c r="I118" s="2"/>
      <c r="J118" s="19">
        <f t="shared" si="29"/>
        <v>5.9903018306233115E-5</v>
      </c>
      <c r="K118" s="2"/>
      <c r="L118" s="2">
        <f t="shared" si="30"/>
        <v>-13.9</v>
      </c>
      <c r="M118" s="2"/>
      <c r="N118" s="19">
        <f t="shared" si="31"/>
        <v>-1</v>
      </c>
      <c r="O118" s="10"/>
      <c r="P118" s="2">
        <v>111.57</v>
      </c>
      <c r="Q118" s="2"/>
      <c r="R118" s="19">
        <f t="shared" si="32"/>
        <v>2.6164509391493486E-5</v>
      </c>
      <c r="S118" s="2"/>
      <c r="T118" s="2">
        <v>615.07000000000005</v>
      </c>
      <c r="U118" s="2"/>
      <c r="V118" s="19">
        <f t="shared" si="33"/>
        <v>7.1534007450550603E-5</v>
      </c>
      <c r="W118" s="2"/>
      <c r="X118" s="2">
        <f t="shared" si="34"/>
        <v>-503.50000000000006</v>
      </c>
      <c r="Y118" s="2"/>
      <c r="Z118" s="19">
        <f t="shared" si="35"/>
        <v>-0.81860601232380059</v>
      </c>
    </row>
    <row r="119" spans="1:26" s="23" customFormat="1" hidden="1" outlineLevel="1" x14ac:dyDescent="0.25">
      <c r="A119" s="44"/>
      <c r="B119" s="10" t="str">
        <f>CONCATENATE("          ", "5017", " - ", "PURCHASES @ COST-DORM/HOUSEWAR")</f>
        <v xml:space="preserve">          5017 - PURCHASES @ COST-DORM/HOUSEWAR</v>
      </c>
      <c r="C119" s="10"/>
      <c r="D119" s="2"/>
      <c r="E119" s="2"/>
      <c r="F119" s="19">
        <f t="shared" si="28"/>
        <v>0</v>
      </c>
      <c r="G119" s="2"/>
      <c r="H119" s="2">
        <v>14.46</v>
      </c>
      <c r="I119" s="2"/>
      <c r="J119" s="19">
        <f t="shared" si="29"/>
        <v>6.2316377317131713E-5</v>
      </c>
      <c r="K119" s="2"/>
      <c r="L119" s="2">
        <f t="shared" si="30"/>
        <v>-14.46</v>
      </c>
      <c r="M119" s="2"/>
      <c r="N119" s="19">
        <f t="shared" si="31"/>
        <v>-1</v>
      </c>
      <c r="O119" s="10"/>
      <c r="P119" s="2"/>
      <c r="Q119" s="2"/>
      <c r="R119" s="19">
        <f t="shared" si="32"/>
        <v>0</v>
      </c>
      <c r="S119" s="2"/>
      <c r="T119" s="2">
        <v>14.46</v>
      </c>
      <c r="U119" s="2"/>
      <c r="V119" s="19">
        <f t="shared" si="33"/>
        <v>1.6817301245955124E-6</v>
      </c>
      <c r="W119" s="2"/>
      <c r="X119" s="2">
        <f t="shared" si="34"/>
        <v>-14.46</v>
      </c>
      <c r="Y119" s="2"/>
      <c r="Z119" s="19">
        <f t="shared" si="35"/>
        <v>-1</v>
      </c>
    </row>
    <row r="120" spans="1:26" s="23" customFormat="1" hidden="1" outlineLevel="1" x14ac:dyDescent="0.25">
      <c r="A120" s="44"/>
      <c r="B120" s="10" t="str">
        <f>CONCATENATE("          ", "5018", " - ", "PURCHASES @ COST-STUDY GUIDES")</f>
        <v xml:space="preserve">          5018 - PURCHASES @ COST-STUDY GUIDES</v>
      </c>
      <c r="C120" s="10"/>
      <c r="D120" s="2">
        <v>444.87</v>
      </c>
      <c r="E120" s="2"/>
      <c r="F120" s="19">
        <f t="shared" si="28"/>
        <v>2.4191565747936025E-3</v>
      </c>
      <c r="G120" s="2"/>
      <c r="H120" s="2">
        <v>108.9</v>
      </c>
      <c r="I120" s="2"/>
      <c r="J120" s="19">
        <f t="shared" si="29"/>
        <v>4.6931213622653141E-4</v>
      </c>
      <c r="K120" s="2"/>
      <c r="L120" s="2">
        <f t="shared" si="30"/>
        <v>335.97</v>
      </c>
      <c r="M120" s="2"/>
      <c r="N120" s="19">
        <f t="shared" si="31"/>
        <v>3.0851239669421489</v>
      </c>
      <c r="O120" s="10"/>
      <c r="P120" s="2">
        <v>967.21</v>
      </c>
      <c r="Q120" s="2"/>
      <c r="R120" s="19">
        <f t="shared" si="32"/>
        <v>2.268223996463782E-4</v>
      </c>
      <c r="S120" s="2"/>
      <c r="T120" s="2">
        <v>2377.33</v>
      </c>
      <c r="U120" s="2"/>
      <c r="V120" s="19">
        <f t="shared" si="33"/>
        <v>2.7648876051899367E-4</v>
      </c>
      <c r="W120" s="2"/>
      <c r="X120" s="2">
        <f t="shared" si="34"/>
        <v>-1410.12</v>
      </c>
      <c r="Y120" s="2"/>
      <c r="Z120" s="19">
        <f t="shared" si="35"/>
        <v>-0.59315282270446257</v>
      </c>
    </row>
    <row r="121" spans="1:26" s="23" customFormat="1" hidden="1" outlineLevel="1" x14ac:dyDescent="0.25">
      <c r="A121" s="44"/>
      <c r="B121" s="10" t="str">
        <f>CONCATENATE("          ", "5025", " - ", "PURCHASES @ COST-TEST FORMS")</f>
        <v xml:space="preserve">          5025 - PURCHASES @ COST-TEST FORMS</v>
      </c>
      <c r="C121" s="10"/>
      <c r="D121" s="2"/>
      <c r="E121" s="2"/>
      <c r="F121" s="19">
        <f t="shared" si="28"/>
        <v>0</v>
      </c>
      <c r="G121" s="2"/>
      <c r="H121" s="2">
        <v>-1</v>
      </c>
      <c r="I121" s="2"/>
      <c r="J121" s="19">
        <f t="shared" si="29"/>
        <v>-4.3095696623189287E-6</v>
      </c>
      <c r="K121" s="2"/>
      <c r="L121" s="2">
        <f t="shared" si="30"/>
        <v>1</v>
      </c>
      <c r="M121" s="2"/>
      <c r="N121" s="19">
        <f t="shared" si="31"/>
        <v>-1</v>
      </c>
      <c r="O121" s="10"/>
      <c r="P121" s="2">
        <v>599.29</v>
      </c>
      <c r="Q121" s="2"/>
      <c r="R121" s="19">
        <f t="shared" si="32"/>
        <v>1.4054072629943651E-4</v>
      </c>
      <c r="S121" s="2"/>
      <c r="T121" s="2">
        <v>26400.39</v>
      </c>
      <c r="U121" s="2"/>
      <c r="V121" s="19">
        <f t="shared" si="33"/>
        <v>3.070424008580229E-3</v>
      </c>
      <c r="W121" s="2"/>
      <c r="X121" s="2">
        <f t="shared" si="34"/>
        <v>-25801.1</v>
      </c>
      <c r="Y121" s="2"/>
      <c r="Z121" s="19">
        <f t="shared" si="35"/>
        <v>-0.97729995655367208</v>
      </c>
    </row>
    <row r="122" spans="1:26" s="23" customFormat="1" hidden="1" outlineLevel="1" x14ac:dyDescent="0.25">
      <c r="A122" s="44"/>
      <c r="B122" s="10" t="str">
        <f>CONCATENATE("          ", "5026", " - ", "PURCHASES @ COST-WRITING INSTR")</f>
        <v xml:space="preserve">          5026 - PURCHASES @ COST-WRITING INSTR</v>
      </c>
      <c r="C122" s="10"/>
      <c r="D122" s="2">
        <v>209.64</v>
      </c>
      <c r="E122" s="2"/>
      <c r="F122" s="19">
        <f t="shared" si="28"/>
        <v>1.1400004143676372E-3</v>
      </c>
      <c r="G122" s="2"/>
      <c r="H122" s="2">
        <v>3209.26</v>
      </c>
      <c r="I122" s="2"/>
      <c r="J122" s="19">
        <f t="shared" si="29"/>
        <v>1.3830529534493647E-2</v>
      </c>
      <c r="K122" s="2"/>
      <c r="L122" s="2">
        <f t="shared" si="30"/>
        <v>-2999.6200000000003</v>
      </c>
      <c r="M122" s="2"/>
      <c r="N122" s="19">
        <f t="shared" si="31"/>
        <v>-0.93467652979191473</v>
      </c>
      <c r="O122" s="10"/>
      <c r="P122" s="2">
        <v>584.54999999999995</v>
      </c>
      <c r="Q122" s="2"/>
      <c r="R122" s="19">
        <f t="shared" si="32"/>
        <v>1.3708401868600445E-4</v>
      </c>
      <c r="S122" s="2"/>
      <c r="T122" s="2">
        <v>48971.27</v>
      </c>
      <c r="U122" s="2"/>
      <c r="V122" s="19">
        <f t="shared" si="33"/>
        <v>5.6954674964523142E-3</v>
      </c>
      <c r="W122" s="2"/>
      <c r="X122" s="2">
        <f t="shared" si="34"/>
        <v>-48386.719999999994</v>
      </c>
      <c r="Y122" s="2"/>
      <c r="Z122" s="19">
        <f t="shared" si="35"/>
        <v>-0.98806340942352522</v>
      </c>
    </row>
    <row r="123" spans="1:26" s="23" customFormat="1" hidden="1" outlineLevel="1" x14ac:dyDescent="0.25">
      <c r="A123" s="44"/>
      <c r="B123" s="10" t="str">
        <f>CONCATENATE("          ", "5027", " - ", "PURCHASES @ COST-SCHOOL SUPPLI")</f>
        <v xml:space="preserve">          5027 - PURCHASES @ COST-SCHOOL SUPPLI</v>
      </c>
      <c r="C123" s="10"/>
      <c r="D123" s="2">
        <v>2824.53</v>
      </c>
      <c r="E123" s="2"/>
      <c r="F123" s="19">
        <f t="shared" si="28"/>
        <v>1.5359499000161338E-2</v>
      </c>
      <c r="G123" s="2"/>
      <c r="H123" s="2">
        <v>19253.84</v>
      </c>
      <c r="I123" s="2"/>
      <c r="J123" s="19">
        <f t="shared" si="29"/>
        <v>8.2975764747142688E-2</v>
      </c>
      <c r="K123" s="2"/>
      <c r="L123" s="2">
        <f t="shared" si="30"/>
        <v>-16429.310000000001</v>
      </c>
      <c r="M123" s="2"/>
      <c r="N123" s="19">
        <f t="shared" si="31"/>
        <v>-0.85330043253709398</v>
      </c>
      <c r="O123" s="10"/>
      <c r="P123" s="2">
        <v>21895.88</v>
      </c>
      <c r="Q123" s="2"/>
      <c r="R123" s="19">
        <f t="shared" si="32"/>
        <v>5.1348477000539069E-3</v>
      </c>
      <c r="S123" s="2"/>
      <c r="T123" s="2">
        <v>137605.04</v>
      </c>
      <c r="U123" s="2"/>
      <c r="V123" s="19">
        <f t="shared" si="33"/>
        <v>1.6003771857826449E-2</v>
      </c>
      <c r="W123" s="2"/>
      <c r="X123" s="2">
        <f t="shared" si="34"/>
        <v>-115709.16</v>
      </c>
      <c r="Y123" s="2"/>
      <c r="Z123" s="19">
        <f t="shared" si="35"/>
        <v>-0.84087879339303262</v>
      </c>
    </row>
    <row r="124" spans="1:26" s="23" customFormat="1" hidden="1" outlineLevel="1" x14ac:dyDescent="0.25">
      <c r="A124" s="44"/>
      <c r="B124" s="10" t="str">
        <f>CONCATENATE("          ", "5028", " - ", "PURCHASES @ COST-ART/TECH")</f>
        <v xml:space="preserve">          5028 - PURCHASES @ COST-ART/TECH</v>
      </c>
      <c r="C124" s="10"/>
      <c r="D124" s="2">
        <v>3443.78</v>
      </c>
      <c r="E124" s="2"/>
      <c r="F124" s="19">
        <f t="shared" si="28"/>
        <v>1.8726915793698638E-2</v>
      </c>
      <c r="G124" s="2"/>
      <c r="H124" s="2">
        <v>4417.37</v>
      </c>
      <c r="I124" s="2"/>
      <c r="J124" s="19">
        <f t="shared" si="29"/>
        <v>1.9036963739237765E-2</v>
      </c>
      <c r="K124" s="2"/>
      <c r="L124" s="2">
        <f t="shared" si="30"/>
        <v>-973.58999999999969</v>
      </c>
      <c r="M124" s="2"/>
      <c r="N124" s="19">
        <f t="shared" si="31"/>
        <v>-0.22040037397818152</v>
      </c>
      <c r="O124" s="10"/>
      <c r="P124" s="2">
        <v>45635.360000000001</v>
      </c>
      <c r="Q124" s="2"/>
      <c r="R124" s="19">
        <f t="shared" si="32"/>
        <v>1.0702041815041554E-2</v>
      </c>
      <c r="S124" s="2"/>
      <c r="T124" s="2">
        <v>151070.15</v>
      </c>
      <c r="U124" s="2"/>
      <c r="V124" s="19">
        <f t="shared" si="33"/>
        <v>1.7569794065156481E-2</v>
      </c>
      <c r="W124" s="2"/>
      <c r="X124" s="2">
        <f t="shared" si="34"/>
        <v>-105434.79</v>
      </c>
      <c r="Y124" s="2"/>
      <c r="Z124" s="19">
        <f t="shared" si="35"/>
        <v>-0.69791941028720761</v>
      </c>
    </row>
    <row r="125" spans="1:26" s="23" customFormat="1" hidden="1" outlineLevel="1" x14ac:dyDescent="0.25">
      <c r="A125" s="44"/>
      <c r="B125" s="10" t="str">
        <f>CONCATENATE("          ", "5031", " - ", "PURCHASES @ COST-FOOD")</f>
        <v xml:space="preserve">          5031 - PURCHASES @ COST-FOOD</v>
      </c>
      <c r="C125" s="10"/>
      <c r="D125" s="2"/>
      <c r="E125" s="2"/>
      <c r="F125" s="19">
        <f t="shared" si="28"/>
        <v>0</v>
      </c>
      <c r="G125" s="2"/>
      <c r="H125" s="2">
        <v>3113.82</v>
      </c>
      <c r="I125" s="2"/>
      <c r="J125" s="19">
        <f t="shared" si="29"/>
        <v>1.3419224205921928E-2</v>
      </c>
      <c r="K125" s="2"/>
      <c r="L125" s="2">
        <f t="shared" si="30"/>
        <v>-3113.82</v>
      </c>
      <c r="M125" s="2"/>
      <c r="N125" s="19">
        <f t="shared" si="31"/>
        <v>-1</v>
      </c>
      <c r="O125" s="10"/>
      <c r="P125" s="2">
        <v>7785.72</v>
      </c>
      <c r="Q125" s="2"/>
      <c r="R125" s="19">
        <f t="shared" si="32"/>
        <v>1.825845156041397E-3</v>
      </c>
      <c r="S125" s="2"/>
      <c r="T125" s="2">
        <v>33239.879999999997</v>
      </c>
      <c r="U125" s="2"/>
      <c r="V125" s="19">
        <f t="shared" si="33"/>
        <v>3.8658718903139605E-3</v>
      </c>
      <c r="W125" s="2"/>
      <c r="X125" s="2">
        <f t="shared" si="34"/>
        <v>-25454.159999999996</v>
      </c>
      <c r="Y125" s="2"/>
      <c r="Z125" s="19">
        <f t="shared" si="35"/>
        <v>-0.76577171758742801</v>
      </c>
    </row>
    <row r="126" spans="1:26" s="23" customFormat="1" hidden="1" outlineLevel="1" x14ac:dyDescent="0.25">
      <c r="A126" s="44"/>
      <c r="B126" s="10" t="str">
        <f>CONCATENATE("          ", "5032", " - ", "PURCHASES @ COST-JUICE")</f>
        <v xml:space="preserve">          5032 - PURCHASES @ COST-JUICE</v>
      </c>
      <c r="C126" s="10"/>
      <c r="D126" s="2"/>
      <c r="E126" s="2"/>
      <c r="F126" s="19">
        <f t="shared" si="28"/>
        <v>0</v>
      </c>
      <c r="G126" s="2"/>
      <c r="H126" s="2">
        <v>688.97</v>
      </c>
      <c r="I126" s="2"/>
      <c r="J126" s="19">
        <f t="shared" si="29"/>
        <v>2.9691642102478728E-3</v>
      </c>
      <c r="K126" s="2"/>
      <c r="L126" s="2">
        <f t="shared" si="30"/>
        <v>-688.97</v>
      </c>
      <c r="M126" s="2"/>
      <c r="N126" s="19">
        <f t="shared" si="31"/>
        <v>-1</v>
      </c>
      <c r="O126" s="10"/>
      <c r="P126" s="2"/>
      <c r="Q126" s="2"/>
      <c r="R126" s="19">
        <f t="shared" si="32"/>
        <v>0</v>
      </c>
      <c r="S126" s="2"/>
      <c r="T126" s="2">
        <v>7802.45</v>
      </c>
      <c r="U126" s="2"/>
      <c r="V126" s="19">
        <f t="shared" si="33"/>
        <v>9.0744226906294982E-4</v>
      </c>
      <c r="W126" s="2"/>
      <c r="X126" s="2">
        <f t="shared" si="34"/>
        <v>-7802.45</v>
      </c>
      <c r="Y126" s="2"/>
      <c r="Z126" s="19">
        <f t="shared" si="35"/>
        <v>-1</v>
      </c>
    </row>
    <row r="127" spans="1:26" s="23" customFormat="1" hidden="1" outlineLevel="1" x14ac:dyDescent="0.25">
      <c r="A127" s="44"/>
      <c r="B127" s="10" t="str">
        <f>CONCATENATE("          ", "5033", " - ", "PURCHASES @ COST-CANDY")</f>
        <v xml:space="preserve">          5033 - PURCHASES @ COST-CANDY</v>
      </c>
      <c r="C127" s="10"/>
      <c r="D127" s="2"/>
      <c r="E127" s="2"/>
      <c r="F127" s="19">
        <f t="shared" si="28"/>
        <v>0</v>
      </c>
      <c r="G127" s="2"/>
      <c r="H127" s="2">
        <v>1198.55</v>
      </c>
      <c r="I127" s="2"/>
      <c r="J127" s="19">
        <f t="shared" si="29"/>
        <v>5.1652347187723519E-3</v>
      </c>
      <c r="K127" s="2"/>
      <c r="L127" s="2">
        <f t="shared" si="30"/>
        <v>-1198.55</v>
      </c>
      <c r="M127" s="2"/>
      <c r="N127" s="19">
        <f t="shared" si="31"/>
        <v>-1</v>
      </c>
      <c r="O127" s="10"/>
      <c r="P127" s="2"/>
      <c r="Q127" s="2"/>
      <c r="R127" s="19">
        <f t="shared" si="32"/>
        <v>0</v>
      </c>
      <c r="S127" s="2"/>
      <c r="T127" s="2">
        <v>10023.61</v>
      </c>
      <c r="U127" s="2"/>
      <c r="V127" s="19">
        <f t="shared" si="33"/>
        <v>1.1657681116318689E-3</v>
      </c>
      <c r="W127" s="2"/>
      <c r="X127" s="2">
        <f t="shared" si="34"/>
        <v>-10023.61</v>
      </c>
      <c r="Y127" s="2"/>
      <c r="Z127" s="19">
        <f t="shared" si="35"/>
        <v>-1</v>
      </c>
    </row>
    <row r="128" spans="1:26" s="23" customFormat="1" hidden="1" outlineLevel="1" x14ac:dyDescent="0.25">
      <c r="A128" s="44"/>
      <c r="B128" s="10" t="str">
        <f>CONCATENATE("          ", "5034", " - ", "PURCHASES @ COST-SODA")</f>
        <v xml:space="preserve">          5034 - PURCHASES @ COST-SODA</v>
      </c>
      <c r="C128" s="10"/>
      <c r="D128" s="2"/>
      <c r="E128" s="2"/>
      <c r="F128" s="19">
        <f t="shared" si="28"/>
        <v>0</v>
      </c>
      <c r="G128" s="2"/>
      <c r="H128" s="2">
        <v>271.79000000000002</v>
      </c>
      <c r="I128" s="2"/>
      <c r="J128" s="19">
        <f t="shared" si="29"/>
        <v>1.1712979385216618E-3</v>
      </c>
      <c r="K128" s="2"/>
      <c r="L128" s="2">
        <f t="shared" si="30"/>
        <v>-271.79000000000002</v>
      </c>
      <c r="M128" s="2"/>
      <c r="N128" s="19">
        <f t="shared" si="31"/>
        <v>-1</v>
      </c>
      <c r="O128" s="10"/>
      <c r="P128" s="2"/>
      <c r="Q128" s="2"/>
      <c r="R128" s="19">
        <f t="shared" si="32"/>
        <v>0</v>
      </c>
      <c r="S128" s="2"/>
      <c r="T128" s="2">
        <v>4033.88</v>
      </c>
      <c r="U128" s="2"/>
      <c r="V128" s="19">
        <f t="shared" si="33"/>
        <v>4.6914920574020366E-4</v>
      </c>
      <c r="W128" s="2"/>
      <c r="X128" s="2">
        <f t="shared" si="34"/>
        <v>-4033.88</v>
      </c>
      <c r="Y128" s="2"/>
      <c r="Z128" s="19">
        <f t="shared" si="35"/>
        <v>-1</v>
      </c>
    </row>
    <row r="129" spans="1:26" s="23" customFormat="1" hidden="1" outlineLevel="1" x14ac:dyDescent="0.25">
      <c r="A129" s="44"/>
      <c r="B129" s="10" t="str">
        <f>CONCATENATE("          ", "5035", " - ", "PURCHASES @ COST-HEALTH &amp; BEAU")</f>
        <v xml:space="preserve">          5035 - PURCHASES @ COST-HEALTH &amp; BEAU</v>
      </c>
      <c r="C129" s="10"/>
      <c r="D129" s="2"/>
      <c r="E129" s="2"/>
      <c r="F129" s="19">
        <f t="shared" si="28"/>
        <v>0</v>
      </c>
      <c r="G129" s="2"/>
      <c r="H129" s="2">
        <v>61.98</v>
      </c>
      <c r="I129" s="2"/>
      <c r="J129" s="19">
        <f t="shared" si="29"/>
        <v>2.6710712767052719E-4</v>
      </c>
      <c r="K129" s="2"/>
      <c r="L129" s="2">
        <f t="shared" si="30"/>
        <v>-61.98</v>
      </c>
      <c r="M129" s="2"/>
      <c r="N129" s="19">
        <f t="shared" si="31"/>
        <v>-1</v>
      </c>
      <c r="O129" s="10"/>
      <c r="P129" s="2"/>
      <c r="Q129" s="2"/>
      <c r="R129" s="19">
        <f t="shared" si="32"/>
        <v>0</v>
      </c>
      <c r="S129" s="2"/>
      <c r="T129" s="2">
        <v>1117.6500000000001</v>
      </c>
      <c r="U129" s="2"/>
      <c r="V129" s="19">
        <f t="shared" si="33"/>
        <v>1.2998517799129837E-4</v>
      </c>
      <c r="W129" s="2"/>
      <c r="X129" s="2">
        <f t="shared" si="34"/>
        <v>-1117.6500000000001</v>
      </c>
      <c r="Y129" s="2"/>
      <c r="Z129" s="19">
        <f t="shared" si="35"/>
        <v>-1</v>
      </c>
    </row>
    <row r="130" spans="1:26" s="23" customFormat="1" hidden="1" outlineLevel="1" x14ac:dyDescent="0.25">
      <c r="A130" s="44"/>
      <c r="B130" s="10" t="str">
        <f>CONCATENATE("          ", "5037", " - ", "PURCHASES @ COST-WATER")</f>
        <v xml:space="preserve">          5037 - PURCHASES @ COST-WATER</v>
      </c>
      <c r="C130" s="10"/>
      <c r="D130" s="2"/>
      <c r="E130" s="2"/>
      <c r="F130" s="19">
        <f t="shared" si="28"/>
        <v>0</v>
      </c>
      <c r="G130" s="2"/>
      <c r="H130" s="2">
        <v>393.84</v>
      </c>
      <c r="I130" s="2"/>
      <c r="J130" s="19">
        <f t="shared" si="29"/>
        <v>1.6972809158076869E-3</v>
      </c>
      <c r="K130" s="2"/>
      <c r="L130" s="2">
        <f t="shared" si="30"/>
        <v>-393.84</v>
      </c>
      <c r="M130" s="2"/>
      <c r="N130" s="19">
        <f t="shared" si="31"/>
        <v>-1</v>
      </c>
      <c r="O130" s="10"/>
      <c r="P130" s="2"/>
      <c r="Q130" s="2"/>
      <c r="R130" s="19">
        <f t="shared" si="32"/>
        <v>0</v>
      </c>
      <c r="S130" s="2"/>
      <c r="T130" s="2">
        <v>5693.57</v>
      </c>
      <c r="U130" s="2"/>
      <c r="V130" s="19">
        <f t="shared" si="33"/>
        <v>6.6217483993729395E-4</v>
      </c>
      <c r="W130" s="2"/>
      <c r="X130" s="2">
        <f t="shared" si="34"/>
        <v>-5693.57</v>
      </c>
      <c r="Y130" s="2"/>
      <c r="Z130" s="19">
        <f t="shared" si="35"/>
        <v>-1</v>
      </c>
    </row>
    <row r="131" spans="1:26" s="23" customFormat="1" hidden="1" outlineLevel="1" x14ac:dyDescent="0.25">
      <c r="A131" s="44"/>
      <c r="B131" s="10" t="str">
        <f>CONCATENATE("          ", "5040", " - ", "PURCHASES @ COST-LOGO CLOTHING")</f>
        <v xml:space="preserve">          5040 - PURCHASES @ COST-LOGO CLOTHING</v>
      </c>
      <c r="C131" s="10"/>
      <c r="D131" s="2">
        <v>45900.51</v>
      </c>
      <c r="E131" s="2"/>
      <c r="F131" s="19">
        <f t="shared" si="28"/>
        <v>0.24960217715934879</v>
      </c>
      <c r="G131" s="2"/>
      <c r="H131" s="2">
        <v>65352.98</v>
      </c>
      <c r="I131" s="2"/>
      <c r="J131" s="19">
        <f t="shared" si="29"/>
        <v>0.28164321995013575</v>
      </c>
      <c r="K131" s="2"/>
      <c r="L131" s="2">
        <f t="shared" si="30"/>
        <v>-19452.47</v>
      </c>
      <c r="M131" s="2"/>
      <c r="N131" s="19">
        <f t="shared" si="31"/>
        <v>-0.29765237943242984</v>
      </c>
      <c r="O131" s="10"/>
      <c r="P131" s="2">
        <v>239871.6</v>
      </c>
      <c r="Q131" s="2"/>
      <c r="R131" s="19">
        <f t="shared" si="32"/>
        <v>5.6252780594716945E-2</v>
      </c>
      <c r="S131" s="2"/>
      <c r="T131" s="2">
        <v>966898.54</v>
      </c>
      <c r="U131" s="2"/>
      <c r="V131" s="19">
        <f t="shared" si="33"/>
        <v>0.11245244828114929</v>
      </c>
      <c r="W131" s="2"/>
      <c r="X131" s="2">
        <f t="shared" si="34"/>
        <v>-727026.94000000006</v>
      </c>
      <c r="Y131" s="2"/>
      <c r="Z131" s="19">
        <f t="shared" si="35"/>
        <v>-0.75191647305621134</v>
      </c>
    </row>
    <row r="132" spans="1:26" s="23" customFormat="1" hidden="1" outlineLevel="1" x14ac:dyDescent="0.25">
      <c r="A132" s="44"/>
      <c r="B132" s="10" t="str">
        <f>CONCATENATE("          ", "5041", " - ", "PURCHASES @ COST-LOGO GIFTS")</f>
        <v xml:space="preserve">          5041 - PURCHASES @ COST-LOGO GIFTS</v>
      </c>
      <c r="C132" s="10"/>
      <c r="D132" s="2">
        <v>899.63</v>
      </c>
      <c r="E132" s="2"/>
      <c r="F132" s="19">
        <f t="shared" si="28"/>
        <v>4.8920939361646511E-3</v>
      </c>
      <c r="G132" s="2"/>
      <c r="H132" s="2">
        <v>15128.67</v>
      </c>
      <c r="I132" s="2"/>
      <c r="J132" s="19">
        <f t="shared" si="29"/>
        <v>6.5198057263234507E-2</v>
      </c>
      <c r="K132" s="2"/>
      <c r="L132" s="2">
        <f t="shared" si="30"/>
        <v>-14229.04</v>
      </c>
      <c r="M132" s="2"/>
      <c r="N132" s="19">
        <f t="shared" si="31"/>
        <v>-0.94053475949967846</v>
      </c>
      <c r="O132" s="10"/>
      <c r="P132" s="2">
        <v>68463.44</v>
      </c>
      <c r="Q132" s="2"/>
      <c r="R132" s="19">
        <f t="shared" si="32"/>
        <v>1.6055501647879816E-2</v>
      </c>
      <c r="S132" s="2"/>
      <c r="T132" s="2">
        <v>149510.73000000001</v>
      </c>
      <c r="U132" s="2"/>
      <c r="V132" s="19">
        <f t="shared" si="33"/>
        <v>1.7388430054721023E-2</v>
      </c>
      <c r="W132" s="2"/>
      <c r="X132" s="2">
        <f t="shared" si="34"/>
        <v>-81047.290000000008</v>
      </c>
      <c r="Y132" s="2"/>
      <c r="Z132" s="19">
        <f t="shared" si="35"/>
        <v>-0.54208343441303508</v>
      </c>
    </row>
    <row r="133" spans="1:26" s="23" customFormat="1" hidden="1" outlineLevel="1" x14ac:dyDescent="0.25">
      <c r="A133" s="44"/>
      <c r="B133" s="10" t="str">
        <f>CONCATENATE("          ", "5042", " - ", "PURCHASES @ COST-EVERYDAY GIFT")</f>
        <v xml:space="preserve">          5042 - PURCHASES @ COST-EVERYDAY GIFT</v>
      </c>
      <c r="C133" s="10"/>
      <c r="D133" s="2">
        <v>-270</v>
      </c>
      <c r="E133" s="2"/>
      <c r="F133" s="19">
        <f t="shared" si="28"/>
        <v>-1.4682317872508207E-3</v>
      </c>
      <c r="G133" s="2"/>
      <c r="H133" s="2">
        <v>15355.27</v>
      </c>
      <c r="I133" s="2"/>
      <c r="J133" s="19">
        <f t="shared" si="29"/>
        <v>6.6174605748715976E-2</v>
      </c>
      <c r="K133" s="2"/>
      <c r="L133" s="2">
        <f t="shared" si="30"/>
        <v>-15625.27</v>
      </c>
      <c r="M133" s="2"/>
      <c r="N133" s="19">
        <f t="shared" si="31"/>
        <v>-1.0175835397228443</v>
      </c>
      <c r="O133" s="10"/>
      <c r="P133" s="2">
        <v>18748.18</v>
      </c>
      <c r="Q133" s="2"/>
      <c r="R133" s="19">
        <f t="shared" si="32"/>
        <v>4.3966741210308361E-3</v>
      </c>
      <c r="S133" s="2"/>
      <c r="T133" s="2">
        <v>115363.24</v>
      </c>
      <c r="U133" s="2"/>
      <c r="V133" s="19">
        <f t="shared" si="33"/>
        <v>1.3417001105044398E-2</v>
      </c>
      <c r="W133" s="2"/>
      <c r="X133" s="2">
        <f t="shared" si="34"/>
        <v>-96615.06</v>
      </c>
      <c r="Y133" s="2"/>
      <c r="Z133" s="19">
        <f t="shared" si="35"/>
        <v>-0.83748566701143268</v>
      </c>
    </row>
    <row r="134" spans="1:26" s="23" customFormat="1" hidden="1" outlineLevel="1" x14ac:dyDescent="0.25">
      <c r="A134" s="44"/>
      <c r="B134" s="10" t="str">
        <f>CONCATENATE("          ", "5043", " - ", "PURCHASES @ COST-CARDS")</f>
        <v xml:space="preserve">          5043 - PURCHASES @ COST-CARDS</v>
      </c>
      <c r="C134" s="10"/>
      <c r="D134" s="2"/>
      <c r="E134" s="2"/>
      <c r="F134" s="19">
        <f t="shared" si="28"/>
        <v>0</v>
      </c>
      <c r="G134" s="2"/>
      <c r="H134" s="2">
        <v>-4258.25</v>
      </c>
      <c r="I134" s="2"/>
      <c r="J134" s="19">
        <f t="shared" si="29"/>
        <v>-1.835122501456958E-2</v>
      </c>
      <c r="K134" s="2"/>
      <c r="L134" s="2">
        <f t="shared" si="30"/>
        <v>4258.25</v>
      </c>
      <c r="M134" s="2"/>
      <c r="N134" s="19">
        <f t="shared" si="31"/>
        <v>-1</v>
      </c>
      <c r="O134" s="10"/>
      <c r="P134" s="2">
        <v>55364.33</v>
      </c>
      <c r="Q134" s="2"/>
      <c r="R134" s="19">
        <f t="shared" si="32"/>
        <v>1.2983602511775071E-2</v>
      </c>
      <c r="S134" s="2"/>
      <c r="T134" s="2">
        <v>24776.91</v>
      </c>
      <c r="U134" s="2"/>
      <c r="V134" s="19">
        <f t="shared" si="33"/>
        <v>2.8816096778279247E-3</v>
      </c>
      <c r="W134" s="2"/>
      <c r="X134" s="2">
        <f t="shared" si="34"/>
        <v>30587.420000000002</v>
      </c>
      <c r="Y134" s="2"/>
      <c r="Z134" s="19">
        <f t="shared" si="35"/>
        <v>1.2345131011090569</v>
      </c>
    </row>
    <row r="135" spans="1:26" s="23" customFormat="1" hidden="1" outlineLevel="1" x14ac:dyDescent="0.25">
      <c r="A135" s="44"/>
      <c r="B135" s="10" t="str">
        <f>CONCATENATE("          ", "5044", " - ", "PURCHASES @ COST-ACCESSORIES")</f>
        <v xml:space="preserve">          5044 - PURCHASES @ COST-ACCESSORIES</v>
      </c>
      <c r="C135" s="10"/>
      <c r="D135" s="2"/>
      <c r="E135" s="2"/>
      <c r="F135" s="19">
        <f t="shared" si="28"/>
        <v>0</v>
      </c>
      <c r="G135" s="2"/>
      <c r="H135" s="2">
        <v>-1305.4100000000001</v>
      </c>
      <c r="I135" s="2"/>
      <c r="J135" s="19">
        <f t="shared" si="29"/>
        <v>-5.6257553328877535E-3</v>
      </c>
      <c r="K135" s="2"/>
      <c r="L135" s="2">
        <f t="shared" si="30"/>
        <v>1305.4100000000001</v>
      </c>
      <c r="M135" s="2"/>
      <c r="N135" s="19">
        <f t="shared" si="31"/>
        <v>-1</v>
      </c>
      <c r="O135" s="10"/>
      <c r="P135" s="2">
        <v>1064.83</v>
      </c>
      <c r="Q135" s="2"/>
      <c r="R135" s="19">
        <f t="shared" si="32"/>
        <v>2.4971546594374839E-4</v>
      </c>
      <c r="S135" s="2"/>
      <c r="T135" s="2">
        <v>32094.03</v>
      </c>
      <c r="U135" s="2"/>
      <c r="V135" s="19">
        <f t="shared" si="33"/>
        <v>3.7326069896730361E-3</v>
      </c>
      <c r="W135" s="2"/>
      <c r="X135" s="2">
        <f t="shared" si="34"/>
        <v>-31029.199999999997</v>
      </c>
      <c r="Y135" s="2"/>
      <c r="Z135" s="19">
        <f t="shared" si="35"/>
        <v>-0.96682155528613878</v>
      </c>
    </row>
    <row r="136" spans="1:26" s="23" customFormat="1" hidden="1" outlineLevel="1" x14ac:dyDescent="0.25">
      <c r="A136" s="44"/>
      <c r="B136" s="10" t="str">
        <f>CONCATENATE("          ", "5045", " - ", "PURCHASES @ COST-SPECIAL ORDER")</f>
        <v xml:space="preserve">          5045 - PURCHASES @ COST-SPECIAL ORDER</v>
      </c>
      <c r="C136" s="10"/>
      <c r="D136" s="2">
        <v>13853.18</v>
      </c>
      <c r="E136" s="2"/>
      <c r="F136" s="19">
        <f t="shared" si="28"/>
        <v>7.5332145298175279E-2</v>
      </c>
      <c r="G136" s="2"/>
      <c r="H136" s="2">
        <v>6736.47</v>
      </c>
      <c r="I136" s="2"/>
      <c r="J136" s="19">
        <f t="shared" si="29"/>
        <v>2.9031286743121595E-2</v>
      </c>
      <c r="K136" s="2"/>
      <c r="L136" s="2">
        <f t="shared" si="30"/>
        <v>7116.71</v>
      </c>
      <c r="M136" s="2"/>
      <c r="N136" s="19">
        <f t="shared" si="31"/>
        <v>1.0564449927038939</v>
      </c>
      <c r="O136" s="10"/>
      <c r="P136" s="2">
        <v>109226.69</v>
      </c>
      <c r="Q136" s="2"/>
      <c r="R136" s="19">
        <f t="shared" si="32"/>
        <v>2.5614974960175205E-2</v>
      </c>
      <c r="S136" s="2"/>
      <c r="T136" s="2">
        <v>57701.25</v>
      </c>
      <c r="U136" s="2"/>
      <c r="V136" s="19">
        <f t="shared" si="33"/>
        <v>6.7107835651325585E-3</v>
      </c>
      <c r="W136" s="2"/>
      <c r="X136" s="2">
        <f t="shared" si="34"/>
        <v>51525.440000000002</v>
      </c>
      <c r="Y136" s="2"/>
      <c r="Z136" s="19">
        <f t="shared" si="35"/>
        <v>0.89296921643811877</v>
      </c>
    </row>
    <row r="137" spans="1:26" s="23" customFormat="1" hidden="1" outlineLevel="1" x14ac:dyDescent="0.25">
      <c r="A137" s="44"/>
      <c r="B137" s="10" t="str">
        <f>CONCATENATE("          ", "5081", " - ", "PURCHASES @ COST-ELECTRONICS")</f>
        <v xml:space="preserve">          5081 - PURCHASES @ COST-ELECTRONICS</v>
      </c>
      <c r="C137" s="10"/>
      <c r="D137" s="2"/>
      <c r="E137" s="2"/>
      <c r="F137" s="19">
        <f t="shared" si="28"/>
        <v>0</v>
      </c>
      <c r="G137" s="2"/>
      <c r="H137" s="2">
        <v>116.82</v>
      </c>
      <c r="I137" s="2"/>
      <c r="J137" s="19">
        <f t="shared" si="29"/>
        <v>5.0344392795209723E-4</v>
      </c>
      <c r="K137" s="2"/>
      <c r="L137" s="2">
        <f t="shared" si="30"/>
        <v>-116.82</v>
      </c>
      <c r="M137" s="2"/>
      <c r="N137" s="19">
        <f t="shared" si="31"/>
        <v>-1</v>
      </c>
      <c r="O137" s="10"/>
      <c r="P137" s="2"/>
      <c r="Q137" s="2"/>
      <c r="R137" s="19">
        <f t="shared" si="32"/>
        <v>0</v>
      </c>
      <c r="S137" s="2"/>
      <c r="T137" s="2">
        <v>2008.03</v>
      </c>
      <c r="U137" s="2"/>
      <c r="V137" s="19">
        <f t="shared" si="33"/>
        <v>2.3353835007548592E-4</v>
      </c>
      <c r="W137" s="2"/>
      <c r="X137" s="2">
        <f t="shared" si="34"/>
        <v>-2008.03</v>
      </c>
      <c r="Y137" s="2"/>
      <c r="Z137" s="19">
        <f t="shared" si="35"/>
        <v>-1</v>
      </c>
    </row>
    <row r="138" spans="1:26" s="23" customFormat="1" hidden="1" outlineLevel="1" x14ac:dyDescent="0.25">
      <c r="A138" s="44"/>
      <c r="B138" s="10" t="str">
        <f>CONCATENATE("          ", "5082", " - ", "PURCHASES @ COST-COMPUTER HARD")</f>
        <v xml:space="preserve">          5082 - PURCHASES @ COST-COMPUTER HARD</v>
      </c>
      <c r="C138" s="10"/>
      <c r="D138" s="2"/>
      <c r="E138" s="2"/>
      <c r="F138" s="19">
        <f t="shared" si="28"/>
        <v>0</v>
      </c>
      <c r="G138" s="2"/>
      <c r="H138" s="2"/>
      <c r="I138" s="2"/>
      <c r="J138" s="19">
        <f t="shared" si="29"/>
        <v>0</v>
      </c>
      <c r="K138" s="2"/>
      <c r="L138" s="2">
        <f t="shared" si="30"/>
        <v>0</v>
      </c>
      <c r="M138" s="2"/>
      <c r="N138" s="19">
        <f t="shared" si="31"/>
        <v>0</v>
      </c>
      <c r="O138" s="10"/>
      <c r="P138" s="2"/>
      <c r="Q138" s="2"/>
      <c r="R138" s="19">
        <f t="shared" si="32"/>
        <v>0</v>
      </c>
      <c r="S138" s="2"/>
      <c r="T138" s="2">
        <v>349.6</v>
      </c>
      <c r="U138" s="2"/>
      <c r="V138" s="19">
        <f t="shared" si="33"/>
        <v>4.0659256677634237E-5</v>
      </c>
      <c r="W138" s="2"/>
      <c r="X138" s="2">
        <f t="shared" si="34"/>
        <v>-349.6</v>
      </c>
      <c r="Y138" s="2"/>
      <c r="Z138" s="19">
        <f t="shared" si="35"/>
        <v>-1</v>
      </c>
    </row>
    <row r="139" spans="1:26" s="23" customFormat="1" hidden="1" outlineLevel="1" x14ac:dyDescent="0.25">
      <c r="A139" s="44"/>
      <c r="B139" s="10" t="str">
        <f>CONCATENATE("          ", "5083", " - ", "PURCHASES @ COST-COMPUTER EQUI")</f>
        <v xml:space="preserve">          5083 - PURCHASES @ COST-COMPUTER EQUI</v>
      </c>
      <c r="C139" s="10"/>
      <c r="D139" s="2"/>
      <c r="E139" s="2"/>
      <c r="F139" s="19">
        <f t="shared" si="28"/>
        <v>0</v>
      </c>
      <c r="G139" s="2"/>
      <c r="H139" s="2"/>
      <c r="I139" s="2"/>
      <c r="J139" s="19">
        <f t="shared" si="29"/>
        <v>0</v>
      </c>
      <c r="K139" s="2"/>
      <c r="L139" s="2">
        <f t="shared" si="30"/>
        <v>0</v>
      </c>
      <c r="M139" s="2"/>
      <c r="N139" s="19">
        <f t="shared" si="31"/>
        <v>0</v>
      </c>
      <c r="O139" s="10"/>
      <c r="P139" s="2"/>
      <c r="Q139" s="2"/>
      <c r="R139" s="19">
        <f t="shared" si="32"/>
        <v>0</v>
      </c>
      <c r="S139" s="2"/>
      <c r="T139" s="2">
        <v>395.06</v>
      </c>
      <c r="U139" s="2"/>
      <c r="V139" s="19">
        <f t="shared" si="33"/>
        <v>4.5946355672386105E-5</v>
      </c>
      <c r="W139" s="2"/>
      <c r="X139" s="2">
        <f t="shared" si="34"/>
        <v>-395.06</v>
      </c>
      <c r="Y139" s="2"/>
      <c r="Z139" s="19">
        <f t="shared" si="35"/>
        <v>-1</v>
      </c>
    </row>
    <row r="140" spans="1:26" s="23" customFormat="1" hidden="1" outlineLevel="1" x14ac:dyDescent="0.25">
      <c r="A140" s="44"/>
      <c r="B140" s="10" t="str">
        <f>CONCATENATE("          ", "5086", " - ", "PURCHASES @ COST-COMPUTER SUPP")</f>
        <v xml:space="preserve">          5086 - PURCHASES @ COST-COMPUTER SUPP</v>
      </c>
      <c r="C140" s="10"/>
      <c r="D140" s="2"/>
      <c r="E140" s="2"/>
      <c r="F140" s="19">
        <f t="shared" si="28"/>
        <v>0</v>
      </c>
      <c r="G140" s="2"/>
      <c r="H140" s="2"/>
      <c r="I140" s="2"/>
      <c r="J140" s="19">
        <f t="shared" si="29"/>
        <v>0</v>
      </c>
      <c r="K140" s="2"/>
      <c r="L140" s="2">
        <f t="shared" si="30"/>
        <v>0</v>
      </c>
      <c r="M140" s="2"/>
      <c r="N140" s="19">
        <f t="shared" si="31"/>
        <v>0</v>
      </c>
      <c r="O140" s="10"/>
      <c r="P140" s="2">
        <v>13.21</v>
      </c>
      <c r="Q140" s="2"/>
      <c r="R140" s="19">
        <f t="shared" si="32"/>
        <v>3.097904177302402E-6</v>
      </c>
      <c r="S140" s="2"/>
      <c r="T140" s="2">
        <v>426.22</v>
      </c>
      <c r="U140" s="2"/>
      <c r="V140" s="19">
        <f t="shared" si="33"/>
        <v>4.9570332898001328E-5</v>
      </c>
      <c r="W140" s="2"/>
      <c r="X140" s="2">
        <f t="shared" si="34"/>
        <v>-413.01000000000005</v>
      </c>
      <c r="Y140" s="2"/>
      <c r="Z140" s="19">
        <f t="shared" si="35"/>
        <v>-0.96900661630144058</v>
      </c>
    </row>
    <row r="141" spans="1:26" s="23" customFormat="1" hidden="1" outlineLevel="1" x14ac:dyDescent="0.25">
      <c r="A141" s="44"/>
      <c r="B141" s="10" t="str">
        <f>CONCATENATE("          ", "5092", " - ", "PURCHASES @ COST-GRAD MERCH")</f>
        <v xml:space="preserve">          5092 - PURCHASES @ COST-GRAD MERCH</v>
      </c>
      <c r="C141" s="10"/>
      <c r="D141" s="2"/>
      <c r="E141" s="2"/>
      <c r="F141" s="19">
        <f t="shared" si="28"/>
        <v>0</v>
      </c>
      <c r="G141" s="2"/>
      <c r="H141" s="2">
        <v>1036.33</v>
      </c>
      <c r="I141" s="2"/>
      <c r="J141" s="19">
        <f t="shared" si="29"/>
        <v>4.466136328150975E-3</v>
      </c>
      <c r="K141" s="2"/>
      <c r="L141" s="2">
        <f t="shared" si="30"/>
        <v>-1036.33</v>
      </c>
      <c r="M141" s="2"/>
      <c r="N141" s="19">
        <f t="shared" si="31"/>
        <v>-1</v>
      </c>
      <c r="O141" s="10"/>
      <c r="P141" s="2">
        <v>0</v>
      </c>
      <c r="Q141" s="2"/>
      <c r="R141" s="19">
        <f t="shared" si="32"/>
        <v>0</v>
      </c>
      <c r="S141" s="2"/>
      <c r="T141" s="2">
        <v>2946.13</v>
      </c>
      <c r="U141" s="2"/>
      <c r="V141" s="19">
        <f t="shared" si="33"/>
        <v>3.426414641752819E-4</v>
      </c>
      <c r="W141" s="2"/>
      <c r="X141" s="2">
        <f t="shared" si="34"/>
        <v>-2946.13</v>
      </c>
      <c r="Y141" s="2"/>
      <c r="Z141" s="19">
        <f t="shared" si="35"/>
        <v>-1</v>
      </c>
    </row>
    <row r="142" spans="1:26" s="23" customFormat="1" hidden="1" outlineLevel="1" x14ac:dyDescent="0.25">
      <c r="A142" s="44"/>
      <c r="B142" s="10" t="str">
        <f>CONCATENATE("          ", "5095", " - ", "PURCHASES @ COST-CUSTOMER SERV")</f>
        <v xml:space="preserve">          5095 - PURCHASES @ COST-CUSTOMER SERV</v>
      </c>
      <c r="C142" s="10"/>
      <c r="D142" s="2"/>
      <c r="E142" s="2"/>
      <c r="F142" s="19">
        <f t="shared" si="28"/>
        <v>0</v>
      </c>
      <c r="G142" s="2"/>
      <c r="H142" s="2"/>
      <c r="I142" s="2"/>
      <c r="J142" s="19">
        <f t="shared" si="29"/>
        <v>0</v>
      </c>
      <c r="K142" s="2"/>
      <c r="L142" s="2">
        <f t="shared" si="30"/>
        <v>0</v>
      </c>
      <c r="M142" s="2"/>
      <c r="N142" s="19">
        <f t="shared" si="31"/>
        <v>0</v>
      </c>
      <c r="O142" s="10"/>
      <c r="P142" s="2"/>
      <c r="Q142" s="2"/>
      <c r="R142" s="19">
        <f t="shared" si="32"/>
        <v>0</v>
      </c>
      <c r="S142" s="2"/>
      <c r="T142" s="2">
        <v>0</v>
      </c>
      <c r="U142" s="2"/>
      <c r="V142" s="19">
        <f t="shared" si="33"/>
        <v>0</v>
      </c>
      <c r="W142" s="2"/>
      <c r="X142" s="2">
        <f t="shared" si="34"/>
        <v>0</v>
      </c>
      <c r="Y142" s="2"/>
      <c r="Z142" s="19">
        <f t="shared" si="35"/>
        <v>0</v>
      </c>
    </row>
    <row r="143" spans="1:26" s="23" customFormat="1" hidden="1" outlineLevel="1" x14ac:dyDescent="0.25">
      <c r="A143" s="44"/>
      <c r="B143" s="10" t="str">
        <f>CONCATENATE("          ", "5200", " - ", "PURCHASES OFFSET")</f>
        <v xml:space="preserve">          5200 - PURCHASES OFFSET</v>
      </c>
      <c r="C143" s="10"/>
      <c r="D143" s="2">
        <v>217068.52</v>
      </c>
      <c r="E143" s="2"/>
      <c r="F143" s="19">
        <f t="shared" si="28"/>
        <v>1.1803959299092242</v>
      </c>
      <c r="G143" s="2"/>
      <c r="H143" s="2">
        <v>806727</v>
      </c>
      <c r="I143" s="2"/>
      <c r="J143" s="19">
        <f t="shared" si="29"/>
        <v>3.4766462049735627</v>
      </c>
      <c r="K143" s="2"/>
      <c r="L143" s="2">
        <f t="shared" si="30"/>
        <v>-589658.48</v>
      </c>
      <c r="M143" s="2"/>
      <c r="N143" s="19">
        <f t="shared" si="31"/>
        <v>-0.73092691827594714</v>
      </c>
      <c r="O143" s="10"/>
      <c r="P143" s="2">
        <v>-1763948.92</v>
      </c>
      <c r="Q143" s="2"/>
      <c r="R143" s="19">
        <f t="shared" si="32"/>
        <v>-0.41366727689750643</v>
      </c>
      <c r="S143" s="2"/>
      <c r="T143" s="2">
        <v>-3367613</v>
      </c>
      <c r="U143" s="2"/>
      <c r="V143" s="19">
        <f t="shared" si="33"/>
        <v>-0.39166087344947903</v>
      </c>
      <c r="W143" s="2"/>
      <c r="X143" s="2">
        <f t="shared" si="34"/>
        <v>1603664.08</v>
      </c>
      <c r="Y143" s="2"/>
      <c r="Z143" s="19">
        <f t="shared" si="35"/>
        <v>-0.47620201014784064</v>
      </c>
    </row>
    <row r="144" spans="1:26" s="23" customFormat="1" hidden="1" outlineLevel="1" x14ac:dyDescent="0.25">
      <c r="A144" s="44"/>
      <c r="B144" s="10" t="str">
        <f>CONCATENATE("          ", "5300", " - ", "COG$ OFFSET")</f>
        <v xml:space="preserve">          5300 - COG$ OFFSET</v>
      </c>
      <c r="C144" s="10"/>
      <c r="D144" s="2">
        <v>97595</v>
      </c>
      <c r="E144" s="2"/>
      <c r="F144" s="19">
        <f t="shared" si="28"/>
        <v>0.5307114121360883</v>
      </c>
      <c r="G144" s="2"/>
      <c r="H144" s="2">
        <v>96532</v>
      </c>
      <c r="I144" s="2"/>
      <c r="J144" s="19">
        <f t="shared" si="29"/>
        <v>0.41601137864297083</v>
      </c>
      <c r="K144" s="2"/>
      <c r="L144" s="2">
        <f t="shared" si="30"/>
        <v>1063</v>
      </c>
      <c r="M144" s="2"/>
      <c r="N144" s="19">
        <f t="shared" si="31"/>
        <v>1.1011892429453446E-2</v>
      </c>
      <c r="O144" s="10"/>
      <c r="P144" s="2">
        <v>2177508</v>
      </c>
      <c r="Q144" s="2"/>
      <c r="R144" s="19">
        <f t="shared" si="32"/>
        <v>0.51065186444431476</v>
      </c>
      <c r="S144" s="2"/>
      <c r="T144" s="2">
        <v>3823269.47</v>
      </c>
      <c r="U144" s="2"/>
      <c r="V144" s="19">
        <f t="shared" si="33"/>
        <v>0.44465473320507043</v>
      </c>
      <c r="W144" s="2"/>
      <c r="X144" s="2">
        <f t="shared" si="34"/>
        <v>-1645761.4700000002</v>
      </c>
      <c r="Y144" s="2"/>
      <c r="Z144" s="19">
        <f t="shared" si="35"/>
        <v>-0.43045918759160862</v>
      </c>
    </row>
    <row r="145" spans="1:26" s="23" customFormat="1" hidden="1" outlineLevel="1" x14ac:dyDescent="0.25">
      <c r="A145" s="44"/>
      <c r="B145" s="10" t="str">
        <f>CONCATENATE("          ", "5500", " - ", "FREIGHT-IN")</f>
        <v xml:space="preserve">          5500 - FREIGHT-IN</v>
      </c>
      <c r="C145" s="10"/>
      <c r="D145" s="2"/>
      <c r="E145" s="2"/>
      <c r="F145" s="19">
        <f t="shared" si="28"/>
        <v>0</v>
      </c>
      <c r="G145" s="2"/>
      <c r="H145" s="2"/>
      <c r="I145" s="2"/>
      <c r="J145" s="19">
        <f t="shared" si="29"/>
        <v>0</v>
      </c>
      <c r="K145" s="2"/>
      <c r="L145" s="2">
        <f t="shared" si="30"/>
        <v>0</v>
      </c>
      <c r="M145" s="2"/>
      <c r="N145" s="19">
        <f t="shared" si="31"/>
        <v>0</v>
      </c>
      <c r="O145" s="10"/>
      <c r="P145" s="2">
        <v>0</v>
      </c>
      <c r="Q145" s="2"/>
      <c r="R145" s="19">
        <f t="shared" si="32"/>
        <v>0</v>
      </c>
      <c r="S145" s="2"/>
      <c r="T145" s="2">
        <v>156.47999999999999</v>
      </c>
      <c r="U145" s="2"/>
      <c r="V145" s="19">
        <f t="shared" si="33"/>
        <v>1.8198971638776332E-5</v>
      </c>
      <c r="W145" s="2"/>
      <c r="X145" s="2">
        <f t="shared" si="34"/>
        <v>-156.47999999999999</v>
      </c>
      <c r="Y145" s="2"/>
      <c r="Z145" s="19">
        <f t="shared" si="35"/>
        <v>-1</v>
      </c>
    </row>
    <row r="146" spans="1:26" s="23" customFormat="1" hidden="1" outlineLevel="1" x14ac:dyDescent="0.25">
      <c r="A146" s="44"/>
      <c r="B146" s="10" t="str">
        <f>CONCATENATE("          ", "5501", " - ", "FREIGHT-IN-NEW TEXT")</f>
        <v xml:space="preserve">          5501 - FREIGHT-IN-NEW TEXT</v>
      </c>
      <c r="C146" s="10"/>
      <c r="D146" s="2">
        <v>785.54</v>
      </c>
      <c r="E146" s="2"/>
      <c r="F146" s="19">
        <f t="shared" si="28"/>
        <v>4.2716844376185547E-3</v>
      </c>
      <c r="G146" s="2"/>
      <c r="H146" s="2">
        <v>1315.81</v>
      </c>
      <c r="I146" s="2"/>
      <c r="J146" s="19">
        <f t="shared" si="29"/>
        <v>5.6705748573758694E-3</v>
      </c>
      <c r="K146" s="2"/>
      <c r="L146" s="2">
        <f t="shared" si="30"/>
        <v>-530.27</v>
      </c>
      <c r="M146" s="2"/>
      <c r="N146" s="19">
        <f t="shared" si="31"/>
        <v>-0.4029989132169538</v>
      </c>
      <c r="O146" s="10"/>
      <c r="P146" s="2">
        <v>50042.46</v>
      </c>
      <c r="Q146" s="2"/>
      <c r="R146" s="19">
        <f t="shared" si="32"/>
        <v>1.1735559869529776E-2</v>
      </c>
      <c r="S146" s="2"/>
      <c r="T146" s="2">
        <v>67340.55</v>
      </c>
      <c r="U146" s="2"/>
      <c r="V146" s="19">
        <f t="shared" si="33"/>
        <v>7.8318555699744344E-3</v>
      </c>
      <c r="W146" s="2"/>
      <c r="X146" s="2">
        <f t="shared" si="34"/>
        <v>-17298.090000000004</v>
      </c>
      <c r="Y146" s="2"/>
      <c r="Z146" s="19">
        <f t="shared" si="35"/>
        <v>-0.25687479534990437</v>
      </c>
    </row>
    <row r="147" spans="1:26" s="23" customFormat="1" hidden="1" outlineLevel="1" x14ac:dyDescent="0.25">
      <c r="A147" s="44"/>
      <c r="B147" s="10" t="str">
        <f>CONCATENATE("          ", "5502", " - ", "FREIGHT-IN-USED TEXT")</f>
        <v xml:space="preserve">          5502 - FREIGHT-IN-USED TEXT</v>
      </c>
      <c r="C147" s="10"/>
      <c r="D147" s="2">
        <v>663.37</v>
      </c>
      <c r="E147" s="2"/>
      <c r="F147" s="19">
        <f t="shared" si="28"/>
        <v>3.6073367433651E-3</v>
      </c>
      <c r="G147" s="2"/>
      <c r="H147" s="2">
        <v>506.55</v>
      </c>
      <c r="I147" s="2"/>
      <c r="J147" s="19">
        <f t="shared" si="29"/>
        <v>2.1830125124476536E-3</v>
      </c>
      <c r="K147" s="2"/>
      <c r="L147" s="2">
        <f t="shared" si="30"/>
        <v>156.82</v>
      </c>
      <c r="M147" s="2"/>
      <c r="N147" s="19">
        <f t="shared" si="31"/>
        <v>0.30958444378639816</v>
      </c>
      <c r="O147" s="10"/>
      <c r="P147" s="2">
        <v>17800.13</v>
      </c>
      <c r="Q147" s="2"/>
      <c r="R147" s="19">
        <f t="shared" si="32"/>
        <v>4.1743449722578202E-3</v>
      </c>
      <c r="S147" s="2"/>
      <c r="T147" s="2">
        <v>15264.64</v>
      </c>
      <c r="U147" s="2"/>
      <c r="V147" s="19">
        <f t="shared" si="33"/>
        <v>1.7753115441981769E-3</v>
      </c>
      <c r="W147" s="2"/>
      <c r="X147" s="2">
        <f t="shared" si="34"/>
        <v>2535.4900000000016</v>
      </c>
      <c r="Y147" s="2"/>
      <c r="Z147" s="19">
        <f t="shared" si="35"/>
        <v>0.16610218125026216</v>
      </c>
    </row>
    <row r="148" spans="1:26" s="23" customFormat="1" hidden="1" outlineLevel="1" x14ac:dyDescent="0.25">
      <c r="A148" s="44"/>
      <c r="B148" s="10" t="str">
        <f>CONCATENATE("          ", "5504", " - ", "FREIGHT-IN-DIGITAL TEXT")</f>
        <v xml:space="preserve">          5504 - FREIGHT-IN-DIGITAL TEXT</v>
      </c>
      <c r="C148" s="10"/>
      <c r="D148" s="2"/>
      <c r="E148" s="2"/>
      <c r="F148" s="19">
        <f t="shared" si="28"/>
        <v>0</v>
      </c>
      <c r="G148" s="2"/>
      <c r="H148" s="2">
        <v>12.78</v>
      </c>
      <c r="I148" s="2"/>
      <c r="J148" s="19">
        <f t="shared" si="29"/>
        <v>5.5076300284435906E-5</v>
      </c>
      <c r="K148" s="2"/>
      <c r="L148" s="2">
        <f t="shared" si="30"/>
        <v>-12.78</v>
      </c>
      <c r="M148" s="2"/>
      <c r="N148" s="19">
        <f t="shared" si="31"/>
        <v>-1</v>
      </c>
      <c r="O148" s="10"/>
      <c r="P148" s="2">
        <v>28.92</v>
      </c>
      <c r="Q148" s="2"/>
      <c r="R148" s="19">
        <f t="shared" si="32"/>
        <v>6.7820884789996562E-6</v>
      </c>
      <c r="S148" s="2"/>
      <c r="T148" s="2">
        <v>118.75</v>
      </c>
      <c r="U148" s="2"/>
      <c r="V148" s="19">
        <f t="shared" si="33"/>
        <v>1.3810888817131194E-5</v>
      </c>
      <c r="W148" s="2"/>
      <c r="X148" s="2">
        <f t="shared" si="34"/>
        <v>-89.83</v>
      </c>
      <c r="Y148" s="2"/>
      <c r="Z148" s="19">
        <f t="shared" si="35"/>
        <v>-0.75646315789473684</v>
      </c>
    </row>
    <row r="149" spans="1:26" s="23" customFormat="1" hidden="1" outlineLevel="1" x14ac:dyDescent="0.25">
      <c r="A149" s="44"/>
      <c r="B149" s="10" t="str">
        <f>CONCATENATE("          ", "5513", " - ", "FREIGHT-IN-TRADE BOOKS")</f>
        <v xml:space="preserve">          5513 - FREIGHT-IN-TRADE BOOKS</v>
      </c>
      <c r="C149" s="10"/>
      <c r="D149" s="2">
        <v>51.76</v>
      </c>
      <c r="E149" s="2"/>
      <c r="F149" s="19">
        <f t="shared" si="28"/>
        <v>2.8146547151149066E-4</v>
      </c>
      <c r="G149" s="2"/>
      <c r="H149" s="2">
        <v>8.83</v>
      </c>
      <c r="I149" s="2"/>
      <c r="J149" s="19">
        <f t="shared" si="29"/>
        <v>3.8053500118276141E-5</v>
      </c>
      <c r="K149" s="2"/>
      <c r="L149" s="2">
        <f t="shared" si="30"/>
        <v>42.93</v>
      </c>
      <c r="M149" s="2"/>
      <c r="N149" s="19">
        <f t="shared" si="31"/>
        <v>4.8618346545866364</v>
      </c>
      <c r="O149" s="10"/>
      <c r="P149" s="2">
        <v>85.28</v>
      </c>
      <c r="Q149" s="2"/>
      <c r="R149" s="19">
        <f t="shared" si="32"/>
        <v>1.9999187603357216E-5</v>
      </c>
      <c r="S149" s="2"/>
      <c r="T149" s="2">
        <v>30.24</v>
      </c>
      <c r="U149" s="2"/>
      <c r="V149" s="19">
        <f t="shared" si="33"/>
        <v>3.5169791817267142E-6</v>
      </c>
      <c r="W149" s="2"/>
      <c r="X149" s="2">
        <f t="shared" si="34"/>
        <v>55.040000000000006</v>
      </c>
      <c r="Y149" s="2"/>
      <c r="Z149" s="19">
        <f t="shared" si="35"/>
        <v>1.8201058201058204</v>
      </c>
    </row>
    <row r="150" spans="1:26" s="23" customFormat="1" hidden="1" outlineLevel="1" x14ac:dyDescent="0.25">
      <c r="A150" s="44"/>
      <c r="B150" s="10" t="str">
        <f>CONCATENATE("          ", "5518", " - ", "FREIGHT-IN-STUDY GUIDES")</f>
        <v xml:space="preserve">          5518 - FREIGHT-IN-STUDY GUIDES</v>
      </c>
      <c r="C150" s="10"/>
      <c r="D150" s="2"/>
      <c r="E150" s="2"/>
      <c r="F150" s="19">
        <f t="shared" si="28"/>
        <v>0</v>
      </c>
      <c r="G150" s="2"/>
      <c r="H150" s="2"/>
      <c r="I150" s="2"/>
      <c r="J150" s="19">
        <f t="shared" si="29"/>
        <v>0</v>
      </c>
      <c r="K150" s="2"/>
      <c r="L150" s="2">
        <f t="shared" si="30"/>
        <v>0</v>
      </c>
      <c r="M150" s="2"/>
      <c r="N150" s="19">
        <f t="shared" si="31"/>
        <v>0</v>
      </c>
      <c r="O150" s="10"/>
      <c r="P150" s="2"/>
      <c r="Q150" s="2"/>
      <c r="R150" s="19">
        <f t="shared" si="32"/>
        <v>0</v>
      </c>
      <c r="S150" s="2"/>
      <c r="T150" s="2">
        <v>21.13</v>
      </c>
      <c r="U150" s="2"/>
      <c r="V150" s="19">
        <f t="shared" si="33"/>
        <v>2.4574659427872181E-6</v>
      </c>
      <c r="W150" s="2"/>
      <c r="X150" s="2">
        <f t="shared" si="34"/>
        <v>-21.13</v>
      </c>
      <c r="Y150" s="2"/>
      <c r="Z150" s="19">
        <f t="shared" si="35"/>
        <v>-1</v>
      </c>
    </row>
    <row r="151" spans="1:26" s="23" customFormat="1" hidden="1" outlineLevel="1" x14ac:dyDescent="0.25">
      <c r="A151" s="44"/>
      <c r="B151" s="10" t="str">
        <f>CONCATENATE("          ", "5525", " - ", "FREIGHT-IN-TEST FORMS")</f>
        <v xml:space="preserve">          5525 - FREIGHT-IN-TEST FORMS</v>
      </c>
      <c r="C151" s="10"/>
      <c r="D151" s="2"/>
      <c r="E151" s="2"/>
      <c r="F151" s="19">
        <f t="shared" si="28"/>
        <v>0</v>
      </c>
      <c r="G151" s="2"/>
      <c r="H151" s="2">
        <v>82.2</v>
      </c>
      <c r="I151" s="2"/>
      <c r="J151" s="19">
        <f t="shared" si="29"/>
        <v>3.5424662624261599E-4</v>
      </c>
      <c r="K151" s="2"/>
      <c r="L151" s="2">
        <f t="shared" si="30"/>
        <v>-82.2</v>
      </c>
      <c r="M151" s="2"/>
      <c r="N151" s="19">
        <f t="shared" si="31"/>
        <v>-1</v>
      </c>
      <c r="O151" s="10"/>
      <c r="P151" s="2">
        <v>48.14</v>
      </c>
      <c r="Q151" s="2"/>
      <c r="R151" s="19">
        <f t="shared" si="32"/>
        <v>1.1289410075347284E-5</v>
      </c>
      <c r="S151" s="2"/>
      <c r="T151" s="2">
        <v>1237.22</v>
      </c>
      <c r="U151" s="2"/>
      <c r="V151" s="19">
        <f t="shared" si="33"/>
        <v>1.4389143463015627E-4</v>
      </c>
      <c r="W151" s="2"/>
      <c r="X151" s="2">
        <f t="shared" si="34"/>
        <v>-1189.08</v>
      </c>
      <c r="Y151" s="2"/>
      <c r="Z151" s="19">
        <f t="shared" si="35"/>
        <v>-0.9610901860623009</v>
      </c>
    </row>
    <row r="152" spans="1:26" s="23" customFormat="1" hidden="1" outlineLevel="1" x14ac:dyDescent="0.25">
      <c r="A152" s="44"/>
      <c r="B152" s="10" t="str">
        <f>CONCATENATE("          ", "5526", " - ", "FREIGHT-IN-WRITING INSTRUMENTS")</f>
        <v xml:space="preserve">          5526 - FREIGHT-IN-WRITING INSTRUMENTS</v>
      </c>
      <c r="C152" s="10"/>
      <c r="D152" s="2"/>
      <c r="E152" s="2"/>
      <c r="F152" s="19">
        <f t="shared" si="28"/>
        <v>0</v>
      </c>
      <c r="G152" s="2"/>
      <c r="H152" s="2"/>
      <c r="I152" s="2"/>
      <c r="J152" s="19">
        <f t="shared" si="29"/>
        <v>0</v>
      </c>
      <c r="K152" s="2"/>
      <c r="L152" s="2">
        <f t="shared" si="30"/>
        <v>0</v>
      </c>
      <c r="M152" s="2"/>
      <c r="N152" s="19">
        <f t="shared" si="31"/>
        <v>0</v>
      </c>
      <c r="O152" s="10"/>
      <c r="P152" s="2">
        <v>0</v>
      </c>
      <c r="Q152" s="2"/>
      <c r="R152" s="19">
        <f t="shared" si="32"/>
        <v>0</v>
      </c>
      <c r="S152" s="2"/>
      <c r="T152" s="2">
        <v>260.35000000000002</v>
      </c>
      <c r="U152" s="2"/>
      <c r="V152" s="19">
        <f t="shared" si="33"/>
        <v>3.0279283398232479E-5</v>
      </c>
      <c r="W152" s="2"/>
      <c r="X152" s="2">
        <f t="shared" si="34"/>
        <v>-260.35000000000002</v>
      </c>
      <c r="Y152" s="2"/>
      <c r="Z152" s="19">
        <f t="shared" si="35"/>
        <v>-1</v>
      </c>
    </row>
    <row r="153" spans="1:26" s="23" customFormat="1" hidden="1" outlineLevel="1" x14ac:dyDescent="0.25">
      <c r="A153" s="44"/>
      <c r="B153" s="10" t="str">
        <f>CONCATENATE("          ", "5527", " - ", "FREIGHT-IN-SCHOOL SUPPLIES")</f>
        <v xml:space="preserve">          5527 - FREIGHT-IN-SCHOOL SUPPLIES</v>
      </c>
      <c r="C153" s="10"/>
      <c r="D153" s="2">
        <v>41.12</v>
      </c>
      <c r="E153" s="2"/>
      <c r="F153" s="19">
        <f t="shared" si="28"/>
        <v>2.2360626330279165E-4</v>
      </c>
      <c r="G153" s="2"/>
      <c r="H153" s="2">
        <v>407.31</v>
      </c>
      <c r="I153" s="2"/>
      <c r="J153" s="19">
        <f t="shared" si="29"/>
        <v>1.755330819159123E-3</v>
      </c>
      <c r="K153" s="2"/>
      <c r="L153" s="2">
        <f t="shared" si="30"/>
        <v>-366.19</v>
      </c>
      <c r="M153" s="2"/>
      <c r="N153" s="19">
        <f t="shared" si="31"/>
        <v>-0.89904495347523994</v>
      </c>
      <c r="O153" s="10"/>
      <c r="P153" s="2">
        <v>218.62</v>
      </c>
      <c r="Q153" s="2"/>
      <c r="R153" s="19">
        <f t="shared" si="32"/>
        <v>5.1269024318081077E-5</v>
      </c>
      <c r="S153" s="2"/>
      <c r="T153" s="2">
        <v>2058.91</v>
      </c>
      <c r="U153" s="2"/>
      <c r="V153" s="19">
        <f t="shared" si="33"/>
        <v>2.3945580711140705E-4</v>
      </c>
      <c r="W153" s="2"/>
      <c r="X153" s="2">
        <f t="shared" si="34"/>
        <v>-1840.29</v>
      </c>
      <c r="Y153" s="2"/>
      <c r="Z153" s="19">
        <f t="shared" si="35"/>
        <v>-0.89381760251783715</v>
      </c>
    </row>
    <row r="154" spans="1:26" s="23" customFormat="1" hidden="1" outlineLevel="1" x14ac:dyDescent="0.25">
      <c r="A154" s="44"/>
      <c r="B154" s="10" t="str">
        <f>CONCATENATE("          ", "5528", " - ", "FREIGHT-IN-ART/TECH")</f>
        <v xml:space="preserve">          5528 - FREIGHT-IN-ART/TECH</v>
      </c>
      <c r="C154" s="10"/>
      <c r="D154" s="2">
        <v>103.71</v>
      </c>
      <c r="E154" s="2"/>
      <c r="F154" s="19">
        <f t="shared" si="28"/>
        <v>5.639641431695652E-4</v>
      </c>
      <c r="G154" s="2"/>
      <c r="H154" s="2">
        <v>771.27</v>
      </c>
      <c r="I154" s="2"/>
      <c r="J154" s="19">
        <f t="shared" si="29"/>
        <v>3.3238417934567202E-3</v>
      </c>
      <c r="K154" s="2"/>
      <c r="L154" s="2">
        <f t="shared" si="30"/>
        <v>-667.56</v>
      </c>
      <c r="M154" s="2"/>
      <c r="N154" s="19">
        <f t="shared" si="31"/>
        <v>-0.86553347076899134</v>
      </c>
      <c r="O154" s="10"/>
      <c r="P154" s="2">
        <v>455.21</v>
      </c>
      <c r="Q154" s="2"/>
      <c r="R154" s="19">
        <f t="shared" si="32"/>
        <v>1.0675223017031236E-4</v>
      </c>
      <c r="S154" s="2"/>
      <c r="T154" s="2">
        <v>2267.52</v>
      </c>
      <c r="U154" s="2"/>
      <c r="V154" s="19">
        <f t="shared" si="33"/>
        <v>2.6371761356312696E-4</v>
      </c>
      <c r="W154" s="2"/>
      <c r="X154" s="2">
        <f t="shared" si="34"/>
        <v>-1812.31</v>
      </c>
      <c r="Y154" s="2"/>
      <c r="Z154" s="19">
        <f t="shared" si="35"/>
        <v>-0.79924763618402483</v>
      </c>
    </row>
    <row r="155" spans="1:26" s="23" customFormat="1" hidden="1" outlineLevel="1" x14ac:dyDescent="0.25">
      <c r="A155" s="44"/>
      <c r="B155" s="10" t="str">
        <f>CONCATENATE("          ", "5540", " - ", "FREIGHT-IN-LOGO CLOTHING")</f>
        <v xml:space="preserve">          5540 - FREIGHT-IN-LOGO CLOTHING</v>
      </c>
      <c r="C155" s="10"/>
      <c r="D155" s="2">
        <v>1167.1400000000001</v>
      </c>
      <c r="E155" s="2"/>
      <c r="F155" s="19">
        <f t="shared" si="28"/>
        <v>6.3467853635997152E-3</v>
      </c>
      <c r="G155" s="2"/>
      <c r="H155" s="2">
        <v>2177.09</v>
      </c>
      <c r="I155" s="2"/>
      <c r="J155" s="19">
        <f t="shared" si="29"/>
        <v>9.3823210161379181E-3</v>
      </c>
      <c r="K155" s="2"/>
      <c r="L155" s="2">
        <f t="shared" si="30"/>
        <v>-1009.95</v>
      </c>
      <c r="M155" s="2"/>
      <c r="N155" s="19">
        <f t="shared" si="31"/>
        <v>-0.46389905791676045</v>
      </c>
      <c r="O155" s="10"/>
      <c r="P155" s="2">
        <v>7108.37</v>
      </c>
      <c r="Q155" s="2"/>
      <c r="R155" s="19">
        <f t="shared" si="32"/>
        <v>1.6669984191378555E-3</v>
      </c>
      <c r="S155" s="2"/>
      <c r="T155" s="2">
        <v>30658.39</v>
      </c>
      <c r="U155" s="2"/>
      <c r="V155" s="19">
        <f t="shared" si="33"/>
        <v>3.565638868229447E-3</v>
      </c>
      <c r="W155" s="2"/>
      <c r="X155" s="2">
        <f t="shared" si="34"/>
        <v>-23550.02</v>
      </c>
      <c r="Y155" s="2"/>
      <c r="Z155" s="19">
        <f t="shared" si="35"/>
        <v>-0.76814274983128605</v>
      </c>
    </row>
    <row r="156" spans="1:26" s="23" customFormat="1" hidden="1" outlineLevel="1" x14ac:dyDescent="0.25">
      <c r="A156" s="44"/>
      <c r="B156" s="10" t="str">
        <f>CONCATENATE("          ", "5541", " - ", "FREIGHT-IN-LOGO GIFTS")</f>
        <v xml:space="preserve">          5541 - FREIGHT-IN-LOGO GIFTS</v>
      </c>
      <c r="C156" s="10"/>
      <c r="D156" s="2">
        <v>60.07</v>
      </c>
      <c r="E156" s="2"/>
      <c r="F156" s="19">
        <f t="shared" si="28"/>
        <v>3.2665438318576595E-4</v>
      </c>
      <c r="G156" s="2"/>
      <c r="H156" s="2">
        <v>622.03</v>
      </c>
      <c r="I156" s="2"/>
      <c r="J156" s="19">
        <f t="shared" si="29"/>
        <v>2.6806816170522434E-3</v>
      </c>
      <c r="K156" s="2"/>
      <c r="L156" s="2">
        <f t="shared" si="30"/>
        <v>-561.95999999999992</v>
      </c>
      <c r="M156" s="2"/>
      <c r="N156" s="19">
        <f t="shared" si="31"/>
        <v>-0.90342909505972369</v>
      </c>
      <c r="O156" s="10"/>
      <c r="P156" s="2">
        <v>2138</v>
      </c>
      <c r="Q156" s="2"/>
      <c r="R156" s="19">
        <f t="shared" si="32"/>
        <v>5.0138676238247804E-4</v>
      </c>
      <c r="S156" s="2"/>
      <c r="T156" s="2">
        <v>4695.95</v>
      </c>
      <c r="U156" s="2"/>
      <c r="V156" s="19">
        <f t="shared" si="33"/>
        <v>5.4614941760679778E-4</v>
      </c>
      <c r="W156" s="2"/>
      <c r="X156" s="2">
        <f t="shared" si="34"/>
        <v>-2557.9499999999998</v>
      </c>
      <c r="Y156" s="2"/>
      <c r="Z156" s="19">
        <f t="shared" si="35"/>
        <v>-0.5447140621173564</v>
      </c>
    </row>
    <row r="157" spans="1:26" s="23" customFormat="1" hidden="1" outlineLevel="1" x14ac:dyDescent="0.25">
      <c r="A157" s="44"/>
      <c r="B157" s="10" t="str">
        <f>CONCATENATE("          ", "5542", " - ", "FREIGHT-IN-EVERYDAY GIFTS")</f>
        <v xml:space="preserve">          5542 - FREIGHT-IN-EVERYDAY GIFTS</v>
      </c>
      <c r="C157" s="10"/>
      <c r="D157" s="2">
        <v>297.79000000000002</v>
      </c>
      <c r="E157" s="2"/>
      <c r="F157" s="19">
        <f t="shared" si="28"/>
        <v>1.6193509034274887E-3</v>
      </c>
      <c r="G157" s="2"/>
      <c r="H157" s="2">
        <v>42.24</v>
      </c>
      <c r="I157" s="2"/>
      <c r="J157" s="19">
        <f t="shared" si="29"/>
        <v>1.8203622253635157E-4</v>
      </c>
      <c r="K157" s="2"/>
      <c r="L157" s="2">
        <f t="shared" si="30"/>
        <v>255.55</v>
      </c>
      <c r="M157" s="2"/>
      <c r="N157" s="19">
        <f t="shared" si="31"/>
        <v>6.0499526515151514</v>
      </c>
      <c r="O157" s="10"/>
      <c r="P157" s="2">
        <v>681.72</v>
      </c>
      <c r="Q157" s="2"/>
      <c r="R157" s="19">
        <f t="shared" si="32"/>
        <v>1.598715545609836E-4</v>
      </c>
      <c r="S157" s="2"/>
      <c r="T157" s="2">
        <v>1793.94</v>
      </c>
      <c r="U157" s="2"/>
      <c r="V157" s="19">
        <f t="shared" si="33"/>
        <v>2.0863920744929967E-4</v>
      </c>
      <c r="W157" s="2"/>
      <c r="X157" s="2">
        <f t="shared" si="34"/>
        <v>-1112.22</v>
      </c>
      <c r="Y157" s="2"/>
      <c r="Z157" s="19">
        <f t="shared" si="35"/>
        <v>-0.61998729054483426</v>
      </c>
    </row>
    <row r="158" spans="1:26" s="23" customFormat="1" hidden="1" outlineLevel="1" x14ac:dyDescent="0.25">
      <c r="A158" s="44"/>
      <c r="B158" s="10" t="str">
        <f>CONCATENATE("          ", "5543", " - ", "FREIGHT-IN-CARDS")</f>
        <v xml:space="preserve">          5543 - FREIGHT-IN-CARDS</v>
      </c>
      <c r="C158" s="10"/>
      <c r="D158" s="2"/>
      <c r="E158" s="2"/>
      <c r="F158" s="19">
        <f t="shared" si="28"/>
        <v>0</v>
      </c>
      <c r="G158" s="2"/>
      <c r="H158" s="2">
        <v>25.64</v>
      </c>
      <c r="I158" s="2"/>
      <c r="J158" s="19">
        <f t="shared" si="29"/>
        <v>1.1049736614185733E-4</v>
      </c>
      <c r="K158" s="2"/>
      <c r="L158" s="2">
        <f t="shared" si="30"/>
        <v>-25.64</v>
      </c>
      <c r="M158" s="2"/>
      <c r="N158" s="19">
        <f t="shared" si="31"/>
        <v>-1</v>
      </c>
      <c r="O158" s="10"/>
      <c r="P158" s="2">
        <v>9110.5300000000007</v>
      </c>
      <c r="Q158" s="2"/>
      <c r="R158" s="19">
        <f t="shared" si="32"/>
        <v>2.1365290646812151E-3</v>
      </c>
      <c r="S158" s="2"/>
      <c r="T158" s="2">
        <v>2926.76</v>
      </c>
      <c r="U158" s="2"/>
      <c r="V158" s="19">
        <f t="shared" si="33"/>
        <v>3.403886901425423E-4</v>
      </c>
      <c r="W158" s="2"/>
      <c r="X158" s="2">
        <f t="shared" si="34"/>
        <v>6183.77</v>
      </c>
      <c r="Y158" s="2"/>
      <c r="Z158" s="19">
        <f t="shared" si="35"/>
        <v>2.112838087168063</v>
      </c>
    </row>
    <row r="159" spans="1:26" s="23" customFormat="1" hidden="1" outlineLevel="1" x14ac:dyDescent="0.25">
      <c r="A159" s="44"/>
      <c r="B159" s="10" t="str">
        <f>CONCATENATE("          ", "5544", " - ", "FREIGHT-IN-ACCESSORIES")</f>
        <v xml:space="preserve">          5544 - FREIGHT-IN-ACCESSORIES</v>
      </c>
      <c r="C159" s="10"/>
      <c r="D159" s="2"/>
      <c r="E159" s="2"/>
      <c r="F159" s="19">
        <f t="shared" si="28"/>
        <v>0</v>
      </c>
      <c r="G159" s="2"/>
      <c r="H159" s="2"/>
      <c r="I159" s="2"/>
      <c r="J159" s="19">
        <f t="shared" si="29"/>
        <v>0</v>
      </c>
      <c r="K159" s="2"/>
      <c r="L159" s="2">
        <f t="shared" si="30"/>
        <v>0</v>
      </c>
      <c r="M159" s="2"/>
      <c r="N159" s="19">
        <f t="shared" si="31"/>
        <v>0</v>
      </c>
      <c r="O159" s="10"/>
      <c r="P159" s="2"/>
      <c r="Q159" s="2"/>
      <c r="R159" s="19">
        <f t="shared" si="32"/>
        <v>0</v>
      </c>
      <c r="S159" s="2"/>
      <c r="T159" s="2">
        <v>483.44</v>
      </c>
      <c r="U159" s="2"/>
      <c r="V159" s="19">
        <f t="shared" si="33"/>
        <v>5.6225146018980251E-5</v>
      </c>
      <c r="W159" s="2"/>
      <c r="X159" s="2">
        <f t="shared" si="34"/>
        <v>-483.44</v>
      </c>
      <c r="Y159" s="2"/>
      <c r="Z159" s="19">
        <f t="shared" si="35"/>
        <v>-1</v>
      </c>
    </row>
    <row r="160" spans="1:26" s="23" customFormat="1" hidden="1" outlineLevel="1" x14ac:dyDescent="0.25">
      <c r="A160" s="44"/>
      <c r="B160" s="10" t="str">
        <f>CONCATENATE("          ", "5545", " - ", "FREIGHT-IN-SPECIAL ORDERS")</f>
        <v xml:space="preserve">          5545 - FREIGHT-IN-SPECIAL ORDERS</v>
      </c>
      <c r="C160" s="10"/>
      <c r="D160" s="2">
        <v>17.63</v>
      </c>
      <c r="E160" s="2"/>
      <c r="F160" s="19">
        <f t="shared" si="28"/>
        <v>9.5870097811970249E-5</v>
      </c>
      <c r="G160" s="2"/>
      <c r="H160" s="2">
        <v>28.68</v>
      </c>
      <c r="I160" s="2"/>
      <c r="J160" s="19">
        <f t="shared" si="29"/>
        <v>1.2359845791530687E-4</v>
      </c>
      <c r="K160" s="2"/>
      <c r="L160" s="2">
        <f t="shared" si="30"/>
        <v>-11.05</v>
      </c>
      <c r="M160" s="2"/>
      <c r="N160" s="19">
        <f t="shared" si="31"/>
        <v>-0.38528591352859137</v>
      </c>
      <c r="O160" s="10"/>
      <c r="P160" s="2">
        <v>1266.1600000000001</v>
      </c>
      <c r="Q160" s="2"/>
      <c r="R160" s="19">
        <f t="shared" si="32"/>
        <v>2.9692977692151473E-4</v>
      </c>
      <c r="S160" s="2"/>
      <c r="T160" s="2">
        <v>875.07</v>
      </c>
      <c r="U160" s="2"/>
      <c r="V160" s="19">
        <f t="shared" si="33"/>
        <v>1.017725850712168E-4</v>
      </c>
      <c r="W160" s="2"/>
      <c r="X160" s="2">
        <f t="shared" si="34"/>
        <v>391.09000000000003</v>
      </c>
      <c r="Y160" s="2"/>
      <c r="Z160" s="19">
        <f t="shared" si="35"/>
        <v>0.44692424606031517</v>
      </c>
    </row>
    <row r="161" spans="1:26" s="23" customFormat="1" hidden="1" outlineLevel="1" x14ac:dyDescent="0.25">
      <c r="A161" s="44"/>
      <c r="B161" s="10" t="str">
        <f>CONCATENATE("          ", "5592", " - ", "FREIGHT-IN-GRAD MERCH")</f>
        <v xml:space="preserve">          5592 - FREIGHT-IN-GRAD MERCH</v>
      </c>
      <c r="C161" s="10"/>
      <c r="D161" s="2"/>
      <c r="E161" s="2"/>
      <c r="F161" s="19">
        <f t="shared" si="28"/>
        <v>0</v>
      </c>
      <c r="G161" s="2"/>
      <c r="H161" s="2">
        <v>12.95</v>
      </c>
      <c r="I161" s="2"/>
      <c r="J161" s="19">
        <f t="shared" si="29"/>
        <v>5.5808927127030128E-5</v>
      </c>
      <c r="K161" s="2"/>
      <c r="L161" s="2">
        <f t="shared" si="30"/>
        <v>-12.95</v>
      </c>
      <c r="M161" s="2"/>
      <c r="N161" s="19">
        <f t="shared" si="31"/>
        <v>-1</v>
      </c>
      <c r="O161" s="10"/>
      <c r="P161" s="2">
        <v>0</v>
      </c>
      <c r="Q161" s="2"/>
      <c r="R161" s="19">
        <f t="shared" si="32"/>
        <v>0</v>
      </c>
      <c r="S161" s="2"/>
      <c r="T161" s="2">
        <v>118.73</v>
      </c>
      <c r="U161" s="2"/>
      <c r="V161" s="19">
        <f t="shared" si="33"/>
        <v>1.3808562772698836E-5</v>
      </c>
      <c r="W161" s="2"/>
      <c r="X161" s="2">
        <f t="shared" si="34"/>
        <v>-118.73</v>
      </c>
      <c r="Y161" s="2"/>
      <c r="Z161" s="19">
        <f t="shared" si="35"/>
        <v>-1</v>
      </c>
    </row>
    <row r="162" spans="1:26" x14ac:dyDescent="0.25">
      <c r="A162" s="9"/>
      <c r="B162" s="11"/>
      <c r="C162" s="11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1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4" customFormat="1" x14ac:dyDescent="0.25">
      <c r="A163" s="11"/>
      <c r="B163" s="29" t="s">
        <v>107</v>
      </c>
      <c r="C163" s="29"/>
      <c r="D163" s="22">
        <f>D12-D110</f>
        <v>85445.820000000022</v>
      </c>
      <c r="E163" s="14"/>
      <c r="F163" s="20">
        <f>IF(D$12=0,0,D163/D$12)</f>
        <v>0.46464544078411835</v>
      </c>
      <c r="G163" s="14"/>
      <c r="H163" s="22">
        <f>H12-H110</f>
        <v>132599.53000000014</v>
      </c>
      <c r="I163" s="14"/>
      <c r="J163" s="20">
        <f>IF(H$12=0,0,H163/H$12)</f>
        <v>0.57144691172574935</v>
      </c>
      <c r="K163" s="15"/>
      <c r="L163" s="22">
        <f>+D163-H163</f>
        <v>-47153.710000000123</v>
      </c>
      <c r="M163" s="15"/>
      <c r="N163" s="20">
        <f>IF(H163=0,0,L163/H163)</f>
        <v>-0.35560993315738049</v>
      </c>
      <c r="O163" s="28"/>
      <c r="P163" s="22">
        <f>P12-P110</f>
        <v>1543197.4500000025</v>
      </c>
      <c r="Q163" s="14"/>
      <c r="R163" s="20">
        <f>IF(P$12=0,0,P163/P$12)</f>
        <v>0.36189839718072836</v>
      </c>
      <c r="S163" s="14"/>
      <c r="T163" s="22">
        <f>T12-T110</f>
        <v>3586609.75</v>
      </c>
      <c r="U163" s="14"/>
      <c r="V163" s="20">
        <f>IF(T$12=0,0,T163/T$12)</f>
        <v>0.41713068200158915</v>
      </c>
      <c r="W163" s="15"/>
      <c r="X163" s="22">
        <f>+P163-T163</f>
        <v>-2043412.2999999975</v>
      </c>
      <c r="Y163" s="15"/>
      <c r="Z163" s="20">
        <f>IF(T163=0,0,X163/T163)</f>
        <v>-0.56973366003926063</v>
      </c>
    </row>
    <row r="164" spans="1:26" x14ac:dyDescent="0.25">
      <c r="A164" s="9"/>
      <c r="B164" s="11"/>
      <c r="C164" s="9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7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4" customFormat="1" x14ac:dyDescent="0.25">
      <c r="A165" s="11"/>
      <c r="B165" s="28" t="s">
        <v>294</v>
      </c>
      <c r="C165" s="11"/>
      <c r="D165" s="21">
        <f>SUM(OSRRefD22x_0)</f>
        <v>226680.25999999989</v>
      </c>
      <c r="E165" s="21"/>
      <c r="F165" s="31">
        <f t="shared" ref="F165:F176" si="36">IF(D$12=0,0,D165/D$12)</f>
        <v>1.2326635676825206</v>
      </c>
      <c r="G165" s="21"/>
      <c r="H165" s="21">
        <f>SUM(OSRRefH22x_0)</f>
        <v>314936.5799999999</v>
      </c>
      <c r="I165" s="21"/>
      <c r="J165" s="31">
        <f t="shared" ref="J165:J176" si="37">IF(H$12=0,0,H165/H$12)</f>
        <v>1.3572411307224779</v>
      </c>
      <c r="K165" s="4"/>
      <c r="L165" s="21">
        <f t="shared" ref="L165:L176" si="38">+D165-H165</f>
        <v>-88256.320000000007</v>
      </c>
      <c r="M165" s="4"/>
      <c r="N165" s="31">
        <f t="shared" ref="N165:N176" si="39">IF(H165=0,0,L165/H165)</f>
        <v>-0.28023521434061432</v>
      </c>
      <c r="O165" s="11"/>
      <c r="P165" s="21">
        <f>SUM(OSRRefP22x_0)</f>
        <v>2382755.040000001</v>
      </c>
      <c r="Q165" s="21"/>
      <c r="R165" s="31">
        <f t="shared" ref="R165:R176" si="40">IF(P$12=0,0,P165/P$12)</f>
        <v>0.55878476850146508</v>
      </c>
      <c r="S165" s="21"/>
      <c r="T165" s="21">
        <f>SUM(OSRRefT22x_0)</f>
        <v>3395980.17</v>
      </c>
      <c r="U165" s="21"/>
      <c r="V165" s="31">
        <f t="shared" ref="V165:V176" si="41">IF(T$12=0,0,T165/T$12)</f>
        <v>0.39496003834149296</v>
      </c>
      <c r="W165" s="4"/>
      <c r="X165" s="21">
        <f t="shared" ref="X165:X176" si="42">+P165-T165</f>
        <v>-1013225.129999999</v>
      </c>
      <c r="Y165" s="4"/>
      <c r="Z165" s="31">
        <f t="shared" ref="Z165:Z176" si="43">IF(T165=0,0,X165/T165)</f>
        <v>-0.29836014325136623</v>
      </c>
    </row>
    <row r="166" spans="1:26" s="26" customFormat="1" outlineLevel="1" collapsed="1" x14ac:dyDescent="0.25">
      <c r="A166" s="27"/>
      <c r="B166" s="12" t="str">
        <f>CONCATENATE("     ","*Benefits                                         ")</f>
        <v xml:space="preserve">     *Benefits                                         </v>
      </c>
      <c r="C166" s="12"/>
      <c r="D166" s="1">
        <f>SUM(OSRRefD22_0x_0)</f>
        <v>45623.819999999992</v>
      </c>
      <c r="E166" s="1"/>
      <c r="F166" s="5">
        <f t="shared" si="36"/>
        <v>0.24809756585114714</v>
      </c>
      <c r="G166" s="1"/>
      <c r="H166" s="1">
        <f>SUM(OSRRefH22_0x_0)</f>
        <v>32934.76</v>
      </c>
      <c r="I166" s="1"/>
      <c r="J166" s="5">
        <f t="shared" si="37"/>
        <v>0.14193464253175497</v>
      </c>
      <c r="K166" s="1"/>
      <c r="L166" s="1">
        <f t="shared" si="38"/>
        <v>12689.05999999999</v>
      </c>
      <c r="M166" s="1"/>
      <c r="N166" s="5">
        <f t="shared" si="39"/>
        <v>0.3852786539206598</v>
      </c>
      <c r="O166" s="12"/>
      <c r="P166" s="1">
        <f>SUM(OSRRefP22_0x_0)</f>
        <v>410253.50999999995</v>
      </c>
      <c r="Q166" s="1"/>
      <c r="R166" s="5">
        <f t="shared" si="40"/>
        <v>9.6209391550489964E-2</v>
      </c>
      <c r="S166" s="1"/>
      <c r="T166" s="1">
        <f>SUM(OSRRefT22_0x_0)</f>
        <v>426594.0199999999</v>
      </c>
      <c r="U166" s="1"/>
      <c r="V166" s="5">
        <f t="shared" si="41"/>
        <v>4.9613832254930865E-2</v>
      </c>
      <c r="W166" s="1"/>
      <c r="X166" s="1">
        <f t="shared" si="42"/>
        <v>-16340.509999999951</v>
      </c>
      <c r="Y166" s="1"/>
      <c r="Z166" s="5">
        <f t="shared" si="43"/>
        <v>-3.8304592267842746E-2</v>
      </c>
    </row>
    <row r="167" spans="1:26" s="23" customFormat="1" hidden="1" outlineLevel="2" x14ac:dyDescent="0.25">
      <c r="A167" s="25"/>
      <c r="B167" s="10" t="str">
        <f>CONCATENATE("          ", "6111", " - ", "F.I.C.A.")</f>
        <v xml:space="preserve">          6111 - F.I.C.A.</v>
      </c>
      <c r="C167" s="10"/>
      <c r="D167" s="6">
        <v>7478.02</v>
      </c>
      <c r="E167" s="2"/>
      <c r="F167" s="7">
        <f t="shared" si="36"/>
        <v>4.0664691369249571E-2</v>
      </c>
      <c r="G167" s="2"/>
      <c r="H167" s="6">
        <v>10558.14</v>
      </c>
      <c r="I167" s="2"/>
      <c r="J167" s="7">
        <f t="shared" si="37"/>
        <v>4.5501039834515977E-2</v>
      </c>
      <c r="K167" s="2"/>
      <c r="L167" s="6">
        <f t="shared" si="38"/>
        <v>-3080.119999999999</v>
      </c>
      <c r="M167" s="2"/>
      <c r="N167" s="7">
        <f t="shared" si="39"/>
        <v>-0.29172941446125922</v>
      </c>
      <c r="O167" s="10"/>
      <c r="P167" s="6">
        <v>78467.86</v>
      </c>
      <c r="Q167" s="2"/>
      <c r="R167" s="7">
        <f t="shared" si="40"/>
        <v>1.8401658688719156E-2</v>
      </c>
      <c r="S167" s="2"/>
      <c r="T167" s="6">
        <v>85557.119999999995</v>
      </c>
      <c r="U167" s="2"/>
      <c r="V167" s="7">
        <f t="shared" si="41"/>
        <v>9.9504831312332773E-3</v>
      </c>
      <c r="W167" s="2"/>
      <c r="X167" s="6">
        <f t="shared" si="42"/>
        <v>-7089.2599999999948</v>
      </c>
      <c r="Y167" s="2"/>
      <c r="Z167" s="7">
        <f t="shared" si="43"/>
        <v>-8.2859965365828056E-2</v>
      </c>
    </row>
    <row r="168" spans="1:26" s="23" customFormat="1" hidden="1" outlineLevel="2" x14ac:dyDescent="0.25">
      <c r="A168" s="25"/>
      <c r="B168" s="10" t="str">
        <f>CONCATENATE("          ", "6112", " - ", "COMPENSATION INSURANCE")</f>
        <v xml:space="preserve">          6112 - COMPENSATION INSURANCE</v>
      </c>
      <c r="C168" s="10"/>
      <c r="D168" s="6">
        <v>1716.92</v>
      </c>
      <c r="E168" s="2"/>
      <c r="F168" s="7">
        <f t="shared" si="36"/>
        <v>9.3364315561728865E-3</v>
      </c>
      <c r="G168" s="2"/>
      <c r="H168" s="6">
        <v>3334.8</v>
      </c>
      <c r="I168" s="2"/>
      <c r="J168" s="7">
        <f t="shared" si="37"/>
        <v>1.4371552909901166E-2</v>
      </c>
      <c r="K168" s="2"/>
      <c r="L168" s="6">
        <f t="shared" si="38"/>
        <v>-1617.88</v>
      </c>
      <c r="M168" s="2"/>
      <c r="N168" s="7">
        <f t="shared" si="39"/>
        <v>-0.48515053376514333</v>
      </c>
      <c r="O168" s="10"/>
      <c r="P168" s="6">
        <v>19978.8</v>
      </c>
      <c r="Q168" s="2"/>
      <c r="R168" s="7">
        <f t="shared" si="40"/>
        <v>4.6852693397039531E-3</v>
      </c>
      <c r="S168" s="2"/>
      <c r="T168" s="6">
        <v>23161.19</v>
      </c>
      <c r="U168" s="2"/>
      <c r="V168" s="7">
        <f t="shared" si="41"/>
        <v>2.6936978523153755E-3</v>
      </c>
      <c r="W168" s="2"/>
      <c r="X168" s="6">
        <f t="shared" si="42"/>
        <v>-3182.3899999999994</v>
      </c>
      <c r="Y168" s="2"/>
      <c r="Z168" s="7">
        <f t="shared" si="43"/>
        <v>-0.13740183470711131</v>
      </c>
    </row>
    <row r="169" spans="1:26" s="23" customFormat="1" hidden="1" outlineLevel="2" x14ac:dyDescent="0.25">
      <c r="A169" s="25"/>
      <c r="B169" s="10" t="str">
        <f>CONCATENATE("          ", "6113", " - ", "GROUP INSURANCE")</f>
        <v xml:space="preserve">          6113 - GROUP INSURANCE</v>
      </c>
      <c r="C169" s="10"/>
      <c r="D169" s="6">
        <v>18280.3</v>
      </c>
      <c r="E169" s="2"/>
      <c r="F169" s="7">
        <f t="shared" si="36"/>
        <v>9.9406361261041395E-2</v>
      </c>
      <c r="G169" s="2"/>
      <c r="H169" s="6">
        <v>17381.59</v>
      </c>
      <c r="I169" s="2"/>
      <c r="J169" s="7">
        <f t="shared" si="37"/>
        <v>7.4907172946866066E-2</v>
      </c>
      <c r="K169" s="2"/>
      <c r="L169" s="6">
        <f t="shared" si="38"/>
        <v>898.70999999999913</v>
      </c>
      <c r="M169" s="2"/>
      <c r="N169" s="7">
        <f t="shared" si="39"/>
        <v>5.1704705956129395E-2</v>
      </c>
      <c r="O169" s="10"/>
      <c r="P169" s="6">
        <v>146586.09</v>
      </c>
      <c r="Q169" s="2"/>
      <c r="R169" s="7">
        <f t="shared" si="40"/>
        <v>3.4376204431902029E-2</v>
      </c>
      <c r="S169" s="2"/>
      <c r="T169" s="6">
        <v>163202.53</v>
      </c>
      <c r="U169" s="2"/>
      <c r="V169" s="7">
        <f t="shared" si="41"/>
        <v>1.8980816812669627E-2</v>
      </c>
      <c r="W169" s="2"/>
      <c r="X169" s="6">
        <f t="shared" si="42"/>
        <v>-16616.440000000002</v>
      </c>
      <c r="Y169" s="2"/>
      <c r="Z169" s="7">
        <f t="shared" si="43"/>
        <v>-0.10181484318901185</v>
      </c>
    </row>
    <row r="170" spans="1:26" s="23" customFormat="1" hidden="1" outlineLevel="2" x14ac:dyDescent="0.25">
      <c r="A170" s="25"/>
      <c r="B170" s="10" t="str">
        <f>CONCATENATE("          ", "6114", " - ", "STATE UNEMPLOYMENT INSURANCE")</f>
        <v xml:space="preserve">          6114 - STATE UNEMPLOYMENT INSURANCE</v>
      </c>
      <c r="C170" s="10"/>
      <c r="D170" s="6">
        <v>305.79000000000002</v>
      </c>
      <c r="E170" s="2"/>
      <c r="F170" s="7">
        <f t="shared" si="36"/>
        <v>1.6628540674941798E-3</v>
      </c>
      <c r="G170" s="2"/>
      <c r="H170" s="6">
        <v>552.45000000000005</v>
      </c>
      <c r="I170" s="2"/>
      <c r="J170" s="7">
        <f t="shared" si="37"/>
        <v>2.3808217599480923E-3</v>
      </c>
      <c r="K170" s="2"/>
      <c r="L170" s="6">
        <f t="shared" si="38"/>
        <v>-246.66000000000003</v>
      </c>
      <c r="M170" s="2"/>
      <c r="N170" s="7">
        <f t="shared" si="39"/>
        <v>-0.44648384469182734</v>
      </c>
      <c r="O170" s="10"/>
      <c r="P170" s="6">
        <v>3236.34</v>
      </c>
      <c r="Q170" s="2"/>
      <c r="R170" s="7">
        <f t="shared" si="40"/>
        <v>7.5896072711361512E-4</v>
      </c>
      <c r="S170" s="2"/>
      <c r="T170" s="6">
        <v>4542.4799999999996</v>
      </c>
      <c r="U170" s="2"/>
      <c r="V170" s="7">
        <f t="shared" si="41"/>
        <v>5.2830051565509143E-4</v>
      </c>
      <c r="W170" s="2"/>
      <c r="X170" s="6">
        <f t="shared" si="42"/>
        <v>-1306.1399999999994</v>
      </c>
      <c r="Y170" s="2"/>
      <c r="Z170" s="7">
        <f t="shared" si="43"/>
        <v>-0.28753896549902247</v>
      </c>
    </row>
    <row r="171" spans="1:26" s="23" customFormat="1" hidden="1" outlineLevel="2" x14ac:dyDescent="0.25">
      <c r="A171" s="25"/>
      <c r="B171" s="10" t="str">
        <f>CONCATENATE("          ", "6115", " - ", "P.E.R.S.")</f>
        <v xml:space="preserve">          6115 - P.E.R.S.</v>
      </c>
      <c r="C171" s="10"/>
      <c r="D171" s="6">
        <v>6355.43</v>
      </c>
      <c r="E171" s="2"/>
      <c r="F171" s="7">
        <f t="shared" si="36"/>
        <v>3.4560164250546241E-2</v>
      </c>
      <c r="G171" s="2"/>
      <c r="H171" s="6">
        <v>8401.3799999999992</v>
      </c>
      <c r="I171" s="2"/>
      <c r="J171" s="7">
        <f t="shared" si="37"/>
        <v>3.6206332369613001E-2</v>
      </c>
      <c r="K171" s="2"/>
      <c r="L171" s="6">
        <f t="shared" si="38"/>
        <v>-2045.9499999999989</v>
      </c>
      <c r="M171" s="2"/>
      <c r="N171" s="7">
        <f t="shared" si="39"/>
        <v>-0.24352546843494749</v>
      </c>
      <c r="O171" s="10"/>
      <c r="P171" s="6">
        <v>62172.14</v>
      </c>
      <c r="Q171" s="2"/>
      <c r="R171" s="7">
        <f t="shared" si="40"/>
        <v>1.4580115989237679E-2</v>
      </c>
      <c r="S171" s="2"/>
      <c r="T171" s="6">
        <v>65030.79</v>
      </c>
      <c r="U171" s="2"/>
      <c r="V171" s="7">
        <f t="shared" si="41"/>
        <v>7.5632253505701656E-3</v>
      </c>
      <c r="W171" s="2"/>
      <c r="X171" s="6">
        <f t="shared" si="42"/>
        <v>-2858.6500000000015</v>
      </c>
      <c r="Y171" s="2"/>
      <c r="Z171" s="7">
        <f t="shared" si="43"/>
        <v>-4.3958408009498288E-2</v>
      </c>
    </row>
    <row r="172" spans="1:26" s="23" customFormat="1" hidden="1" outlineLevel="2" x14ac:dyDescent="0.25">
      <c r="A172" s="25"/>
      <c r="B172" s="10" t="str">
        <f>CONCATENATE("          ", "6116", " - ", "EDUCATIONAL BENEFITS")</f>
        <v xml:space="preserve">          6116 - EDUCATIONAL BENEFITS</v>
      </c>
      <c r="C172" s="10"/>
      <c r="D172" s="6"/>
      <c r="E172" s="2"/>
      <c r="F172" s="7">
        <f t="shared" si="36"/>
        <v>0</v>
      </c>
      <c r="G172" s="2"/>
      <c r="H172" s="6"/>
      <c r="I172" s="2"/>
      <c r="J172" s="7">
        <f t="shared" si="37"/>
        <v>0</v>
      </c>
      <c r="K172" s="2"/>
      <c r="L172" s="6">
        <f t="shared" si="38"/>
        <v>0</v>
      </c>
      <c r="M172" s="2"/>
      <c r="N172" s="7">
        <f t="shared" si="39"/>
        <v>0</v>
      </c>
      <c r="O172" s="10"/>
      <c r="P172" s="6">
        <v>0</v>
      </c>
      <c r="Q172" s="2"/>
      <c r="R172" s="7">
        <f t="shared" si="40"/>
        <v>0</v>
      </c>
      <c r="S172" s="2"/>
      <c r="T172" s="6"/>
      <c r="U172" s="2"/>
      <c r="V172" s="7">
        <f t="shared" si="41"/>
        <v>0</v>
      </c>
      <c r="W172" s="2"/>
      <c r="X172" s="6">
        <f t="shared" si="42"/>
        <v>0</v>
      </c>
      <c r="Y172" s="2"/>
      <c r="Z172" s="7">
        <f t="shared" si="43"/>
        <v>0</v>
      </c>
    </row>
    <row r="173" spans="1:26" s="23" customFormat="1" hidden="1" outlineLevel="2" x14ac:dyDescent="0.25">
      <c r="A173" s="25"/>
      <c r="B173" s="10" t="str">
        <f>CONCATENATE("          ", "6117", " - ", "RETIREMENT STAFF HOURLY")</f>
        <v xml:space="preserve">          6117 - RETIREMENT STAFF HOURLY</v>
      </c>
      <c r="C173" s="10"/>
      <c r="D173" s="6">
        <v>650.84</v>
      </c>
      <c r="E173" s="2"/>
      <c r="F173" s="7">
        <f t="shared" si="36"/>
        <v>3.5391999126456455E-3</v>
      </c>
      <c r="G173" s="2"/>
      <c r="H173" s="6">
        <v>110.54</v>
      </c>
      <c r="I173" s="2"/>
      <c r="J173" s="7">
        <f t="shared" si="37"/>
        <v>4.7637983047273445E-4</v>
      </c>
      <c r="K173" s="2"/>
      <c r="L173" s="6">
        <f t="shared" si="38"/>
        <v>540.30000000000007</v>
      </c>
      <c r="M173" s="2"/>
      <c r="N173" s="7">
        <f t="shared" si="39"/>
        <v>4.8878234123394249</v>
      </c>
      <c r="O173" s="10"/>
      <c r="P173" s="6">
        <v>3401.26</v>
      </c>
      <c r="Q173" s="2"/>
      <c r="R173" s="7">
        <f t="shared" si="40"/>
        <v>7.9763645435969473E-4</v>
      </c>
      <c r="S173" s="2"/>
      <c r="T173" s="6">
        <v>1174.1099999999999</v>
      </c>
      <c r="U173" s="2"/>
      <c r="V173" s="7">
        <f t="shared" si="41"/>
        <v>1.3655160142384763E-4</v>
      </c>
      <c r="W173" s="2"/>
      <c r="X173" s="6">
        <f t="shared" si="42"/>
        <v>2227.1500000000005</v>
      </c>
      <c r="Y173" s="2"/>
      <c r="Z173" s="7">
        <f t="shared" si="43"/>
        <v>1.8968835969372553</v>
      </c>
    </row>
    <row r="174" spans="1:26" s="23" customFormat="1" hidden="1" outlineLevel="2" x14ac:dyDescent="0.25">
      <c r="A174" s="25"/>
      <c r="B174" s="10" t="str">
        <f>CONCATENATE("          ", "6118", " - ", "VACATION")</f>
        <v xml:space="preserve">          6118 - VACATION</v>
      </c>
      <c r="C174" s="10"/>
      <c r="D174" s="6">
        <v>5455.57</v>
      </c>
      <c r="E174" s="2"/>
      <c r="F174" s="7">
        <f t="shared" si="36"/>
        <v>2.9666819598414666E-2</v>
      </c>
      <c r="G174" s="2"/>
      <c r="H174" s="6">
        <v>10248.99</v>
      </c>
      <c r="I174" s="2"/>
      <c r="J174" s="7">
        <f t="shared" si="37"/>
        <v>4.4168736373410081E-2</v>
      </c>
      <c r="K174" s="2"/>
      <c r="L174" s="6">
        <f t="shared" si="38"/>
        <v>-4793.42</v>
      </c>
      <c r="M174" s="2"/>
      <c r="N174" s="7">
        <f t="shared" si="39"/>
        <v>-0.46769681695464627</v>
      </c>
      <c r="O174" s="10"/>
      <c r="P174" s="6">
        <v>48946.04</v>
      </c>
      <c r="Q174" s="2"/>
      <c r="R174" s="7">
        <f t="shared" si="40"/>
        <v>1.1478436167934175E-2</v>
      </c>
      <c r="S174" s="2"/>
      <c r="T174" s="6">
        <v>51993.79</v>
      </c>
      <c r="U174" s="2"/>
      <c r="V174" s="7">
        <f t="shared" si="41"/>
        <v>6.0469932873369915E-3</v>
      </c>
      <c r="W174" s="2"/>
      <c r="X174" s="6">
        <f t="shared" si="42"/>
        <v>-3047.75</v>
      </c>
      <c r="Y174" s="2"/>
      <c r="Z174" s="7">
        <f t="shared" si="43"/>
        <v>-5.8617577214509657E-2</v>
      </c>
    </row>
    <row r="175" spans="1:26" s="23" customFormat="1" hidden="1" outlineLevel="2" x14ac:dyDescent="0.25">
      <c r="A175" s="25"/>
      <c r="B175" s="10" t="str">
        <f>CONCATENATE("          ", "6119", " - ", "SICK LEAVE")</f>
        <v xml:space="preserve">          6119 - SICK LEAVE</v>
      </c>
      <c r="C175" s="10"/>
      <c r="D175" s="6">
        <v>3824.03</v>
      </c>
      <c r="E175" s="2"/>
      <c r="F175" s="7">
        <f t="shared" si="36"/>
        <v>2.0794675560743544E-2</v>
      </c>
      <c r="G175" s="2"/>
      <c r="H175" s="6">
        <v>-18939.36</v>
      </c>
      <c r="I175" s="2"/>
      <c r="J175" s="7">
        <f t="shared" si="37"/>
        <v>-8.1620491279736626E-2</v>
      </c>
      <c r="K175" s="2"/>
      <c r="L175" s="6">
        <f t="shared" si="38"/>
        <v>22763.39</v>
      </c>
      <c r="M175" s="2"/>
      <c r="N175" s="7">
        <f t="shared" si="39"/>
        <v>-1.2019091458211892</v>
      </c>
      <c r="O175" s="10"/>
      <c r="P175" s="6">
        <v>34968.51</v>
      </c>
      <c r="Q175" s="2"/>
      <c r="R175" s="7">
        <f t="shared" si="40"/>
        <v>8.2005369570810616E-3</v>
      </c>
      <c r="S175" s="2"/>
      <c r="T175" s="6">
        <v>14091.12</v>
      </c>
      <c r="U175" s="2"/>
      <c r="V175" s="7">
        <f t="shared" si="41"/>
        <v>1.6388285610850839E-3</v>
      </c>
      <c r="W175" s="2"/>
      <c r="X175" s="6">
        <f t="shared" si="42"/>
        <v>20877.39</v>
      </c>
      <c r="Y175" s="2"/>
      <c r="Z175" s="7">
        <f t="shared" si="43"/>
        <v>1.4815990496142251</v>
      </c>
    </row>
    <row r="176" spans="1:26" s="23" customFormat="1" hidden="1" outlineLevel="2" x14ac:dyDescent="0.25">
      <c r="A176" s="25"/>
      <c r="B176" s="10" t="str">
        <f>CONCATENATE("          ", "6156", " - ", "EMPLOYEE MEALS")</f>
        <v xml:space="preserve">          6156 - EMPLOYEE MEALS</v>
      </c>
      <c r="C176" s="10"/>
      <c r="D176" s="6">
        <v>1556.92</v>
      </c>
      <c r="E176" s="2"/>
      <c r="F176" s="7">
        <f t="shared" si="36"/>
        <v>8.4663682748390666E-3</v>
      </c>
      <c r="G176" s="2"/>
      <c r="H176" s="6">
        <v>1286.23</v>
      </c>
      <c r="I176" s="2"/>
      <c r="J176" s="7">
        <f t="shared" si="37"/>
        <v>5.5430977867644759E-3</v>
      </c>
      <c r="K176" s="2"/>
      <c r="L176" s="6">
        <f t="shared" si="38"/>
        <v>270.69000000000005</v>
      </c>
      <c r="M176" s="2"/>
      <c r="N176" s="7">
        <f t="shared" si="39"/>
        <v>0.2104522519300592</v>
      </c>
      <c r="O176" s="10"/>
      <c r="P176" s="6">
        <v>12496.47</v>
      </c>
      <c r="Q176" s="2"/>
      <c r="R176" s="7">
        <f t="shared" si="40"/>
        <v>2.930572794438618E-3</v>
      </c>
      <c r="S176" s="2"/>
      <c r="T176" s="6">
        <v>17840.89</v>
      </c>
      <c r="U176" s="2"/>
      <c r="V176" s="7">
        <f t="shared" si="41"/>
        <v>2.0749351426414125E-3</v>
      </c>
      <c r="W176" s="2"/>
      <c r="X176" s="6">
        <f t="shared" si="42"/>
        <v>-5344.42</v>
      </c>
      <c r="Y176" s="2"/>
      <c r="Z176" s="7">
        <f t="shared" si="43"/>
        <v>-0.29956016768221766</v>
      </c>
    </row>
    <row r="177" spans="1:26" s="26" customFormat="1" outlineLevel="1" collapsed="1" x14ac:dyDescent="0.25">
      <c r="A177" s="27"/>
      <c r="B177" s="12" t="str">
        <f>CONCATENATE("     ","*Payroll                                          ")</f>
        <v xml:space="preserve">     *Payroll                                          </v>
      </c>
      <c r="C177" s="12"/>
      <c r="D177" s="1">
        <f>SUM(OSRRefD22_1x_0)</f>
        <v>116406.42</v>
      </c>
      <c r="E177" s="1"/>
      <c r="F177" s="5">
        <f t="shared" ref="F177:F184" si="44">IF(D$12=0,0,D177/D$12)</f>
        <v>0.63300594845951741</v>
      </c>
      <c r="G177" s="1"/>
      <c r="H177" s="1">
        <f>SUM(OSRRefH22_1x_0)</f>
        <v>164282.28</v>
      </c>
      <c r="I177" s="1"/>
      <c r="J177" s="5">
        <f t="shared" ref="J177:J184" si="45">IF(H$12=0,0,H177/H$12)</f>
        <v>0.70798592994458376</v>
      </c>
      <c r="K177" s="1"/>
      <c r="L177" s="1">
        <f t="shared" ref="L177:L184" si="46">+D177-H177</f>
        <v>-47875.86</v>
      </c>
      <c r="M177" s="1"/>
      <c r="N177" s="5">
        <f t="shared" ref="N177:N184" si="47">IF(H177=0,0,L177/H177)</f>
        <v>-0.29142437029727125</v>
      </c>
      <c r="O177" s="12"/>
      <c r="P177" s="1">
        <f>SUM(OSRRefP22_1x_0)</f>
        <v>1123061.8</v>
      </c>
      <c r="Q177" s="1"/>
      <c r="R177" s="5">
        <f t="shared" ref="R177:R184" si="48">IF(P$12=0,0,P177/P$12)</f>
        <v>0.26337152472284286</v>
      </c>
      <c r="S177" s="1"/>
      <c r="T177" s="1">
        <f>SUM(OSRRefT22_1x_0)</f>
        <v>1624894.25</v>
      </c>
      <c r="U177" s="1"/>
      <c r="V177" s="5">
        <f t="shared" ref="V177:V184" si="49">IF(T$12=0,0,T177/T$12)</f>
        <v>0.18897881116922763</v>
      </c>
      <c r="W177" s="1"/>
      <c r="X177" s="1">
        <f t="shared" ref="X177:X184" si="50">+P177-T177</f>
        <v>-501832.44999999995</v>
      </c>
      <c r="Y177" s="1"/>
      <c r="Z177" s="5">
        <f t="shared" ref="Z177:Z184" si="51">IF(T177=0,0,X177/T177)</f>
        <v>-0.30884006759209098</v>
      </c>
    </row>
    <row r="178" spans="1:26" s="23" customFormat="1" hidden="1" outlineLevel="2" x14ac:dyDescent="0.25">
      <c r="A178" s="25"/>
      <c r="B178" s="10" t="str">
        <f>CONCATENATE("          ", "6001", " - ", "ADMINISTRATIVE SALARIES")</f>
        <v xml:space="preserve">          6001 - ADMINISTRATIVE SALARIES</v>
      </c>
      <c r="C178" s="10"/>
      <c r="D178" s="6">
        <v>4279.74</v>
      </c>
      <c r="E178" s="2"/>
      <c r="F178" s="7">
        <f t="shared" si="44"/>
        <v>2.3272778922847508E-2</v>
      </c>
      <c r="G178" s="2"/>
      <c r="H178" s="6">
        <v>4822.2</v>
      </c>
      <c r="I178" s="2"/>
      <c r="J178" s="7">
        <f t="shared" si="45"/>
        <v>2.078160682563434E-2</v>
      </c>
      <c r="K178" s="2"/>
      <c r="L178" s="6">
        <f t="shared" si="46"/>
        <v>-542.46</v>
      </c>
      <c r="M178" s="2"/>
      <c r="N178" s="7">
        <f t="shared" si="47"/>
        <v>-0.1124922234664676</v>
      </c>
      <c r="O178" s="10"/>
      <c r="P178" s="6">
        <v>38776.33</v>
      </c>
      <c r="Q178" s="2"/>
      <c r="R178" s="7">
        <f t="shared" si="48"/>
        <v>9.0935166303903435E-3</v>
      </c>
      <c r="S178" s="2"/>
      <c r="T178" s="6">
        <v>93238.31</v>
      </c>
      <c r="U178" s="2"/>
      <c r="V178" s="7">
        <f t="shared" si="49"/>
        <v>1.0843822592902834E-2</v>
      </c>
      <c r="W178" s="2"/>
      <c r="X178" s="6">
        <f t="shared" si="50"/>
        <v>-54461.979999999996</v>
      </c>
      <c r="Y178" s="2"/>
      <c r="Z178" s="7">
        <f t="shared" si="51"/>
        <v>-0.58411590686274772</v>
      </c>
    </row>
    <row r="179" spans="1:26" s="23" customFormat="1" hidden="1" outlineLevel="2" x14ac:dyDescent="0.25">
      <c r="A179" s="25"/>
      <c r="B179" s="10" t="str">
        <f>CONCATENATE("          ", "6002", " - ", "STAFF SALARIES")</f>
        <v xml:space="preserve">          6002 - STAFF SALARIES</v>
      </c>
      <c r="C179" s="10"/>
      <c r="D179" s="6">
        <v>59850.43</v>
      </c>
      <c r="E179" s="2"/>
      <c r="F179" s="7">
        <f t="shared" si="44"/>
        <v>0.32546038446900055</v>
      </c>
      <c r="G179" s="2"/>
      <c r="H179" s="6">
        <v>54721.43</v>
      </c>
      <c r="I179" s="2"/>
      <c r="J179" s="7">
        <f t="shared" si="45"/>
        <v>0.2358258146067089</v>
      </c>
      <c r="K179" s="2"/>
      <c r="L179" s="6">
        <f t="shared" si="46"/>
        <v>5129</v>
      </c>
      <c r="M179" s="2"/>
      <c r="N179" s="7">
        <f t="shared" si="47"/>
        <v>9.3729275715199692E-2</v>
      </c>
      <c r="O179" s="10"/>
      <c r="P179" s="6">
        <v>534875.47</v>
      </c>
      <c r="Q179" s="2"/>
      <c r="R179" s="7">
        <f t="shared" si="48"/>
        <v>0.1254347428349421</v>
      </c>
      <c r="S179" s="2"/>
      <c r="T179" s="6">
        <v>521949.59</v>
      </c>
      <c r="U179" s="2"/>
      <c r="V179" s="7">
        <f t="shared" si="49"/>
        <v>6.0703896889576524E-2</v>
      </c>
      <c r="W179" s="2"/>
      <c r="X179" s="6">
        <f t="shared" si="50"/>
        <v>12925.879999999946</v>
      </c>
      <c r="Y179" s="2"/>
      <c r="Z179" s="7">
        <f t="shared" si="51"/>
        <v>2.4764613762796414E-2</v>
      </c>
    </row>
    <row r="180" spans="1:26" s="23" customFormat="1" hidden="1" outlineLevel="2" x14ac:dyDescent="0.25">
      <c r="A180" s="25"/>
      <c r="B180" s="10" t="str">
        <f>CONCATENATE("          ", "6004", " - ", "STAFF HOURLY")</f>
        <v xml:space="preserve">          6004 - STAFF HOURLY</v>
      </c>
      <c r="C180" s="10"/>
      <c r="D180" s="6">
        <v>11915.7</v>
      </c>
      <c r="E180" s="2"/>
      <c r="F180" s="7">
        <f t="shared" si="44"/>
        <v>6.4796331508683733E-2</v>
      </c>
      <c r="G180" s="2"/>
      <c r="H180" s="6">
        <v>9353.7000000000007</v>
      </c>
      <c r="I180" s="2"/>
      <c r="J180" s="7">
        <f t="shared" si="45"/>
        <v>4.0310421750432569E-2</v>
      </c>
      <c r="K180" s="2"/>
      <c r="L180" s="6">
        <f t="shared" si="46"/>
        <v>2562</v>
      </c>
      <c r="M180" s="2"/>
      <c r="N180" s="7">
        <f t="shared" si="47"/>
        <v>0.27390230603932131</v>
      </c>
      <c r="O180" s="10"/>
      <c r="P180" s="6">
        <v>137508.13</v>
      </c>
      <c r="Q180" s="2"/>
      <c r="R180" s="7">
        <f t="shared" si="48"/>
        <v>3.2247313424681436E-2</v>
      </c>
      <c r="S180" s="2"/>
      <c r="T180" s="6">
        <v>38523.629999999997</v>
      </c>
      <c r="U180" s="2"/>
      <c r="V180" s="7">
        <f t="shared" si="49"/>
        <v>4.4803837537877875E-3</v>
      </c>
      <c r="W180" s="2"/>
      <c r="X180" s="6">
        <f t="shared" si="50"/>
        <v>98984.5</v>
      </c>
      <c r="Y180" s="2"/>
      <c r="Z180" s="7">
        <f t="shared" si="51"/>
        <v>2.5694489330314929</v>
      </c>
    </row>
    <row r="181" spans="1:26" s="23" customFormat="1" hidden="1" outlineLevel="2" x14ac:dyDescent="0.25">
      <c r="A181" s="25"/>
      <c r="B181" s="10" t="str">
        <f>CONCATENATE("          ", "6005", " - ", "TEMPORARY WAGES-HOURLY")</f>
        <v xml:space="preserve">          6005 - TEMPORARY WAGES-HOURLY</v>
      </c>
      <c r="C181" s="10"/>
      <c r="D181" s="6">
        <v>13818.91</v>
      </c>
      <c r="E181" s="2"/>
      <c r="F181" s="7">
        <f t="shared" si="44"/>
        <v>7.5145788619104592E-2</v>
      </c>
      <c r="G181" s="2"/>
      <c r="H181" s="6">
        <v>19921.509999999998</v>
      </c>
      <c r="I181" s="2"/>
      <c r="J181" s="7">
        <f t="shared" si="45"/>
        <v>8.5853135123583155E-2</v>
      </c>
      <c r="K181" s="2"/>
      <c r="L181" s="6">
        <f t="shared" si="46"/>
        <v>-6102.5999999999985</v>
      </c>
      <c r="M181" s="2"/>
      <c r="N181" s="7">
        <f t="shared" si="47"/>
        <v>-0.3063322007217324</v>
      </c>
      <c r="O181" s="10"/>
      <c r="P181" s="6">
        <v>136226.98000000001</v>
      </c>
      <c r="Q181" s="2"/>
      <c r="R181" s="7">
        <f t="shared" si="48"/>
        <v>3.1946868312134044E-2</v>
      </c>
      <c r="S181" s="2"/>
      <c r="T181" s="6">
        <v>166536.03</v>
      </c>
      <c r="U181" s="2"/>
      <c r="V181" s="7">
        <f t="shared" si="49"/>
        <v>1.9368510268433052E-2</v>
      </c>
      <c r="W181" s="2"/>
      <c r="X181" s="6">
        <f t="shared" si="50"/>
        <v>-30309.049999999988</v>
      </c>
      <c r="Y181" s="2"/>
      <c r="Z181" s="7">
        <f t="shared" si="51"/>
        <v>-0.18199695285158407</v>
      </c>
    </row>
    <row r="182" spans="1:26" s="23" customFormat="1" hidden="1" outlineLevel="2" x14ac:dyDescent="0.25">
      <c r="A182" s="25"/>
      <c r="B182" s="10" t="str">
        <f>CONCATENATE("          ", "6006", " - ", "TEMPORARY PART TIME")</f>
        <v xml:space="preserve">          6006 - TEMPORARY PART TIME</v>
      </c>
      <c r="C182" s="10"/>
      <c r="D182" s="6">
        <v>2022.89</v>
      </c>
      <c r="E182" s="2"/>
      <c r="F182" s="7">
        <f t="shared" si="44"/>
        <v>1.1000264444858566E-2</v>
      </c>
      <c r="G182" s="2"/>
      <c r="H182" s="6">
        <v>4638.62</v>
      </c>
      <c r="I182" s="2"/>
      <c r="J182" s="7">
        <f t="shared" si="45"/>
        <v>1.999045602702583E-2</v>
      </c>
      <c r="K182" s="2"/>
      <c r="L182" s="6">
        <f t="shared" si="46"/>
        <v>-2615.7299999999996</v>
      </c>
      <c r="M182" s="2"/>
      <c r="N182" s="7">
        <f t="shared" si="47"/>
        <v>-0.56390262621210607</v>
      </c>
      <c r="O182" s="10"/>
      <c r="P182" s="6">
        <v>14053.29</v>
      </c>
      <c r="Q182" s="2"/>
      <c r="R182" s="7">
        <f t="shared" si="48"/>
        <v>3.2956658437427759E-3</v>
      </c>
      <c r="S182" s="2"/>
      <c r="T182" s="6">
        <v>29846.7</v>
      </c>
      <c r="U182" s="2"/>
      <c r="V182" s="7">
        <f t="shared" si="49"/>
        <v>3.4712375179643757E-3</v>
      </c>
      <c r="W182" s="2"/>
      <c r="X182" s="6">
        <f t="shared" si="50"/>
        <v>-15793.41</v>
      </c>
      <c r="Y182" s="2"/>
      <c r="Z182" s="7">
        <f t="shared" si="51"/>
        <v>-0.52915096141281948</v>
      </c>
    </row>
    <row r="183" spans="1:26" s="23" customFormat="1" hidden="1" outlineLevel="2" x14ac:dyDescent="0.25">
      <c r="A183" s="25"/>
      <c r="B183" s="10" t="str">
        <f>CONCATENATE("          ", "6007", " - ", "STUDENT HOURLY")</f>
        <v xml:space="preserve">          6007 - STUDENT HOURLY</v>
      </c>
      <c r="C183" s="10"/>
      <c r="D183" s="6">
        <v>23406.38</v>
      </c>
      <c r="E183" s="2"/>
      <c r="F183" s="7">
        <f t="shared" si="44"/>
        <v>0.12728144866841432</v>
      </c>
      <c r="G183" s="2"/>
      <c r="H183" s="6">
        <v>69088.479999999996</v>
      </c>
      <c r="I183" s="2"/>
      <c r="J183" s="7">
        <f t="shared" si="45"/>
        <v>0.29774161742372807</v>
      </c>
      <c r="K183" s="2"/>
      <c r="L183" s="6">
        <f t="shared" si="46"/>
        <v>-45682.099999999991</v>
      </c>
      <c r="M183" s="2"/>
      <c r="N183" s="7">
        <f t="shared" si="47"/>
        <v>-0.66121153627927542</v>
      </c>
      <c r="O183" s="10"/>
      <c r="P183" s="6">
        <v>253209.98</v>
      </c>
      <c r="Q183" s="2"/>
      <c r="R183" s="7">
        <f t="shared" si="48"/>
        <v>5.9380791428967267E-2</v>
      </c>
      <c r="S183" s="2"/>
      <c r="T183" s="6">
        <v>759476.07</v>
      </c>
      <c r="U183" s="2"/>
      <c r="V183" s="7">
        <f t="shared" si="49"/>
        <v>8.8328754206667345E-2</v>
      </c>
      <c r="W183" s="2"/>
      <c r="X183" s="6">
        <f t="shared" si="50"/>
        <v>-506266.08999999997</v>
      </c>
      <c r="Y183" s="2"/>
      <c r="Z183" s="7">
        <f t="shared" si="51"/>
        <v>-0.66659913326828057</v>
      </c>
    </row>
    <row r="184" spans="1:26" s="23" customFormat="1" hidden="1" outlineLevel="2" x14ac:dyDescent="0.25">
      <c r="A184" s="25"/>
      <c r="B184" s="10" t="str">
        <f>CONCATENATE("          ", "6008", " - ", "STUDENT HOURLY-FICA EXEMPT")</f>
        <v xml:space="preserve">          6008 - STUDENT HOURLY-FICA EXEMPT</v>
      </c>
      <c r="C184" s="10"/>
      <c r="D184" s="6">
        <v>1112.3699999999999</v>
      </c>
      <c r="E184" s="2"/>
      <c r="F184" s="7">
        <f t="shared" si="44"/>
        <v>6.0489518266081312E-3</v>
      </c>
      <c r="G184" s="2"/>
      <c r="H184" s="6">
        <v>1736.34</v>
      </c>
      <c r="I184" s="2"/>
      <c r="J184" s="7">
        <f t="shared" si="45"/>
        <v>7.4828781874708488E-3</v>
      </c>
      <c r="K184" s="2"/>
      <c r="L184" s="6">
        <f t="shared" si="46"/>
        <v>-623.97</v>
      </c>
      <c r="M184" s="2"/>
      <c r="N184" s="7">
        <f t="shared" si="47"/>
        <v>-0.35935934206434228</v>
      </c>
      <c r="O184" s="10"/>
      <c r="P184" s="6">
        <v>8411.6200000000008</v>
      </c>
      <c r="Q184" s="2"/>
      <c r="R184" s="7">
        <f t="shared" si="48"/>
        <v>1.9726262479848925E-3</v>
      </c>
      <c r="S184" s="2"/>
      <c r="T184" s="6">
        <v>15323.92</v>
      </c>
      <c r="U184" s="2"/>
      <c r="V184" s="7">
        <f t="shared" si="49"/>
        <v>1.7822059398956889E-3</v>
      </c>
      <c r="W184" s="2"/>
      <c r="X184" s="6">
        <f t="shared" si="50"/>
        <v>-6912.2999999999993</v>
      </c>
      <c r="Y184" s="2"/>
      <c r="Z184" s="7">
        <f t="shared" si="51"/>
        <v>-0.45107909725448836</v>
      </c>
    </row>
    <row r="185" spans="1:26" s="26" customFormat="1" outlineLevel="1" collapsed="1" x14ac:dyDescent="0.25">
      <c r="A185" s="27"/>
      <c r="B185" s="12" t="str">
        <f>CONCATENATE("     ","Advertising/Promo                                 ")</f>
        <v xml:space="preserve">     Advertising/Promo                                 </v>
      </c>
      <c r="C185" s="12"/>
      <c r="D185" s="1">
        <f>SUM(OSRRefD22_2x_0)</f>
        <v>73.430000000000007</v>
      </c>
      <c r="E185" s="1"/>
      <c r="F185" s="5">
        <f t="shared" ref="F185:F189" si="52">IF(D$12=0,0,D185/D$12)</f>
        <v>3.9930466717713993E-4</v>
      </c>
      <c r="G185" s="1"/>
      <c r="H185" s="1">
        <f>SUM(OSRRefH22_2x_0)</f>
        <v>472.13</v>
      </c>
      <c r="I185" s="1"/>
      <c r="J185" s="5">
        <f t="shared" ref="J185:J189" si="53">IF(H$12=0,0,H185/H$12)</f>
        <v>2.0346771246706357E-3</v>
      </c>
      <c r="K185" s="1"/>
      <c r="L185" s="1">
        <f t="shared" ref="L185:L189" si="54">+D185-H185</f>
        <v>-398.7</v>
      </c>
      <c r="M185" s="1"/>
      <c r="N185" s="5">
        <f t="shared" ref="N185:N189" si="55">IF(H185=0,0,L185/H185)</f>
        <v>-0.84447080253320062</v>
      </c>
      <c r="O185" s="12"/>
      <c r="P185" s="1">
        <f>SUM(OSRRefP22_2x_0)</f>
        <v>16222.22</v>
      </c>
      <c r="Q185" s="1"/>
      <c r="R185" s="5">
        <f t="shared" ref="R185:R189" si="56">IF(P$12=0,0,P185/P$12)</f>
        <v>3.804306063824267E-3</v>
      </c>
      <c r="S185" s="1"/>
      <c r="T185" s="1">
        <f>SUM(OSRRefT22_2x_0)</f>
        <v>43642.99</v>
      </c>
      <c r="U185" s="1"/>
      <c r="V185" s="5">
        <f t="shared" ref="V185:V189" si="57">IF(T$12=0,0,T185/T$12)</f>
        <v>5.0757766950498403E-3</v>
      </c>
      <c r="W185" s="1"/>
      <c r="X185" s="1">
        <f t="shared" ref="X185:X189" si="58">+P185-T185</f>
        <v>-27420.769999999997</v>
      </c>
      <c r="Y185" s="1"/>
      <c r="Z185" s="5">
        <f t="shared" ref="Z185:Z189" si="59">IF(T185=0,0,X185/T185)</f>
        <v>-0.62829723628009904</v>
      </c>
    </row>
    <row r="186" spans="1:26" s="23" customFormat="1" hidden="1" outlineLevel="2" x14ac:dyDescent="0.25">
      <c r="A186" s="25"/>
      <c r="B186" s="10" t="str">
        <f>CONCATENATE("          ", "6362", " - ", "ADVERTISING EXPENSE")</f>
        <v xml:space="preserve">          6362 - ADVERTISING EXPENSE</v>
      </c>
      <c r="C186" s="10"/>
      <c r="D186" s="6">
        <v>73.430000000000007</v>
      </c>
      <c r="E186" s="2"/>
      <c r="F186" s="7">
        <f t="shared" si="52"/>
        <v>3.9930466717713993E-4</v>
      </c>
      <c r="G186" s="2"/>
      <c r="H186" s="6">
        <v>472.13</v>
      </c>
      <c r="I186" s="2"/>
      <c r="J186" s="7">
        <f t="shared" si="53"/>
        <v>2.0346771246706357E-3</v>
      </c>
      <c r="K186" s="2"/>
      <c r="L186" s="6">
        <f t="shared" si="54"/>
        <v>-398.7</v>
      </c>
      <c r="M186" s="2"/>
      <c r="N186" s="7">
        <f t="shared" si="55"/>
        <v>-0.84447080253320062</v>
      </c>
      <c r="O186" s="10"/>
      <c r="P186" s="6">
        <v>16222.22</v>
      </c>
      <c r="Q186" s="2"/>
      <c r="R186" s="7">
        <f t="shared" si="56"/>
        <v>3.804306063824267E-3</v>
      </c>
      <c r="S186" s="2"/>
      <c r="T186" s="6">
        <v>43642.99</v>
      </c>
      <c r="U186" s="2"/>
      <c r="V186" s="7">
        <f t="shared" si="57"/>
        <v>5.0757766950498403E-3</v>
      </c>
      <c r="W186" s="2"/>
      <c r="X186" s="6">
        <f t="shared" si="58"/>
        <v>-27420.769999999997</v>
      </c>
      <c r="Y186" s="2"/>
      <c r="Z186" s="7">
        <f t="shared" si="59"/>
        <v>-0.62829723628009904</v>
      </c>
    </row>
    <row r="187" spans="1:26" s="26" customFormat="1" outlineLevel="1" collapsed="1" x14ac:dyDescent="0.25">
      <c r="A187" s="27"/>
      <c r="B187" s="12" t="str">
        <f>CONCATENATE("     ","Bad Debts/Over/Short                              ")</f>
        <v xml:space="preserve">     Bad Debts/Over/Short                              </v>
      </c>
      <c r="C187" s="12"/>
      <c r="D187" s="1">
        <f>SUM(OSRRefD22_3x_0)</f>
        <v>-16.510000000000002</v>
      </c>
      <c r="E187" s="1"/>
      <c r="F187" s="5">
        <f t="shared" si="52"/>
        <v>-8.9779654842633537E-5</v>
      </c>
      <c r="G187" s="1"/>
      <c r="H187" s="1">
        <f>SUM(OSRRefH22_3x_0)</f>
        <v>-50.56</v>
      </c>
      <c r="I187" s="1"/>
      <c r="J187" s="5">
        <f t="shared" si="53"/>
        <v>-2.1789184212684507E-4</v>
      </c>
      <c r="K187" s="1"/>
      <c r="L187" s="1">
        <f t="shared" si="54"/>
        <v>34.049999999999997</v>
      </c>
      <c r="M187" s="1"/>
      <c r="N187" s="5">
        <f t="shared" si="55"/>
        <v>-0.67345727848101256</v>
      </c>
      <c r="O187" s="12"/>
      <c r="P187" s="1">
        <f>SUM(OSRRefP22_3x_0)</f>
        <v>5183.95</v>
      </c>
      <c r="Q187" s="1"/>
      <c r="R187" s="5">
        <f t="shared" si="56"/>
        <v>1.2156987403426787E-3</v>
      </c>
      <c r="S187" s="1"/>
      <c r="T187" s="1">
        <f>SUM(OSRRefT22_3x_0)</f>
        <v>-31.019999999999996</v>
      </c>
      <c r="U187" s="1"/>
      <c r="V187" s="5">
        <f t="shared" si="57"/>
        <v>-3.6076949145887122E-6</v>
      </c>
      <c r="W187" s="1"/>
      <c r="X187" s="1">
        <f t="shared" si="58"/>
        <v>5214.97</v>
      </c>
      <c r="Y187" s="1"/>
      <c r="Z187" s="5">
        <f t="shared" si="59"/>
        <v>-168.11637653127019</v>
      </c>
    </row>
    <row r="188" spans="1:26" s="23" customFormat="1" hidden="1" outlineLevel="2" x14ac:dyDescent="0.25">
      <c r="A188" s="25"/>
      <c r="B188" s="10" t="str">
        <f>CONCATENATE("          ", "6272", " - ", "CASH (OVER/SHORT)")</f>
        <v xml:space="preserve">          6272 - CASH (OVER/SHORT)</v>
      </c>
      <c r="C188" s="10"/>
      <c r="D188" s="6">
        <v>-16.510000000000002</v>
      </c>
      <c r="E188" s="2"/>
      <c r="F188" s="7">
        <f t="shared" si="52"/>
        <v>-8.9779654842633537E-5</v>
      </c>
      <c r="G188" s="2"/>
      <c r="H188" s="6">
        <v>-50.56</v>
      </c>
      <c r="I188" s="2"/>
      <c r="J188" s="7">
        <f t="shared" si="53"/>
        <v>-2.1789184212684507E-4</v>
      </c>
      <c r="K188" s="2"/>
      <c r="L188" s="6">
        <f t="shared" si="54"/>
        <v>34.049999999999997</v>
      </c>
      <c r="M188" s="2"/>
      <c r="N188" s="7">
        <f t="shared" si="55"/>
        <v>-0.67345727848101256</v>
      </c>
      <c r="O188" s="10"/>
      <c r="P188" s="6">
        <v>-165.47</v>
      </c>
      <c r="Q188" s="2"/>
      <c r="R188" s="7">
        <f t="shared" si="56"/>
        <v>-3.8804708873446511E-5</v>
      </c>
      <c r="S188" s="2"/>
      <c r="T188" s="6">
        <v>-75.819999999999993</v>
      </c>
      <c r="U188" s="2"/>
      <c r="V188" s="7">
        <f t="shared" si="57"/>
        <v>-8.8180344430727337E-6</v>
      </c>
      <c r="W188" s="2"/>
      <c r="X188" s="6">
        <f t="shared" si="58"/>
        <v>-89.65</v>
      </c>
      <c r="Y188" s="2"/>
      <c r="Z188" s="7">
        <f t="shared" si="59"/>
        <v>1.1824056977050912</v>
      </c>
    </row>
    <row r="189" spans="1:26" s="23" customFormat="1" hidden="1" outlineLevel="2" x14ac:dyDescent="0.25">
      <c r="A189" s="25"/>
      <c r="B189" s="10" t="str">
        <f>CONCATENATE("          ", "6342", " - ", "BAD DEBT")</f>
        <v xml:space="preserve">          6342 - BAD DEBT</v>
      </c>
      <c r="C189" s="10"/>
      <c r="D189" s="6"/>
      <c r="E189" s="2"/>
      <c r="F189" s="7">
        <f t="shared" si="52"/>
        <v>0</v>
      </c>
      <c r="G189" s="2"/>
      <c r="H189" s="6"/>
      <c r="I189" s="2"/>
      <c r="J189" s="7">
        <f t="shared" si="53"/>
        <v>0</v>
      </c>
      <c r="K189" s="2"/>
      <c r="L189" s="6">
        <f t="shared" si="54"/>
        <v>0</v>
      </c>
      <c r="M189" s="2"/>
      <c r="N189" s="7">
        <f t="shared" si="55"/>
        <v>0</v>
      </c>
      <c r="O189" s="10"/>
      <c r="P189" s="6">
        <v>5349.42</v>
      </c>
      <c r="Q189" s="2"/>
      <c r="R189" s="7">
        <f t="shared" si="56"/>
        <v>1.2545034492161251E-3</v>
      </c>
      <c r="S189" s="2"/>
      <c r="T189" s="6">
        <v>44.8</v>
      </c>
      <c r="U189" s="2"/>
      <c r="V189" s="7">
        <f t="shared" si="57"/>
        <v>5.210339528484021E-6</v>
      </c>
      <c r="W189" s="2"/>
      <c r="X189" s="6">
        <f t="shared" si="58"/>
        <v>5304.62</v>
      </c>
      <c r="Y189" s="2"/>
      <c r="Z189" s="7">
        <f t="shared" si="59"/>
        <v>118.40669642857144</v>
      </c>
    </row>
    <row r="190" spans="1:26" s="26" customFormat="1" outlineLevel="1" collapsed="1" x14ac:dyDescent="0.25">
      <c r="A190" s="27"/>
      <c r="B190" s="12" t="str">
        <f>CONCATENATE("     ","Bank/card Fees                                    ")</f>
        <v xml:space="preserve">     Bank/card Fees                                    </v>
      </c>
      <c r="C190" s="12"/>
      <c r="D190" s="1">
        <f>SUM(OSRRefD22_4x_0)</f>
        <v>3823.93</v>
      </c>
      <c r="E190" s="1"/>
      <c r="F190" s="5">
        <f t="shared" ref="F190:F195" si="60">IF(D$12=0,0,D190/D$12)</f>
        <v>2.0794131771192707E-2</v>
      </c>
      <c r="G190" s="1"/>
      <c r="H190" s="1">
        <f>SUM(OSRRefH22_4x_0)</f>
        <v>5912.23</v>
      </c>
      <c r="I190" s="1"/>
      <c r="J190" s="5">
        <f t="shared" ref="J190:J195" si="61">IF(H$12=0,0,H190/H$12)</f>
        <v>2.5479167044651838E-2</v>
      </c>
      <c r="K190" s="1"/>
      <c r="L190" s="1">
        <f t="shared" ref="L190:L195" si="62">+D190-H190</f>
        <v>-2088.2999999999997</v>
      </c>
      <c r="M190" s="1"/>
      <c r="N190" s="5">
        <f t="shared" ref="N190:N195" si="63">IF(H190=0,0,L190/H190)</f>
        <v>-0.35321697565893073</v>
      </c>
      <c r="O190" s="12"/>
      <c r="P190" s="1">
        <f>SUM(OSRRefP22_4x_0)</f>
        <v>69325.009999999995</v>
      </c>
      <c r="Q190" s="1"/>
      <c r="R190" s="5">
        <f t="shared" ref="R190:R195" si="64">IF(P$12=0,0,P190/P$12)</f>
        <v>1.6257550194589764E-2</v>
      </c>
      <c r="S190" s="1"/>
      <c r="T190" s="1">
        <f>SUM(OSRRefT22_4x_0)</f>
        <v>137147.91</v>
      </c>
      <c r="U190" s="1"/>
      <c r="V190" s="5">
        <f t="shared" ref="V190:V195" si="65">IF(T$12=0,0,T190/T$12)</f>
        <v>1.5950606623258236E-2</v>
      </c>
      <c r="W190" s="1"/>
      <c r="X190" s="1">
        <f t="shared" ref="X190:X195" si="66">+P190-T190</f>
        <v>-67822.900000000009</v>
      </c>
      <c r="Y190" s="1"/>
      <c r="Z190" s="5">
        <f t="shared" ref="Z190:Z195" si="67">IF(T190=0,0,X190/T190)</f>
        <v>-0.49452375905691898</v>
      </c>
    </row>
    <row r="191" spans="1:26" s="23" customFormat="1" hidden="1" outlineLevel="2" x14ac:dyDescent="0.25">
      <c r="A191" s="25"/>
      <c r="B191" s="10" t="str">
        <f>CONCATENATE("          ", "6381", " - ", "BANK/CREDIT CARD FEES")</f>
        <v xml:space="preserve">          6381 - BANK/CREDIT CARD FEES</v>
      </c>
      <c r="C191" s="10"/>
      <c r="D191" s="6">
        <v>3823.93</v>
      </c>
      <c r="E191" s="2"/>
      <c r="F191" s="7">
        <f t="shared" si="60"/>
        <v>2.0794131771192707E-2</v>
      </c>
      <c r="G191" s="2"/>
      <c r="H191" s="6">
        <v>5912.23</v>
      </c>
      <c r="I191" s="2"/>
      <c r="J191" s="7">
        <f t="shared" si="61"/>
        <v>2.5479167044651838E-2</v>
      </c>
      <c r="K191" s="2"/>
      <c r="L191" s="6">
        <f t="shared" si="62"/>
        <v>-2088.2999999999997</v>
      </c>
      <c r="M191" s="2"/>
      <c r="N191" s="7">
        <f t="shared" si="63"/>
        <v>-0.35321697565893073</v>
      </c>
      <c r="O191" s="10"/>
      <c r="P191" s="6">
        <v>69325.009999999995</v>
      </c>
      <c r="Q191" s="2"/>
      <c r="R191" s="7">
        <f t="shared" si="64"/>
        <v>1.6257550194589764E-2</v>
      </c>
      <c r="S191" s="2"/>
      <c r="T191" s="6">
        <v>137147.91</v>
      </c>
      <c r="U191" s="2"/>
      <c r="V191" s="7">
        <f t="shared" si="65"/>
        <v>1.5950606623258236E-2</v>
      </c>
      <c r="W191" s="2"/>
      <c r="X191" s="6">
        <f t="shared" si="66"/>
        <v>-67822.900000000009</v>
      </c>
      <c r="Y191" s="2"/>
      <c r="Z191" s="7">
        <f t="shared" si="67"/>
        <v>-0.49452375905691898</v>
      </c>
    </row>
    <row r="192" spans="1:26" s="26" customFormat="1" outlineLevel="1" collapsed="1" x14ac:dyDescent="0.25">
      <c r="A192" s="27"/>
      <c r="B192" s="12" t="str">
        <f>CONCATENATE("     ","Depreciation                                      ")</f>
        <v xml:space="preserve">     Depreciation                                      </v>
      </c>
      <c r="C192" s="12"/>
      <c r="D192" s="1">
        <f>SUM(OSRRefD22_5x_0)</f>
        <v>30735.85</v>
      </c>
      <c r="E192" s="1"/>
      <c r="F192" s="5">
        <f t="shared" si="60"/>
        <v>0.16713834065990052</v>
      </c>
      <c r="G192" s="1"/>
      <c r="H192" s="1">
        <f>SUM(OSRRefH22_5x_0)</f>
        <v>30443.48</v>
      </c>
      <c r="I192" s="1"/>
      <c r="J192" s="5">
        <f t="shared" si="61"/>
        <v>0.13119829782341305</v>
      </c>
      <c r="K192" s="1"/>
      <c r="L192" s="1">
        <f t="shared" si="62"/>
        <v>292.36999999999898</v>
      </c>
      <c r="M192" s="1"/>
      <c r="N192" s="5">
        <f t="shared" si="63"/>
        <v>9.6036983945330494E-3</v>
      </c>
      <c r="O192" s="12"/>
      <c r="P192" s="1">
        <f>SUM(OSRRefP22_5x_0)</f>
        <v>276918.14</v>
      </c>
      <c r="Q192" s="1"/>
      <c r="R192" s="5">
        <f t="shared" si="64"/>
        <v>6.4940640626556495E-2</v>
      </c>
      <c r="S192" s="1"/>
      <c r="T192" s="1">
        <f>SUM(OSRRefT22_5x_0)</f>
        <v>268333.45999999996</v>
      </c>
      <c r="U192" s="1"/>
      <c r="V192" s="5">
        <f t="shared" si="65"/>
        <v>3.1207777532430484E-2</v>
      </c>
      <c r="W192" s="1"/>
      <c r="X192" s="1">
        <f t="shared" si="66"/>
        <v>8584.6800000000512</v>
      </c>
      <c r="Y192" s="1"/>
      <c r="Z192" s="5">
        <f t="shared" si="67"/>
        <v>3.1992581171204112E-2</v>
      </c>
    </row>
    <row r="193" spans="1:26" s="23" customFormat="1" hidden="1" outlineLevel="2" x14ac:dyDescent="0.25">
      <c r="A193" s="25"/>
      <c r="B193" s="10" t="str">
        <f>CONCATENATE("          ", "6321", " - ", "BUILDING DEPRECIATION")</f>
        <v xml:space="preserve">          6321 - BUILDING DEPRECIATION</v>
      </c>
      <c r="C193" s="10"/>
      <c r="D193" s="6">
        <v>16396.52</v>
      </c>
      <c r="E193" s="2"/>
      <c r="F193" s="7">
        <f t="shared" si="60"/>
        <v>8.9162562460347511E-2</v>
      </c>
      <c r="G193" s="2"/>
      <c r="H193" s="6">
        <v>16396.52</v>
      </c>
      <c r="I193" s="2"/>
      <c r="J193" s="7">
        <f t="shared" si="61"/>
        <v>7.0661945159605569E-2</v>
      </c>
      <c r="K193" s="2"/>
      <c r="L193" s="6">
        <f t="shared" si="62"/>
        <v>0</v>
      </c>
      <c r="M193" s="2"/>
      <c r="N193" s="7">
        <f t="shared" si="63"/>
        <v>0</v>
      </c>
      <c r="O193" s="10"/>
      <c r="P193" s="6">
        <v>147568.68</v>
      </c>
      <c r="Q193" s="2"/>
      <c r="R193" s="7">
        <f t="shared" si="64"/>
        <v>3.4606633626873683E-2</v>
      </c>
      <c r="S193" s="2"/>
      <c r="T193" s="6">
        <v>147568.68</v>
      </c>
      <c r="U193" s="2"/>
      <c r="V193" s="7">
        <f t="shared" si="65"/>
        <v>1.7162565325227887E-2</v>
      </c>
      <c r="W193" s="2"/>
      <c r="X193" s="6">
        <f t="shared" si="66"/>
        <v>0</v>
      </c>
      <c r="Y193" s="2"/>
      <c r="Z193" s="7">
        <f t="shared" si="67"/>
        <v>0</v>
      </c>
    </row>
    <row r="194" spans="1:26" s="23" customFormat="1" hidden="1" outlineLevel="2" x14ac:dyDescent="0.25">
      <c r="A194" s="25"/>
      <c r="B194" s="10" t="str">
        <f>CONCATENATE("          ", "6322", " - ", "EQUIPMENT DEPRECIATION EXPENSE")</f>
        <v xml:space="preserve">          6322 - EQUIPMENT DEPRECIATION EXPENSE</v>
      </c>
      <c r="C194" s="10"/>
      <c r="D194" s="6">
        <v>14339.33</v>
      </c>
      <c r="E194" s="2"/>
      <c r="F194" s="7">
        <f t="shared" si="60"/>
        <v>7.7975778199553009E-2</v>
      </c>
      <c r="G194" s="2"/>
      <c r="H194" s="6">
        <v>14046.96</v>
      </c>
      <c r="I194" s="2"/>
      <c r="J194" s="7">
        <f t="shared" si="61"/>
        <v>6.0536352663807497E-2</v>
      </c>
      <c r="K194" s="2"/>
      <c r="L194" s="6">
        <f t="shared" si="62"/>
        <v>292.3700000000008</v>
      </c>
      <c r="M194" s="2"/>
      <c r="N194" s="7">
        <f t="shared" si="63"/>
        <v>2.0813756143678121E-2</v>
      </c>
      <c r="O194" s="10"/>
      <c r="P194" s="6">
        <v>129349.46</v>
      </c>
      <c r="Q194" s="2"/>
      <c r="R194" s="7">
        <f t="shared" si="64"/>
        <v>3.0334006999682812E-2</v>
      </c>
      <c r="S194" s="2"/>
      <c r="T194" s="6">
        <v>120764.78</v>
      </c>
      <c r="U194" s="2"/>
      <c r="V194" s="7">
        <f t="shared" si="65"/>
        <v>1.4045212207202602E-2</v>
      </c>
      <c r="W194" s="2"/>
      <c r="X194" s="6">
        <f t="shared" si="66"/>
        <v>8584.6800000000076</v>
      </c>
      <c r="Y194" s="2"/>
      <c r="Z194" s="7">
        <f t="shared" si="67"/>
        <v>7.1085957346173345E-2</v>
      </c>
    </row>
    <row r="195" spans="1:26" s="23" customFormat="1" hidden="1" outlineLevel="2" x14ac:dyDescent="0.25">
      <c r="A195" s="25"/>
      <c r="B195" s="10" t="str">
        <f>CONCATENATE("          ", "6324", " - ", "FURNITURE + FIXT DEPRECIATION")</f>
        <v xml:space="preserve">          6324 - FURNITURE + FIXT DEPRECIATION</v>
      </c>
      <c r="C195" s="10"/>
      <c r="D195" s="6"/>
      <c r="E195" s="2"/>
      <c r="F195" s="7">
        <f t="shared" si="60"/>
        <v>0</v>
      </c>
      <c r="G195" s="2"/>
      <c r="H195" s="6"/>
      <c r="I195" s="2"/>
      <c r="J195" s="7">
        <f t="shared" si="61"/>
        <v>0</v>
      </c>
      <c r="K195" s="2"/>
      <c r="L195" s="6">
        <f t="shared" si="62"/>
        <v>0</v>
      </c>
      <c r="M195" s="2"/>
      <c r="N195" s="7">
        <f t="shared" si="63"/>
        <v>0</v>
      </c>
      <c r="O195" s="10"/>
      <c r="P195" s="6"/>
      <c r="Q195" s="2"/>
      <c r="R195" s="7">
        <f t="shared" si="64"/>
        <v>0</v>
      </c>
      <c r="S195" s="2"/>
      <c r="T195" s="6">
        <v>0</v>
      </c>
      <c r="U195" s="2"/>
      <c r="V195" s="7">
        <f t="shared" si="65"/>
        <v>0</v>
      </c>
      <c r="W195" s="2"/>
      <c r="X195" s="6">
        <f t="shared" si="66"/>
        <v>0</v>
      </c>
      <c r="Y195" s="2"/>
      <c r="Z195" s="7">
        <f t="shared" si="67"/>
        <v>0</v>
      </c>
    </row>
    <row r="196" spans="1:26" s="26" customFormat="1" outlineLevel="1" collapsed="1" x14ac:dyDescent="0.25">
      <c r="A196" s="27"/>
      <c r="B196" s="12" t="str">
        <f>CONCATENATE("     ","Discounts and Markdowns                           ")</f>
        <v xml:space="preserve">     Discounts and Markdowns                           </v>
      </c>
      <c r="C196" s="12"/>
      <c r="D196" s="1">
        <f>SUM(OSRRefD22_6x_0)</f>
        <v>0</v>
      </c>
      <c r="E196" s="1"/>
      <c r="F196" s="5">
        <f t="shared" ref="F196:F198" si="68">IF(D$12=0,0,D196/D$12)</f>
        <v>0</v>
      </c>
      <c r="G196" s="1"/>
      <c r="H196" s="1">
        <f>SUM(OSRRefH22_6x_0)</f>
        <v>13183.68</v>
      </c>
      <c r="I196" s="1"/>
      <c r="J196" s="5">
        <f t="shared" ref="J196:J198" si="69">IF(H$12=0,0,H196/H$12)</f>
        <v>5.681598736572082E-2</v>
      </c>
      <c r="K196" s="1"/>
      <c r="L196" s="1">
        <f t="shared" ref="L196:L198" si="70">+D196-H196</f>
        <v>-13183.68</v>
      </c>
      <c r="M196" s="1"/>
      <c r="N196" s="5">
        <f t="shared" ref="N196:N198" si="71">IF(H196=0,0,L196/H196)</f>
        <v>-1</v>
      </c>
      <c r="O196" s="12"/>
      <c r="P196" s="1">
        <f>SUM(OSRRefP22_6x_0)</f>
        <v>0</v>
      </c>
      <c r="Q196" s="1"/>
      <c r="R196" s="5">
        <f t="shared" ref="R196:R198" si="72">IF(P$12=0,0,P196/P$12)</f>
        <v>0</v>
      </c>
      <c r="S196" s="1"/>
      <c r="T196" s="1">
        <f>SUM(OSRRefT22_6x_0)</f>
        <v>272050.72000000003</v>
      </c>
      <c r="U196" s="1"/>
      <c r="V196" s="5">
        <f t="shared" ref="V196:V198" si="73">IF(T$12=0,0,T196/T$12)</f>
        <v>3.1640103128762025E-2</v>
      </c>
      <c r="W196" s="1"/>
      <c r="X196" s="1">
        <f t="shared" ref="X196:X198" si="74">+P196-T196</f>
        <v>-272050.72000000003</v>
      </c>
      <c r="Y196" s="1"/>
      <c r="Z196" s="5">
        <f t="shared" ref="Z196:Z198" si="75">IF(T196=0,0,X196/T196)</f>
        <v>-1</v>
      </c>
    </row>
    <row r="197" spans="1:26" s="23" customFormat="1" hidden="1" outlineLevel="2" x14ac:dyDescent="0.25">
      <c r="A197" s="25"/>
      <c r="B197" s="10" t="str">
        <f>CONCATENATE("          ", "6382", " - ", "DISCOUNTS/MARK DOWNS")</f>
        <v xml:space="preserve">          6382 - DISCOUNTS/MARK DOWNS</v>
      </c>
      <c r="C197" s="10"/>
      <c r="D197" s="6">
        <v>0</v>
      </c>
      <c r="E197" s="2"/>
      <c r="F197" s="7">
        <f t="shared" si="68"/>
        <v>0</v>
      </c>
      <c r="G197" s="2"/>
      <c r="H197" s="6">
        <v>13319.39</v>
      </c>
      <c r="I197" s="2"/>
      <c r="J197" s="7">
        <f t="shared" si="69"/>
        <v>5.7400839064594117E-2</v>
      </c>
      <c r="K197" s="2"/>
      <c r="L197" s="6">
        <f t="shared" si="70"/>
        <v>-13319.39</v>
      </c>
      <c r="M197" s="2"/>
      <c r="N197" s="7">
        <f t="shared" si="71"/>
        <v>-1</v>
      </c>
      <c r="O197" s="10"/>
      <c r="P197" s="6">
        <v>0</v>
      </c>
      <c r="Q197" s="2"/>
      <c r="R197" s="7">
        <f t="shared" si="72"/>
        <v>0</v>
      </c>
      <c r="S197" s="2"/>
      <c r="T197" s="6">
        <v>275282.2</v>
      </c>
      <c r="U197" s="2"/>
      <c r="V197" s="7">
        <f t="shared" si="73"/>
        <v>3.2015931431875984E-2</v>
      </c>
      <c r="W197" s="2"/>
      <c r="X197" s="6">
        <f t="shared" si="74"/>
        <v>-275282.2</v>
      </c>
      <c r="Y197" s="2"/>
      <c r="Z197" s="7">
        <f t="shared" si="75"/>
        <v>-1</v>
      </c>
    </row>
    <row r="198" spans="1:26" s="23" customFormat="1" hidden="1" outlineLevel="2" x14ac:dyDescent="0.25">
      <c r="A198" s="25"/>
      <c r="B198" s="10" t="str">
        <f>CONCATENATE("          ", "9175", " - ", "EARNED DISCOUNTS")</f>
        <v xml:space="preserve">          9175 - EARNED DISCOUNTS</v>
      </c>
      <c r="C198" s="10"/>
      <c r="D198" s="6">
        <v>0</v>
      </c>
      <c r="E198" s="2"/>
      <c r="F198" s="7">
        <f t="shared" si="68"/>
        <v>0</v>
      </c>
      <c r="G198" s="2"/>
      <c r="H198" s="6">
        <v>-135.71</v>
      </c>
      <c r="I198" s="2"/>
      <c r="J198" s="7">
        <f t="shared" si="69"/>
        <v>-5.8485169887330184E-4</v>
      </c>
      <c r="K198" s="2"/>
      <c r="L198" s="6">
        <f t="shared" si="70"/>
        <v>135.71</v>
      </c>
      <c r="M198" s="2"/>
      <c r="N198" s="7">
        <f t="shared" si="71"/>
        <v>-1</v>
      </c>
      <c r="O198" s="10"/>
      <c r="P198" s="6">
        <v>0</v>
      </c>
      <c r="Q198" s="2"/>
      <c r="R198" s="7">
        <f t="shared" si="72"/>
        <v>0</v>
      </c>
      <c r="S198" s="2"/>
      <c r="T198" s="6">
        <v>-3231.48</v>
      </c>
      <c r="U198" s="2"/>
      <c r="V198" s="7">
        <f t="shared" si="73"/>
        <v>-3.7582830311396305E-4</v>
      </c>
      <c r="W198" s="2"/>
      <c r="X198" s="6">
        <f t="shared" si="74"/>
        <v>3231.48</v>
      </c>
      <c r="Y198" s="2"/>
      <c r="Z198" s="7">
        <f t="shared" si="75"/>
        <v>-1</v>
      </c>
    </row>
    <row r="199" spans="1:26" s="26" customFormat="1" outlineLevel="1" collapsed="1" x14ac:dyDescent="0.25">
      <c r="A199" s="27"/>
      <c r="B199" s="12" t="str">
        <f>CONCATENATE("     ","Donations                                         ")</f>
        <v xml:space="preserve">     Donations                                         </v>
      </c>
      <c r="C199" s="12"/>
      <c r="D199" s="1">
        <f>SUM(OSRRefD22_7x_0)</f>
        <v>0</v>
      </c>
      <c r="E199" s="1"/>
      <c r="F199" s="5">
        <f t="shared" ref="F199:F207" si="76">IF(D$12=0,0,D199/D$12)</f>
        <v>0</v>
      </c>
      <c r="G199" s="1"/>
      <c r="H199" s="1">
        <f>SUM(OSRRefH22_7x_0)</f>
        <v>769.23</v>
      </c>
      <c r="I199" s="1"/>
      <c r="J199" s="5">
        <f t="shared" ref="J199:J207" si="77">IF(H$12=0,0,H199/H$12)</f>
        <v>3.3150502713455896E-3</v>
      </c>
      <c r="K199" s="1"/>
      <c r="L199" s="1">
        <f t="shared" ref="L199:L207" si="78">+D199-H199</f>
        <v>-769.23</v>
      </c>
      <c r="M199" s="1"/>
      <c r="N199" s="5">
        <f t="shared" ref="N199:N207" si="79">IF(H199=0,0,L199/H199)</f>
        <v>-1</v>
      </c>
      <c r="O199" s="12"/>
      <c r="P199" s="1">
        <f>SUM(OSRRefP22_7x_0)</f>
        <v>0</v>
      </c>
      <c r="Q199" s="1"/>
      <c r="R199" s="5">
        <f t="shared" ref="R199:R207" si="80">IF(P$12=0,0,P199/P$12)</f>
        <v>0</v>
      </c>
      <c r="S199" s="1"/>
      <c r="T199" s="1">
        <f>SUM(OSRRefT22_7x_0)</f>
        <v>12371.45</v>
      </c>
      <c r="U199" s="1"/>
      <c r="V199" s="5">
        <f t="shared" ref="V199:V207" si="81">IF(T$12=0,0,T199/T$12)</f>
        <v>1.4388271196353493E-3</v>
      </c>
      <c r="W199" s="1"/>
      <c r="X199" s="1">
        <f t="shared" ref="X199:X207" si="82">+P199-T199</f>
        <v>-12371.45</v>
      </c>
      <c r="Y199" s="1"/>
      <c r="Z199" s="5">
        <f t="shared" ref="Z199:Z207" si="83">IF(T199=0,0,X199/T199)</f>
        <v>-1</v>
      </c>
    </row>
    <row r="200" spans="1:26" s="23" customFormat="1" hidden="1" outlineLevel="2" x14ac:dyDescent="0.25">
      <c r="A200" s="25"/>
      <c r="B200" s="10" t="str">
        <f>CONCATENATE("          ", "6399", " - ", "DONATION-ON CAMPUS")</f>
        <v xml:space="preserve">          6399 - DONATION-ON CAMPUS</v>
      </c>
      <c r="C200" s="10"/>
      <c r="D200" s="6"/>
      <c r="E200" s="2"/>
      <c r="F200" s="7">
        <f t="shared" si="76"/>
        <v>0</v>
      </c>
      <c r="G200" s="2"/>
      <c r="H200" s="6">
        <v>769.23</v>
      </c>
      <c r="I200" s="2"/>
      <c r="J200" s="7">
        <f t="shared" si="77"/>
        <v>3.3150502713455896E-3</v>
      </c>
      <c r="K200" s="2"/>
      <c r="L200" s="6">
        <f t="shared" si="78"/>
        <v>-769.23</v>
      </c>
      <c r="M200" s="2"/>
      <c r="N200" s="7">
        <f t="shared" si="79"/>
        <v>-1</v>
      </c>
      <c r="O200" s="10"/>
      <c r="P200" s="6"/>
      <c r="Q200" s="2"/>
      <c r="R200" s="7">
        <f t="shared" si="80"/>
        <v>0</v>
      </c>
      <c r="S200" s="2"/>
      <c r="T200" s="6">
        <v>12371.45</v>
      </c>
      <c r="U200" s="2"/>
      <c r="V200" s="7">
        <f t="shared" si="81"/>
        <v>1.4388271196353493E-3</v>
      </c>
      <c r="W200" s="2"/>
      <c r="X200" s="6">
        <f t="shared" si="82"/>
        <v>-12371.45</v>
      </c>
      <c r="Y200" s="2"/>
      <c r="Z200" s="7">
        <f t="shared" si="83"/>
        <v>-1</v>
      </c>
    </row>
    <row r="201" spans="1:26" s="26" customFormat="1" outlineLevel="1" collapsed="1" x14ac:dyDescent="0.25">
      <c r="A201" s="27"/>
      <c r="B201" s="12" t="str">
        <f>CONCATENATE("     ","Employees' Appreciation                           ")</f>
        <v xml:space="preserve">     Employees' Appreciation                           </v>
      </c>
      <c r="C201" s="12"/>
      <c r="D201" s="1">
        <f>SUM(OSRRefD22_8x_0)</f>
        <v>0</v>
      </c>
      <c r="E201" s="1"/>
      <c r="F201" s="5">
        <f t="shared" si="76"/>
        <v>0</v>
      </c>
      <c r="G201" s="1"/>
      <c r="H201" s="1">
        <f>SUM(OSRRefH22_8x_0)</f>
        <v>239.54</v>
      </c>
      <c r="I201" s="1"/>
      <c r="J201" s="5">
        <f t="shared" si="77"/>
        <v>1.0323143169118762E-3</v>
      </c>
      <c r="K201" s="1"/>
      <c r="L201" s="1">
        <f t="shared" si="78"/>
        <v>-239.54</v>
      </c>
      <c r="M201" s="1"/>
      <c r="N201" s="5">
        <f t="shared" si="79"/>
        <v>-1</v>
      </c>
      <c r="O201" s="12"/>
      <c r="P201" s="1">
        <f>SUM(OSRRefP22_8x_0)</f>
        <v>186.03</v>
      </c>
      <c r="Q201" s="1"/>
      <c r="R201" s="5">
        <f t="shared" si="80"/>
        <v>4.362627661646978E-5</v>
      </c>
      <c r="S201" s="1"/>
      <c r="T201" s="1">
        <f>SUM(OSRRefT22_8x_0)</f>
        <v>1524.12</v>
      </c>
      <c r="U201" s="1"/>
      <c r="V201" s="5">
        <f t="shared" si="81"/>
        <v>1.7725854201234521E-4</v>
      </c>
      <c r="W201" s="1"/>
      <c r="X201" s="1">
        <f t="shared" si="82"/>
        <v>-1338.09</v>
      </c>
      <c r="Y201" s="1"/>
      <c r="Z201" s="5">
        <f t="shared" si="83"/>
        <v>-0.87794268167860801</v>
      </c>
    </row>
    <row r="202" spans="1:26" s="23" customFormat="1" hidden="1" outlineLevel="2" x14ac:dyDescent="0.25">
      <c r="A202" s="25"/>
      <c r="B202" s="10" t="str">
        <f>CONCATENATE("          ", "6277", " - ", "EMPLOYEE APPRECIATION")</f>
        <v xml:space="preserve">          6277 - EMPLOYEE APPRECIATION</v>
      </c>
      <c r="C202" s="10"/>
      <c r="D202" s="6"/>
      <c r="E202" s="2"/>
      <c r="F202" s="7">
        <f t="shared" si="76"/>
        <v>0</v>
      </c>
      <c r="G202" s="2"/>
      <c r="H202" s="6">
        <v>239.54</v>
      </c>
      <c r="I202" s="2"/>
      <c r="J202" s="7">
        <f t="shared" si="77"/>
        <v>1.0323143169118762E-3</v>
      </c>
      <c r="K202" s="2"/>
      <c r="L202" s="6">
        <f t="shared" si="78"/>
        <v>-239.54</v>
      </c>
      <c r="M202" s="2"/>
      <c r="N202" s="7">
        <f t="shared" si="79"/>
        <v>-1</v>
      </c>
      <c r="O202" s="10"/>
      <c r="P202" s="6">
        <v>186.03</v>
      </c>
      <c r="Q202" s="2"/>
      <c r="R202" s="7">
        <f t="shared" si="80"/>
        <v>4.362627661646978E-5</v>
      </c>
      <c r="S202" s="2"/>
      <c r="T202" s="6">
        <v>1524.12</v>
      </c>
      <c r="U202" s="2"/>
      <c r="V202" s="7">
        <f t="shared" si="81"/>
        <v>1.7725854201234521E-4</v>
      </c>
      <c r="W202" s="2"/>
      <c r="X202" s="6">
        <f t="shared" si="82"/>
        <v>-1338.09</v>
      </c>
      <c r="Y202" s="2"/>
      <c r="Z202" s="7">
        <f t="shared" si="83"/>
        <v>-0.87794268167860801</v>
      </c>
    </row>
    <row r="203" spans="1:26" s="26" customFormat="1" outlineLevel="1" collapsed="1" x14ac:dyDescent="0.25">
      <c r="A203" s="27"/>
      <c r="B203" s="12" t="str">
        <f>CONCATENATE("     ","Equipment Rental                                  ")</f>
        <v xml:space="preserve">     Equipment Rental                                  </v>
      </c>
      <c r="C203" s="12"/>
      <c r="D203" s="1">
        <f>SUM(OSRRefD22_9x_0)</f>
        <v>1296.9000000000001</v>
      </c>
      <c r="E203" s="1"/>
      <c r="F203" s="5">
        <f t="shared" si="76"/>
        <v>7.0524066847614426E-3</v>
      </c>
      <c r="G203" s="1"/>
      <c r="H203" s="1">
        <f>SUM(OSRRefH22_9x_0)</f>
        <v>1388.16</v>
      </c>
      <c r="I203" s="1"/>
      <c r="J203" s="5">
        <f t="shared" si="77"/>
        <v>5.9823722224446449E-3</v>
      </c>
      <c r="K203" s="1"/>
      <c r="L203" s="1">
        <f t="shared" si="78"/>
        <v>-91.259999999999991</v>
      </c>
      <c r="M203" s="1"/>
      <c r="N203" s="5">
        <f t="shared" si="79"/>
        <v>-6.5741701244813266E-2</v>
      </c>
      <c r="O203" s="12"/>
      <c r="P203" s="1">
        <f>SUM(OSRRefP22_9x_0)</f>
        <v>13446.01</v>
      </c>
      <c r="Q203" s="1"/>
      <c r="R203" s="5">
        <f t="shared" si="80"/>
        <v>3.1532513661657736E-3</v>
      </c>
      <c r="S203" s="1"/>
      <c r="T203" s="1">
        <f>SUM(OSRRefT22_9x_0)</f>
        <v>15254.62</v>
      </c>
      <c r="U203" s="1"/>
      <c r="V203" s="5">
        <f t="shared" si="81"/>
        <v>1.7741461959375653E-3</v>
      </c>
      <c r="W203" s="1"/>
      <c r="X203" s="1">
        <f t="shared" si="82"/>
        <v>-1808.6100000000006</v>
      </c>
      <c r="Y203" s="1"/>
      <c r="Z203" s="5">
        <f t="shared" si="83"/>
        <v>-0.11856145875806808</v>
      </c>
    </row>
    <row r="204" spans="1:26" s="23" customFormat="1" hidden="1" outlineLevel="2" x14ac:dyDescent="0.25">
      <c r="A204" s="25"/>
      <c r="B204" s="10" t="str">
        <f>CONCATENATE("          ", "6351", " - ", "EQUIPMENT RENTAL")</f>
        <v xml:space="preserve">          6351 - EQUIPMENT RENTAL</v>
      </c>
      <c r="C204" s="10"/>
      <c r="D204" s="6">
        <v>1296.9000000000001</v>
      </c>
      <c r="E204" s="2"/>
      <c r="F204" s="7">
        <f t="shared" si="76"/>
        <v>7.0524066847614426E-3</v>
      </c>
      <c r="G204" s="2"/>
      <c r="H204" s="6">
        <v>1388.16</v>
      </c>
      <c r="I204" s="2"/>
      <c r="J204" s="7">
        <f t="shared" si="77"/>
        <v>5.9823722224446449E-3</v>
      </c>
      <c r="K204" s="2"/>
      <c r="L204" s="6">
        <f t="shared" si="78"/>
        <v>-91.259999999999991</v>
      </c>
      <c r="M204" s="2"/>
      <c r="N204" s="7">
        <f t="shared" si="79"/>
        <v>-6.5741701244813266E-2</v>
      </c>
      <c r="O204" s="10"/>
      <c r="P204" s="6">
        <v>13446.01</v>
      </c>
      <c r="Q204" s="2"/>
      <c r="R204" s="7">
        <f t="shared" si="80"/>
        <v>3.1532513661657736E-3</v>
      </c>
      <c r="S204" s="2"/>
      <c r="T204" s="6">
        <v>15254.62</v>
      </c>
      <c r="U204" s="2"/>
      <c r="V204" s="7">
        <f t="shared" si="81"/>
        <v>1.7741461959375653E-3</v>
      </c>
      <c r="W204" s="2"/>
      <c r="X204" s="6">
        <f t="shared" si="82"/>
        <v>-1808.6100000000006</v>
      </c>
      <c r="Y204" s="2"/>
      <c r="Z204" s="7">
        <f t="shared" si="83"/>
        <v>-0.11856145875806808</v>
      </c>
    </row>
    <row r="205" spans="1:26" s="26" customFormat="1" outlineLevel="1" collapsed="1" x14ac:dyDescent="0.25">
      <c r="A205" s="27"/>
      <c r="B205" s="12" t="str">
        <f>CONCATENATE("     ","Freight out/Postage                               ")</f>
        <v xml:space="preserve">     Freight out/Postage                               </v>
      </c>
      <c r="C205" s="12"/>
      <c r="D205" s="1">
        <f>SUM(OSRRefD22_10x_0)</f>
        <v>-1852.75</v>
      </c>
      <c r="E205" s="1"/>
      <c r="F205" s="5">
        <f t="shared" si="76"/>
        <v>-1.0075060903070216E-2</v>
      </c>
      <c r="G205" s="1"/>
      <c r="H205" s="1">
        <f>SUM(OSRRefH22_10x_0)</f>
        <v>2109.1600000000003</v>
      </c>
      <c r="I205" s="1"/>
      <c r="J205" s="5">
        <f t="shared" si="77"/>
        <v>9.0895719489765929E-3</v>
      </c>
      <c r="K205" s="1"/>
      <c r="L205" s="1">
        <f t="shared" si="78"/>
        <v>-3961.9100000000003</v>
      </c>
      <c r="M205" s="1"/>
      <c r="N205" s="5">
        <f t="shared" si="79"/>
        <v>-1.8784302755599385</v>
      </c>
      <c r="O205" s="12"/>
      <c r="P205" s="1">
        <f>SUM(OSRRefP22_10x_0)</f>
        <v>-34506.649999999994</v>
      </c>
      <c r="Q205" s="1"/>
      <c r="R205" s="5">
        <f t="shared" si="80"/>
        <v>-8.0922252217798564E-3</v>
      </c>
      <c r="S205" s="1"/>
      <c r="T205" s="1">
        <f>SUM(OSRRefT22_10x_0)</f>
        <v>871.33000000000175</v>
      </c>
      <c r="U205" s="1"/>
      <c r="V205" s="5">
        <f t="shared" si="81"/>
        <v>1.0133761476236587E-4</v>
      </c>
      <c r="W205" s="1"/>
      <c r="X205" s="1">
        <f t="shared" si="82"/>
        <v>-35377.979999999996</v>
      </c>
      <c r="Y205" s="1"/>
      <c r="Z205" s="5">
        <f t="shared" si="83"/>
        <v>-40.602274683529693</v>
      </c>
    </row>
    <row r="206" spans="1:26" s="23" customFormat="1" hidden="1" outlineLevel="2" x14ac:dyDescent="0.25">
      <c r="A206" s="25"/>
      <c r="B206" s="10" t="str">
        <f>CONCATENATE("          ", "6305", " - ", "FREIGHT OUT")</f>
        <v xml:space="preserve">          6305 - FREIGHT OUT</v>
      </c>
      <c r="C206" s="10"/>
      <c r="D206" s="6">
        <v>17566.57</v>
      </c>
      <c r="E206" s="2"/>
      <c r="F206" s="7">
        <f t="shared" si="76"/>
        <v>9.5525172099876487E-2</v>
      </c>
      <c r="G206" s="2"/>
      <c r="H206" s="6">
        <v>5757.68</v>
      </c>
      <c r="I206" s="2"/>
      <c r="J206" s="7">
        <f t="shared" si="77"/>
        <v>2.4813123053340453E-2</v>
      </c>
      <c r="K206" s="2"/>
      <c r="L206" s="6">
        <f t="shared" si="78"/>
        <v>11808.89</v>
      </c>
      <c r="M206" s="2"/>
      <c r="N206" s="7">
        <f t="shared" si="79"/>
        <v>2.0509806032985507</v>
      </c>
      <c r="O206" s="10"/>
      <c r="P206" s="6">
        <v>179233.79</v>
      </c>
      <c r="Q206" s="2"/>
      <c r="R206" s="7">
        <f t="shared" si="80"/>
        <v>4.2032483478784362E-2</v>
      </c>
      <c r="S206" s="2"/>
      <c r="T206" s="6">
        <v>51742.48</v>
      </c>
      <c r="U206" s="2"/>
      <c r="V206" s="7">
        <f t="shared" si="81"/>
        <v>6.0177653760221852E-3</v>
      </c>
      <c r="W206" s="2"/>
      <c r="X206" s="6">
        <f t="shared" si="82"/>
        <v>127491.31</v>
      </c>
      <c r="Y206" s="2"/>
      <c r="Z206" s="7">
        <f t="shared" si="83"/>
        <v>2.4639582408883376</v>
      </c>
    </row>
    <row r="207" spans="1:26" s="23" customFormat="1" hidden="1" outlineLevel="2" x14ac:dyDescent="0.25">
      <c r="A207" s="25"/>
      <c r="B207" s="10" t="str">
        <f>CONCATENATE("          ", "6307", " - ", "POSTAGE")</f>
        <v xml:space="preserve">          6307 - POSTAGE</v>
      </c>
      <c r="C207" s="10"/>
      <c r="D207" s="6">
        <v>-19419.32</v>
      </c>
      <c r="E207" s="2"/>
      <c r="F207" s="7">
        <f t="shared" si="76"/>
        <v>-0.1056002330029467</v>
      </c>
      <c r="G207" s="2"/>
      <c r="H207" s="6">
        <v>-3648.52</v>
      </c>
      <c r="I207" s="2"/>
      <c r="J207" s="7">
        <f t="shared" si="77"/>
        <v>-1.572355110436386E-2</v>
      </c>
      <c r="K207" s="2"/>
      <c r="L207" s="6">
        <f t="shared" si="78"/>
        <v>-15770.8</v>
      </c>
      <c r="M207" s="2"/>
      <c r="N207" s="7">
        <f t="shared" si="79"/>
        <v>4.3225198162542622</v>
      </c>
      <c r="O207" s="10"/>
      <c r="P207" s="6">
        <v>-213740.44</v>
      </c>
      <c r="Q207" s="2"/>
      <c r="R207" s="7">
        <f t="shared" si="80"/>
        <v>-5.0124708700564222E-2</v>
      </c>
      <c r="S207" s="2"/>
      <c r="T207" s="6">
        <v>-50871.15</v>
      </c>
      <c r="U207" s="2"/>
      <c r="V207" s="7">
        <f t="shared" si="81"/>
        <v>-5.9164277612598201E-3</v>
      </c>
      <c r="W207" s="2"/>
      <c r="X207" s="6">
        <f t="shared" si="82"/>
        <v>-162869.29</v>
      </c>
      <c r="Y207" s="2"/>
      <c r="Z207" s="7">
        <f t="shared" si="83"/>
        <v>3.2016042491667673</v>
      </c>
    </row>
    <row r="208" spans="1:26" s="26" customFormat="1" outlineLevel="1" collapsed="1" x14ac:dyDescent="0.25">
      <c r="A208" s="27"/>
      <c r="B208" s="12" t="str">
        <f>CONCATENATE("     ","General                                           ")</f>
        <v xml:space="preserve">     General                                           </v>
      </c>
      <c r="C208" s="12"/>
      <c r="D208" s="1">
        <f>SUM(OSRRefD22_11x_0)</f>
        <v>0</v>
      </c>
      <c r="E208" s="1"/>
      <c r="F208" s="5">
        <f t="shared" ref="F208:F215" si="84">IF(D$12=0,0,D208/D$12)</f>
        <v>0</v>
      </c>
      <c r="G208" s="1"/>
      <c r="H208" s="1">
        <f>SUM(OSRRefH22_11x_0)</f>
        <v>0</v>
      </c>
      <c r="I208" s="1"/>
      <c r="J208" s="5">
        <f t="shared" ref="J208:J215" si="85">IF(H$12=0,0,H208/H$12)</f>
        <v>0</v>
      </c>
      <c r="K208" s="1"/>
      <c r="L208" s="1">
        <f t="shared" ref="L208:L215" si="86">+D208-H208</f>
        <v>0</v>
      </c>
      <c r="M208" s="1"/>
      <c r="N208" s="5">
        <f t="shared" ref="N208:N215" si="87">IF(H208=0,0,L208/H208)</f>
        <v>0</v>
      </c>
      <c r="O208" s="12"/>
      <c r="P208" s="1">
        <f>SUM(OSRRefP22_11x_0)</f>
        <v>2509.79</v>
      </c>
      <c r="Q208" s="1"/>
      <c r="R208" s="5">
        <f t="shared" ref="R208:R215" si="88">IF(P$12=0,0,P208/P$12)</f>
        <v>5.8857599736198297E-4</v>
      </c>
      <c r="S208" s="1"/>
      <c r="T208" s="1">
        <f>SUM(OSRRefT22_11x_0)</f>
        <v>-1031.5899999999999</v>
      </c>
      <c r="U208" s="1"/>
      <c r="V208" s="5">
        <f t="shared" ref="V208:V215" si="89">IF(T$12=0,0,T208/T$12)</f>
        <v>-1.1997620879885783E-4</v>
      </c>
      <c r="W208" s="1"/>
      <c r="X208" s="1">
        <f t="shared" ref="X208:X215" si="90">+P208-T208</f>
        <v>3541.38</v>
      </c>
      <c r="Y208" s="1"/>
      <c r="Z208" s="5">
        <f t="shared" ref="Z208:Z215" si="91">IF(T208=0,0,X208/T208)</f>
        <v>-3.4329336267315509</v>
      </c>
    </row>
    <row r="209" spans="1:26" s="23" customFormat="1" hidden="1" outlineLevel="2" x14ac:dyDescent="0.25">
      <c r="A209" s="25"/>
      <c r="B209" s="10" t="str">
        <f>CONCATENATE("          ", "6279", " - ", "GENERAL EXPENSE")</f>
        <v xml:space="preserve">          6279 - GENERAL EXPENSE</v>
      </c>
      <c r="C209" s="10"/>
      <c r="D209" s="6">
        <v>0</v>
      </c>
      <c r="E209" s="2"/>
      <c r="F209" s="7">
        <f t="shared" si="84"/>
        <v>0</v>
      </c>
      <c r="G209" s="2"/>
      <c r="H209" s="6"/>
      <c r="I209" s="2"/>
      <c r="J209" s="7">
        <f t="shared" si="85"/>
        <v>0</v>
      </c>
      <c r="K209" s="2"/>
      <c r="L209" s="6">
        <f t="shared" si="86"/>
        <v>0</v>
      </c>
      <c r="M209" s="2"/>
      <c r="N209" s="7">
        <f t="shared" si="87"/>
        <v>0</v>
      </c>
      <c r="O209" s="10"/>
      <c r="P209" s="6">
        <v>2509.79</v>
      </c>
      <c r="Q209" s="2"/>
      <c r="R209" s="7">
        <f t="shared" si="88"/>
        <v>5.8857599736198297E-4</v>
      </c>
      <c r="S209" s="2"/>
      <c r="T209" s="6">
        <v>-1031.5899999999999</v>
      </c>
      <c r="U209" s="2"/>
      <c r="V209" s="7">
        <f t="shared" si="89"/>
        <v>-1.1997620879885783E-4</v>
      </c>
      <c r="W209" s="2"/>
      <c r="X209" s="6">
        <f t="shared" si="90"/>
        <v>3541.38</v>
      </c>
      <c r="Y209" s="2"/>
      <c r="Z209" s="7">
        <f t="shared" si="91"/>
        <v>-3.4329336267315509</v>
      </c>
    </row>
    <row r="210" spans="1:26" s="26" customFormat="1" outlineLevel="1" collapsed="1" x14ac:dyDescent="0.25">
      <c r="A210" s="27"/>
      <c r="B210" s="12" t="str">
        <f>CONCATENATE("     ","Insurance                                         ")</f>
        <v xml:space="preserve">     Insurance                                         </v>
      </c>
      <c r="C210" s="12"/>
      <c r="D210" s="1">
        <f>SUM(OSRRefD22_12x_0)</f>
        <v>4044.74</v>
      </c>
      <c r="E210" s="1"/>
      <c r="F210" s="5">
        <f t="shared" si="84"/>
        <v>2.1994873478388462E-2</v>
      </c>
      <c r="G210" s="1"/>
      <c r="H210" s="1">
        <f>SUM(OSRRefH22_12x_0)</f>
        <v>4044.74</v>
      </c>
      <c r="I210" s="1"/>
      <c r="J210" s="5">
        <f t="shared" si="85"/>
        <v>1.7431088795967865E-2</v>
      </c>
      <c r="K210" s="1"/>
      <c r="L210" s="1">
        <f t="shared" si="86"/>
        <v>0</v>
      </c>
      <c r="M210" s="1"/>
      <c r="N210" s="5">
        <f t="shared" si="87"/>
        <v>0</v>
      </c>
      <c r="O210" s="12"/>
      <c r="P210" s="1">
        <f>SUM(OSRRefP22_12x_0)</f>
        <v>36402.660000000003</v>
      </c>
      <c r="Q210" s="1"/>
      <c r="R210" s="5">
        <f t="shared" si="88"/>
        <v>8.5368624132414125E-3</v>
      </c>
      <c r="S210" s="1"/>
      <c r="T210" s="1">
        <f>SUM(OSRRefT22_12x_0)</f>
        <v>36402.660000000003</v>
      </c>
      <c r="U210" s="1"/>
      <c r="V210" s="5">
        <f t="shared" si="89"/>
        <v>4.2337102308027718E-3</v>
      </c>
      <c r="W210" s="1"/>
      <c r="X210" s="1">
        <f t="shared" si="90"/>
        <v>0</v>
      </c>
      <c r="Y210" s="1"/>
      <c r="Z210" s="5">
        <f t="shared" si="91"/>
        <v>0</v>
      </c>
    </row>
    <row r="211" spans="1:26" s="23" customFormat="1" hidden="1" outlineLevel="2" x14ac:dyDescent="0.25">
      <c r="A211" s="25"/>
      <c r="B211" s="10" t="str">
        <f>CONCATENATE("          ", "6314", " - ", "LIABILITY INSURANCE")</f>
        <v xml:space="preserve">          6314 - LIABILITY INSURANCE</v>
      </c>
      <c r="C211" s="10"/>
      <c r="D211" s="6">
        <v>4044.74</v>
      </c>
      <c r="E211" s="2"/>
      <c r="F211" s="7">
        <f t="shared" si="84"/>
        <v>2.1994873478388462E-2</v>
      </c>
      <c r="G211" s="2"/>
      <c r="H211" s="6">
        <v>4044.74</v>
      </c>
      <c r="I211" s="2"/>
      <c r="J211" s="7">
        <f t="shared" si="85"/>
        <v>1.7431088795967865E-2</v>
      </c>
      <c r="K211" s="2"/>
      <c r="L211" s="6">
        <f t="shared" si="86"/>
        <v>0</v>
      </c>
      <c r="M211" s="2"/>
      <c r="N211" s="7">
        <f t="shared" si="87"/>
        <v>0</v>
      </c>
      <c r="O211" s="10"/>
      <c r="P211" s="6">
        <v>36402.660000000003</v>
      </c>
      <c r="Q211" s="2"/>
      <c r="R211" s="7">
        <f t="shared" si="88"/>
        <v>8.5368624132414125E-3</v>
      </c>
      <c r="S211" s="2"/>
      <c r="T211" s="6">
        <v>36402.660000000003</v>
      </c>
      <c r="U211" s="2"/>
      <c r="V211" s="7">
        <f t="shared" si="89"/>
        <v>4.2337102308027718E-3</v>
      </c>
      <c r="W211" s="2"/>
      <c r="X211" s="6">
        <f t="shared" si="90"/>
        <v>0</v>
      </c>
      <c r="Y211" s="2"/>
      <c r="Z211" s="7">
        <f t="shared" si="91"/>
        <v>0</v>
      </c>
    </row>
    <row r="212" spans="1:26" s="26" customFormat="1" outlineLevel="1" collapsed="1" x14ac:dyDescent="0.25">
      <c r="A212" s="27"/>
      <c r="B212" s="12" t="str">
        <f>CONCATENATE("     ","Inventory Adjustment                              ")</f>
        <v xml:space="preserve">     Inventory Adjustment                              </v>
      </c>
      <c r="C212" s="12"/>
      <c r="D212" s="1">
        <f>SUM(OSRRefD22_13x_0)</f>
        <v>2100</v>
      </c>
      <c r="E212" s="1"/>
      <c r="F212" s="5">
        <f t="shared" si="84"/>
        <v>1.1419580567506384E-2</v>
      </c>
      <c r="G212" s="1"/>
      <c r="H212" s="1">
        <f>SUM(OSRRefH22_13x_0)</f>
        <v>4550</v>
      </c>
      <c r="I212" s="1"/>
      <c r="J212" s="5">
        <f t="shared" si="85"/>
        <v>1.9608541963551128E-2</v>
      </c>
      <c r="K212" s="1"/>
      <c r="L212" s="1">
        <f t="shared" si="86"/>
        <v>-2450</v>
      </c>
      <c r="M212" s="1"/>
      <c r="N212" s="5">
        <f t="shared" si="87"/>
        <v>-0.53846153846153844</v>
      </c>
      <c r="O212" s="12"/>
      <c r="P212" s="1">
        <f>SUM(OSRRefP22_13x_0)</f>
        <v>23900</v>
      </c>
      <c r="Q212" s="1"/>
      <c r="R212" s="5">
        <f t="shared" si="88"/>
        <v>5.6048379892147922E-3</v>
      </c>
      <c r="S212" s="1"/>
      <c r="T212" s="1">
        <f>SUM(OSRRefT22_13x_0)</f>
        <v>44250</v>
      </c>
      <c r="U212" s="1"/>
      <c r="V212" s="5">
        <f t="shared" si="89"/>
        <v>5.1463733065941503E-3</v>
      </c>
      <c r="W212" s="1"/>
      <c r="X212" s="1">
        <f t="shared" si="90"/>
        <v>-20350</v>
      </c>
      <c r="Y212" s="1"/>
      <c r="Z212" s="5">
        <f t="shared" si="91"/>
        <v>-0.45988700564971752</v>
      </c>
    </row>
    <row r="213" spans="1:26" s="23" customFormat="1" hidden="1" outlineLevel="2" x14ac:dyDescent="0.25">
      <c r="A213" s="25"/>
      <c r="B213" s="10" t="str">
        <f>CONCATENATE("          ", "6408", " - ", "INVENTORY ADJUSTMENT")</f>
        <v xml:space="preserve">          6408 - INVENTORY ADJUSTMENT</v>
      </c>
      <c r="C213" s="10"/>
      <c r="D213" s="6">
        <v>2100</v>
      </c>
      <c r="E213" s="2"/>
      <c r="F213" s="7">
        <f t="shared" si="84"/>
        <v>1.1419580567506384E-2</v>
      </c>
      <c r="G213" s="2"/>
      <c r="H213" s="6">
        <v>4550</v>
      </c>
      <c r="I213" s="2"/>
      <c r="J213" s="7">
        <f t="shared" si="85"/>
        <v>1.9608541963551128E-2</v>
      </c>
      <c r="K213" s="2"/>
      <c r="L213" s="6">
        <f t="shared" si="86"/>
        <v>-2450</v>
      </c>
      <c r="M213" s="2"/>
      <c r="N213" s="7">
        <f t="shared" si="87"/>
        <v>-0.53846153846153844</v>
      </c>
      <c r="O213" s="10"/>
      <c r="P213" s="6">
        <v>23900</v>
      </c>
      <c r="Q213" s="2"/>
      <c r="R213" s="7">
        <f t="shared" si="88"/>
        <v>5.6048379892147922E-3</v>
      </c>
      <c r="S213" s="2"/>
      <c r="T213" s="6">
        <v>44250</v>
      </c>
      <c r="U213" s="2"/>
      <c r="V213" s="7">
        <f t="shared" si="89"/>
        <v>5.1463733065941503E-3</v>
      </c>
      <c r="W213" s="2"/>
      <c r="X213" s="6">
        <f t="shared" si="90"/>
        <v>-20350</v>
      </c>
      <c r="Y213" s="2"/>
      <c r="Z213" s="7">
        <f t="shared" si="91"/>
        <v>-0.45988700564971752</v>
      </c>
    </row>
    <row r="214" spans="1:26" s="23" customFormat="1" hidden="1" outlineLevel="2" x14ac:dyDescent="0.25">
      <c r="A214" s="25"/>
      <c r="B214" s="10" t="str">
        <f>CONCATENATE("          ", "7701", " - ", "INV. SHRINKAGE-NEW TEXT")</f>
        <v xml:space="preserve">          7701 - INV. SHRINKAGE-NEW TEXT</v>
      </c>
      <c r="C214" s="10"/>
      <c r="D214" s="6"/>
      <c r="E214" s="2"/>
      <c r="F214" s="7">
        <f t="shared" si="84"/>
        <v>0</v>
      </c>
      <c r="G214" s="2"/>
      <c r="H214" s="6"/>
      <c r="I214" s="2"/>
      <c r="J214" s="7">
        <f t="shared" si="85"/>
        <v>0</v>
      </c>
      <c r="K214" s="2"/>
      <c r="L214" s="6">
        <f t="shared" si="86"/>
        <v>0</v>
      </c>
      <c r="M214" s="2"/>
      <c r="N214" s="7">
        <f t="shared" si="87"/>
        <v>0</v>
      </c>
      <c r="O214" s="10"/>
      <c r="P214" s="6"/>
      <c r="Q214" s="2"/>
      <c r="R214" s="7">
        <f t="shared" si="88"/>
        <v>0</v>
      </c>
      <c r="S214" s="2"/>
      <c r="T214" s="6">
        <v>0</v>
      </c>
      <c r="U214" s="2"/>
      <c r="V214" s="7">
        <f t="shared" si="89"/>
        <v>0</v>
      </c>
      <c r="W214" s="2"/>
      <c r="X214" s="6">
        <f t="shared" si="90"/>
        <v>0</v>
      </c>
      <c r="Y214" s="2"/>
      <c r="Z214" s="7">
        <f t="shared" si="91"/>
        <v>0</v>
      </c>
    </row>
    <row r="215" spans="1:26" s="23" customFormat="1" hidden="1" outlineLevel="2" x14ac:dyDescent="0.25">
      <c r="A215" s="25"/>
      <c r="B215" s="10" t="str">
        <f>CONCATENATE("          ", "7741", " - ", "INV. SHRINKAGE-LOGO GIFTS")</f>
        <v xml:space="preserve">          7741 - INV. SHRINKAGE-LOGO GIFTS</v>
      </c>
      <c r="C215" s="10"/>
      <c r="D215" s="6"/>
      <c r="E215" s="2"/>
      <c r="F215" s="7">
        <f t="shared" si="84"/>
        <v>0</v>
      </c>
      <c r="G215" s="2"/>
      <c r="H215" s="6"/>
      <c r="I215" s="2"/>
      <c r="J215" s="7">
        <f t="shared" si="85"/>
        <v>0</v>
      </c>
      <c r="K215" s="2"/>
      <c r="L215" s="6">
        <f t="shared" si="86"/>
        <v>0</v>
      </c>
      <c r="M215" s="2"/>
      <c r="N215" s="7">
        <f t="shared" si="87"/>
        <v>0</v>
      </c>
      <c r="O215" s="10"/>
      <c r="P215" s="6">
        <v>0</v>
      </c>
      <c r="Q215" s="2"/>
      <c r="R215" s="7">
        <f t="shared" si="88"/>
        <v>0</v>
      </c>
      <c r="S215" s="2"/>
      <c r="T215" s="6"/>
      <c r="U215" s="2"/>
      <c r="V215" s="7">
        <f t="shared" si="89"/>
        <v>0</v>
      </c>
      <c r="W215" s="2"/>
      <c r="X215" s="6">
        <f t="shared" si="90"/>
        <v>0</v>
      </c>
      <c r="Y215" s="2"/>
      <c r="Z215" s="7">
        <f t="shared" si="91"/>
        <v>0</v>
      </c>
    </row>
    <row r="216" spans="1:26" s="26" customFormat="1" outlineLevel="1" collapsed="1" x14ac:dyDescent="0.25">
      <c r="A216" s="27"/>
      <c r="B216" s="12" t="str">
        <f>CONCATENATE("     ","Professional Services                             ")</f>
        <v xml:space="preserve">     Professional Services                             </v>
      </c>
      <c r="C216" s="12"/>
      <c r="D216" s="1">
        <f>SUM(OSRRefD22_14x_0)</f>
        <v>0</v>
      </c>
      <c r="E216" s="1"/>
      <c r="F216" s="5">
        <f t="shared" ref="F216:F224" si="92">IF(D$12=0,0,D216/D$12)</f>
        <v>0</v>
      </c>
      <c r="G216" s="1"/>
      <c r="H216" s="1">
        <f>SUM(OSRRefH22_14x_0)</f>
        <v>0</v>
      </c>
      <c r="I216" s="1"/>
      <c r="J216" s="5">
        <f t="shared" ref="J216:J224" si="93">IF(H$12=0,0,H216/H$12)</f>
        <v>0</v>
      </c>
      <c r="K216" s="1"/>
      <c r="L216" s="1">
        <f t="shared" ref="L216:L224" si="94">+D216-H216</f>
        <v>0</v>
      </c>
      <c r="M216" s="1"/>
      <c r="N216" s="5">
        <f t="shared" ref="N216:N224" si="95">IF(H216=0,0,L216/H216)</f>
        <v>0</v>
      </c>
      <c r="O216" s="12"/>
      <c r="P216" s="1">
        <f>SUM(OSRRefP22_14x_0)</f>
        <v>0</v>
      </c>
      <c r="Q216" s="1"/>
      <c r="R216" s="5">
        <f t="shared" ref="R216:R224" si="96">IF(P$12=0,0,P216/P$12)</f>
        <v>0</v>
      </c>
      <c r="S216" s="1"/>
      <c r="T216" s="1">
        <f>SUM(OSRRefT22_14x_0)</f>
        <v>6199.56</v>
      </c>
      <c r="U216" s="1"/>
      <c r="V216" s="5">
        <f t="shared" ref="V216:V224" si="97">IF(T$12=0,0,T216/T$12)</f>
        <v>7.2102260105375894E-4</v>
      </c>
      <c r="W216" s="1"/>
      <c r="X216" s="1">
        <f t="shared" ref="X216:X224" si="98">+P216-T216</f>
        <v>-6199.56</v>
      </c>
      <c r="Y216" s="1"/>
      <c r="Z216" s="5">
        <f t="shared" ref="Z216:Z224" si="99">IF(T216=0,0,X216/T216)</f>
        <v>-1</v>
      </c>
    </row>
    <row r="217" spans="1:26" s="23" customFormat="1" hidden="1" outlineLevel="2" x14ac:dyDescent="0.25">
      <c r="A217" s="25"/>
      <c r="B217" s="10" t="str">
        <f>CONCATENATE("          ", "6336", " - ", "PROFESSIONAL SERVICES")</f>
        <v xml:space="preserve">          6336 - PROFESSIONAL SERVICES</v>
      </c>
      <c r="C217" s="10"/>
      <c r="D217" s="6"/>
      <c r="E217" s="2"/>
      <c r="F217" s="7">
        <f t="shared" si="92"/>
        <v>0</v>
      </c>
      <c r="G217" s="2"/>
      <c r="H217" s="6"/>
      <c r="I217" s="2"/>
      <c r="J217" s="7">
        <f t="shared" si="93"/>
        <v>0</v>
      </c>
      <c r="K217" s="2"/>
      <c r="L217" s="6">
        <f t="shared" si="94"/>
        <v>0</v>
      </c>
      <c r="M217" s="2"/>
      <c r="N217" s="7">
        <f t="shared" si="95"/>
        <v>0</v>
      </c>
      <c r="O217" s="10"/>
      <c r="P217" s="6"/>
      <c r="Q217" s="2"/>
      <c r="R217" s="7">
        <f t="shared" si="96"/>
        <v>0</v>
      </c>
      <c r="S217" s="2"/>
      <c r="T217" s="6">
        <v>6199.56</v>
      </c>
      <c r="U217" s="2"/>
      <c r="V217" s="7">
        <f t="shared" si="97"/>
        <v>7.2102260105375894E-4</v>
      </c>
      <c r="W217" s="2"/>
      <c r="X217" s="6">
        <f t="shared" si="98"/>
        <v>-6199.56</v>
      </c>
      <c r="Y217" s="2"/>
      <c r="Z217" s="7">
        <f t="shared" si="99"/>
        <v>-1</v>
      </c>
    </row>
    <row r="218" spans="1:26" s="26" customFormat="1" outlineLevel="1" collapsed="1" x14ac:dyDescent="0.25">
      <c r="A218" s="27"/>
      <c r="B218" s="12" t="str">
        <f>CONCATENATE("     ","Rent                                              ")</f>
        <v xml:space="preserve">     Rent                                              </v>
      </c>
      <c r="C218" s="12"/>
      <c r="D218" s="1">
        <f>SUM(OSRRefD22_15x_0)</f>
        <v>6100</v>
      </c>
      <c r="E218" s="1"/>
      <c r="F218" s="5">
        <f t="shared" si="92"/>
        <v>3.3171162600851879E-2</v>
      </c>
      <c r="G218" s="1"/>
      <c r="H218" s="1">
        <f>SUM(OSRRefH22_15x_0)</f>
        <v>6100</v>
      </c>
      <c r="I218" s="1"/>
      <c r="J218" s="5">
        <f t="shared" si="93"/>
        <v>2.6288374940145468E-2</v>
      </c>
      <c r="K218" s="1"/>
      <c r="L218" s="1">
        <f t="shared" si="94"/>
        <v>0</v>
      </c>
      <c r="M218" s="1"/>
      <c r="N218" s="5">
        <f t="shared" si="95"/>
        <v>0</v>
      </c>
      <c r="O218" s="12"/>
      <c r="P218" s="1">
        <f>SUM(OSRRefP22_15x_0)</f>
        <v>54900</v>
      </c>
      <c r="Q218" s="1"/>
      <c r="R218" s="5">
        <f t="shared" si="96"/>
        <v>1.2874711531710966E-2</v>
      </c>
      <c r="S218" s="1"/>
      <c r="T218" s="1">
        <f>SUM(OSRRefT22_15x_0)</f>
        <v>56500</v>
      </c>
      <c r="U218" s="1"/>
      <c r="V218" s="5">
        <f t="shared" si="97"/>
        <v>6.5710755214139997E-3</v>
      </c>
      <c r="W218" s="1"/>
      <c r="X218" s="1">
        <f t="shared" si="98"/>
        <v>-1600</v>
      </c>
      <c r="Y218" s="1"/>
      <c r="Z218" s="5">
        <f t="shared" si="99"/>
        <v>-2.831858407079646E-2</v>
      </c>
    </row>
    <row r="219" spans="1:26" s="23" customFormat="1" hidden="1" outlineLevel="2" x14ac:dyDescent="0.25">
      <c r="A219" s="25"/>
      <c r="B219" s="10" t="str">
        <f>CONCATENATE("          ", "6273", " - ", "RENT")</f>
        <v xml:space="preserve">          6273 - RENT</v>
      </c>
      <c r="C219" s="10"/>
      <c r="D219" s="6">
        <v>6100</v>
      </c>
      <c r="E219" s="2"/>
      <c r="F219" s="7">
        <f t="shared" si="92"/>
        <v>3.3171162600851879E-2</v>
      </c>
      <c r="G219" s="2"/>
      <c r="H219" s="6">
        <v>6100</v>
      </c>
      <c r="I219" s="2"/>
      <c r="J219" s="7">
        <f t="shared" si="93"/>
        <v>2.6288374940145468E-2</v>
      </c>
      <c r="K219" s="2"/>
      <c r="L219" s="6">
        <f t="shared" si="94"/>
        <v>0</v>
      </c>
      <c r="M219" s="2"/>
      <c r="N219" s="7">
        <f t="shared" si="95"/>
        <v>0</v>
      </c>
      <c r="O219" s="10"/>
      <c r="P219" s="6">
        <v>54900</v>
      </c>
      <c r="Q219" s="2"/>
      <c r="R219" s="7">
        <f t="shared" si="96"/>
        <v>1.2874711531710966E-2</v>
      </c>
      <c r="S219" s="2"/>
      <c r="T219" s="6">
        <v>56500</v>
      </c>
      <c r="U219" s="2"/>
      <c r="V219" s="7">
        <f t="shared" si="97"/>
        <v>6.5710755214139997E-3</v>
      </c>
      <c r="W219" s="2"/>
      <c r="X219" s="6">
        <f t="shared" si="98"/>
        <v>-1600</v>
      </c>
      <c r="Y219" s="2"/>
      <c r="Z219" s="7">
        <f t="shared" si="99"/>
        <v>-2.831858407079646E-2</v>
      </c>
    </row>
    <row r="220" spans="1:26" s="26" customFormat="1" outlineLevel="1" collapsed="1" x14ac:dyDescent="0.25">
      <c r="A220" s="27"/>
      <c r="B220" s="12" t="str">
        <f>CONCATENATE("     ","Repair and Maintenance                            ")</f>
        <v xml:space="preserve">     Repair and Maintenance                            </v>
      </c>
      <c r="C220" s="12"/>
      <c r="D220" s="1">
        <f>SUM(OSRRefD22_16x_0)</f>
        <v>1473.46</v>
      </c>
      <c r="E220" s="1"/>
      <c r="F220" s="5">
        <f t="shared" si="92"/>
        <v>8.0125215157133122E-3</v>
      </c>
      <c r="G220" s="1"/>
      <c r="H220" s="1">
        <f>SUM(OSRRefH22_16x_0)</f>
        <v>12901.489999999998</v>
      </c>
      <c r="I220" s="1"/>
      <c r="J220" s="5">
        <f t="shared" si="93"/>
        <v>5.5599869902711027E-2</v>
      </c>
      <c r="K220" s="1"/>
      <c r="L220" s="1">
        <f t="shared" si="94"/>
        <v>-11428.029999999999</v>
      </c>
      <c r="M220" s="1"/>
      <c r="N220" s="5">
        <f t="shared" si="95"/>
        <v>-0.88579148609966762</v>
      </c>
      <c r="O220" s="12"/>
      <c r="P220" s="1">
        <f>SUM(OSRRefP22_16x_0)</f>
        <v>130429.85999999999</v>
      </c>
      <c r="Q220" s="1"/>
      <c r="R220" s="5">
        <f t="shared" si="96"/>
        <v>3.0587373818241285E-2</v>
      </c>
      <c r="S220" s="1"/>
      <c r="T220" s="1">
        <f>SUM(OSRRefT22_16x_0)</f>
        <v>121057.11</v>
      </c>
      <c r="U220" s="1"/>
      <c r="V220" s="5">
        <f t="shared" si="97"/>
        <v>1.4079210835648176E-2</v>
      </c>
      <c r="W220" s="1"/>
      <c r="X220" s="1">
        <f t="shared" si="98"/>
        <v>9372.7499999999854</v>
      </c>
      <c r="Y220" s="1"/>
      <c r="Z220" s="5">
        <f t="shared" si="99"/>
        <v>7.7424200858586381E-2</v>
      </c>
    </row>
    <row r="221" spans="1:26" s="23" customFormat="1" hidden="1" outlineLevel="2" x14ac:dyDescent="0.25">
      <c r="A221" s="25"/>
      <c r="B221" s="10" t="str">
        <f>CONCATENATE("          ", "6371", " - ", "COMPUTER SOFTWARE MAINTENANCE")</f>
        <v xml:space="preserve">          6371 - COMPUTER SOFTWARE MAINTENANCE</v>
      </c>
      <c r="C221" s="10"/>
      <c r="D221" s="6"/>
      <c r="E221" s="2"/>
      <c r="F221" s="7">
        <f t="shared" si="92"/>
        <v>0</v>
      </c>
      <c r="G221" s="2"/>
      <c r="H221" s="6">
        <v>631.04999999999995</v>
      </c>
      <c r="I221" s="2"/>
      <c r="J221" s="7">
        <f t="shared" si="93"/>
        <v>2.71955393540636E-3</v>
      </c>
      <c r="K221" s="2"/>
      <c r="L221" s="6">
        <f t="shared" si="94"/>
        <v>-631.04999999999995</v>
      </c>
      <c r="M221" s="2"/>
      <c r="N221" s="7">
        <f t="shared" si="95"/>
        <v>-1</v>
      </c>
      <c r="O221" s="10"/>
      <c r="P221" s="6">
        <v>59767.72</v>
      </c>
      <c r="Q221" s="2"/>
      <c r="R221" s="7">
        <f t="shared" si="96"/>
        <v>1.401625052655869E-2</v>
      </c>
      <c r="S221" s="2"/>
      <c r="T221" s="6">
        <v>15786.45</v>
      </c>
      <c r="U221" s="2"/>
      <c r="V221" s="7">
        <f t="shared" si="97"/>
        <v>1.8359992064606379E-3</v>
      </c>
      <c r="W221" s="2"/>
      <c r="X221" s="6">
        <f t="shared" si="98"/>
        <v>43981.270000000004</v>
      </c>
      <c r="Y221" s="2"/>
      <c r="Z221" s="7">
        <f t="shared" si="99"/>
        <v>2.7860139550057172</v>
      </c>
    </row>
    <row r="222" spans="1:26" s="23" customFormat="1" hidden="1" outlineLevel="2" x14ac:dyDescent="0.25">
      <c r="A222" s="25"/>
      <c r="B222" s="10" t="str">
        <f>CONCATENATE("          ", "6372", " - ", "COMPUTER HARDWARE MAINTENANCE")</f>
        <v xml:space="preserve">          6372 - COMPUTER HARDWARE MAINTENANCE</v>
      </c>
      <c r="C222" s="10"/>
      <c r="D222" s="6"/>
      <c r="E222" s="2"/>
      <c r="F222" s="7">
        <f t="shared" si="92"/>
        <v>0</v>
      </c>
      <c r="G222" s="2"/>
      <c r="H222" s="6"/>
      <c r="I222" s="2"/>
      <c r="J222" s="7">
        <f t="shared" si="93"/>
        <v>0</v>
      </c>
      <c r="K222" s="2"/>
      <c r="L222" s="6">
        <f t="shared" si="94"/>
        <v>0</v>
      </c>
      <c r="M222" s="2"/>
      <c r="N222" s="7">
        <f t="shared" si="95"/>
        <v>0</v>
      </c>
      <c r="O222" s="10"/>
      <c r="P222" s="6">
        <v>-1.1499999999999999</v>
      </c>
      <c r="Q222" s="2"/>
      <c r="R222" s="7">
        <f t="shared" si="96"/>
        <v>-2.6968885722163222E-7</v>
      </c>
      <c r="S222" s="2"/>
      <c r="T222" s="6">
        <v>52.32</v>
      </c>
      <c r="U222" s="2"/>
      <c r="V222" s="7">
        <f t="shared" si="97"/>
        <v>6.0849322350509822E-6</v>
      </c>
      <c r="W222" s="2"/>
      <c r="X222" s="6">
        <f t="shared" si="98"/>
        <v>-53.47</v>
      </c>
      <c r="Y222" s="2"/>
      <c r="Z222" s="7">
        <f t="shared" si="99"/>
        <v>-1.0219801223241589</v>
      </c>
    </row>
    <row r="223" spans="1:26" s="23" customFormat="1" hidden="1" outlineLevel="2" x14ac:dyDescent="0.25">
      <c r="A223" s="25"/>
      <c r="B223" s="10" t="str">
        <f>CONCATENATE("          ", "6373", " - ", "MAINTENANCE CONTRACTS")</f>
        <v xml:space="preserve">          6373 - MAINTENANCE CONTRACTS</v>
      </c>
      <c r="C223" s="10"/>
      <c r="D223" s="6">
        <v>1262.9000000000001</v>
      </c>
      <c r="E223" s="2"/>
      <c r="F223" s="7">
        <f t="shared" si="92"/>
        <v>6.8675182374780064E-3</v>
      </c>
      <c r="G223" s="2"/>
      <c r="H223" s="6">
        <v>11994.48</v>
      </c>
      <c r="I223" s="2"/>
      <c r="J223" s="7">
        <f t="shared" si="93"/>
        <v>5.1691047123291145E-2</v>
      </c>
      <c r="K223" s="2"/>
      <c r="L223" s="6">
        <f t="shared" si="94"/>
        <v>-10731.58</v>
      </c>
      <c r="M223" s="2"/>
      <c r="N223" s="7">
        <f t="shared" si="95"/>
        <v>-0.89470989988728156</v>
      </c>
      <c r="O223" s="10"/>
      <c r="P223" s="6">
        <v>44689.58</v>
      </c>
      <c r="Q223" s="2"/>
      <c r="R223" s="7">
        <f t="shared" si="96"/>
        <v>1.048024500862149E-2</v>
      </c>
      <c r="S223" s="2"/>
      <c r="T223" s="6">
        <v>69448.56</v>
      </c>
      <c r="U223" s="2"/>
      <c r="V223" s="7">
        <f t="shared" si="97"/>
        <v>8.0770218161672815E-3</v>
      </c>
      <c r="W223" s="2"/>
      <c r="X223" s="6">
        <f t="shared" si="98"/>
        <v>-24758.979999999996</v>
      </c>
      <c r="Y223" s="2"/>
      <c r="Z223" s="7">
        <f t="shared" si="99"/>
        <v>-0.35650818389898936</v>
      </c>
    </row>
    <row r="224" spans="1:26" s="23" customFormat="1" hidden="1" outlineLevel="2" x14ac:dyDescent="0.25">
      <c r="A224" s="25"/>
      <c r="B224" s="10" t="str">
        <f>CONCATENATE("          ", "6375", " - ", "OUTSIDE REPAIRS &amp; MAINTENANCE")</f>
        <v xml:space="preserve">          6375 - OUTSIDE REPAIRS &amp; MAINTENANCE</v>
      </c>
      <c r="C224" s="10"/>
      <c r="D224" s="6">
        <v>210.56</v>
      </c>
      <c r="E224" s="2"/>
      <c r="F224" s="7">
        <f t="shared" si="92"/>
        <v>1.1450032782353067E-3</v>
      </c>
      <c r="G224" s="2"/>
      <c r="H224" s="6">
        <v>275.95999999999998</v>
      </c>
      <c r="I224" s="2"/>
      <c r="J224" s="7">
        <f t="shared" si="93"/>
        <v>1.1892688440135316E-3</v>
      </c>
      <c r="K224" s="2"/>
      <c r="L224" s="6">
        <f t="shared" si="94"/>
        <v>-65.399999999999977</v>
      </c>
      <c r="M224" s="2"/>
      <c r="N224" s="7">
        <f t="shared" si="95"/>
        <v>-0.23699086824177409</v>
      </c>
      <c r="O224" s="10"/>
      <c r="P224" s="6">
        <v>25973.71</v>
      </c>
      <c r="Q224" s="2"/>
      <c r="R224" s="7">
        <f t="shared" si="96"/>
        <v>6.0911479719183313E-3</v>
      </c>
      <c r="S224" s="2"/>
      <c r="T224" s="6">
        <v>35769.78</v>
      </c>
      <c r="U224" s="2"/>
      <c r="V224" s="7">
        <f t="shared" si="97"/>
        <v>4.1601048807852047E-3</v>
      </c>
      <c r="W224" s="2"/>
      <c r="X224" s="6">
        <f t="shared" si="98"/>
        <v>-9796.07</v>
      </c>
      <c r="Y224" s="2"/>
      <c r="Z224" s="7">
        <f t="shared" si="99"/>
        <v>-0.27386441851193943</v>
      </c>
    </row>
    <row r="225" spans="1:26" s="26" customFormat="1" outlineLevel="1" collapsed="1" x14ac:dyDescent="0.25">
      <c r="A225" s="27"/>
      <c r="B225" s="12" t="str">
        <f>CONCATENATE("     ","Royalty &amp; Commissions                             ")</f>
        <v xml:space="preserve">     Royalty &amp; Commissions                             </v>
      </c>
      <c r="C225" s="12"/>
      <c r="D225" s="1">
        <f>SUM(OSRRefD22_17x_0)</f>
        <v>27.21</v>
      </c>
      <c r="E225" s="1"/>
      <c r="F225" s="5">
        <f t="shared" ref="F225:F228" si="100">IF(D$12=0,0,D225/D$12)</f>
        <v>1.4796513678183272E-4</v>
      </c>
      <c r="G225" s="1"/>
      <c r="H225" s="1">
        <f>SUM(OSRRefH22_17x_0)</f>
        <v>6708.88</v>
      </c>
      <c r="I225" s="1"/>
      <c r="J225" s="5">
        <f t="shared" ref="J225:J228" si="101">IF(H$12=0,0,H225/H$12)</f>
        <v>2.8912385716138217E-2</v>
      </c>
      <c r="K225" s="1"/>
      <c r="L225" s="1">
        <f t="shared" ref="L225:L228" si="102">+D225-H225</f>
        <v>-6681.67</v>
      </c>
      <c r="M225" s="1"/>
      <c r="N225" s="5">
        <f t="shared" ref="N225:N228" si="103">IF(H225=0,0,L225/H225)</f>
        <v>-0.99594418144310226</v>
      </c>
      <c r="O225" s="12"/>
      <c r="P225" s="1">
        <f>SUM(OSRRefP22_17x_0)</f>
        <v>36861.200000000004</v>
      </c>
      <c r="Q225" s="1"/>
      <c r="R225" s="5">
        <f t="shared" ref="R225:R228" si="104">IF(P$12=0,0,P225/P$12)</f>
        <v>8.6443955685374194E-3</v>
      </c>
      <c r="S225" s="1"/>
      <c r="T225" s="1">
        <f>SUM(OSRRefT22_17x_0)</f>
        <v>103111.95000000001</v>
      </c>
      <c r="U225" s="1"/>
      <c r="V225" s="5">
        <f t="shared" ref="V225:V228" si="105">IF(T$12=0,0,T225/T$12)</f>
        <v>1.1992148860358662E-2</v>
      </c>
      <c r="W225" s="1"/>
      <c r="X225" s="1">
        <f t="shared" ref="X225:X228" si="106">+P225-T225</f>
        <v>-66250.75</v>
      </c>
      <c r="Y225" s="1"/>
      <c r="Z225" s="5">
        <f t="shared" ref="Z225:Z228" si="107">IF(T225=0,0,X225/T225)</f>
        <v>-0.64251282222865524</v>
      </c>
    </row>
    <row r="226" spans="1:26" s="23" customFormat="1" hidden="1" outlineLevel="2" x14ac:dyDescent="0.25">
      <c r="A226" s="25"/>
      <c r="B226" s="10" t="str">
        <f>CONCATENATE("          ", "6253", " - ", "ROYALTY DUE ATHLETICS-LRG")</f>
        <v xml:space="preserve">          6253 - ROYALTY DUE ATHLETICS-LRG</v>
      </c>
      <c r="C226" s="10"/>
      <c r="D226" s="6"/>
      <c r="E226" s="2"/>
      <c r="F226" s="7">
        <f t="shared" si="100"/>
        <v>0</v>
      </c>
      <c r="G226" s="2"/>
      <c r="H226" s="6">
        <v>1669.49</v>
      </c>
      <c r="I226" s="2"/>
      <c r="J226" s="7">
        <f t="shared" si="101"/>
        <v>7.194783455544829E-3</v>
      </c>
      <c r="K226" s="2"/>
      <c r="L226" s="6">
        <f t="shared" si="102"/>
        <v>-1669.49</v>
      </c>
      <c r="M226" s="2"/>
      <c r="N226" s="7">
        <f t="shared" si="103"/>
        <v>-1</v>
      </c>
      <c r="O226" s="10"/>
      <c r="P226" s="6">
        <v>26197.58</v>
      </c>
      <c r="Q226" s="2"/>
      <c r="R226" s="7">
        <f t="shared" si="104"/>
        <v>6.1436481844976427E-3</v>
      </c>
      <c r="S226" s="2"/>
      <c r="T226" s="6">
        <v>18314.93</v>
      </c>
      <c r="U226" s="2"/>
      <c r="V226" s="7">
        <f t="shared" si="105"/>
        <v>2.1300670477771844E-3</v>
      </c>
      <c r="W226" s="2"/>
      <c r="X226" s="6">
        <f t="shared" si="106"/>
        <v>7882.6500000000015</v>
      </c>
      <c r="Y226" s="2"/>
      <c r="Z226" s="7">
        <f t="shared" si="107"/>
        <v>0.43039476536355864</v>
      </c>
    </row>
    <row r="227" spans="1:26" s="23" customFormat="1" hidden="1" outlineLevel="2" x14ac:dyDescent="0.25">
      <c r="A227" s="25"/>
      <c r="B227" s="10" t="str">
        <f>CONCATENATE("          ", "6254", " - ", "ROYALTY &amp; COMMISSIONS")</f>
        <v xml:space="preserve">          6254 - ROYALTY &amp; COMMISSIONS</v>
      </c>
      <c r="C227" s="10"/>
      <c r="D227" s="6"/>
      <c r="E227" s="2"/>
      <c r="F227" s="7">
        <f t="shared" si="100"/>
        <v>0</v>
      </c>
      <c r="G227" s="2"/>
      <c r="H227" s="6">
        <v>1175.47</v>
      </c>
      <c r="I227" s="2"/>
      <c r="J227" s="7">
        <f t="shared" si="101"/>
        <v>5.0657698509660315E-3</v>
      </c>
      <c r="K227" s="2"/>
      <c r="L227" s="6">
        <f t="shared" si="102"/>
        <v>-1175.47</v>
      </c>
      <c r="M227" s="2"/>
      <c r="N227" s="7">
        <f t="shared" si="103"/>
        <v>-1</v>
      </c>
      <c r="O227" s="10"/>
      <c r="P227" s="6"/>
      <c r="Q227" s="2"/>
      <c r="R227" s="7">
        <f t="shared" si="104"/>
        <v>0</v>
      </c>
      <c r="S227" s="2"/>
      <c r="T227" s="6">
        <v>7971.22</v>
      </c>
      <c r="U227" s="2"/>
      <c r="V227" s="7">
        <f t="shared" si="105"/>
        <v>9.2707059500541072E-4</v>
      </c>
      <c r="W227" s="2"/>
      <c r="X227" s="6">
        <f t="shared" si="106"/>
        <v>-7971.22</v>
      </c>
      <c r="Y227" s="2"/>
      <c r="Z227" s="7">
        <f t="shared" si="107"/>
        <v>-1</v>
      </c>
    </row>
    <row r="228" spans="1:26" s="23" customFormat="1" hidden="1" outlineLevel="2" x14ac:dyDescent="0.25">
      <c r="A228" s="25"/>
      <c r="B228" s="10" t="str">
        <f>CONCATENATE("          ", "6259", " - ", "ROYALTY &amp; COMMISSIONS")</f>
        <v xml:space="preserve">          6259 - ROYALTY &amp; COMMISSIONS</v>
      </c>
      <c r="C228" s="10"/>
      <c r="D228" s="6">
        <v>27.21</v>
      </c>
      <c r="E228" s="2"/>
      <c r="F228" s="7">
        <f t="shared" si="100"/>
        <v>1.4796513678183272E-4</v>
      </c>
      <c r="G228" s="2"/>
      <c r="H228" s="6">
        <v>3863.92</v>
      </c>
      <c r="I228" s="2"/>
      <c r="J228" s="7">
        <f t="shared" si="101"/>
        <v>1.6651832409627355E-2</v>
      </c>
      <c r="K228" s="2"/>
      <c r="L228" s="6">
        <f t="shared" si="102"/>
        <v>-3836.71</v>
      </c>
      <c r="M228" s="2"/>
      <c r="N228" s="7">
        <f t="shared" si="103"/>
        <v>-0.99295792873558453</v>
      </c>
      <c r="O228" s="10"/>
      <c r="P228" s="6">
        <v>10663.62</v>
      </c>
      <c r="Q228" s="2"/>
      <c r="R228" s="7">
        <f t="shared" si="104"/>
        <v>2.5007473840397759E-3</v>
      </c>
      <c r="S228" s="2"/>
      <c r="T228" s="6">
        <v>76825.8</v>
      </c>
      <c r="U228" s="2"/>
      <c r="V228" s="7">
        <f t="shared" si="105"/>
        <v>8.9350112175760662E-3</v>
      </c>
      <c r="W228" s="2"/>
      <c r="X228" s="6">
        <f t="shared" si="106"/>
        <v>-66162.180000000008</v>
      </c>
      <c r="Y228" s="2"/>
      <c r="Z228" s="7">
        <f t="shared" si="107"/>
        <v>-0.86119741024499585</v>
      </c>
    </row>
    <row r="229" spans="1:26" s="26" customFormat="1" outlineLevel="1" collapsed="1" x14ac:dyDescent="0.25">
      <c r="A229" s="27"/>
      <c r="B229" s="12" t="str">
        <f>CONCATENATE("     ","Services                                          ")</f>
        <v xml:space="preserve">     Services                                          </v>
      </c>
      <c r="C229" s="12"/>
      <c r="D229" s="1">
        <f>SUM(OSRRefD22_18x_0)</f>
        <v>7475.7699999999995</v>
      </c>
      <c r="E229" s="1"/>
      <c r="F229" s="5">
        <f t="shared" ref="F229:F233" si="108">IF(D$12=0,0,D229/D$12)</f>
        <v>4.0652456104355805E-2</v>
      </c>
      <c r="G229" s="1"/>
      <c r="H229" s="1">
        <f>SUM(OSRRefH22_18x_0)</f>
        <v>4580.8599999999997</v>
      </c>
      <c r="I229" s="1"/>
      <c r="J229" s="5">
        <f t="shared" ref="J229:J233" si="109">IF(H$12=0,0,H229/H$12)</f>
        <v>1.9741535283330287E-2</v>
      </c>
      <c r="K229" s="1"/>
      <c r="L229" s="1">
        <f t="shared" ref="L229:L233" si="110">+D229-H229</f>
        <v>2894.91</v>
      </c>
      <c r="M229" s="1"/>
      <c r="N229" s="5">
        <f t="shared" ref="N229:N233" si="111">IF(H229=0,0,L229/H229)</f>
        <v>0.63195775465742243</v>
      </c>
      <c r="O229" s="12"/>
      <c r="P229" s="1">
        <f>SUM(OSRRefP22_18x_0)</f>
        <v>36137.660000000003</v>
      </c>
      <c r="Q229" s="1"/>
      <c r="R229" s="5">
        <f t="shared" ref="R229:R233" si="112">IF(P$12=0,0,P229/P$12)</f>
        <v>8.4747167200555588E-3</v>
      </c>
      <c r="S229" s="1"/>
      <c r="T229" s="1">
        <f>SUM(OSRRefT22_18x_0)</f>
        <v>41600.92</v>
      </c>
      <c r="U229" s="1"/>
      <c r="V229" s="5">
        <f t="shared" ref="V229:V233" si="113">IF(T$12=0,0,T229/T$12)</f>
        <v>4.8382794173504797E-3</v>
      </c>
      <c r="W229" s="1"/>
      <c r="X229" s="1">
        <f t="shared" ref="X229:X233" si="114">+P229-T229</f>
        <v>-5463.2599999999948</v>
      </c>
      <c r="Y229" s="1"/>
      <c r="Z229" s="5">
        <f t="shared" ref="Z229:Z233" si="115">IF(T229=0,0,X229/T229)</f>
        <v>-0.13132546107153387</v>
      </c>
    </row>
    <row r="230" spans="1:26" s="23" customFormat="1" hidden="1" outlineLevel="2" x14ac:dyDescent="0.25">
      <c r="A230" s="25"/>
      <c r="B230" s="10" t="str">
        <f>CONCATENATE("          ", "6282", " - ", "JANITORIAL/EXTERMINATOR EXPENS")</f>
        <v xml:space="preserve">          6282 - JANITORIAL/EXTERMINATOR EXPENS</v>
      </c>
      <c r="C230" s="10"/>
      <c r="D230" s="6">
        <v>453</v>
      </c>
      <c r="E230" s="2"/>
      <c r="F230" s="7">
        <f t="shared" si="108"/>
        <v>2.4633666652763772E-3</v>
      </c>
      <c r="G230" s="2"/>
      <c r="H230" s="6">
        <v>222.5</v>
      </c>
      <c r="I230" s="2"/>
      <c r="J230" s="7">
        <f t="shared" si="109"/>
        <v>9.5887924986596173E-4</v>
      </c>
      <c r="K230" s="2"/>
      <c r="L230" s="6">
        <f t="shared" si="110"/>
        <v>230.5</v>
      </c>
      <c r="M230" s="2"/>
      <c r="N230" s="7">
        <f t="shared" si="111"/>
        <v>1.0359550561797752</v>
      </c>
      <c r="O230" s="10"/>
      <c r="P230" s="6">
        <v>7406.12</v>
      </c>
      <c r="Q230" s="2"/>
      <c r="R230" s="7">
        <f t="shared" si="112"/>
        <v>1.7368243819532827E-3</v>
      </c>
      <c r="S230" s="2"/>
      <c r="T230" s="6">
        <v>2375.52</v>
      </c>
      <c r="U230" s="2"/>
      <c r="V230" s="7">
        <f t="shared" si="113"/>
        <v>2.762782534978652E-4</v>
      </c>
      <c r="W230" s="2"/>
      <c r="X230" s="6">
        <f t="shared" si="114"/>
        <v>5030.6000000000004</v>
      </c>
      <c r="Y230" s="2"/>
      <c r="Z230" s="7">
        <f t="shared" si="115"/>
        <v>2.1176837071462251</v>
      </c>
    </row>
    <row r="231" spans="1:26" s="23" customFormat="1" hidden="1" outlineLevel="2" x14ac:dyDescent="0.25">
      <c r="A231" s="25"/>
      <c r="B231" s="10" t="str">
        <f>CONCATENATE("          ", "6283", " - ", "PLANT SERVICE")</f>
        <v xml:space="preserve">          6283 - PLANT SERVICE</v>
      </c>
      <c r="C231" s="10"/>
      <c r="D231" s="6"/>
      <c r="E231" s="2"/>
      <c r="F231" s="7">
        <f t="shared" si="108"/>
        <v>0</v>
      </c>
      <c r="G231" s="2"/>
      <c r="H231" s="6"/>
      <c r="I231" s="2"/>
      <c r="J231" s="7">
        <f t="shared" si="109"/>
        <v>0</v>
      </c>
      <c r="K231" s="2"/>
      <c r="L231" s="6">
        <f t="shared" si="110"/>
        <v>0</v>
      </c>
      <c r="M231" s="2"/>
      <c r="N231" s="7">
        <f t="shared" si="111"/>
        <v>0</v>
      </c>
      <c r="O231" s="10"/>
      <c r="P231" s="6">
        <v>171.31</v>
      </c>
      <c r="Q231" s="2"/>
      <c r="R231" s="7">
        <f t="shared" si="112"/>
        <v>4.0174259244032889E-5</v>
      </c>
      <c r="S231" s="2"/>
      <c r="T231" s="6">
        <v>541.98</v>
      </c>
      <c r="U231" s="2"/>
      <c r="V231" s="7">
        <f t="shared" si="113"/>
        <v>6.3033478072494858E-5</v>
      </c>
      <c r="W231" s="2"/>
      <c r="X231" s="6">
        <f t="shared" si="114"/>
        <v>-370.67</v>
      </c>
      <c r="Y231" s="2"/>
      <c r="Z231" s="7">
        <f t="shared" si="115"/>
        <v>-0.68391822576478833</v>
      </c>
    </row>
    <row r="232" spans="1:26" s="23" customFormat="1" hidden="1" outlineLevel="2" x14ac:dyDescent="0.25">
      <c r="A232" s="25"/>
      <c r="B232" s="10" t="str">
        <f>CONCATENATE("          ", "6284", " - ", "TRASH REMOVAL EXPENSE")</f>
        <v xml:space="preserve">          6284 - TRASH REMOVAL EXPENSE</v>
      </c>
      <c r="C232" s="10"/>
      <c r="D232" s="6">
        <v>142.57</v>
      </c>
      <c r="E232" s="2"/>
      <c r="F232" s="7">
        <f t="shared" si="108"/>
        <v>7.7528076262351668E-4</v>
      </c>
      <c r="G232" s="2"/>
      <c r="H232" s="6">
        <v>134.82</v>
      </c>
      <c r="I232" s="2"/>
      <c r="J232" s="7">
        <f t="shared" si="109"/>
        <v>5.8101618187383799E-4</v>
      </c>
      <c r="K232" s="2"/>
      <c r="L232" s="6">
        <f t="shared" si="110"/>
        <v>7.75</v>
      </c>
      <c r="M232" s="2"/>
      <c r="N232" s="7">
        <f t="shared" si="111"/>
        <v>5.7484052811155616E-2</v>
      </c>
      <c r="O232" s="10"/>
      <c r="P232" s="6">
        <v>1298.1500000000001</v>
      </c>
      <c r="Q232" s="2"/>
      <c r="R232" s="7">
        <f t="shared" si="112"/>
        <v>3.0443181739327126E-4</v>
      </c>
      <c r="S232" s="2"/>
      <c r="T232" s="6">
        <v>1213.3800000000001</v>
      </c>
      <c r="U232" s="2"/>
      <c r="V232" s="7">
        <f t="shared" si="113"/>
        <v>1.4111878966678444E-4</v>
      </c>
      <c r="W232" s="2"/>
      <c r="X232" s="6">
        <f t="shared" si="114"/>
        <v>84.769999999999982</v>
      </c>
      <c r="Y232" s="2"/>
      <c r="Z232" s="7">
        <f t="shared" si="115"/>
        <v>6.9862697588554262E-2</v>
      </c>
    </row>
    <row r="233" spans="1:26" s="23" customFormat="1" hidden="1" outlineLevel="2" x14ac:dyDescent="0.25">
      <c r="A233" s="25"/>
      <c r="B233" s="10" t="str">
        <f>CONCATENATE("          ", "6285", " - ", "JANITORIAL SERVICES")</f>
        <v xml:space="preserve">          6285 - JANITORIAL SERVICES</v>
      </c>
      <c r="C233" s="10"/>
      <c r="D233" s="6">
        <v>6880.2</v>
      </c>
      <c r="E233" s="2"/>
      <c r="F233" s="7">
        <f t="shared" si="108"/>
        <v>3.7413808676455912E-2</v>
      </c>
      <c r="G233" s="2"/>
      <c r="H233" s="6">
        <v>4223.54</v>
      </c>
      <c r="I233" s="2"/>
      <c r="J233" s="7">
        <f t="shared" si="109"/>
        <v>1.8201639851590488E-2</v>
      </c>
      <c r="K233" s="2"/>
      <c r="L233" s="6">
        <f t="shared" si="110"/>
        <v>2656.66</v>
      </c>
      <c r="M233" s="2"/>
      <c r="N233" s="7">
        <f t="shared" si="111"/>
        <v>0.6290126292162499</v>
      </c>
      <c r="O233" s="10"/>
      <c r="P233" s="6">
        <v>27262.080000000002</v>
      </c>
      <c r="Q233" s="2"/>
      <c r="R233" s="7">
        <f t="shared" si="112"/>
        <v>6.393286261464971E-3</v>
      </c>
      <c r="S233" s="2"/>
      <c r="T233" s="6">
        <v>37470.04</v>
      </c>
      <c r="U233" s="2"/>
      <c r="V233" s="7">
        <f t="shared" si="113"/>
        <v>4.3578488961133355E-3</v>
      </c>
      <c r="W233" s="2"/>
      <c r="X233" s="6">
        <f t="shared" si="114"/>
        <v>-10207.959999999999</v>
      </c>
      <c r="Y233" s="2"/>
      <c r="Z233" s="7">
        <f t="shared" si="115"/>
        <v>-0.27242992001076055</v>
      </c>
    </row>
    <row r="234" spans="1:26" s="26" customFormat="1" outlineLevel="1" collapsed="1" x14ac:dyDescent="0.25">
      <c r="A234" s="27"/>
      <c r="B234" s="12" t="str">
        <f>CONCATENATE("     ","Subscriptions &amp; Dues                              ")</f>
        <v xml:space="preserve">     Subscriptions &amp; Dues                              </v>
      </c>
      <c r="C234" s="12"/>
      <c r="D234" s="1">
        <f>SUM(OSRRefD22_19x_0)</f>
        <v>307.78999999999996</v>
      </c>
      <c r="E234" s="1"/>
      <c r="F234" s="5">
        <f t="shared" ref="F234:F236" si="116">IF(D$12=0,0,D234/D$12)</f>
        <v>1.6737298585108521E-3</v>
      </c>
      <c r="G234" s="1"/>
      <c r="H234" s="1">
        <f>SUM(OSRRefH22_19x_0)</f>
        <v>616.54</v>
      </c>
      <c r="I234" s="1"/>
      <c r="J234" s="5">
        <f t="shared" ref="J234:J236" si="117">IF(H$12=0,0,H234/H$12)</f>
        <v>2.6570220796061123E-3</v>
      </c>
      <c r="K234" s="1"/>
      <c r="L234" s="1">
        <f t="shared" ref="L234:L236" si="118">+D234-H234</f>
        <v>-308.75</v>
      </c>
      <c r="M234" s="1"/>
      <c r="N234" s="5">
        <f t="shared" ref="N234:N236" si="119">IF(H234=0,0,L234/H234)</f>
        <v>-0.50077853829435237</v>
      </c>
      <c r="O234" s="12"/>
      <c r="P234" s="1">
        <f>SUM(OSRRefP22_19x_0)</f>
        <v>4334.33</v>
      </c>
      <c r="Q234" s="1"/>
      <c r="R234" s="5">
        <f t="shared" ref="R234:R236" si="120">IF(P$12=0,0,P234/P$12)</f>
        <v>1.0164526126273368E-3</v>
      </c>
      <c r="S234" s="1"/>
      <c r="T234" s="1">
        <f>SUM(OSRRefT22_19x_0)</f>
        <v>4921.7699999999995</v>
      </c>
      <c r="U234" s="1"/>
      <c r="V234" s="5">
        <f t="shared" ref="V234:V236" si="121">IF(T$12=0,0,T234/T$12)</f>
        <v>5.7241278529256243E-4</v>
      </c>
      <c r="W234" s="1"/>
      <c r="X234" s="1">
        <f t="shared" ref="X234:X236" si="122">+P234-T234</f>
        <v>-587.4399999999996</v>
      </c>
      <c r="Y234" s="1"/>
      <c r="Z234" s="5">
        <f t="shared" ref="Z234:Z236" si="123">IF(T234=0,0,X234/T234)</f>
        <v>-0.11935543513817176</v>
      </c>
    </row>
    <row r="235" spans="1:26" s="23" customFormat="1" hidden="1" outlineLevel="2" x14ac:dyDescent="0.25">
      <c r="A235" s="25"/>
      <c r="B235" s="10" t="str">
        <f>CONCATENATE("          ", "6258", " - ", "MEMBERSHIP DUES")</f>
        <v xml:space="preserve">          6258 - MEMBERSHIP DUES</v>
      </c>
      <c r="C235" s="10"/>
      <c r="D235" s="6">
        <v>232.79</v>
      </c>
      <c r="E235" s="2"/>
      <c r="F235" s="7">
        <f t="shared" si="116"/>
        <v>1.2658876953856243E-3</v>
      </c>
      <c r="G235" s="2"/>
      <c r="H235" s="6">
        <v>616.54</v>
      </c>
      <c r="I235" s="2"/>
      <c r="J235" s="7">
        <f t="shared" si="117"/>
        <v>2.6570220796061123E-3</v>
      </c>
      <c r="K235" s="2"/>
      <c r="L235" s="6">
        <f t="shared" si="118"/>
        <v>-383.75</v>
      </c>
      <c r="M235" s="2"/>
      <c r="N235" s="7">
        <f t="shared" si="119"/>
        <v>-0.62242514678690763</v>
      </c>
      <c r="O235" s="10"/>
      <c r="P235" s="6">
        <v>2106.52</v>
      </c>
      <c r="Q235" s="2"/>
      <c r="R235" s="7">
        <f t="shared" si="120"/>
        <v>4.9400432305609808E-4</v>
      </c>
      <c r="S235" s="2"/>
      <c r="T235" s="6">
        <v>4056.41</v>
      </c>
      <c r="U235" s="2"/>
      <c r="V235" s="7">
        <f t="shared" si="121"/>
        <v>4.7176949479325598E-4</v>
      </c>
      <c r="W235" s="2"/>
      <c r="X235" s="6">
        <f t="shared" si="122"/>
        <v>-1949.8899999999999</v>
      </c>
      <c r="Y235" s="2"/>
      <c r="Z235" s="7">
        <f t="shared" si="123"/>
        <v>-0.48069351963928691</v>
      </c>
    </row>
    <row r="236" spans="1:26" s="23" customFormat="1" hidden="1" outlineLevel="2" x14ac:dyDescent="0.25">
      <c r="A236" s="25"/>
      <c r="B236" s="10" t="str">
        <f>CONCATENATE("          ", "6275", " - ", "SUBSCRIPTIONS")</f>
        <v xml:space="preserve">          6275 - SUBSCRIPTIONS</v>
      </c>
      <c r="C236" s="10"/>
      <c r="D236" s="6">
        <v>75</v>
      </c>
      <c r="E236" s="2"/>
      <c r="F236" s="7">
        <f t="shared" si="116"/>
        <v>4.0784216312522801E-4</v>
      </c>
      <c r="G236" s="2"/>
      <c r="H236" s="6"/>
      <c r="I236" s="2"/>
      <c r="J236" s="7">
        <f t="shared" si="117"/>
        <v>0</v>
      </c>
      <c r="K236" s="2"/>
      <c r="L236" s="6">
        <f t="shared" si="118"/>
        <v>75</v>
      </c>
      <c r="M236" s="2"/>
      <c r="N236" s="7">
        <f t="shared" si="119"/>
        <v>0</v>
      </c>
      <c r="O236" s="10"/>
      <c r="P236" s="6">
        <v>2227.81</v>
      </c>
      <c r="Q236" s="2"/>
      <c r="R236" s="7">
        <f t="shared" si="120"/>
        <v>5.2244828957123874E-4</v>
      </c>
      <c r="S236" s="2"/>
      <c r="T236" s="6">
        <v>865.36</v>
      </c>
      <c r="U236" s="2"/>
      <c r="V236" s="7">
        <f t="shared" si="121"/>
        <v>1.0064329049930653E-4</v>
      </c>
      <c r="W236" s="2"/>
      <c r="X236" s="6">
        <f t="shared" si="122"/>
        <v>1362.4499999999998</v>
      </c>
      <c r="Y236" s="2"/>
      <c r="Z236" s="7">
        <f t="shared" si="123"/>
        <v>1.5744314504945915</v>
      </c>
    </row>
    <row r="237" spans="1:26" s="26" customFormat="1" outlineLevel="1" collapsed="1" x14ac:dyDescent="0.25">
      <c r="A237" s="27"/>
      <c r="B237" s="12" t="str">
        <f>CONCATENATE("     ","Supplies                                          ")</f>
        <v xml:space="preserve">     Supplies                                          </v>
      </c>
      <c r="C237" s="12"/>
      <c r="D237" s="1">
        <f>SUM(OSRRefD22_20x_0)</f>
        <v>4097.66</v>
      </c>
      <c r="E237" s="1"/>
      <c r="F237" s="5">
        <f t="shared" ref="F237:F244" si="124">IF(D$12=0,0,D237/D$12)</f>
        <v>2.2282646908689623E-2</v>
      </c>
      <c r="G237" s="1"/>
      <c r="H237" s="1">
        <f>SUM(OSRRefH22_20x_0)</f>
        <v>11870.29</v>
      </c>
      <c r="I237" s="1"/>
      <c r="J237" s="5">
        <f t="shared" ref="J237:J244" si="125">IF(H$12=0,0,H237/H$12)</f>
        <v>5.1155841666927764E-2</v>
      </c>
      <c r="K237" s="1"/>
      <c r="L237" s="1">
        <f t="shared" ref="L237:L244" si="126">+D237-H237</f>
        <v>-7772.630000000001</v>
      </c>
      <c r="M237" s="1"/>
      <c r="N237" s="5">
        <f t="shared" ref="N237:N244" si="127">IF(H237=0,0,L237/H237)</f>
        <v>-0.65479697631650113</v>
      </c>
      <c r="O237" s="12"/>
      <c r="P237" s="1">
        <f>SUM(OSRRefP22_20x_0)</f>
        <v>103004.26999999999</v>
      </c>
      <c r="Q237" s="1"/>
      <c r="R237" s="5">
        <f t="shared" ref="R237:R244" si="128">IF(P$12=0,0,P237/P$12)</f>
        <v>2.4155742491520395E-2</v>
      </c>
      <c r="S237" s="1"/>
      <c r="T237" s="1">
        <f>SUM(OSRRefT22_20x_0)</f>
        <v>83146.36</v>
      </c>
      <c r="U237" s="1"/>
      <c r="V237" s="5">
        <f t="shared" ref="V237:V244" si="129">IF(T$12=0,0,T237/T$12)</f>
        <v>9.6701063874455959E-3</v>
      </c>
      <c r="W237" s="1"/>
      <c r="X237" s="1">
        <f t="shared" ref="X237:X244" si="130">+P237-T237</f>
        <v>19857.909999999989</v>
      </c>
      <c r="Y237" s="1"/>
      <c r="Z237" s="5">
        <f t="shared" ref="Z237:Z244" si="131">IF(T237=0,0,X237/T237)</f>
        <v>0.23883077984412052</v>
      </c>
    </row>
    <row r="238" spans="1:26" s="23" customFormat="1" hidden="1" outlineLevel="2" x14ac:dyDescent="0.25">
      <c r="A238" s="25"/>
      <c r="B238" s="10" t="str">
        <f>CONCATENATE("          ", "6234", " - ", "EXPENDABLE SUPPLIES &amp; EQUIPMEN")</f>
        <v xml:space="preserve">          6234 - EXPENDABLE SUPPLIES &amp; EQUIPMEN</v>
      </c>
      <c r="C238" s="10"/>
      <c r="D238" s="6"/>
      <c r="E238" s="2"/>
      <c r="F238" s="7">
        <f t="shared" si="124"/>
        <v>0</v>
      </c>
      <c r="G238" s="2"/>
      <c r="H238" s="6">
        <v>140.75</v>
      </c>
      <c r="I238" s="2"/>
      <c r="J238" s="7">
        <f t="shared" si="125"/>
        <v>6.0657192997138926E-4</v>
      </c>
      <c r="K238" s="2"/>
      <c r="L238" s="6">
        <f t="shared" si="126"/>
        <v>-140.75</v>
      </c>
      <c r="M238" s="2"/>
      <c r="N238" s="7">
        <f t="shared" si="127"/>
        <v>-1</v>
      </c>
      <c r="O238" s="10"/>
      <c r="P238" s="6">
        <v>-52.84</v>
      </c>
      <c r="Q238" s="2"/>
      <c r="R238" s="7">
        <f t="shared" si="128"/>
        <v>-1.2391616709209608E-5</v>
      </c>
      <c r="S238" s="2"/>
      <c r="T238" s="6">
        <v>3301.7</v>
      </c>
      <c r="U238" s="2"/>
      <c r="V238" s="7">
        <f t="shared" si="129"/>
        <v>3.8399504511597529E-4</v>
      </c>
      <c r="W238" s="2"/>
      <c r="X238" s="6">
        <f t="shared" si="130"/>
        <v>-3354.54</v>
      </c>
      <c r="Y238" s="2"/>
      <c r="Z238" s="7">
        <f t="shared" si="131"/>
        <v>-1.0160038767907442</v>
      </c>
    </row>
    <row r="239" spans="1:26" s="23" customFormat="1" hidden="1" outlineLevel="2" x14ac:dyDescent="0.25">
      <c r="A239" s="25"/>
      <c r="B239" s="10" t="str">
        <f>CONCATENATE("          ", "6235", " - ", "COVID-19 EXPENSES")</f>
        <v xml:space="preserve">          6235 - COVID-19 EXPENSES</v>
      </c>
      <c r="C239" s="10"/>
      <c r="D239" s="6">
        <v>370.83</v>
      </c>
      <c r="E239" s="2"/>
      <c r="F239" s="7">
        <f t="shared" si="124"/>
        <v>2.0165347913563771E-3</v>
      </c>
      <c r="G239" s="2"/>
      <c r="H239" s="6"/>
      <c r="I239" s="2"/>
      <c r="J239" s="7">
        <f t="shared" si="125"/>
        <v>0</v>
      </c>
      <c r="K239" s="2"/>
      <c r="L239" s="6">
        <f t="shared" si="126"/>
        <v>370.83</v>
      </c>
      <c r="M239" s="2"/>
      <c r="N239" s="7">
        <f t="shared" si="127"/>
        <v>0</v>
      </c>
      <c r="O239" s="10"/>
      <c r="P239" s="6">
        <v>37662</v>
      </c>
      <c r="Q239" s="2"/>
      <c r="R239" s="7">
        <f t="shared" si="128"/>
        <v>8.8321928179835776E-3</v>
      </c>
      <c r="S239" s="2"/>
      <c r="T239" s="6"/>
      <c r="U239" s="2"/>
      <c r="V239" s="7">
        <f t="shared" si="129"/>
        <v>0</v>
      </c>
      <c r="W239" s="2"/>
      <c r="X239" s="6">
        <f t="shared" si="130"/>
        <v>37662</v>
      </c>
      <c r="Y239" s="2"/>
      <c r="Z239" s="7">
        <f t="shared" si="131"/>
        <v>0</v>
      </c>
    </row>
    <row r="240" spans="1:26" s="23" customFormat="1" hidden="1" outlineLevel="2" x14ac:dyDescent="0.25">
      <c r="A240" s="25"/>
      <c r="B240" s="10" t="str">
        <f>CONCATENATE("          ", "6237", " - ", "JANITORIAL SUPPLIES")</f>
        <v xml:space="preserve">          6237 - JANITORIAL SUPPLIES</v>
      </c>
      <c r="C240" s="10"/>
      <c r="D240" s="6">
        <v>637.59</v>
      </c>
      <c r="E240" s="2"/>
      <c r="F240" s="7">
        <f t="shared" si="124"/>
        <v>3.4671477971601884E-3</v>
      </c>
      <c r="G240" s="2"/>
      <c r="H240" s="6">
        <v>470.52</v>
      </c>
      <c r="I240" s="2"/>
      <c r="J240" s="7">
        <f t="shared" si="125"/>
        <v>2.0277387175143022E-3</v>
      </c>
      <c r="K240" s="2"/>
      <c r="L240" s="6">
        <f t="shared" si="126"/>
        <v>167.07000000000005</v>
      </c>
      <c r="M240" s="2"/>
      <c r="N240" s="7">
        <f t="shared" si="127"/>
        <v>0.35507523590920698</v>
      </c>
      <c r="O240" s="10"/>
      <c r="P240" s="6">
        <v>2901.24</v>
      </c>
      <c r="Q240" s="2"/>
      <c r="R240" s="7">
        <f t="shared" si="128"/>
        <v>6.8037573923972899E-4</v>
      </c>
      <c r="S240" s="2"/>
      <c r="T240" s="6">
        <v>4822.6499999999996</v>
      </c>
      <c r="U240" s="2"/>
      <c r="V240" s="7">
        <f t="shared" si="129"/>
        <v>5.6088490908579155E-4</v>
      </c>
      <c r="W240" s="2"/>
      <c r="X240" s="6">
        <f t="shared" si="130"/>
        <v>-1921.4099999999999</v>
      </c>
      <c r="Y240" s="2"/>
      <c r="Z240" s="7">
        <f t="shared" si="131"/>
        <v>-0.39841373518708595</v>
      </c>
    </row>
    <row r="241" spans="1:26" s="23" customFormat="1" hidden="1" outlineLevel="2" x14ac:dyDescent="0.25">
      <c r="A241" s="25"/>
      <c r="B241" s="10" t="str">
        <f>CONCATENATE("          ", "6241", " - ", "OFFICE EXPENSE")</f>
        <v xml:space="preserve">          6241 - OFFICE EXPENSE</v>
      </c>
      <c r="C241" s="10"/>
      <c r="D241" s="6">
        <v>496.61</v>
      </c>
      <c r="E241" s="2"/>
      <c r="F241" s="7">
        <f t="shared" si="124"/>
        <v>2.7005132883949263E-3</v>
      </c>
      <c r="G241" s="2"/>
      <c r="H241" s="6">
        <v>671.31</v>
      </c>
      <c r="I241" s="2"/>
      <c r="J241" s="7">
        <f t="shared" si="125"/>
        <v>2.8930572100113201E-3</v>
      </c>
      <c r="K241" s="2"/>
      <c r="L241" s="6">
        <f t="shared" si="126"/>
        <v>-174.69999999999993</v>
      </c>
      <c r="M241" s="2"/>
      <c r="N241" s="7">
        <f t="shared" si="127"/>
        <v>-0.26023744618730532</v>
      </c>
      <c r="O241" s="10"/>
      <c r="P241" s="6">
        <v>10353.16</v>
      </c>
      <c r="Q241" s="2"/>
      <c r="R241" s="7">
        <f t="shared" si="128"/>
        <v>2.4279407730719254E-3</v>
      </c>
      <c r="S241" s="2"/>
      <c r="T241" s="6">
        <v>22405.84</v>
      </c>
      <c r="U241" s="2"/>
      <c r="V241" s="7">
        <f t="shared" si="129"/>
        <v>2.6058489692162594E-3</v>
      </c>
      <c r="W241" s="2"/>
      <c r="X241" s="6">
        <f t="shared" si="130"/>
        <v>-12052.68</v>
      </c>
      <c r="Y241" s="2"/>
      <c r="Z241" s="7">
        <f t="shared" si="131"/>
        <v>-0.53792582648095322</v>
      </c>
    </row>
    <row r="242" spans="1:26" s="23" customFormat="1" hidden="1" outlineLevel="2" x14ac:dyDescent="0.25">
      <c r="A242" s="25"/>
      <c r="B242" s="10" t="str">
        <f>CONCATENATE("          ", "6243", " - ", "PAPER SUPPLIES")</f>
        <v xml:space="preserve">          6243 - PAPER SUPPLIES</v>
      </c>
      <c r="C242" s="10"/>
      <c r="D242" s="6">
        <v>309.25</v>
      </c>
      <c r="E242" s="2"/>
      <c r="F242" s="7">
        <f t="shared" si="124"/>
        <v>1.6816691859530234E-3</v>
      </c>
      <c r="G242" s="2"/>
      <c r="H242" s="6">
        <v>5529.37</v>
      </c>
      <c r="I242" s="2"/>
      <c r="J242" s="7">
        <f t="shared" si="125"/>
        <v>2.3829205203736416E-2</v>
      </c>
      <c r="K242" s="2"/>
      <c r="L242" s="6">
        <f t="shared" si="126"/>
        <v>-5220.12</v>
      </c>
      <c r="M242" s="2"/>
      <c r="N242" s="7">
        <f t="shared" si="127"/>
        <v>-0.94407138607110752</v>
      </c>
      <c r="O242" s="10"/>
      <c r="P242" s="6">
        <v>6482.65</v>
      </c>
      <c r="Q242" s="2"/>
      <c r="R242" s="7">
        <f t="shared" si="128"/>
        <v>1.5202595393633167E-3</v>
      </c>
      <c r="S242" s="2"/>
      <c r="T242" s="6">
        <v>17096.919999999998</v>
      </c>
      <c r="U242" s="2"/>
      <c r="V242" s="7">
        <f t="shared" si="129"/>
        <v>1.9884097788243084E-3</v>
      </c>
      <c r="W242" s="2"/>
      <c r="X242" s="6">
        <f t="shared" si="130"/>
        <v>-10614.269999999999</v>
      </c>
      <c r="Y242" s="2"/>
      <c r="Z242" s="7">
        <f t="shared" si="131"/>
        <v>-0.62082936575710712</v>
      </c>
    </row>
    <row r="243" spans="1:26" s="23" customFormat="1" hidden="1" outlineLevel="2" x14ac:dyDescent="0.25">
      <c r="A243" s="25"/>
      <c r="B243" s="10" t="str">
        <f>CONCATENATE("          ", "6245", " - ", "PRINTING")</f>
        <v xml:space="preserve">          6245 - PRINTING</v>
      </c>
      <c r="C243" s="10"/>
      <c r="D243" s="6">
        <v>447.27</v>
      </c>
      <c r="E243" s="2"/>
      <c r="F243" s="7">
        <f t="shared" si="124"/>
        <v>2.4322075240136094E-3</v>
      </c>
      <c r="G243" s="2"/>
      <c r="H243" s="6">
        <v>289.75</v>
      </c>
      <c r="I243" s="2"/>
      <c r="J243" s="7">
        <f t="shared" si="125"/>
        <v>1.2486978096569097E-3</v>
      </c>
      <c r="K243" s="2"/>
      <c r="L243" s="6">
        <f t="shared" si="126"/>
        <v>157.51999999999998</v>
      </c>
      <c r="M243" s="2"/>
      <c r="N243" s="7">
        <f t="shared" si="127"/>
        <v>0.54364106988783423</v>
      </c>
      <c r="O243" s="10"/>
      <c r="P243" s="6">
        <v>1354.21</v>
      </c>
      <c r="Q243" s="2"/>
      <c r="R243" s="7">
        <f t="shared" si="128"/>
        <v>3.1757856290270139E-4</v>
      </c>
      <c r="S243" s="2"/>
      <c r="T243" s="6">
        <v>10076.35</v>
      </c>
      <c r="U243" s="2"/>
      <c r="V243" s="7">
        <f t="shared" si="129"/>
        <v>1.1719018907999992E-3</v>
      </c>
      <c r="W243" s="2"/>
      <c r="X243" s="6">
        <f t="shared" si="130"/>
        <v>-8722.14</v>
      </c>
      <c r="Y243" s="2"/>
      <c r="Z243" s="7">
        <f t="shared" si="131"/>
        <v>-0.86560510502314814</v>
      </c>
    </row>
    <row r="244" spans="1:26" s="23" customFormat="1" hidden="1" outlineLevel="2" x14ac:dyDescent="0.25">
      <c r="A244" s="25"/>
      <c r="B244" s="10" t="str">
        <f>CONCATENATE("          ", "6247", " - ", "STORE SUPPLIES")</f>
        <v xml:space="preserve">          6247 - STORE SUPPLIES</v>
      </c>
      <c r="C244" s="10"/>
      <c r="D244" s="6">
        <v>1836.11</v>
      </c>
      <c r="E244" s="2"/>
      <c r="F244" s="7">
        <f t="shared" si="124"/>
        <v>9.9845743218114971E-3</v>
      </c>
      <c r="G244" s="2"/>
      <c r="H244" s="6">
        <v>4768.59</v>
      </c>
      <c r="I244" s="2"/>
      <c r="J244" s="7">
        <f t="shared" si="125"/>
        <v>2.0550570796037421E-2</v>
      </c>
      <c r="K244" s="2"/>
      <c r="L244" s="6">
        <f t="shared" si="126"/>
        <v>-2932.4800000000005</v>
      </c>
      <c r="M244" s="2"/>
      <c r="N244" s="7">
        <f t="shared" si="127"/>
        <v>-0.61495746122019301</v>
      </c>
      <c r="O244" s="10"/>
      <c r="P244" s="6">
        <v>44303.85</v>
      </c>
      <c r="Q244" s="2"/>
      <c r="R244" s="7">
        <f t="shared" si="128"/>
        <v>1.0389786675668358E-2</v>
      </c>
      <c r="S244" s="2"/>
      <c r="T244" s="6">
        <v>25442.9</v>
      </c>
      <c r="U244" s="2"/>
      <c r="V244" s="7">
        <f t="shared" si="129"/>
        <v>2.9590657944032614E-3</v>
      </c>
      <c r="W244" s="2"/>
      <c r="X244" s="6">
        <f t="shared" si="130"/>
        <v>18860.949999999997</v>
      </c>
      <c r="Y244" s="2"/>
      <c r="Z244" s="7">
        <f t="shared" si="131"/>
        <v>0.74130503991290286</v>
      </c>
    </row>
    <row r="245" spans="1:26" s="26" customFormat="1" outlineLevel="1" collapsed="1" x14ac:dyDescent="0.25">
      <c r="A245" s="27"/>
      <c r="B245" s="12" t="str">
        <f>CONCATENATE("     ","Telephone/Data Lines                              ")</f>
        <v xml:space="preserve">     Telephone/Data Lines                              </v>
      </c>
      <c r="C245" s="12"/>
      <c r="D245" s="1">
        <f>SUM(OSRRefD22_21x_0)</f>
        <v>1440.07</v>
      </c>
      <c r="E245" s="1"/>
      <c r="F245" s="5">
        <f t="shared" ref="F245:F247" si="132">IF(D$12=0,0,D245/D$12)</f>
        <v>7.830950184689961E-3</v>
      </c>
      <c r="G245" s="1"/>
      <c r="H245" s="1">
        <f>SUM(OSRRefH22_21x_0)</f>
        <v>1100.8599999999999</v>
      </c>
      <c r="I245" s="1"/>
      <c r="J245" s="5">
        <f t="shared" ref="J245:J247" si="133">IF(H$12=0,0,H245/H$12)</f>
        <v>4.7442328584604157E-3</v>
      </c>
      <c r="K245" s="1"/>
      <c r="L245" s="1">
        <f t="shared" ref="L245:L247" si="134">+D245-H245</f>
        <v>339.21000000000004</v>
      </c>
      <c r="M245" s="1"/>
      <c r="N245" s="5">
        <f t="shared" ref="N245:N247" si="135">IF(H245=0,0,L245/H245)</f>
        <v>0.30813182421016305</v>
      </c>
      <c r="O245" s="12"/>
      <c r="P245" s="1">
        <f>SUM(OSRRefP22_21x_0)</f>
        <v>19868.669999999998</v>
      </c>
      <c r="Q245" s="1"/>
      <c r="R245" s="5">
        <f t="shared" ref="R245:R247" si="136">IF(P$12=0,0,P245/P$12)</f>
        <v>4.6594425276641109E-3</v>
      </c>
      <c r="S245" s="1"/>
      <c r="T245" s="1">
        <f>SUM(OSRRefT22_21x_0)</f>
        <v>22564.06</v>
      </c>
      <c r="U245" s="1"/>
      <c r="V245" s="5">
        <f t="shared" ref="V245:V247" si="137">IF(T$12=0,0,T245/T$12)</f>
        <v>2.6242503067206513E-3</v>
      </c>
      <c r="W245" s="1"/>
      <c r="X245" s="1">
        <f t="shared" ref="X245:X247" si="138">+P245-T245</f>
        <v>-2695.3900000000031</v>
      </c>
      <c r="Y245" s="1"/>
      <c r="Z245" s="5">
        <f t="shared" ref="Z245:Z247" si="139">IF(T245=0,0,X245/T245)</f>
        <v>-0.11945500942649519</v>
      </c>
    </row>
    <row r="246" spans="1:26" s="23" customFormat="1" hidden="1" outlineLevel="2" x14ac:dyDescent="0.25">
      <c r="A246" s="25"/>
      <c r="B246" s="10" t="str">
        <f>CONCATENATE("          ", "6303", " - ", "DATA PHONE LINES")</f>
        <v xml:space="preserve">          6303 - DATA PHONE LINES</v>
      </c>
      <c r="C246" s="10"/>
      <c r="D246" s="6"/>
      <c r="E246" s="2"/>
      <c r="F246" s="7">
        <f t="shared" si="132"/>
        <v>0</v>
      </c>
      <c r="G246" s="2"/>
      <c r="H246" s="6"/>
      <c r="I246" s="2"/>
      <c r="J246" s="7">
        <f t="shared" si="133"/>
        <v>0</v>
      </c>
      <c r="K246" s="2"/>
      <c r="L246" s="6">
        <f t="shared" si="134"/>
        <v>0</v>
      </c>
      <c r="M246" s="2"/>
      <c r="N246" s="7">
        <f t="shared" si="135"/>
        <v>0</v>
      </c>
      <c r="O246" s="10"/>
      <c r="P246" s="6">
        <v>2950</v>
      </c>
      <c r="Q246" s="2"/>
      <c r="R246" s="7">
        <f t="shared" si="136"/>
        <v>6.9181054678592617E-4</v>
      </c>
      <c r="S246" s="2"/>
      <c r="T246" s="6">
        <v>2360</v>
      </c>
      <c r="U246" s="2"/>
      <c r="V246" s="7">
        <f t="shared" si="137"/>
        <v>2.7447324301835469E-4</v>
      </c>
      <c r="W246" s="2"/>
      <c r="X246" s="6">
        <f t="shared" si="138"/>
        <v>590</v>
      </c>
      <c r="Y246" s="2"/>
      <c r="Z246" s="7">
        <f t="shared" si="139"/>
        <v>0.25</v>
      </c>
    </row>
    <row r="247" spans="1:26" s="23" customFormat="1" hidden="1" outlineLevel="2" x14ac:dyDescent="0.25">
      <c r="A247" s="25"/>
      <c r="B247" s="10" t="str">
        <f>CONCATENATE("          ", "6309", " - ", "TELEPHONE")</f>
        <v xml:space="preserve">          6309 - TELEPHONE</v>
      </c>
      <c r="C247" s="10"/>
      <c r="D247" s="6">
        <v>1440.07</v>
      </c>
      <c r="E247" s="2"/>
      <c r="F247" s="7">
        <f t="shared" si="132"/>
        <v>7.830950184689961E-3</v>
      </c>
      <c r="G247" s="2"/>
      <c r="H247" s="6">
        <v>1100.8599999999999</v>
      </c>
      <c r="I247" s="2"/>
      <c r="J247" s="7">
        <f t="shared" si="133"/>
        <v>4.7442328584604157E-3</v>
      </c>
      <c r="K247" s="2"/>
      <c r="L247" s="6">
        <f t="shared" si="134"/>
        <v>339.21000000000004</v>
      </c>
      <c r="M247" s="2"/>
      <c r="N247" s="7">
        <f t="shared" si="135"/>
        <v>0.30813182421016305</v>
      </c>
      <c r="O247" s="10"/>
      <c r="P247" s="6">
        <v>16918.669999999998</v>
      </c>
      <c r="Q247" s="2"/>
      <c r="R247" s="7">
        <f t="shared" si="136"/>
        <v>3.9676319808781843E-3</v>
      </c>
      <c r="S247" s="2"/>
      <c r="T247" s="6">
        <v>20204.060000000001</v>
      </c>
      <c r="U247" s="2"/>
      <c r="V247" s="7">
        <f t="shared" si="137"/>
        <v>2.3497770637022964E-3</v>
      </c>
      <c r="W247" s="2"/>
      <c r="X247" s="6">
        <f t="shared" si="138"/>
        <v>-3285.3900000000031</v>
      </c>
      <c r="Y247" s="2"/>
      <c r="Z247" s="7">
        <f t="shared" si="139"/>
        <v>-0.16261038622930257</v>
      </c>
    </row>
    <row r="248" spans="1:26" s="26" customFormat="1" outlineLevel="1" collapsed="1" x14ac:dyDescent="0.25">
      <c r="A248" s="27"/>
      <c r="B248" s="12" t="str">
        <f>CONCATENATE("     ","Training                                          ")</f>
        <v xml:space="preserve">     Training                                          </v>
      </c>
      <c r="C248" s="12"/>
      <c r="D248" s="1">
        <f>SUM(OSRRefD22_22x_0)</f>
        <v>0</v>
      </c>
      <c r="E248" s="1"/>
      <c r="F248" s="5">
        <f t="shared" ref="F248:F253" si="140">IF(D$12=0,0,D248/D$12)</f>
        <v>0</v>
      </c>
      <c r="G248" s="1"/>
      <c r="H248" s="1">
        <f>SUM(OSRRefH22_22x_0)</f>
        <v>4473.1499999999996</v>
      </c>
      <c r="I248" s="1"/>
      <c r="J248" s="5">
        <f t="shared" ref="J248:J253" si="141">IF(H$12=0,0,H248/H$12)</f>
        <v>1.9277351535001916E-2</v>
      </c>
      <c r="K248" s="1"/>
      <c r="L248" s="1">
        <f t="shared" ref="L248:L253" si="142">+D248-H248</f>
        <v>-4473.1499999999996</v>
      </c>
      <c r="M248" s="1"/>
      <c r="N248" s="5">
        <f t="shared" ref="N248:N253" si="143">IF(H248=0,0,L248/H248)</f>
        <v>-1</v>
      </c>
      <c r="O248" s="12"/>
      <c r="P248" s="1">
        <f>SUM(OSRRefP22_22x_0)</f>
        <v>895.63</v>
      </c>
      <c r="Q248" s="1"/>
      <c r="R248" s="5">
        <f t="shared" ref="R248:R253" si="144">IF(P$12=0,0,P248/P$12)</f>
        <v>2.1003602712470478E-4</v>
      </c>
      <c r="S248" s="1"/>
      <c r="T248" s="1">
        <f>SUM(OSRRefT22_22x_0)</f>
        <v>20366.88</v>
      </c>
      <c r="U248" s="1"/>
      <c r="V248" s="5">
        <f t="shared" ref="V248:V253" si="145">IF(T$12=0,0,T248/T$12)</f>
        <v>2.3687133914261304E-3</v>
      </c>
      <c r="W248" s="1"/>
      <c r="X248" s="1">
        <f t="shared" ref="X248:X253" si="146">+P248-T248</f>
        <v>-19471.25</v>
      </c>
      <c r="Y248" s="1"/>
      <c r="Z248" s="5">
        <f t="shared" ref="Z248:Z253" si="147">IF(T248=0,0,X248/T248)</f>
        <v>-0.95602517420439459</v>
      </c>
    </row>
    <row r="249" spans="1:26" s="23" customFormat="1" hidden="1" outlineLevel="2" x14ac:dyDescent="0.25">
      <c r="A249" s="25"/>
      <c r="B249" s="10" t="str">
        <f>CONCATENATE("          ", "6376", " - ", "TRAINING")</f>
        <v xml:space="preserve">          6376 - TRAINING</v>
      </c>
      <c r="C249" s="10"/>
      <c r="D249" s="6"/>
      <c r="E249" s="2"/>
      <c r="F249" s="7">
        <f t="shared" si="140"/>
        <v>0</v>
      </c>
      <c r="G249" s="2"/>
      <c r="H249" s="6">
        <v>4473.1499999999996</v>
      </c>
      <c r="I249" s="2"/>
      <c r="J249" s="7">
        <f t="shared" si="141"/>
        <v>1.9277351535001916E-2</v>
      </c>
      <c r="K249" s="2"/>
      <c r="L249" s="6">
        <f t="shared" si="142"/>
        <v>-4473.1499999999996</v>
      </c>
      <c r="M249" s="2"/>
      <c r="N249" s="7">
        <f t="shared" si="143"/>
        <v>-1</v>
      </c>
      <c r="O249" s="10"/>
      <c r="P249" s="6">
        <v>895.63</v>
      </c>
      <c r="Q249" s="2"/>
      <c r="R249" s="7">
        <f t="shared" si="144"/>
        <v>2.1003602712470478E-4</v>
      </c>
      <c r="S249" s="2"/>
      <c r="T249" s="6">
        <v>20366.88</v>
      </c>
      <c r="U249" s="2"/>
      <c r="V249" s="7">
        <f t="shared" si="145"/>
        <v>2.3687133914261304E-3</v>
      </c>
      <c r="W249" s="2"/>
      <c r="X249" s="6">
        <f t="shared" si="146"/>
        <v>-19471.25</v>
      </c>
      <c r="Y249" s="2"/>
      <c r="Z249" s="7">
        <f t="shared" si="147"/>
        <v>-0.95602517420439459</v>
      </c>
    </row>
    <row r="250" spans="1:26" s="26" customFormat="1" outlineLevel="1" collapsed="1" x14ac:dyDescent="0.25">
      <c r="A250" s="27"/>
      <c r="B250" s="12" t="str">
        <f>CONCATENATE("     ","Travel                                            ")</f>
        <v xml:space="preserve">     Travel                                            </v>
      </c>
      <c r="C250" s="12"/>
      <c r="D250" s="1">
        <f>SUM(OSRRefD22_23x_0)</f>
        <v>93.02</v>
      </c>
      <c r="E250" s="1"/>
      <c r="F250" s="5">
        <f t="shared" si="140"/>
        <v>5.0583304018544939E-4</v>
      </c>
      <c r="G250" s="1"/>
      <c r="H250" s="1">
        <f>SUM(OSRRefH22_23x_0)</f>
        <v>160.16999999999999</v>
      </c>
      <c r="I250" s="1"/>
      <c r="J250" s="5">
        <f t="shared" si="141"/>
        <v>6.9026377281362276E-4</v>
      </c>
      <c r="K250" s="1"/>
      <c r="L250" s="1">
        <f t="shared" si="142"/>
        <v>-67.149999999999991</v>
      </c>
      <c r="M250" s="1"/>
      <c r="N250" s="5">
        <f t="shared" si="143"/>
        <v>-0.41924205531622649</v>
      </c>
      <c r="O250" s="12"/>
      <c r="P250" s="1">
        <f>SUM(OSRRefP22_23x_0)</f>
        <v>903.33</v>
      </c>
      <c r="Q250" s="1"/>
      <c r="R250" s="5">
        <f t="shared" si="144"/>
        <v>2.1184176990784092E-4</v>
      </c>
      <c r="S250" s="1"/>
      <c r="T250" s="1">
        <f>SUM(OSRRefT22_23x_0)</f>
        <v>1232.3399999999999</v>
      </c>
      <c r="U250" s="1"/>
      <c r="V250" s="5">
        <f t="shared" si="145"/>
        <v>1.4332387978866068E-4</v>
      </c>
      <c r="W250" s="1"/>
      <c r="X250" s="1">
        <f t="shared" si="146"/>
        <v>-329.00999999999988</v>
      </c>
      <c r="Y250" s="1"/>
      <c r="Z250" s="5">
        <f t="shared" si="147"/>
        <v>-0.26697989191294602</v>
      </c>
    </row>
    <row r="251" spans="1:26" s="23" customFormat="1" hidden="1" outlineLevel="2" x14ac:dyDescent="0.25">
      <c r="A251" s="25"/>
      <c r="B251" s="10" t="str">
        <f>CONCATENATE("          ", "6292", " - ", "TRAVEL/CONFERENCE")</f>
        <v xml:space="preserve">          6292 - TRAVEL/CONFERENCE</v>
      </c>
      <c r="C251" s="10"/>
      <c r="D251" s="6"/>
      <c r="E251" s="2"/>
      <c r="F251" s="7">
        <f t="shared" si="140"/>
        <v>0</v>
      </c>
      <c r="G251" s="2"/>
      <c r="H251" s="6">
        <v>91.1</v>
      </c>
      <c r="I251" s="2"/>
      <c r="J251" s="7">
        <f t="shared" si="141"/>
        <v>3.9260179623725442E-4</v>
      </c>
      <c r="K251" s="2"/>
      <c r="L251" s="6">
        <f t="shared" si="142"/>
        <v>-91.1</v>
      </c>
      <c r="M251" s="2"/>
      <c r="N251" s="7">
        <f t="shared" si="143"/>
        <v>-1</v>
      </c>
      <c r="O251" s="10"/>
      <c r="P251" s="6">
        <v>299.16000000000003</v>
      </c>
      <c r="Q251" s="2"/>
      <c r="R251" s="7">
        <f t="shared" si="144"/>
        <v>7.0156624805585657E-5</v>
      </c>
      <c r="S251" s="2"/>
      <c r="T251" s="6">
        <v>504.66</v>
      </c>
      <c r="U251" s="2"/>
      <c r="V251" s="7">
        <f t="shared" si="145"/>
        <v>5.8693079161713089E-5</v>
      </c>
      <c r="W251" s="2"/>
      <c r="X251" s="6">
        <f t="shared" si="146"/>
        <v>-205.5</v>
      </c>
      <c r="Y251" s="2"/>
      <c r="Z251" s="7">
        <f t="shared" si="147"/>
        <v>-0.40720485079063129</v>
      </c>
    </row>
    <row r="252" spans="1:26" s="23" customFormat="1" hidden="1" outlineLevel="2" x14ac:dyDescent="0.25">
      <c r="A252" s="25"/>
      <c r="B252" s="10" t="str">
        <f>CONCATENATE("          ", "6294", " - ", "TRAVEL OPERATIONAL")</f>
        <v xml:space="preserve">          6294 - TRAVEL OPERATIONAL</v>
      </c>
      <c r="C252" s="10"/>
      <c r="D252" s="6">
        <v>93.02</v>
      </c>
      <c r="E252" s="2"/>
      <c r="F252" s="7">
        <f t="shared" si="140"/>
        <v>5.0583304018544939E-4</v>
      </c>
      <c r="G252" s="2"/>
      <c r="H252" s="6">
        <v>14.13</v>
      </c>
      <c r="I252" s="2"/>
      <c r="J252" s="7">
        <f t="shared" si="141"/>
        <v>6.0894219328566468E-5</v>
      </c>
      <c r="K252" s="2"/>
      <c r="L252" s="6">
        <f t="shared" si="142"/>
        <v>78.89</v>
      </c>
      <c r="M252" s="2"/>
      <c r="N252" s="7">
        <f t="shared" si="143"/>
        <v>5.5831564048124553</v>
      </c>
      <c r="O252" s="10"/>
      <c r="P252" s="6">
        <v>544.28</v>
      </c>
      <c r="Q252" s="2"/>
      <c r="R252" s="7">
        <f t="shared" si="144"/>
        <v>1.2764021844225218E-4</v>
      </c>
      <c r="S252" s="2"/>
      <c r="T252" s="6">
        <v>361.61</v>
      </c>
      <c r="U252" s="2"/>
      <c r="V252" s="7">
        <f t="shared" si="145"/>
        <v>4.2056046359265783E-5</v>
      </c>
      <c r="W252" s="2"/>
      <c r="X252" s="6">
        <f t="shared" si="146"/>
        <v>182.66999999999996</v>
      </c>
      <c r="Y252" s="2"/>
      <c r="Z252" s="7">
        <f t="shared" si="147"/>
        <v>0.50515749011365818</v>
      </c>
    </row>
    <row r="253" spans="1:26" s="23" customFormat="1" hidden="1" outlineLevel="2" x14ac:dyDescent="0.25">
      <c r="A253" s="25"/>
      <c r="B253" s="10" t="str">
        <f>CONCATENATE("          ", "6298", " - ", "VEHICLE MILEAGE")</f>
        <v xml:space="preserve">          6298 - VEHICLE MILEAGE</v>
      </c>
      <c r="C253" s="10"/>
      <c r="D253" s="6"/>
      <c r="E253" s="2"/>
      <c r="F253" s="7">
        <f t="shared" si="140"/>
        <v>0</v>
      </c>
      <c r="G253" s="2"/>
      <c r="H253" s="6">
        <v>54.94</v>
      </c>
      <c r="I253" s="2"/>
      <c r="J253" s="7">
        <f t="shared" si="141"/>
        <v>2.3676775724780196E-4</v>
      </c>
      <c r="K253" s="2"/>
      <c r="L253" s="6">
        <f t="shared" si="142"/>
        <v>-54.94</v>
      </c>
      <c r="M253" s="2"/>
      <c r="N253" s="7">
        <f t="shared" si="143"/>
        <v>-1</v>
      </c>
      <c r="O253" s="10"/>
      <c r="P253" s="6">
        <v>59.89</v>
      </c>
      <c r="Q253" s="2"/>
      <c r="R253" s="7">
        <f t="shared" si="144"/>
        <v>1.4044926660003091E-5</v>
      </c>
      <c r="S253" s="2"/>
      <c r="T253" s="6">
        <v>366.07</v>
      </c>
      <c r="U253" s="2"/>
      <c r="V253" s="7">
        <f t="shared" si="145"/>
        <v>4.2574754267681824E-5</v>
      </c>
      <c r="W253" s="2"/>
      <c r="X253" s="6">
        <f t="shared" si="146"/>
        <v>-306.18</v>
      </c>
      <c r="Y253" s="2"/>
      <c r="Z253" s="7">
        <f t="shared" si="147"/>
        <v>-0.83639741033135739</v>
      </c>
    </row>
    <row r="254" spans="1:26" s="26" customFormat="1" outlineLevel="1" collapsed="1" x14ac:dyDescent="0.25">
      <c r="A254" s="27"/>
      <c r="B254" s="12" t="str">
        <f>CONCATENATE("     ","Utilities                                         ")</f>
        <v xml:space="preserve">     Utilities                                         </v>
      </c>
      <c r="C254" s="12"/>
      <c r="D254" s="1">
        <f>SUM(OSRRefD22_24x_0)</f>
        <v>3429.45</v>
      </c>
      <c r="E254" s="1"/>
      <c r="F254" s="5">
        <f t="shared" ref="F254:F255" si="148">IF(D$12=0,0,D254/D$12)</f>
        <v>1.8648990751064173E-2</v>
      </c>
      <c r="G254" s="1"/>
      <c r="H254" s="1">
        <f>SUM(OSRRefH22_24x_0)</f>
        <v>6145.51</v>
      </c>
      <c r="I254" s="1"/>
      <c r="J254" s="5">
        <f t="shared" ref="J254:J255" si="149">IF(H$12=0,0,H254/H$12)</f>
        <v>2.6484503455477603E-2</v>
      </c>
      <c r="K254" s="1"/>
      <c r="L254" s="1">
        <f t="shared" ref="L254:L255" si="150">+D254-H254</f>
        <v>-2716.0600000000004</v>
      </c>
      <c r="M254" s="1"/>
      <c r="N254" s="5">
        <f t="shared" ref="N254:N255" si="151">IF(H254=0,0,L254/H254)</f>
        <v>-0.44195843794900674</v>
      </c>
      <c r="O254" s="12"/>
      <c r="P254" s="1">
        <f>SUM(OSRRefP22_24x_0)</f>
        <v>52517.62</v>
      </c>
      <c r="Q254" s="1"/>
      <c r="R254" s="5">
        <f t="shared" ref="R254:R255" si="152">IF(P$12=0,0,P254/P$12)</f>
        <v>1.2316014714608643E-2</v>
      </c>
      <c r="S254" s="1"/>
      <c r="T254" s="1">
        <f>SUM(OSRRefT22_24x_0)</f>
        <v>53004.3</v>
      </c>
      <c r="U254" s="1"/>
      <c r="V254" s="5">
        <f t="shared" ref="V254:V255" si="153">IF(T$12=0,0,T254/T$12)</f>
        <v>6.1645178453041431E-3</v>
      </c>
      <c r="W254" s="1"/>
      <c r="X254" s="1">
        <f t="shared" ref="X254:X255" si="154">+P254-T254</f>
        <v>-486.68000000000029</v>
      </c>
      <c r="Y254" s="1"/>
      <c r="Z254" s="5">
        <f t="shared" ref="Z254:Z255" si="155">IF(T254=0,0,X254/T254)</f>
        <v>-9.1818965631090353E-3</v>
      </c>
    </row>
    <row r="255" spans="1:26" s="23" customFormat="1" hidden="1" outlineLevel="2" x14ac:dyDescent="0.25">
      <c r="A255" s="25"/>
      <c r="B255" s="10" t="str">
        <f>CONCATENATE("          ", "6274", " - ", "UTILITIES")</f>
        <v xml:space="preserve">          6274 - UTILITIES</v>
      </c>
      <c r="C255" s="10"/>
      <c r="D255" s="6">
        <v>3429.45</v>
      </c>
      <c r="E255" s="2"/>
      <c r="F255" s="7">
        <f t="shared" si="148"/>
        <v>1.8648990751064173E-2</v>
      </c>
      <c r="G255" s="2"/>
      <c r="H255" s="6">
        <v>6145.51</v>
      </c>
      <c r="I255" s="2"/>
      <c r="J255" s="7">
        <f t="shared" si="149"/>
        <v>2.6484503455477603E-2</v>
      </c>
      <c r="K255" s="2"/>
      <c r="L255" s="6">
        <f t="shared" si="150"/>
        <v>-2716.0600000000004</v>
      </c>
      <c r="M255" s="2"/>
      <c r="N255" s="7">
        <f t="shared" si="151"/>
        <v>-0.44195843794900674</v>
      </c>
      <c r="O255" s="10"/>
      <c r="P255" s="6">
        <v>52517.62</v>
      </c>
      <c r="Q255" s="2"/>
      <c r="R255" s="7">
        <f t="shared" si="152"/>
        <v>1.2316014714608643E-2</v>
      </c>
      <c r="S255" s="2"/>
      <c r="T255" s="6">
        <v>53004.3</v>
      </c>
      <c r="U255" s="2"/>
      <c r="V255" s="7">
        <f t="shared" si="153"/>
        <v>6.1645178453041431E-3</v>
      </c>
      <c r="W255" s="2"/>
      <c r="X255" s="6">
        <f t="shared" si="154"/>
        <v>-486.68000000000029</v>
      </c>
      <c r="Y255" s="2"/>
      <c r="Z255" s="7">
        <f t="shared" si="155"/>
        <v>-9.1818965631090353E-3</v>
      </c>
    </row>
    <row r="256" spans="1:26" s="60" customFormat="1" x14ac:dyDescent="0.25">
      <c r="A256" s="37"/>
      <c r="B256" s="37"/>
      <c r="C256" s="37"/>
      <c r="D256" s="1"/>
      <c r="E256" s="1"/>
      <c r="F256" s="5"/>
      <c r="G256" s="1"/>
      <c r="H256" s="1"/>
      <c r="I256" s="1"/>
      <c r="J256" s="5"/>
      <c r="K256" s="1"/>
      <c r="L256" s="1"/>
      <c r="M256" s="1"/>
      <c r="N256" s="5"/>
      <c r="O256" s="37"/>
      <c r="P256" s="1"/>
      <c r="Q256" s="1"/>
      <c r="R256" s="5"/>
      <c r="S256" s="1"/>
      <c r="T256" s="1"/>
      <c r="U256" s="1"/>
      <c r="V256" s="5"/>
      <c r="W256" s="1"/>
      <c r="X256" s="1"/>
      <c r="Y256" s="1"/>
      <c r="Z256" s="5"/>
    </row>
    <row r="257" spans="1:26" s="24" customFormat="1" collapsed="1" x14ac:dyDescent="0.25">
      <c r="A257" s="11"/>
      <c r="B257" s="28" t="s">
        <v>292</v>
      </c>
      <c r="C257" s="11"/>
      <c r="D257" s="4">
        <f>SUM(OSRRefD25x_0)</f>
        <v>189046.82</v>
      </c>
      <c r="E257" s="4"/>
      <c r="F257" s="13">
        <f t="shared" ref="F257:F266" si="156">IF(D$12=0,0,D257/D$12)</f>
        <v>1.028016853343275</v>
      </c>
      <c r="G257" s="4"/>
      <c r="H257" s="4">
        <f>SUM(OSRRefH25x_0)</f>
        <v>33096.89</v>
      </c>
      <c r="I257" s="4"/>
      <c r="J257" s="13">
        <f t="shared" ref="J257:J266" si="157">IF(H$12=0,0,H257/H$12)</f>
        <v>0.14263335306110672</v>
      </c>
      <c r="K257" s="4"/>
      <c r="L257" s="4">
        <f t="shared" ref="L257:L266" si="158">+D257-H257</f>
        <v>155949.93</v>
      </c>
      <c r="M257" s="4"/>
      <c r="N257" s="13">
        <f t="shared" ref="N257:N266" si="159">IF(H257=0,0,L257/H257)</f>
        <v>4.7119209690094745</v>
      </c>
      <c r="O257" s="11"/>
      <c r="P257" s="4">
        <f>SUM(OSRRefP25x_0)</f>
        <v>962302.23</v>
      </c>
      <c r="Q257" s="4"/>
      <c r="R257" s="13">
        <f t="shared" ref="R257:R266" si="160">IF(P$12=0,0,P257/P$12)</f>
        <v>0.22567146844393765</v>
      </c>
      <c r="S257" s="4"/>
      <c r="T257" s="4">
        <f>SUM(OSRRefT25x_0)</f>
        <v>670466.38</v>
      </c>
      <c r="U257" s="4"/>
      <c r="V257" s="13">
        <f t="shared" ref="V257:V266" si="161">IF(T$12=0,0,T257/T$12)</f>
        <v>7.7976729514142598E-2</v>
      </c>
      <c r="W257" s="4"/>
      <c r="X257" s="4">
        <f t="shared" ref="X257:X266" si="162">+P257-T257</f>
        <v>291835.84999999998</v>
      </c>
      <c r="Y257" s="4"/>
      <c r="Z257" s="13">
        <f t="shared" ref="Z257:Z266" si="163">IF(T257=0,0,X257/T257)</f>
        <v>0.43527290659973134</v>
      </c>
    </row>
    <row r="258" spans="1:26" s="23" customFormat="1" hidden="1" outlineLevel="1" x14ac:dyDescent="0.25">
      <c r="A258" s="44"/>
      <c r="B258" s="10" t="str">
        <f>CONCATENATE("          ", "4098", " - ", "TAXABLE SALES-GRAD RENTALS")</f>
        <v xml:space="preserve">          4098 - TAXABLE SALES-GRAD RENTALS</v>
      </c>
      <c r="C258" s="10"/>
      <c r="D258" s="2">
        <f t="shared" ref="D258:D260" si="164">0</f>
        <v>0</v>
      </c>
      <c r="E258" s="2"/>
      <c r="F258" s="19">
        <f t="shared" si="156"/>
        <v>0</v>
      </c>
      <c r="G258" s="2"/>
      <c r="H258" s="2">
        <f>--42</f>
        <v>42</v>
      </c>
      <c r="I258" s="2"/>
      <c r="J258" s="19">
        <f t="shared" si="157"/>
        <v>1.8100192581739502E-4</v>
      </c>
      <c r="K258" s="2"/>
      <c r="L258" s="2">
        <f t="shared" si="158"/>
        <v>-42</v>
      </c>
      <c r="M258" s="2"/>
      <c r="N258" s="19">
        <f t="shared" si="159"/>
        <v>-1</v>
      </c>
      <c r="O258" s="10"/>
      <c r="P258" s="2">
        <f t="shared" ref="P258:P260" si="165">0</f>
        <v>0</v>
      </c>
      <c r="Q258" s="2"/>
      <c r="R258" s="19">
        <f t="shared" si="160"/>
        <v>0</v>
      </c>
      <c r="S258" s="2"/>
      <c r="T258" s="2">
        <f>--2098.85</f>
        <v>2098.85</v>
      </c>
      <c r="U258" s="2"/>
      <c r="V258" s="19">
        <f t="shared" si="161"/>
        <v>2.4410091784282783E-4</v>
      </c>
      <c r="W258" s="2"/>
      <c r="X258" s="2">
        <f t="shared" si="162"/>
        <v>-2098.85</v>
      </c>
      <c r="Y258" s="2"/>
      <c r="Z258" s="19">
        <f t="shared" si="163"/>
        <v>-1</v>
      </c>
    </row>
    <row r="259" spans="1:26" s="23" customFormat="1" hidden="1" outlineLevel="1" x14ac:dyDescent="0.25">
      <c r="A259" s="44"/>
      <c r="B259" s="10" t="str">
        <f>CONCATENATE("          ", "4197", " - ", "NON-TAXABLE SALES-RETURNED CHE")</f>
        <v xml:space="preserve">          4197 - NON-TAXABLE SALES-RETURNED CHE</v>
      </c>
      <c r="C259" s="10"/>
      <c r="D259" s="2">
        <f t="shared" si="164"/>
        <v>0</v>
      </c>
      <c r="E259" s="2"/>
      <c r="F259" s="19">
        <f t="shared" si="156"/>
        <v>0</v>
      </c>
      <c r="G259" s="2"/>
      <c r="H259" s="2">
        <f t="shared" ref="H259:H260" si="166">0</f>
        <v>0</v>
      </c>
      <c r="I259" s="2"/>
      <c r="J259" s="19">
        <f t="shared" si="157"/>
        <v>0</v>
      </c>
      <c r="K259" s="2"/>
      <c r="L259" s="2">
        <f t="shared" si="158"/>
        <v>0</v>
      </c>
      <c r="M259" s="2"/>
      <c r="N259" s="19">
        <f t="shared" si="159"/>
        <v>0</v>
      </c>
      <c r="O259" s="10"/>
      <c r="P259" s="2">
        <f t="shared" si="165"/>
        <v>0</v>
      </c>
      <c r="Q259" s="2"/>
      <c r="R259" s="19">
        <f t="shared" si="160"/>
        <v>0</v>
      </c>
      <c r="S259" s="2"/>
      <c r="T259" s="2">
        <f>--30</f>
        <v>30</v>
      </c>
      <c r="U259" s="2"/>
      <c r="V259" s="19">
        <f t="shared" si="161"/>
        <v>3.4890666485384071E-6</v>
      </c>
      <c r="W259" s="2"/>
      <c r="X259" s="2">
        <f t="shared" si="162"/>
        <v>-30</v>
      </c>
      <c r="Y259" s="2"/>
      <c r="Z259" s="19">
        <f t="shared" si="163"/>
        <v>-1</v>
      </c>
    </row>
    <row r="260" spans="1:26" s="23" customFormat="1" hidden="1" outlineLevel="1" x14ac:dyDescent="0.25">
      <c r="A260" s="44"/>
      <c r="B260" s="10" t="str">
        <f>CONCATENATE("          ", "4198", " - ", "NON-TAXABLE SALES-GRAD RENTALS")</f>
        <v xml:space="preserve">          4198 - NON-TAXABLE SALES-GRAD RENTALS</v>
      </c>
      <c r="C260" s="10"/>
      <c r="D260" s="2">
        <f t="shared" si="164"/>
        <v>0</v>
      </c>
      <c r="E260" s="2"/>
      <c r="F260" s="19">
        <f t="shared" si="156"/>
        <v>0</v>
      </c>
      <c r="G260" s="2"/>
      <c r="H260" s="2">
        <f t="shared" si="166"/>
        <v>0</v>
      </c>
      <c r="I260" s="2"/>
      <c r="J260" s="19">
        <f t="shared" si="157"/>
        <v>0</v>
      </c>
      <c r="K260" s="2"/>
      <c r="L260" s="2">
        <f t="shared" si="158"/>
        <v>0</v>
      </c>
      <c r="M260" s="2"/>
      <c r="N260" s="19">
        <f t="shared" si="159"/>
        <v>0</v>
      </c>
      <c r="O260" s="10"/>
      <c r="P260" s="2">
        <f t="shared" si="165"/>
        <v>0</v>
      </c>
      <c r="Q260" s="2"/>
      <c r="R260" s="19">
        <f t="shared" si="160"/>
        <v>0</v>
      </c>
      <c r="S260" s="2"/>
      <c r="T260" s="2">
        <f>--3732.1</f>
        <v>3732.1</v>
      </c>
      <c r="U260" s="2"/>
      <c r="V260" s="19">
        <f t="shared" si="161"/>
        <v>4.3405152130033961E-4</v>
      </c>
      <c r="W260" s="2"/>
      <c r="X260" s="2">
        <f t="shared" si="162"/>
        <v>-3732.1</v>
      </c>
      <c r="Y260" s="2"/>
      <c r="Z260" s="19">
        <f t="shared" si="163"/>
        <v>-1</v>
      </c>
    </row>
    <row r="261" spans="1:26" s="23" customFormat="1" hidden="1" outlineLevel="1" x14ac:dyDescent="0.25">
      <c r="A261" s="44"/>
      <c r="B261" s="10" t="str">
        <f>CONCATENATE("          ", "9150", " - ", "MISC. INCOME")</f>
        <v xml:space="preserve">          9150 - MISC. INCOME</v>
      </c>
      <c r="C261" s="10"/>
      <c r="D261" s="2">
        <f>--15917.25</f>
        <v>15917.25</v>
      </c>
      <c r="E261" s="2"/>
      <c r="F261" s="19">
        <f t="shared" si="156"/>
        <v>8.6556342280067144E-2</v>
      </c>
      <c r="G261" s="2"/>
      <c r="H261" s="2">
        <f>--19739.85</f>
        <v>19739.849999999999</v>
      </c>
      <c r="I261" s="2"/>
      <c r="J261" s="19">
        <f t="shared" si="157"/>
        <v>8.5070258698726309E-2</v>
      </c>
      <c r="K261" s="2"/>
      <c r="L261" s="2">
        <f t="shared" si="158"/>
        <v>-3822.5999999999985</v>
      </c>
      <c r="M261" s="2"/>
      <c r="N261" s="19">
        <f t="shared" si="159"/>
        <v>-0.19364888790948254</v>
      </c>
      <c r="O261" s="10"/>
      <c r="P261" s="2">
        <f>--316528.75</f>
        <v>316528.75</v>
      </c>
      <c r="Q261" s="2"/>
      <c r="R261" s="19">
        <f t="shared" si="160"/>
        <v>7.4229805969818888E-2</v>
      </c>
      <c r="S261" s="2"/>
      <c r="T261" s="2">
        <f>--383147.99</f>
        <v>383147.99</v>
      </c>
      <c r="U261" s="2"/>
      <c r="V261" s="19">
        <f t="shared" si="161"/>
        <v>4.4560962445450901E-2</v>
      </c>
      <c r="W261" s="2"/>
      <c r="X261" s="2">
        <f t="shared" si="162"/>
        <v>-66619.239999999991</v>
      </c>
      <c r="Y261" s="2"/>
      <c r="Z261" s="19">
        <f t="shared" si="163"/>
        <v>-0.17387339027930171</v>
      </c>
    </row>
    <row r="262" spans="1:26" s="23" customFormat="1" hidden="1" outlineLevel="1" x14ac:dyDescent="0.25">
      <c r="A262" s="44"/>
      <c r="B262" s="10" t="str">
        <f>CONCATENATE("          ", "9151", " - ", "MISC. INCOME")</f>
        <v xml:space="preserve">          9151 - MISC. INCOME</v>
      </c>
      <c r="C262" s="10"/>
      <c r="D262" s="2">
        <f>-2282.24</f>
        <v>-2282.2399999999998</v>
      </c>
      <c r="E262" s="2"/>
      <c r="F262" s="19">
        <f t="shared" si="156"/>
        <v>-1.2410582644945604E-2</v>
      </c>
      <c r="G262" s="2"/>
      <c r="H262" s="2">
        <f>--13315.04</f>
        <v>13315.04</v>
      </c>
      <c r="I262" s="2"/>
      <c r="J262" s="19">
        <f t="shared" si="157"/>
        <v>5.7382092436563038E-2</v>
      </c>
      <c r="K262" s="2"/>
      <c r="L262" s="2">
        <f t="shared" si="158"/>
        <v>-15597.28</v>
      </c>
      <c r="M262" s="2"/>
      <c r="N262" s="19">
        <f t="shared" si="159"/>
        <v>-1.1714031651425756</v>
      </c>
      <c r="O262" s="10"/>
      <c r="P262" s="2">
        <f>--295628.46</f>
        <v>295628.46000000002</v>
      </c>
      <c r="Q262" s="2"/>
      <c r="R262" s="19">
        <f t="shared" si="160"/>
        <v>6.9328436121383494E-2</v>
      </c>
      <c r="S262" s="2"/>
      <c r="T262" s="2">
        <f>--169392.7</f>
        <v>169392.7</v>
      </c>
      <c r="U262" s="2"/>
      <c r="V262" s="19">
        <f t="shared" si="161"/>
        <v>1.9700747335862395E-2</v>
      </c>
      <c r="W262" s="2"/>
      <c r="X262" s="2">
        <f t="shared" si="162"/>
        <v>126235.76000000001</v>
      </c>
      <c r="Y262" s="2"/>
      <c r="Z262" s="19">
        <f t="shared" si="163"/>
        <v>0.7452255026338207</v>
      </c>
    </row>
    <row r="263" spans="1:26" s="23" customFormat="1" hidden="1" outlineLevel="1" x14ac:dyDescent="0.25">
      <c r="A263" s="44"/>
      <c r="B263" s="10" t="str">
        <f>CONCATENATE("          ", "9152", " - ", "MISC. INCOME")</f>
        <v xml:space="preserve">          9152 - MISC. INCOME</v>
      </c>
      <c r="C263" s="10"/>
      <c r="D263" s="2">
        <f>--397.11</f>
        <v>397.11</v>
      </c>
      <c r="E263" s="2"/>
      <c r="F263" s="19">
        <f t="shared" si="156"/>
        <v>2.1594426853154573E-3</v>
      </c>
      <c r="G263" s="2"/>
      <c r="H263" s="2">
        <f t="shared" ref="H263:H266" si="167">0</f>
        <v>0</v>
      </c>
      <c r="I263" s="2"/>
      <c r="J263" s="19">
        <f t="shared" si="157"/>
        <v>0</v>
      </c>
      <c r="K263" s="2"/>
      <c r="L263" s="2">
        <f t="shared" si="158"/>
        <v>397.11</v>
      </c>
      <c r="M263" s="2"/>
      <c r="N263" s="19">
        <f t="shared" si="159"/>
        <v>0</v>
      </c>
      <c r="O263" s="10"/>
      <c r="P263" s="2">
        <f>--3710.56</f>
        <v>3710.56</v>
      </c>
      <c r="Q263" s="2"/>
      <c r="R263" s="19">
        <f t="shared" si="160"/>
        <v>8.7017103134982583E-4</v>
      </c>
      <c r="S263" s="2"/>
      <c r="T263" s="2">
        <f>--4699.86</f>
        <v>4699.8599999999997</v>
      </c>
      <c r="U263" s="2"/>
      <c r="V263" s="19">
        <f t="shared" si="161"/>
        <v>5.4660415929332388E-4</v>
      </c>
      <c r="W263" s="2"/>
      <c r="X263" s="2">
        <f t="shared" si="162"/>
        <v>-989.29999999999973</v>
      </c>
      <c r="Y263" s="2"/>
      <c r="Z263" s="19">
        <f t="shared" si="163"/>
        <v>-0.21049563178477654</v>
      </c>
    </row>
    <row r="264" spans="1:26" s="23" customFormat="1" hidden="1" outlineLevel="1" x14ac:dyDescent="0.25">
      <c r="A264" s="44"/>
      <c r="B264" s="10" t="str">
        <f>CONCATENATE("          ", "9153", " - ", "MISC. INCOME")</f>
        <v xml:space="preserve">          9153 - MISC. INCOME</v>
      </c>
      <c r="C264" s="10"/>
      <c r="D264" s="2">
        <f t="shared" ref="D264:D265" si="168">0</f>
        <v>0</v>
      </c>
      <c r="E264" s="2"/>
      <c r="F264" s="19">
        <f t="shared" si="156"/>
        <v>0</v>
      </c>
      <c r="G264" s="2"/>
      <c r="H264" s="2">
        <f t="shared" si="167"/>
        <v>0</v>
      </c>
      <c r="I264" s="2"/>
      <c r="J264" s="19">
        <f t="shared" si="157"/>
        <v>0</v>
      </c>
      <c r="K264" s="2"/>
      <c r="L264" s="2">
        <f t="shared" si="158"/>
        <v>0</v>
      </c>
      <c r="M264" s="2"/>
      <c r="N264" s="19">
        <f t="shared" si="159"/>
        <v>0</v>
      </c>
      <c r="O264" s="10"/>
      <c r="P264" s="2">
        <f t="shared" ref="P264:P265" si="169">0</f>
        <v>0</v>
      </c>
      <c r="Q264" s="2"/>
      <c r="R264" s="19">
        <f t="shared" si="160"/>
        <v>0</v>
      </c>
      <c r="S264" s="2"/>
      <c r="T264" s="2">
        <f>--450</f>
        <v>450</v>
      </c>
      <c r="U264" s="2"/>
      <c r="V264" s="19">
        <f t="shared" si="161"/>
        <v>5.2335999728076107E-5</v>
      </c>
      <c r="W264" s="2"/>
      <c r="X264" s="2">
        <f t="shared" si="162"/>
        <v>-450</v>
      </c>
      <c r="Y264" s="2"/>
      <c r="Z264" s="19">
        <f t="shared" si="163"/>
        <v>-1</v>
      </c>
    </row>
    <row r="265" spans="1:26" s="23" customFormat="1" hidden="1" outlineLevel="1" x14ac:dyDescent="0.25">
      <c r="A265" s="44"/>
      <c r="B265" s="10" t="str">
        <f>CONCATENATE("          ", "9160", " - ", "MISC. INCOME")</f>
        <v xml:space="preserve">          9160 - MISC. INCOME</v>
      </c>
      <c r="C265" s="10"/>
      <c r="D265" s="2">
        <f t="shared" si="168"/>
        <v>0</v>
      </c>
      <c r="E265" s="2"/>
      <c r="F265" s="19">
        <f t="shared" si="156"/>
        <v>0</v>
      </c>
      <c r="G265" s="2"/>
      <c r="H265" s="2">
        <f t="shared" si="167"/>
        <v>0</v>
      </c>
      <c r="I265" s="2"/>
      <c r="J265" s="19">
        <f t="shared" si="157"/>
        <v>0</v>
      </c>
      <c r="K265" s="2"/>
      <c r="L265" s="2">
        <f t="shared" si="158"/>
        <v>0</v>
      </c>
      <c r="M265" s="2"/>
      <c r="N265" s="19">
        <f t="shared" si="159"/>
        <v>0</v>
      </c>
      <c r="O265" s="10"/>
      <c r="P265" s="2">
        <f t="shared" si="169"/>
        <v>0</v>
      </c>
      <c r="Q265" s="2"/>
      <c r="R265" s="19">
        <f t="shared" si="160"/>
        <v>0</v>
      </c>
      <c r="S265" s="2"/>
      <c r="T265" s="2">
        <f>--22475</f>
        <v>22475</v>
      </c>
      <c r="U265" s="2"/>
      <c r="V265" s="19">
        <f t="shared" si="161"/>
        <v>2.6138924308633568E-3</v>
      </c>
      <c r="W265" s="2"/>
      <c r="X265" s="2">
        <f t="shared" si="162"/>
        <v>-22475</v>
      </c>
      <c r="Y265" s="2"/>
      <c r="Z265" s="19">
        <f t="shared" si="163"/>
        <v>-1</v>
      </c>
    </row>
    <row r="266" spans="1:26" s="23" customFormat="1" hidden="1" outlineLevel="1" x14ac:dyDescent="0.25">
      <c r="A266" s="44"/>
      <c r="B266" s="10" t="str">
        <f>CONCATENATE("          ", "9163", " - ", "MISC. INCOME")</f>
        <v xml:space="preserve">          9163 - MISC. INCOME</v>
      </c>
      <c r="C266" s="10"/>
      <c r="D266" s="2">
        <f>--175014.7</f>
        <v>175014.7</v>
      </c>
      <c r="E266" s="2"/>
      <c r="F266" s="19">
        <f t="shared" si="156"/>
        <v>0.95171165102283795</v>
      </c>
      <c r="G266" s="2"/>
      <c r="H266" s="2">
        <f t="shared" si="167"/>
        <v>0</v>
      </c>
      <c r="I266" s="2"/>
      <c r="J266" s="19">
        <f t="shared" si="157"/>
        <v>0</v>
      </c>
      <c r="K266" s="2"/>
      <c r="L266" s="2">
        <f t="shared" si="158"/>
        <v>175014.7</v>
      </c>
      <c r="M266" s="2"/>
      <c r="N266" s="19">
        <f t="shared" si="159"/>
        <v>0</v>
      </c>
      <c r="O266" s="10"/>
      <c r="P266" s="2">
        <f>--346434.46</f>
        <v>346434.46</v>
      </c>
      <c r="Q266" s="2"/>
      <c r="R266" s="19">
        <f t="shared" si="160"/>
        <v>8.1243055321385454E-2</v>
      </c>
      <c r="S266" s="2"/>
      <c r="T266" s="2">
        <f>--84439.88</f>
        <v>84439.88</v>
      </c>
      <c r="U266" s="2"/>
      <c r="V266" s="19">
        <f t="shared" si="161"/>
        <v>9.8205456371528426E-3</v>
      </c>
      <c r="W266" s="2"/>
      <c r="X266" s="2">
        <f t="shared" si="162"/>
        <v>261994.58000000002</v>
      </c>
      <c r="Y266" s="2"/>
      <c r="Z266" s="19">
        <f t="shared" si="163"/>
        <v>3.1027351057343995</v>
      </c>
    </row>
    <row r="267" spans="1:26" x14ac:dyDescent="0.25">
      <c r="A267" s="9"/>
      <c r="B267" s="11"/>
      <c r="C267" s="11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O267" s="11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4" customFormat="1" x14ac:dyDescent="0.25">
      <c r="A268" s="11"/>
      <c r="B268" s="29" t="s">
        <v>276</v>
      </c>
      <c r="C268" s="29"/>
      <c r="D268" s="22">
        <f>+D163-D165+D257</f>
        <v>47812.380000000121</v>
      </c>
      <c r="E268" s="14"/>
      <c r="F268" s="20">
        <f>IF(D$12=0,0,D268/D$12)</f>
        <v>0.25999872644487249</v>
      </c>
      <c r="G268" s="14"/>
      <c r="H268" s="22">
        <f>+H163-H165+H257</f>
        <v>-149240.15999999974</v>
      </c>
      <c r="I268" s="14"/>
      <c r="J268" s="20">
        <f>IF(H$12=0,0,H268/H$12)</f>
        <v>-0.64316086593562183</v>
      </c>
      <c r="K268" s="15"/>
      <c r="L268" s="22">
        <f>+D268-H268</f>
        <v>197052.53999999986</v>
      </c>
      <c r="M268" s="15"/>
      <c r="N268" s="20">
        <f>IF(H268=0,0,L268/H268)</f>
        <v>-1.3203720767922</v>
      </c>
      <c r="O268" s="28"/>
      <c r="P268" s="22">
        <f>+P163-P165+P257</f>
        <v>122744.64000000153</v>
      </c>
      <c r="Q268" s="14"/>
      <c r="R268" s="20">
        <f>IF(P$12=0,0,P268/P$12)</f>
        <v>2.8785097123200924E-2</v>
      </c>
      <c r="S268" s="14"/>
      <c r="T268" s="22">
        <f>+T163-T165+T257</f>
        <v>861095.96000000008</v>
      </c>
      <c r="U268" s="14"/>
      <c r="V268" s="20">
        <f>IF(T$12=0,0,T268/T$12)</f>
        <v>0.10014737317423875</v>
      </c>
      <c r="W268" s="15"/>
      <c r="X268" s="22">
        <f>+P268-T268</f>
        <v>-738351.31999999855</v>
      </c>
      <c r="Y268" s="15"/>
      <c r="Z268" s="20">
        <f>IF(T268=0,0,X268/T268)</f>
        <v>-0.85745532936886437</v>
      </c>
    </row>
    <row r="269" spans="1:26" x14ac:dyDescent="0.25">
      <c r="A269" s="9"/>
      <c r="B269" s="11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4" customFormat="1" x14ac:dyDescent="0.25">
      <c r="A270" s="51"/>
      <c r="B270" s="11" t="s">
        <v>127</v>
      </c>
      <c r="C270" s="11"/>
      <c r="D270" s="4">
        <v>70768.800000000003</v>
      </c>
      <c r="E270" s="4"/>
      <c r="F270" s="13">
        <f>IF(D$12=0,0,D270/D$12)</f>
        <v>0.38483333965035516</v>
      </c>
      <c r="G270" s="4"/>
      <c r="H270" s="4">
        <v>68641.460000000006</v>
      </c>
      <c r="I270" s="4"/>
      <c r="J270" s="13">
        <f>IF(H$12=0,0,H270/H$12)</f>
        <v>0.29581515359327831</v>
      </c>
      <c r="K270" s="4"/>
      <c r="L270" s="4">
        <f>+D270-H270</f>
        <v>2127.3399999999965</v>
      </c>
      <c r="M270" s="4"/>
      <c r="N270" s="13">
        <f>IF(H270=0,0,L270/H270)</f>
        <v>3.0992056404394609E-2</v>
      </c>
      <c r="O270" s="11"/>
      <c r="P270" s="4">
        <v>878809.89</v>
      </c>
      <c r="Q270" s="4"/>
      <c r="R270" s="13">
        <f>IF(P$12=0,0,P270/P$12)</f>
        <v>0.20609150865145073</v>
      </c>
      <c r="S270" s="4"/>
      <c r="T270" s="4">
        <v>921327.4</v>
      </c>
      <c r="U270" s="4"/>
      <c r="V270" s="13">
        <f>IF(T$12=0,0,T270/T$12)</f>
        <v>0.10715242345748681</v>
      </c>
      <c r="W270" s="4"/>
      <c r="X270" s="4">
        <f>+P270-T270</f>
        <v>-42517.510000000009</v>
      </c>
      <c r="Y270" s="4"/>
      <c r="Z270" s="13">
        <f>IF(T270=0,0,X270/T270)</f>
        <v>-4.6148101098480311E-2</v>
      </c>
    </row>
    <row r="271" spans="1:26" x14ac:dyDescent="0.25">
      <c r="A271" s="9"/>
      <c r="B271" s="11"/>
      <c r="C271" s="11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O271" s="11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4" customFormat="1" ht="15.75" thickBot="1" x14ac:dyDescent="0.3">
      <c r="A272" s="11"/>
      <c r="B272" s="29" t="s">
        <v>125</v>
      </c>
      <c r="C272" s="29"/>
      <c r="D272" s="30">
        <f>+D268-D270</f>
        <v>-22956.419999999882</v>
      </c>
      <c r="E272" s="14"/>
      <c r="F272" s="36">
        <f>IF(D$12=0,0,D272/D$12)</f>
        <v>-0.12483461320548264</v>
      </c>
      <c r="G272" s="14"/>
      <c r="H272" s="30">
        <f>+H268-H270</f>
        <v>-217881.61999999976</v>
      </c>
      <c r="I272" s="14"/>
      <c r="J272" s="36">
        <f>IF(H$12=0,0,H272/H$12)</f>
        <v>-0.9389760195289002</v>
      </c>
      <c r="K272" s="15"/>
      <c r="L272" s="30">
        <f>D272-H272</f>
        <v>194925.1999999999</v>
      </c>
      <c r="M272" s="15"/>
      <c r="N272" s="36">
        <f>IF(H272=0,0,L272/H272)</f>
        <v>-0.8946381066929836</v>
      </c>
      <c r="O272" s="28"/>
      <c r="P272" s="30">
        <f>+P268-P270</f>
        <v>-756065.24999999849</v>
      </c>
      <c r="Q272" s="14"/>
      <c r="R272" s="36">
        <f>IF(P$12=0,0,P272/P$12)</f>
        <v>-0.1773064115282498</v>
      </c>
      <c r="S272" s="14"/>
      <c r="T272" s="30">
        <f>+T268-T270</f>
        <v>-60231.439999999944</v>
      </c>
      <c r="U272" s="14"/>
      <c r="V272" s="36">
        <f>IF(T$12=0,0,T272/T$12)</f>
        <v>-7.0050502832480653E-3</v>
      </c>
      <c r="W272" s="15"/>
      <c r="X272" s="30">
        <f>P272-T272</f>
        <v>-695833.80999999854</v>
      </c>
      <c r="Y272" s="15"/>
      <c r="Z272" s="36">
        <f>IF(T272=0,0,X272/T272)</f>
        <v>11.552667676548978</v>
      </c>
    </row>
    <row r="273" spans="1:26" ht="15.75" thickTop="1" x14ac:dyDescent="0.25">
      <c r="A273" s="9"/>
      <c r="B273" s="9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x14ac:dyDescent="0.25">
      <c r="A274" s="9"/>
      <c r="B274" s="9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s="24" customFormat="1" ht="15.75" thickBot="1" x14ac:dyDescent="0.3">
      <c r="A275" s="11"/>
      <c r="B275" s="29" t="s">
        <v>293</v>
      </c>
      <c r="C275" s="29"/>
      <c r="D275" s="35">
        <f>SUM(D272:D274)</f>
        <v>-22956.419999999882</v>
      </c>
      <c r="E275" s="14"/>
      <c r="F275" s="34">
        <f>IF(D$12=0,0,D275/D$12)</f>
        <v>-0.12483461320548264</v>
      </c>
      <c r="G275" s="14"/>
      <c r="H275" s="35">
        <f>SUM(H272:H274)</f>
        <v>-217881.61999999976</v>
      </c>
      <c r="I275" s="14"/>
      <c r="J275" s="34">
        <f>IF(H$12=0,0,H275/H$12)</f>
        <v>-0.9389760195289002</v>
      </c>
      <c r="K275" s="15"/>
      <c r="L275" s="35">
        <f>+D275-H275</f>
        <v>194925.1999999999</v>
      </c>
      <c r="M275" s="15"/>
      <c r="N275" s="34">
        <f>IF(H275=0,0,L275/H275)</f>
        <v>-0.8946381066929836</v>
      </c>
      <c r="O275" s="28"/>
      <c r="P275" s="35">
        <f>SUM(P272:P274)</f>
        <v>-756065.24999999849</v>
      </c>
      <c r="Q275" s="14"/>
      <c r="R275" s="34">
        <f>IF(P$12=0,0,P275/P$12)</f>
        <v>-0.1773064115282498</v>
      </c>
      <c r="S275" s="14"/>
      <c r="T275" s="35">
        <f>SUM(T272:T274)</f>
        <v>-60231.439999999944</v>
      </c>
      <c r="U275" s="14"/>
      <c r="V275" s="34">
        <f>IF(T$12=0,0,T275/T$12)</f>
        <v>-7.0050502832480653E-3</v>
      </c>
      <c r="W275" s="15"/>
      <c r="X275" s="35">
        <f>+P275-T275</f>
        <v>-695833.80999999854</v>
      </c>
      <c r="Y275" s="15"/>
      <c r="Z275" s="34">
        <f>IF(T275=0,0,X275/T275)</f>
        <v>11.552667676548978</v>
      </c>
    </row>
    <row r="276" spans="1:26" ht="15.75" thickTop="1" x14ac:dyDescent="0.25">
      <c r="A276" s="9"/>
      <c r="C276" s="9"/>
      <c r="D276" s="18"/>
      <c r="E276" s="18"/>
      <c r="G276" s="18"/>
      <c r="H276" s="18"/>
      <c r="I276" s="18"/>
      <c r="J276" s="43"/>
      <c r="K276" s="18"/>
      <c r="L276" s="18"/>
      <c r="M276" s="18"/>
      <c r="P276" s="18"/>
      <c r="Q276" s="18"/>
      <c r="R276" s="43"/>
      <c r="S276" s="18"/>
      <c r="T276" s="18"/>
      <c r="U276" s="18"/>
      <c r="V276" s="43"/>
      <c r="W276" s="18"/>
      <c r="X276" s="18"/>
    </row>
    <row r="277" spans="1:26" x14ac:dyDescent="0.25">
      <c r="A277" s="9"/>
      <c r="B277" s="54">
        <v>44295.963176354169</v>
      </c>
      <c r="D277" s="18"/>
      <c r="E277" s="18"/>
      <c r="G277" s="18"/>
      <c r="H277" s="18"/>
      <c r="I277" s="18"/>
      <c r="J277" s="43"/>
      <c r="K277" s="18"/>
      <c r="L277" s="18"/>
      <c r="M277" s="18"/>
      <c r="P277" s="18"/>
      <c r="Q277" s="18"/>
      <c r="R277" s="43"/>
      <c r="S277" s="18"/>
      <c r="T277" s="18"/>
      <c r="U277" s="18"/>
      <c r="V277" s="43"/>
      <c r="W277" s="18"/>
      <c r="X277" s="18"/>
    </row>
    <row r="278" spans="1:26" x14ac:dyDescent="0.25">
      <c r="A278" s="9"/>
      <c r="B278" s="58" t="s">
        <v>56</v>
      </c>
      <c r="D278" s="18"/>
      <c r="E278" s="18"/>
      <c r="G278" s="18"/>
      <c r="H278" s="18"/>
      <c r="I278" s="18"/>
      <c r="J278" s="43"/>
      <c r="K278" s="18"/>
      <c r="L278" s="18"/>
      <c r="M278" s="18"/>
      <c r="P278" s="18"/>
      <c r="Q278" s="18"/>
      <c r="R278" s="43"/>
      <c r="S278" s="18"/>
      <c r="T278" s="18"/>
      <c r="U278" s="18"/>
      <c r="V278" s="43"/>
      <c r="W278" s="18"/>
      <c r="X278" s="18"/>
    </row>
    <row r="279" spans="1:26" x14ac:dyDescent="0.25">
      <c r="A279" s="9"/>
      <c r="B279" s="62"/>
      <c r="D279" s="18"/>
      <c r="E279" s="18"/>
      <c r="G279" s="18"/>
      <c r="H279" s="18"/>
      <c r="I279" s="18"/>
      <c r="J279" s="43"/>
      <c r="K279" s="18"/>
      <c r="L279" s="18"/>
      <c r="M279" s="18"/>
      <c r="P279" s="18"/>
      <c r="Q279" s="18"/>
      <c r="R279" s="43"/>
      <c r="S279" s="18"/>
      <c r="T279" s="18"/>
      <c r="U279" s="18"/>
      <c r="V279" s="43"/>
      <c r="W279" s="18"/>
      <c r="X279" s="18"/>
    </row>
    <row r="280" spans="1:26" x14ac:dyDescent="0.25">
      <c r="D280" s="18"/>
      <c r="E280" s="18"/>
      <c r="G280" s="18"/>
      <c r="H280" s="18"/>
      <c r="I280" s="18"/>
      <c r="J280" s="43"/>
      <c r="K280" s="18"/>
      <c r="L280" s="18"/>
      <c r="M280" s="18"/>
      <c r="P280" s="18"/>
      <c r="Q280" s="18"/>
      <c r="R280" s="43"/>
      <c r="S280" s="18"/>
      <c r="T280" s="18"/>
      <c r="U280" s="18"/>
      <c r="V280" s="43"/>
      <c r="W280" s="18"/>
      <c r="X280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312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313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612979.92999999993</v>
      </c>
      <c r="E12" s="4"/>
      <c r="F12" s="13"/>
      <c r="G12" s="4"/>
      <c r="H12" s="4">
        <f>SUM(OSRRefH13x_0)</f>
        <v>346343.60000000015</v>
      </c>
      <c r="I12" s="4"/>
      <c r="J12" s="13"/>
      <c r="K12" s="4"/>
      <c r="L12" s="4">
        <f t="shared" ref="L12:L126" si="0">+D12-H12</f>
        <v>266636.32999999978</v>
      </c>
      <c r="M12" s="4"/>
      <c r="N12" s="13">
        <f t="shared" ref="N12:N126" si="1">IF(H12=0,0,L12/H12)</f>
        <v>0.76986071057758731</v>
      </c>
      <c r="O12" s="11"/>
      <c r="P12" s="4">
        <f>SUM(OSRRefP13x_0)</f>
        <v>6283729.6700000018</v>
      </c>
      <c r="Q12" s="4"/>
      <c r="R12" s="13"/>
      <c r="S12" s="4"/>
      <c r="T12" s="4">
        <f>SUM(OSRRefT13x_0)</f>
        <v>10636622.48</v>
      </c>
      <c r="U12" s="4"/>
      <c r="V12" s="13"/>
      <c r="W12" s="4"/>
      <c r="X12" s="4">
        <f t="shared" ref="X12:X126" si="2">+P12-T12</f>
        <v>-4352892.8099999987</v>
      </c>
      <c r="Y12" s="4"/>
      <c r="Z12" s="13">
        <f t="shared" ref="Z12:Z126" si="3">IF(T12=0,0,X12/T12)</f>
        <v>-0.40923637349964481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-11598.32</f>
        <v>-11598.32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-11598.32</v>
      </c>
      <c r="M13" s="2"/>
      <c r="N13" s="19">
        <f t="shared" si="1"/>
        <v>0</v>
      </c>
      <c r="O13" s="10"/>
      <c r="P13" s="2">
        <f>-122656.41</f>
        <v>-122656.41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-122656.41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--7739.23</f>
        <v>7739.23</v>
      </c>
      <c r="E14" s="2"/>
      <c r="F14" s="19"/>
      <c r="G14" s="2"/>
      <c r="H14" s="2">
        <f>--6131.56</f>
        <v>6131.56</v>
      </c>
      <c r="I14" s="2"/>
      <c r="J14" s="19"/>
      <c r="K14" s="2"/>
      <c r="L14" s="2">
        <f t="shared" si="0"/>
        <v>1607.6699999999992</v>
      </c>
      <c r="M14" s="2"/>
      <c r="N14" s="19">
        <f t="shared" si="1"/>
        <v>0.26219591751528143</v>
      </c>
      <c r="O14" s="10"/>
      <c r="P14" s="2">
        <f>--1232463.24</f>
        <v>1232463.24</v>
      </c>
      <c r="Q14" s="2"/>
      <c r="R14" s="19"/>
      <c r="S14" s="2"/>
      <c r="T14" s="2">
        <f>--2396893.28</f>
        <v>2396893.2799999998</v>
      </c>
      <c r="U14" s="2"/>
      <c r="V14" s="19"/>
      <c r="W14" s="2"/>
      <c r="X14" s="2">
        <f t="shared" si="2"/>
        <v>-1164430.0399999998</v>
      </c>
      <c r="Y14" s="2"/>
      <c r="Z14" s="19">
        <f t="shared" si="3"/>
        <v>-0.48580804565483193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--1662.85</f>
        <v>1662.85</v>
      </c>
      <c r="E15" s="2"/>
      <c r="F15" s="19"/>
      <c r="G15" s="2"/>
      <c r="H15" s="2">
        <f>--4341.5</f>
        <v>4341.5</v>
      </c>
      <c r="I15" s="2"/>
      <c r="J15" s="19"/>
      <c r="K15" s="2"/>
      <c r="L15" s="2">
        <f t="shared" si="0"/>
        <v>-2678.65</v>
      </c>
      <c r="M15" s="2"/>
      <c r="N15" s="19">
        <f t="shared" si="1"/>
        <v>-0.61698721639986187</v>
      </c>
      <c r="O15" s="10"/>
      <c r="P15" s="2">
        <f>--576797.33</f>
        <v>576797.32999999996</v>
      </c>
      <c r="Q15" s="2"/>
      <c r="R15" s="19"/>
      <c r="S15" s="2"/>
      <c r="T15" s="2">
        <f>--1244314.69</f>
        <v>1244314.69</v>
      </c>
      <c r="U15" s="2"/>
      <c r="V15" s="19"/>
      <c r="W15" s="2"/>
      <c r="X15" s="2">
        <f t="shared" si="2"/>
        <v>-667517.36</v>
      </c>
      <c r="Y15" s="2"/>
      <c r="Z15" s="19">
        <f t="shared" si="3"/>
        <v>-0.53645381298198769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--49.99</f>
        <v>49.99</v>
      </c>
      <c r="E16" s="2"/>
      <c r="F16" s="19"/>
      <c r="G16" s="2"/>
      <c r="H16" s="2">
        <f>--78</f>
        <v>78</v>
      </c>
      <c r="I16" s="2"/>
      <c r="J16" s="19"/>
      <c r="K16" s="2"/>
      <c r="L16" s="2">
        <f t="shared" si="0"/>
        <v>-28.009999999999998</v>
      </c>
      <c r="M16" s="2"/>
      <c r="N16" s="19">
        <f t="shared" si="1"/>
        <v>-0.35910256410256408</v>
      </c>
      <c r="O16" s="10"/>
      <c r="P16" s="2">
        <f>--17977.88</f>
        <v>17977.88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-15717.009999999998</v>
      </c>
      <c r="Y16" s="2"/>
      <c r="Z16" s="19">
        <f t="shared" si="3"/>
        <v>-0.46645084759143002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>--253.6</f>
        <v>253.6</v>
      </c>
      <c r="I18" s="2"/>
      <c r="J18" s="19"/>
      <c r="K18" s="2"/>
      <c r="L18" s="2">
        <f t="shared" si="0"/>
        <v>-253.6</v>
      </c>
      <c r="M18" s="2"/>
      <c r="N18" s="19">
        <f t="shared" si="1"/>
        <v>-1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--29.21</f>
        <v>29.21</v>
      </c>
      <c r="E19" s="2"/>
      <c r="F19" s="19"/>
      <c r="G19" s="2"/>
      <c r="H19" s="2">
        <f>--412.75</f>
        <v>412.75</v>
      </c>
      <c r="I19" s="2"/>
      <c r="J19" s="19"/>
      <c r="K19" s="2"/>
      <c r="L19" s="2">
        <f t="shared" si="0"/>
        <v>-383.54</v>
      </c>
      <c r="M19" s="2"/>
      <c r="N19" s="19">
        <f t="shared" si="1"/>
        <v>-0.9292307692307693</v>
      </c>
      <c r="O19" s="10"/>
      <c r="P19" s="2">
        <f>--1202.02</f>
        <v>1202.02</v>
      </c>
      <c r="Q19" s="2"/>
      <c r="R19" s="19"/>
      <c r="S19" s="2"/>
      <c r="T19" s="2">
        <f>--2695</f>
        <v>2695</v>
      </c>
      <c r="U19" s="2"/>
      <c r="V19" s="19"/>
      <c r="W19" s="2"/>
      <c r="X19" s="2">
        <f t="shared" si="2"/>
        <v>-1492.98</v>
      </c>
      <c r="Y19" s="2"/>
      <c r="Z19" s="19">
        <f t="shared" si="3"/>
        <v>-0.5539814471243043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--35.82</f>
        <v>35.82</v>
      </c>
      <c r="E20" s="2"/>
      <c r="F20" s="19"/>
      <c r="G20" s="2"/>
      <c r="H20" s="2">
        <f>--67.24</f>
        <v>67.239999999999995</v>
      </c>
      <c r="I20" s="2"/>
      <c r="J20" s="19"/>
      <c r="K20" s="2"/>
      <c r="L20" s="2">
        <f t="shared" si="0"/>
        <v>-31.419999999999995</v>
      </c>
      <c r="M20" s="2"/>
      <c r="N20" s="19">
        <f t="shared" si="1"/>
        <v>-0.46728138013087445</v>
      </c>
      <c r="O20" s="10"/>
      <c r="P20" s="2">
        <f>--447.7</f>
        <v>447.7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-771.48</v>
      </c>
      <c r="Y20" s="2"/>
      <c r="Z20" s="19">
        <f t="shared" si="3"/>
        <v>-0.63278597089847277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--10.98</f>
        <v>10.98</v>
      </c>
      <c r="I21" s="2"/>
      <c r="J21" s="19"/>
      <c r="K21" s="2"/>
      <c r="L21" s="2">
        <f t="shared" si="0"/>
        <v>-10.98</v>
      </c>
      <c r="M21" s="2"/>
      <c r="N21" s="19">
        <f t="shared" si="1"/>
        <v>-1</v>
      </c>
      <c r="O21" s="10"/>
      <c r="P21" s="2">
        <f>0</f>
        <v>0</v>
      </c>
      <c r="Q21" s="2"/>
      <c r="R21" s="19"/>
      <c r="S21" s="2"/>
      <c r="T21" s="2">
        <f>--282.57</f>
        <v>282.57</v>
      </c>
      <c r="U21" s="2"/>
      <c r="V21" s="19"/>
      <c r="W21" s="2"/>
      <c r="X21" s="2">
        <f t="shared" si="2"/>
        <v>-282.57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--67.3</f>
        <v>67.3</v>
      </c>
      <c r="E22" s="2"/>
      <c r="F22" s="19"/>
      <c r="G22" s="2"/>
      <c r="H22" s="2">
        <f>--56.6</f>
        <v>56.6</v>
      </c>
      <c r="I22" s="2"/>
      <c r="J22" s="19"/>
      <c r="K22" s="2"/>
      <c r="L22" s="2">
        <f t="shared" si="0"/>
        <v>10.699999999999996</v>
      </c>
      <c r="M22" s="2"/>
      <c r="N22" s="19">
        <f t="shared" si="1"/>
        <v>0.18904593639575965</v>
      </c>
      <c r="O22" s="10"/>
      <c r="P22" s="2">
        <f>--400.14</f>
        <v>400.14</v>
      </c>
      <c r="Q22" s="2"/>
      <c r="R22" s="19"/>
      <c r="S22" s="2"/>
      <c r="T22" s="2">
        <f>--4154.31</f>
        <v>4154.3100000000004</v>
      </c>
      <c r="U22" s="2"/>
      <c r="V22" s="19"/>
      <c r="W22" s="2"/>
      <c r="X22" s="2">
        <f t="shared" si="2"/>
        <v>-3754.1700000000005</v>
      </c>
      <c r="Y22" s="2"/>
      <c r="Z22" s="19">
        <f t="shared" si="3"/>
        <v>-0.90368075564895256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6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5"/>
        <v>0</v>
      </c>
      <c r="E24" s="2"/>
      <c r="F24" s="19"/>
      <c r="G24" s="2"/>
      <c r="H24" s="2">
        <f>--2919.17</f>
        <v>2919.17</v>
      </c>
      <c r="I24" s="2"/>
      <c r="J24" s="19"/>
      <c r="K24" s="2"/>
      <c r="L24" s="2">
        <f t="shared" si="0"/>
        <v>-2919.17</v>
      </c>
      <c r="M24" s="2"/>
      <c r="N24" s="19">
        <f t="shared" si="1"/>
        <v>-1</v>
      </c>
      <c r="O24" s="10"/>
      <c r="P24" s="2">
        <f t="shared" si="6"/>
        <v>0</v>
      </c>
      <c r="Q24" s="2"/>
      <c r="R24" s="19"/>
      <c r="S24" s="2"/>
      <c r="T24" s="2">
        <f>--54702.86</f>
        <v>54702.86</v>
      </c>
      <c r="U24" s="2"/>
      <c r="V24" s="19"/>
      <c r="W24" s="2"/>
      <c r="X24" s="2">
        <f t="shared" si="2"/>
        <v>-54702.86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--16.37</f>
        <v>16.37</v>
      </c>
      <c r="E25" s="2"/>
      <c r="F25" s="19"/>
      <c r="G25" s="2"/>
      <c r="H25" s="2">
        <f>--4393.86</f>
        <v>4393.8599999999997</v>
      </c>
      <c r="I25" s="2"/>
      <c r="J25" s="19"/>
      <c r="K25" s="2"/>
      <c r="L25" s="2">
        <f t="shared" si="0"/>
        <v>-4377.49</v>
      </c>
      <c r="M25" s="2"/>
      <c r="N25" s="19">
        <f t="shared" si="1"/>
        <v>-0.99627434647439839</v>
      </c>
      <c r="O25" s="10"/>
      <c r="P25" s="2">
        <f>--464.75</f>
        <v>464.75</v>
      </c>
      <c r="Q25" s="2"/>
      <c r="R25" s="19"/>
      <c r="S25" s="2"/>
      <c r="T25" s="2">
        <f>--79868.06</f>
        <v>79868.06</v>
      </c>
      <c r="U25" s="2"/>
      <c r="V25" s="19"/>
      <c r="W25" s="2"/>
      <c r="X25" s="2">
        <f t="shared" si="2"/>
        <v>-79403.31</v>
      </c>
      <c r="Y25" s="2"/>
      <c r="Z25" s="19">
        <f t="shared" si="3"/>
        <v>-0.99418102806052888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--3028</f>
        <v>3028</v>
      </c>
      <c r="E26" s="2"/>
      <c r="F26" s="19"/>
      <c r="G26" s="2"/>
      <c r="H26" s="2">
        <f>--8153.25</f>
        <v>8153.25</v>
      </c>
      <c r="I26" s="2"/>
      <c r="J26" s="19"/>
      <c r="K26" s="2"/>
      <c r="L26" s="2">
        <f t="shared" si="0"/>
        <v>-5125.25</v>
      </c>
      <c r="M26" s="2"/>
      <c r="N26" s="19">
        <f t="shared" si="1"/>
        <v>-0.62861435623830986</v>
      </c>
      <c r="O26" s="10"/>
      <c r="P26" s="2">
        <f>--57512.32</f>
        <v>57512.32</v>
      </c>
      <c r="Q26" s="2"/>
      <c r="R26" s="19"/>
      <c r="S26" s="2"/>
      <c r="T26" s="2">
        <f>--269846.58</f>
        <v>269846.58</v>
      </c>
      <c r="U26" s="2"/>
      <c r="V26" s="19"/>
      <c r="W26" s="2"/>
      <c r="X26" s="2">
        <f t="shared" si="2"/>
        <v>-212334.26</v>
      </c>
      <c r="Y26" s="2"/>
      <c r="Z26" s="19">
        <f t="shared" si="3"/>
        <v>-0.78687030237700251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--3372.76</f>
        <v>3372.76</v>
      </c>
      <c r="E27" s="2"/>
      <c r="F27" s="19"/>
      <c r="G27" s="2"/>
      <c r="H27" s="2">
        <f>--17260.82</f>
        <v>17260.82</v>
      </c>
      <c r="I27" s="2"/>
      <c r="J27" s="19"/>
      <c r="K27" s="2"/>
      <c r="L27" s="2">
        <f t="shared" si="0"/>
        <v>-13888.06</v>
      </c>
      <c r="M27" s="2"/>
      <c r="N27" s="19">
        <f t="shared" si="1"/>
        <v>-0.80460024494780669</v>
      </c>
      <c r="O27" s="10"/>
      <c r="P27" s="2">
        <f>--44249.38</f>
        <v>44249.38</v>
      </c>
      <c r="Q27" s="2"/>
      <c r="R27" s="19"/>
      <c r="S27" s="2"/>
      <c r="T27" s="2">
        <f>--292597.05</f>
        <v>292597.05</v>
      </c>
      <c r="U27" s="2"/>
      <c r="V27" s="19"/>
      <c r="W27" s="2"/>
      <c r="X27" s="2">
        <f t="shared" si="2"/>
        <v>-248347.66999999998</v>
      </c>
      <c r="Y27" s="2"/>
      <c r="Z27" s="19">
        <f t="shared" si="3"/>
        <v>-0.84877024563303016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--434.03</f>
        <v>434.03</v>
      </c>
      <c r="E28" s="2"/>
      <c r="F28" s="19"/>
      <c r="G28" s="2"/>
      <c r="H28" s="2">
        <f>--44.3</f>
        <v>44.3</v>
      </c>
      <c r="I28" s="2"/>
      <c r="J28" s="19"/>
      <c r="K28" s="2"/>
      <c r="L28" s="2">
        <f t="shared" si="0"/>
        <v>389.72999999999996</v>
      </c>
      <c r="M28" s="2"/>
      <c r="N28" s="19">
        <f t="shared" si="1"/>
        <v>8.7975169300225726</v>
      </c>
      <c r="O28" s="10"/>
      <c r="P28" s="2">
        <f>--3614.87</f>
        <v>3614.87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3128.5299999999997</v>
      </c>
      <c r="Y28" s="2"/>
      <c r="Z28" s="19">
        <f t="shared" si="3"/>
        <v>6.4328042110457702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7">0</f>
        <v>0</v>
      </c>
      <c r="E29" s="2"/>
      <c r="F29" s="19"/>
      <c r="G29" s="2"/>
      <c r="H29" s="2">
        <f>--240.81</f>
        <v>240.81</v>
      </c>
      <c r="I29" s="2"/>
      <c r="J29" s="19"/>
      <c r="K29" s="2"/>
      <c r="L29" s="2">
        <f t="shared" si="0"/>
        <v>-240.81</v>
      </c>
      <c r="M29" s="2"/>
      <c r="N29" s="19">
        <f t="shared" si="1"/>
        <v>-1</v>
      </c>
      <c r="O29" s="10"/>
      <c r="P29" s="2">
        <f t="shared" ref="P29:P30" si="8">0</f>
        <v>0</v>
      </c>
      <c r="Q29" s="2"/>
      <c r="R29" s="19"/>
      <c r="S29" s="2"/>
      <c r="T29" s="2">
        <f>--1905.06</f>
        <v>1905.06</v>
      </c>
      <c r="U29" s="2"/>
      <c r="V29" s="19"/>
      <c r="W29" s="2"/>
      <c r="X29" s="2">
        <f t="shared" si="2"/>
        <v>-1905.06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7"/>
        <v>0</v>
      </c>
      <c r="E30" s="2"/>
      <c r="F30" s="19"/>
      <c r="G30" s="2"/>
      <c r="H30" s="2">
        <f>--25.55</f>
        <v>25.55</v>
      </c>
      <c r="I30" s="2"/>
      <c r="J30" s="19"/>
      <c r="K30" s="2"/>
      <c r="L30" s="2">
        <f t="shared" si="0"/>
        <v>-25.55</v>
      </c>
      <c r="M30" s="2"/>
      <c r="N30" s="19">
        <f t="shared" si="1"/>
        <v>-1</v>
      </c>
      <c r="O30" s="10"/>
      <c r="P30" s="2">
        <f t="shared" si="8"/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7"/>
        <v>0</v>
      </c>
      <c r="E31" s="2"/>
      <c r="F31" s="19"/>
      <c r="G31" s="2"/>
      <c r="H31" s="2">
        <f>--600.08</f>
        <v>600.08000000000004</v>
      </c>
      <c r="I31" s="2"/>
      <c r="J31" s="19"/>
      <c r="K31" s="2"/>
      <c r="L31" s="2">
        <f t="shared" si="0"/>
        <v>-600.08000000000004</v>
      </c>
      <c r="M31" s="2"/>
      <c r="N31" s="19">
        <f t="shared" si="1"/>
        <v>-1</v>
      </c>
      <c r="O31" s="10"/>
      <c r="P31" s="2">
        <f>--6.78</f>
        <v>6.78</v>
      </c>
      <c r="Q31" s="2"/>
      <c r="R31" s="19"/>
      <c r="S31" s="2"/>
      <c r="T31" s="2">
        <f>--7803.51</f>
        <v>7803.51</v>
      </c>
      <c r="U31" s="2"/>
      <c r="V31" s="19"/>
      <c r="W31" s="2"/>
      <c r="X31" s="2">
        <f t="shared" si="2"/>
        <v>-7796.7300000000005</v>
      </c>
      <c r="Y31" s="2"/>
      <c r="Z31" s="19">
        <f t="shared" si="3"/>
        <v>-0.99913116020867532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7"/>
        <v>0</v>
      </c>
      <c r="E32" s="2"/>
      <c r="F32" s="19"/>
      <c r="G32" s="2"/>
      <c r="H32" s="2">
        <f>--101.32</f>
        <v>101.32</v>
      </c>
      <c r="I32" s="2"/>
      <c r="J32" s="19"/>
      <c r="K32" s="2"/>
      <c r="L32" s="2">
        <f t="shared" si="0"/>
        <v>-101.32</v>
      </c>
      <c r="M32" s="2"/>
      <c r="N32" s="19">
        <f t="shared" si="1"/>
        <v>-1</v>
      </c>
      <c r="O32" s="10"/>
      <c r="P32" s="2">
        <f t="shared" ref="P32:P33" si="9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7"/>
        <v>0</v>
      </c>
      <c r="E33" s="2"/>
      <c r="F33" s="19"/>
      <c r="G33" s="2"/>
      <c r="H33" s="2">
        <f>--24.8</f>
        <v>24.8</v>
      </c>
      <c r="I33" s="2"/>
      <c r="J33" s="19"/>
      <c r="K33" s="2"/>
      <c r="L33" s="2">
        <f t="shared" si="0"/>
        <v>-24.8</v>
      </c>
      <c r="M33" s="2"/>
      <c r="N33" s="19">
        <f t="shared" si="1"/>
        <v>-1</v>
      </c>
      <c r="O33" s="10"/>
      <c r="P33" s="2">
        <f t="shared" si="9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--82653.17</f>
        <v>82653.17</v>
      </c>
      <c r="E34" s="2"/>
      <c r="F34" s="19"/>
      <c r="G34" s="2"/>
      <c r="H34" s="2">
        <f>--93833.27</f>
        <v>93833.27</v>
      </c>
      <c r="I34" s="2"/>
      <c r="J34" s="19"/>
      <c r="K34" s="2"/>
      <c r="L34" s="2">
        <f t="shared" si="0"/>
        <v>-11180.100000000006</v>
      </c>
      <c r="M34" s="2"/>
      <c r="N34" s="19">
        <f t="shared" si="1"/>
        <v>-0.11914857065090032</v>
      </c>
      <c r="O34" s="10"/>
      <c r="P34" s="2">
        <f>--754001.15</f>
        <v>754001.15</v>
      </c>
      <c r="Q34" s="2"/>
      <c r="R34" s="19"/>
      <c r="S34" s="2"/>
      <c r="T34" s="2">
        <f>--1776128.49</f>
        <v>1776128.49</v>
      </c>
      <c r="U34" s="2"/>
      <c r="V34" s="19"/>
      <c r="W34" s="2"/>
      <c r="X34" s="2">
        <f t="shared" si="2"/>
        <v>-1022127.34</v>
      </c>
      <c r="Y34" s="2"/>
      <c r="Z34" s="19">
        <f t="shared" si="3"/>
        <v>-0.57548051605207906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--47817.47</f>
        <v>47817.47</v>
      </c>
      <c r="E35" s="2"/>
      <c r="F35" s="19"/>
      <c r="G35" s="2"/>
      <c r="H35" s="2">
        <f>--25196.53</f>
        <v>25196.53</v>
      </c>
      <c r="I35" s="2"/>
      <c r="J35" s="19"/>
      <c r="K35" s="2"/>
      <c r="L35" s="2">
        <f t="shared" si="0"/>
        <v>22620.940000000002</v>
      </c>
      <c r="M35" s="2"/>
      <c r="N35" s="19">
        <f t="shared" si="1"/>
        <v>0.89777997208345761</v>
      </c>
      <c r="O35" s="10"/>
      <c r="P35" s="2">
        <f>--324016.78</f>
        <v>324016.78000000003</v>
      </c>
      <c r="Q35" s="2"/>
      <c r="R35" s="19"/>
      <c r="S35" s="2"/>
      <c r="T35" s="2">
        <f>--467017.72</f>
        <v>467017.72</v>
      </c>
      <c r="U35" s="2"/>
      <c r="V35" s="19"/>
      <c r="W35" s="2"/>
      <c r="X35" s="2">
        <f t="shared" si="2"/>
        <v>-143000.93999999994</v>
      </c>
      <c r="Y35" s="2"/>
      <c r="Z35" s="19">
        <f t="shared" si="3"/>
        <v>-0.30620024439329613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--11053.28</f>
        <v>11053.28</v>
      </c>
      <c r="E36" s="2"/>
      <c r="F36" s="19"/>
      <c r="G36" s="2"/>
      <c r="H36" s="2">
        <f>--18014.27</f>
        <v>18014.27</v>
      </c>
      <c r="I36" s="2"/>
      <c r="J36" s="19"/>
      <c r="K36" s="2"/>
      <c r="L36" s="2">
        <f t="shared" si="0"/>
        <v>-6960.99</v>
      </c>
      <c r="M36" s="2"/>
      <c r="N36" s="19">
        <f t="shared" si="1"/>
        <v>-0.38641532518386812</v>
      </c>
      <c r="O36" s="10"/>
      <c r="P36" s="2">
        <f>--90048.2</f>
        <v>90048.2</v>
      </c>
      <c r="Q36" s="2"/>
      <c r="R36" s="19"/>
      <c r="S36" s="2"/>
      <c r="T36" s="2">
        <f>--277580.41</f>
        <v>277580.40999999997</v>
      </c>
      <c r="U36" s="2"/>
      <c r="V36" s="19"/>
      <c r="W36" s="2"/>
      <c r="X36" s="2">
        <f t="shared" si="2"/>
        <v>-187532.20999999996</v>
      </c>
      <c r="Y36" s="2"/>
      <c r="Z36" s="19">
        <f t="shared" si="3"/>
        <v>-0.67559598316033898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--8285.51</f>
        <v>8285.51</v>
      </c>
      <c r="E37" s="2"/>
      <c r="F37" s="19"/>
      <c r="G37" s="2"/>
      <c r="H37" s="2">
        <f>--666.52</f>
        <v>666.52</v>
      </c>
      <c r="I37" s="2"/>
      <c r="J37" s="19"/>
      <c r="K37" s="2"/>
      <c r="L37" s="2">
        <f t="shared" si="0"/>
        <v>7618.99</v>
      </c>
      <c r="M37" s="2"/>
      <c r="N37" s="19">
        <f t="shared" si="1"/>
        <v>11.430999819960391</v>
      </c>
      <c r="O37" s="10"/>
      <c r="P37" s="2">
        <f>--132436.17</f>
        <v>132436.17000000001</v>
      </c>
      <c r="Q37" s="2"/>
      <c r="R37" s="19"/>
      <c r="S37" s="2"/>
      <c r="T37" s="2">
        <f>--76568.23</f>
        <v>76568.23</v>
      </c>
      <c r="U37" s="2"/>
      <c r="V37" s="19"/>
      <c r="W37" s="2"/>
      <c r="X37" s="2">
        <f t="shared" si="2"/>
        <v>55867.940000000017</v>
      </c>
      <c r="Y37" s="2"/>
      <c r="Z37" s="19">
        <f t="shared" si="3"/>
        <v>0.72964909858827898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--1774.45</f>
        <v>1774.45</v>
      </c>
      <c r="E38" s="2"/>
      <c r="F38" s="19"/>
      <c r="G38" s="2"/>
      <c r="H38" s="2">
        <f>--3732.24</f>
        <v>3732.24</v>
      </c>
      <c r="I38" s="2"/>
      <c r="J38" s="19"/>
      <c r="K38" s="2"/>
      <c r="L38" s="2">
        <f t="shared" si="0"/>
        <v>-1957.7899999999997</v>
      </c>
      <c r="M38" s="2"/>
      <c r="N38" s="19">
        <f t="shared" si="1"/>
        <v>-0.52456165734250737</v>
      </c>
      <c r="O38" s="10"/>
      <c r="P38" s="2">
        <f>--31346.85</f>
        <v>31346.85</v>
      </c>
      <c r="Q38" s="2"/>
      <c r="R38" s="19"/>
      <c r="S38" s="2"/>
      <c r="T38" s="2">
        <f>--66666.73</f>
        <v>66666.73</v>
      </c>
      <c r="U38" s="2"/>
      <c r="V38" s="19"/>
      <c r="W38" s="2"/>
      <c r="X38" s="2">
        <f t="shared" si="2"/>
        <v>-35319.879999999997</v>
      </c>
      <c r="Y38" s="2"/>
      <c r="Z38" s="19">
        <f t="shared" si="3"/>
        <v>-0.52979769669218812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--8707.87</f>
        <v>8707.8700000000008</v>
      </c>
      <c r="E39" s="2"/>
      <c r="F39" s="19"/>
      <c r="G39" s="2"/>
      <c r="H39" s="2">
        <f>--3847.78</f>
        <v>3847.78</v>
      </c>
      <c r="I39" s="2"/>
      <c r="J39" s="19"/>
      <c r="K39" s="2"/>
      <c r="L39" s="2">
        <f t="shared" si="0"/>
        <v>4860.09</v>
      </c>
      <c r="M39" s="2"/>
      <c r="N39" s="19">
        <f t="shared" si="1"/>
        <v>1.2630893658161328</v>
      </c>
      <c r="O39" s="10"/>
      <c r="P39" s="2">
        <f>--144197.44</f>
        <v>144197.44</v>
      </c>
      <c r="Q39" s="2"/>
      <c r="R39" s="19"/>
      <c r="S39" s="2"/>
      <c r="T39" s="2">
        <f>--74400.82</f>
        <v>74400.820000000007</v>
      </c>
      <c r="U39" s="2"/>
      <c r="V39" s="19"/>
      <c r="W39" s="2"/>
      <c r="X39" s="2">
        <f t="shared" si="2"/>
        <v>69796.62</v>
      </c>
      <c r="Y39" s="2"/>
      <c r="Z39" s="19">
        <f t="shared" si="3"/>
        <v>0.93811627344967419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>0</f>
        <v>0</v>
      </c>
      <c r="E40" s="2"/>
      <c r="F40" s="19"/>
      <c r="G40" s="2"/>
      <c r="H40" s="2">
        <f>--490.15</f>
        <v>490.15</v>
      </c>
      <c r="I40" s="2"/>
      <c r="J40" s="19"/>
      <c r="K40" s="2"/>
      <c r="L40" s="2">
        <f t="shared" si="0"/>
        <v>-490.15</v>
      </c>
      <c r="M40" s="2"/>
      <c r="N40" s="19">
        <f t="shared" si="1"/>
        <v>-1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"4081", " - ", "TAXABLE SALES-ELECTRONICS")</f>
        <v xml:space="preserve">          4081 - TAXABLE SALES-ELECTRONICS</v>
      </c>
      <c r="C41" s="10"/>
      <c r="D41" s="2">
        <f>--1204.4</f>
        <v>1204.4000000000001</v>
      </c>
      <c r="E41" s="2"/>
      <c r="F41" s="19"/>
      <c r="G41" s="2"/>
      <c r="H41" s="2">
        <f>--15039.9</f>
        <v>15039.9</v>
      </c>
      <c r="I41" s="2"/>
      <c r="J41" s="19"/>
      <c r="K41" s="2"/>
      <c r="L41" s="2">
        <f t="shared" si="0"/>
        <v>-13835.5</v>
      </c>
      <c r="M41" s="2"/>
      <c r="N41" s="19">
        <f t="shared" si="1"/>
        <v>-0.91991968031702342</v>
      </c>
      <c r="O41" s="10"/>
      <c r="P41" s="2">
        <f>--60539.2</f>
        <v>60539.199999999997</v>
      </c>
      <c r="Q41" s="2"/>
      <c r="R41" s="19"/>
      <c r="S41" s="2"/>
      <c r="T41" s="2">
        <f>--314372.05</f>
        <v>314372.05</v>
      </c>
      <c r="U41" s="2"/>
      <c r="V41" s="19"/>
      <c r="W41" s="2"/>
      <c r="X41" s="2">
        <f t="shared" si="2"/>
        <v>-253832.84999999998</v>
      </c>
      <c r="Y41" s="2"/>
      <c r="Z41" s="19">
        <f t="shared" si="3"/>
        <v>-0.80742817308345316</v>
      </c>
    </row>
    <row r="42" spans="1:26" s="23" customFormat="1" hidden="1" outlineLevel="1" x14ac:dyDescent="0.25">
      <c r="A42" s="44"/>
      <c r="B42" s="10" t="str">
        <f>CONCATENATE("          ", "4082", " - ", "TAXABLE SALES-COMPUTER HARDWAR")</f>
        <v xml:space="preserve">          4082 - TAXABLE SALES-COMPUTER HARDWAR</v>
      </c>
      <c r="C42" s="10"/>
      <c r="D42" s="2">
        <f>--407027.89</f>
        <v>407027.89</v>
      </c>
      <c r="E42" s="2"/>
      <c r="F42" s="19"/>
      <c r="G42" s="2"/>
      <c r="H42" s="2">
        <f>--77631.44</f>
        <v>77631.44</v>
      </c>
      <c r="I42" s="2"/>
      <c r="J42" s="19"/>
      <c r="K42" s="2"/>
      <c r="L42" s="2">
        <f t="shared" si="0"/>
        <v>329396.45</v>
      </c>
      <c r="M42" s="2"/>
      <c r="N42" s="19">
        <f t="shared" si="1"/>
        <v>4.2430805096491833</v>
      </c>
      <c r="O42" s="10"/>
      <c r="P42" s="2">
        <f>--1657866.36</f>
        <v>1657866.36</v>
      </c>
      <c r="Q42" s="2"/>
      <c r="R42" s="19"/>
      <c r="S42" s="2"/>
      <c r="T42" s="2">
        <f>--1661472.97</f>
        <v>1661472.97</v>
      </c>
      <c r="U42" s="2"/>
      <c r="V42" s="19"/>
      <c r="W42" s="2"/>
      <c r="X42" s="2">
        <f t="shared" si="2"/>
        <v>-3606.6099999998696</v>
      </c>
      <c r="Y42" s="2"/>
      <c r="Z42" s="19">
        <f t="shared" si="3"/>
        <v>-2.170730469361695E-3</v>
      </c>
    </row>
    <row r="43" spans="1:26" s="23" customFormat="1" hidden="1" outlineLevel="1" x14ac:dyDescent="0.25">
      <c r="A43" s="44"/>
      <c r="B43" s="10" t="str">
        <f>CONCATENATE("          ", "4083", " - ", "TAXABLE SALES-COMPUTER EQUIPME")</f>
        <v xml:space="preserve">          4083 - TAXABLE SALES-COMPUTER EQUIPME</v>
      </c>
      <c r="C43" s="10"/>
      <c r="D43" s="2">
        <f>--22860.44</f>
        <v>22860.44</v>
      </c>
      <c r="E43" s="2"/>
      <c r="F43" s="19"/>
      <c r="G43" s="2"/>
      <c r="H43" s="2">
        <f>--4751.21</f>
        <v>4751.21</v>
      </c>
      <c r="I43" s="2"/>
      <c r="J43" s="19"/>
      <c r="K43" s="2"/>
      <c r="L43" s="2">
        <f t="shared" si="0"/>
        <v>18109.23</v>
      </c>
      <c r="M43" s="2"/>
      <c r="N43" s="19">
        <f t="shared" si="1"/>
        <v>3.811498544581275</v>
      </c>
      <c r="O43" s="10"/>
      <c r="P43" s="2">
        <f>--119669.26</f>
        <v>119669.26</v>
      </c>
      <c r="Q43" s="2"/>
      <c r="R43" s="19"/>
      <c r="S43" s="2"/>
      <c r="T43" s="2">
        <f>--100882.65</f>
        <v>100882.65</v>
      </c>
      <c r="U43" s="2"/>
      <c r="V43" s="19"/>
      <c r="W43" s="2"/>
      <c r="X43" s="2">
        <f t="shared" si="2"/>
        <v>18786.61</v>
      </c>
      <c r="Y43" s="2"/>
      <c r="Z43" s="19">
        <f t="shared" si="3"/>
        <v>0.18622240791652481</v>
      </c>
    </row>
    <row r="44" spans="1:26" s="23" customFormat="1" hidden="1" outlineLevel="1" x14ac:dyDescent="0.25">
      <c r="A44" s="44"/>
      <c r="B44" s="10" t="str">
        <f>CONCATENATE("          ", "4084", " - ", "TAXABLE SALES-SOFTWARE LICENSE")</f>
        <v xml:space="preserve">          4084 - TAXABLE SALES-SOFTWARE LICENSE</v>
      </c>
      <c r="C44" s="10"/>
      <c r="D44" s="2">
        <f>0</f>
        <v>0</v>
      </c>
      <c r="E44" s="2"/>
      <c r="F44" s="19"/>
      <c r="G44" s="2"/>
      <c r="H44" s="2">
        <f t="shared" ref="H44:H45" si="10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0</f>
        <v>0</v>
      </c>
      <c r="Q44" s="2"/>
      <c r="R44" s="19"/>
      <c r="S44" s="2"/>
      <c r="T44" s="2">
        <f>--129</f>
        <v>129</v>
      </c>
      <c r="U44" s="2"/>
      <c r="V44" s="19"/>
      <c r="W44" s="2"/>
      <c r="X44" s="2">
        <f t="shared" si="2"/>
        <v>-129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"4085", " - ", "TAXABLE SALES-SOFTWARE")</f>
        <v xml:space="preserve">          4085 - TAXABLE SALES-SOFTWARE</v>
      </c>
      <c r="C45" s="10"/>
      <c r="D45" s="2">
        <f>--219.98</f>
        <v>219.98</v>
      </c>
      <c r="E45" s="2"/>
      <c r="F45" s="19"/>
      <c r="G45" s="2"/>
      <c r="H45" s="2">
        <f t="shared" si="10"/>
        <v>0</v>
      </c>
      <c r="I45" s="2"/>
      <c r="J45" s="19"/>
      <c r="K45" s="2"/>
      <c r="L45" s="2">
        <f t="shared" si="0"/>
        <v>219.98</v>
      </c>
      <c r="M45" s="2"/>
      <c r="N45" s="19">
        <f t="shared" si="1"/>
        <v>0</v>
      </c>
      <c r="O45" s="10"/>
      <c r="P45" s="2">
        <f>--3098.91</f>
        <v>3098.91</v>
      </c>
      <c r="Q45" s="2"/>
      <c r="R45" s="19"/>
      <c r="S45" s="2"/>
      <c r="T45" s="2">
        <f>--4557.93</f>
        <v>4557.93</v>
      </c>
      <c r="U45" s="2"/>
      <c r="V45" s="19"/>
      <c r="W45" s="2"/>
      <c r="X45" s="2">
        <f t="shared" si="2"/>
        <v>-1459.0200000000004</v>
      </c>
      <c r="Y45" s="2"/>
      <c r="Z45" s="19">
        <f t="shared" si="3"/>
        <v>-0.3201058375183472</v>
      </c>
    </row>
    <row r="46" spans="1:26" s="23" customFormat="1" hidden="1" outlineLevel="1" x14ac:dyDescent="0.25">
      <c r="A46" s="44"/>
      <c r="B46" s="10" t="str">
        <f>CONCATENATE("          ", "4086", " - ", "TAXABLE SALES-COMPUTER SUPPLIE")</f>
        <v xml:space="preserve">          4086 - TAXABLE SALES-COMPUTER SUPPLIE</v>
      </c>
      <c r="C46" s="10"/>
      <c r="D46" s="2">
        <f>--503.73</f>
        <v>503.73</v>
      </c>
      <c r="E46" s="2"/>
      <c r="F46" s="19"/>
      <c r="G46" s="2"/>
      <c r="H46" s="2">
        <f>--2057.99</f>
        <v>2057.9899999999998</v>
      </c>
      <c r="I46" s="2"/>
      <c r="J46" s="19"/>
      <c r="K46" s="2"/>
      <c r="L46" s="2">
        <f t="shared" si="0"/>
        <v>-1554.2599999999998</v>
      </c>
      <c r="M46" s="2"/>
      <c r="N46" s="19">
        <f t="shared" si="1"/>
        <v>-0.75523204680294842</v>
      </c>
      <c r="O46" s="10"/>
      <c r="P46" s="2">
        <f>--59450.9</f>
        <v>59450.9</v>
      </c>
      <c r="Q46" s="2"/>
      <c r="R46" s="19"/>
      <c r="S46" s="2"/>
      <c r="T46" s="2">
        <f>--49080.06</f>
        <v>49080.06</v>
      </c>
      <c r="U46" s="2"/>
      <c r="V46" s="19"/>
      <c r="W46" s="2"/>
      <c r="X46" s="2">
        <f t="shared" si="2"/>
        <v>10370.840000000004</v>
      </c>
      <c r="Y46" s="2"/>
      <c r="Z46" s="19">
        <f t="shared" si="3"/>
        <v>0.21130455015743674</v>
      </c>
    </row>
    <row r="47" spans="1:26" s="23" customFormat="1" hidden="1" outlineLevel="1" x14ac:dyDescent="0.25">
      <c r="A47" s="44"/>
      <c r="B47" s="10" t="str">
        <f>CONCATENATE("          ", "4088", " - ", "TAXABLE SALES-MUSIC")</f>
        <v xml:space="preserve">          4088 - TAXABLE SALES-MUSIC</v>
      </c>
      <c r="C47" s="10"/>
      <c r="D47" s="2">
        <f t="shared" ref="D47:D48" si="11">0</f>
        <v>0</v>
      </c>
      <c r="E47" s="2"/>
      <c r="F47" s="19"/>
      <c r="G47" s="2"/>
      <c r="H47" s="2">
        <f>--199.99</f>
        <v>199.99</v>
      </c>
      <c r="I47" s="2"/>
      <c r="J47" s="19"/>
      <c r="K47" s="2"/>
      <c r="L47" s="2">
        <f t="shared" si="0"/>
        <v>-199.99</v>
      </c>
      <c r="M47" s="2"/>
      <c r="N47" s="19">
        <f t="shared" si="1"/>
        <v>-1</v>
      </c>
      <c r="O47" s="10"/>
      <c r="P47" s="2">
        <f t="shared" ref="P47:P48" si="12">0</f>
        <v>0</v>
      </c>
      <c r="Q47" s="2"/>
      <c r="R47" s="19"/>
      <c r="S47" s="2"/>
      <c r="T47" s="2">
        <f>--1294.83</f>
        <v>1294.83</v>
      </c>
      <c r="U47" s="2"/>
      <c r="V47" s="19"/>
      <c r="W47" s="2"/>
      <c r="X47" s="2">
        <f t="shared" si="2"/>
        <v>-1294.83</v>
      </c>
      <c r="Y47" s="2"/>
      <c r="Z47" s="19">
        <f t="shared" si="3"/>
        <v>-1</v>
      </c>
    </row>
    <row r="48" spans="1:26" s="23" customFormat="1" hidden="1" outlineLevel="1" x14ac:dyDescent="0.25">
      <c r="A48" s="44"/>
      <c r="B48" s="10" t="str">
        <f>CONCATENATE("          ", "4092", " - ", "TAXABLE SALES-GRAD MERCH")</f>
        <v xml:space="preserve">          4092 - TAXABLE SALES-GRAD MERCH</v>
      </c>
      <c r="C48" s="10"/>
      <c r="D48" s="2">
        <f t="shared" si="11"/>
        <v>0</v>
      </c>
      <c r="E48" s="2"/>
      <c r="F48" s="19"/>
      <c r="G48" s="2"/>
      <c r="H48" s="2">
        <f>--10952.9</f>
        <v>10952.9</v>
      </c>
      <c r="I48" s="2"/>
      <c r="J48" s="19"/>
      <c r="K48" s="2"/>
      <c r="L48" s="2">
        <f t="shared" si="0"/>
        <v>-10952.9</v>
      </c>
      <c r="M48" s="2"/>
      <c r="N48" s="19">
        <f t="shared" si="1"/>
        <v>-1</v>
      </c>
      <c r="O48" s="10"/>
      <c r="P48" s="2">
        <f t="shared" si="12"/>
        <v>0</v>
      </c>
      <c r="Q48" s="2"/>
      <c r="R48" s="19"/>
      <c r="S48" s="2"/>
      <c r="T48" s="2">
        <f>--18612.27</f>
        <v>18612.27</v>
      </c>
      <c r="U48" s="2"/>
      <c r="V48" s="19"/>
      <c r="W48" s="2"/>
      <c r="X48" s="2">
        <f t="shared" si="2"/>
        <v>-18612.27</v>
      </c>
      <c r="Y48" s="2"/>
      <c r="Z48" s="19">
        <f t="shared" si="3"/>
        <v>-1</v>
      </c>
    </row>
    <row r="49" spans="1:26" s="23" customFormat="1" hidden="1" outlineLevel="1" x14ac:dyDescent="0.25">
      <c r="A49" s="44"/>
      <c r="B49" s="10" t="str">
        <f>CONCATENATE("          ", "4095", " - ", "TAXABLE SALES-CUSTOMER SERVICE")</f>
        <v xml:space="preserve">          4095 - TAXABLE SALES-CUSTOMER SERVICE</v>
      </c>
      <c r="C49" s="10"/>
      <c r="D49" s="2">
        <f>--775.28</f>
        <v>775.28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775.28</v>
      </c>
      <c r="M49" s="2"/>
      <c r="N49" s="19">
        <f t="shared" si="1"/>
        <v>0</v>
      </c>
      <c r="O49" s="10"/>
      <c r="P49" s="2">
        <f>--915.13</f>
        <v>915.13</v>
      </c>
      <c r="Q49" s="2"/>
      <c r="R49" s="19"/>
      <c r="S49" s="2"/>
      <c r="T49" s="2">
        <f>--309.26</f>
        <v>309.26</v>
      </c>
      <c r="U49" s="2"/>
      <c r="V49" s="19"/>
      <c r="W49" s="2"/>
      <c r="X49" s="2">
        <f t="shared" si="2"/>
        <v>605.87</v>
      </c>
      <c r="Y49" s="2"/>
      <c r="Z49" s="19">
        <f t="shared" si="3"/>
        <v>1.9590959063571105</v>
      </c>
    </row>
    <row r="50" spans="1:26" s="23" customFormat="1" hidden="1" outlineLevel="1" x14ac:dyDescent="0.25">
      <c r="A50" s="44"/>
      <c r="B50" s="10" t="str">
        <f>CONCATENATE("          ", "4100", " - ", "NON-TAXABLE SALES")</f>
        <v xml:space="preserve">          4100 - NON-TAXABLE SALES</v>
      </c>
      <c r="C50" s="10"/>
      <c r="D50" s="2">
        <f>--2050.54</f>
        <v>2050.54</v>
      </c>
      <c r="E50" s="2"/>
      <c r="F50" s="19"/>
      <c r="G50" s="2"/>
      <c r="H50" s="2">
        <f>--1572.53</f>
        <v>1572.53</v>
      </c>
      <c r="I50" s="2"/>
      <c r="J50" s="19"/>
      <c r="K50" s="2"/>
      <c r="L50" s="2">
        <f t="shared" si="0"/>
        <v>478.01</v>
      </c>
      <c r="M50" s="2"/>
      <c r="N50" s="19">
        <f t="shared" si="1"/>
        <v>0.30397512289113721</v>
      </c>
      <c r="O50" s="10"/>
      <c r="P50" s="2">
        <f>--286224.1</f>
        <v>286224.09999999998</v>
      </c>
      <c r="Q50" s="2"/>
      <c r="R50" s="19"/>
      <c r="S50" s="2"/>
      <c r="T50" s="2">
        <f>--574312.65</f>
        <v>574312.65</v>
      </c>
      <c r="U50" s="2"/>
      <c r="V50" s="19"/>
      <c r="W50" s="2"/>
      <c r="X50" s="2">
        <f t="shared" si="2"/>
        <v>-288088.55000000005</v>
      </c>
      <c r="Y50" s="2"/>
      <c r="Z50" s="19">
        <f t="shared" si="3"/>
        <v>-0.5016232012302011</v>
      </c>
    </row>
    <row r="51" spans="1:26" s="23" customFormat="1" hidden="1" outlineLevel="1" x14ac:dyDescent="0.25">
      <c r="A51" s="44"/>
      <c r="B51" s="10" t="str">
        <f>CONCATENATE("          ", "4101", " - ", "NON-TAXABLE SALES-NEW TEXT")</f>
        <v xml:space="preserve">          4101 - NON-TAXABLE SALES-NEW TEXT</v>
      </c>
      <c r="C51" s="10"/>
      <c r="D51" s="2">
        <f>--1044.17</f>
        <v>1044.17</v>
      </c>
      <c r="E51" s="2"/>
      <c r="F51" s="19"/>
      <c r="G51" s="2"/>
      <c r="H51" s="2">
        <f>--2453.65</f>
        <v>2453.65</v>
      </c>
      <c r="I51" s="2"/>
      <c r="J51" s="19"/>
      <c r="K51" s="2"/>
      <c r="L51" s="2">
        <f t="shared" si="0"/>
        <v>-1409.48</v>
      </c>
      <c r="M51" s="2"/>
      <c r="N51" s="19">
        <f t="shared" si="1"/>
        <v>-0.57444215760193995</v>
      </c>
      <c r="O51" s="10"/>
      <c r="P51" s="2">
        <f>--112055.71</f>
        <v>112055.71</v>
      </c>
      <c r="Q51" s="2"/>
      <c r="R51" s="19"/>
      <c r="S51" s="2"/>
      <c r="T51" s="2">
        <f>--142191.42</f>
        <v>142191.42000000001</v>
      </c>
      <c r="U51" s="2"/>
      <c r="V51" s="19"/>
      <c r="W51" s="2"/>
      <c r="X51" s="2">
        <f t="shared" si="2"/>
        <v>-30135.710000000006</v>
      </c>
      <c r="Y51" s="2"/>
      <c r="Z51" s="19">
        <f t="shared" si="3"/>
        <v>-0.21193761198812139</v>
      </c>
    </row>
    <row r="52" spans="1:26" s="23" customFormat="1" hidden="1" outlineLevel="1" x14ac:dyDescent="0.25">
      <c r="A52" s="44"/>
      <c r="B52" s="10" t="str">
        <f>CONCATENATE("          ", "4102", " - ", "NON-TAXABLE SALES-USED TEXT")</f>
        <v xml:space="preserve">          4102 - NON-TAXABLE SALES-USED TEXT</v>
      </c>
      <c r="C52" s="10"/>
      <c r="D52" s="2">
        <f>--1572.06</f>
        <v>1572.06</v>
      </c>
      <c r="E52" s="2"/>
      <c r="F52" s="19"/>
      <c r="G52" s="2"/>
      <c r="H52" s="2">
        <f>--388.84</f>
        <v>388.84</v>
      </c>
      <c r="I52" s="2"/>
      <c r="J52" s="19"/>
      <c r="K52" s="2"/>
      <c r="L52" s="2">
        <f t="shared" si="0"/>
        <v>1183.22</v>
      </c>
      <c r="M52" s="2"/>
      <c r="N52" s="19">
        <f t="shared" si="1"/>
        <v>3.0429482563522274</v>
      </c>
      <c r="O52" s="10"/>
      <c r="P52" s="2">
        <f>--47959.43</f>
        <v>47959.43</v>
      </c>
      <c r="Q52" s="2"/>
      <c r="R52" s="19"/>
      <c r="S52" s="2"/>
      <c r="T52" s="2">
        <f>--68855.7</f>
        <v>68855.7</v>
      </c>
      <c r="U52" s="2"/>
      <c r="V52" s="19"/>
      <c r="W52" s="2"/>
      <c r="X52" s="2">
        <f t="shared" si="2"/>
        <v>-20896.269999999997</v>
      </c>
      <c r="Y52" s="2"/>
      <c r="Z52" s="19">
        <f t="shared" si="3"/>
        <v>-0.30347916004049041</v>
      </c>
    </row>
    <row r="53" spans="1:26" s="23" customFormat="1" hidden="1" outlineLevel="1" x14ac:dyDescent="0.25">
      <c r="A53" s="44"/>
      <c r="B53" s="10" t="str">
        <f>CONCATENATE("          ", "4103", " - ", "NON-TAXABLE SALES-RENTAL TEXT")</f>
        <v xml:space="preserve">          4103 - NON-TAXABLE SALES-RENTAL TEXT</v>
      </c>
      <c r="C53" s="10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0"/>
      <c r="P53" s="2">
        <f>--1138.95</f>
        <v>1138.95</v>
      </c>
      <c r="Q53" s="2"/>
      <c r="R53" s="19"/>
      <c r="S53" s="2"/>
      <c r="T53" s="2">
        <f>--664.97</f>
        <v>664.97</v>
      </c>
      <c r="U53" s="2"/>
      <c r="V53" s="19"/>
      <c r="W53" s="2"/>
      <c r="X53" s="2">
        <f t="shared" si="2"/>
        <v>473.98</v>
      </c>
      <c r="Y53" s="2"/>
      <c r="Z53" s="19">
        <f t="shared" si="3"/>
        <v>0.71278403537001667</v>
      </c>
    </row>
    <row r="54" spans="1:26" s="23" customFormat="1" hidden="1" outlineLevel="1" x14ac:dyDescent="0.25">
      <c r="A54" s="44"/>
      <c r="B54" s="10" t="str">
        <f>CONCATENATE("          ", "4104", " - ", "NON-TAXABLE SALES-DIGITAL TEXT")</f>
        <v xml:space="preserve">          4104 - NON-TAXABLE SALES-DIGITAL TEXT</v>
      </c>
      <c r="C54" s="10"/>
      <c r="D54" s="2">
        <f>--1097.13</f>
        <v>1097.1300000000001</v>
      </c>
      <c r="E54" s="2"/>
      <c r="F54" s="19"/>
      <c r="G54" s="2"/>
      <c r="H54" s="2">
        <f>--961.31</f>
        <v>961.31</v>
      </c>
      <c r="I54" s="2"/>
      <c r="J54" s="19"/>
      <c r="K54" s="2"/>
      <c r="L54" s="2">
        <f t="shared" si="0"/>
        <v>135.82000000000016</v>
      </c>
      <c r="M54" s="2"/>
      <c r="N54" s="19">
        <f t="shared" si="1"/>
        <v>0.14128636964142699</v>
      </c>
      <c r="O54" s="10"/>
      <c r="P54" s="2">
        <f>--476971.18</f>
        <v>476971.18</v>
      </c>
      <c r="Q54" s="2"/>
      <c r="R54" s="19"/>
      <c r="S54" s="2"/>
      <c r="T54" s="2">
        <f>--524351.65</f>
        <v>524351.65</v>
      </c>
      <c r="U54" s="2"/>
      <c r="V54" s="19"/>
      <c r="W54" s="2"/>
      <c r="X54" s="2">
        <f t="shared" si="2"/>
        <v>-47380.47000000003</v>
      </c>
      <c r="Y54" s="2"/>
      <c r="Z54" s="19">
        <f t="shared" si="3"/>
        <v>-9.0360104712171749E-2</v>
      </c>
    </row>
    <row r="55" spans="1:26" s="23" customFormat="1" hidden="1" outlineLevel="1" x14ac:dyDescent="0.25">
      <c r="A55" s="44"/>
      <c r="B55" s="10" t="str">
        <f>CONCATENATE("          ", "4111", " - ", "NON-TAXABLE SALES-NO VALUE TEX")</f>
        <v xml:space="preserve">          4111 - NON-TAXABLE SALES-NO VALUE TEX</v>
      </c>
      <c r="C55" s="10"/>
      <c r="D55" s="2">
        <f>0</f>
        <v>0</v>
      </c>
      <c r="E55" s="2"/>
      <c r="F55" s="19"/>
      <c r="G55" s="2"/>
      <c r="H55" s="2">
        <f>--369.34</f>
        <v>369.34</v>
      </c>
      <c r="I55" s="2"/>
      <c r="J55" s="19"/>
      <c r="K55" s="2"/>
      <c r="L55" s="2">
        <f t="shared" si="0"/>
        <v>-369.34</v>
      </c>
      <c r="M55" s="2"/>
      <c r="N55" s="19">
        <f t="shared" si="1"/>
        <v>-1</v>
      </c>
      <c r="O55" s="10"/>
      <c r="P55" s="2">
        <f>0</f>
        <v>0</v>
      </c>
      <c r="Q55" s="2"/>
      <c r="R55" s="19"/>
      <c r="S55" s="2"/>
      <c r="T55" s="2">
        <f>--14729.33</f>
        <v>14729.33</v>
      </c>
      <c r="U55" s="2"/>
      <c r="V55" s="19"/>
      <c r="W55" s="2"/>
      <c r="X55" s="2">
        <f t="shared" si="2"/>
        <v>-14729.33</v>
      </c>
      <c r="Y55" s="2"/>
      <c r="Z55" s="19">
        <f t="shared" si="3"/>
        <v>-1</v>
      </c>
    </row>
    <row r="56" spans="1:26" s="23" customFormat="1" hidden="1" outlineLevel="1" x14ac:dyDescent="0.25">
      <c r="A56" s="44"/>
      <c r="B56" s="10" t="str">
        <f>CONCATENATE("          ", "4113", " - ", "NON-TAXABLE SALES-TRADE BOOKS")</f>
        <v xml:space="preserve">          4113 - NON-TAXABLE SALES-TRADE BOOKS</v>
      </c>
      <c r="C56" s="10"/>
      <c r="D56" s="2">
        <f>--1250</f>
        <v>1250</v>
      </c>
      <c r="E56" s="2"/>
      <c r="F56" s="19"/>
      <c r="G56" s="2"/>
      <c r="H56" s="2">
        <f>--2440</f>
        <v>2440</v>
      </c>
      <c r="I56" s="2"/>
      <c r="J56" s="19"/>
      <c r="K56" s="2"/>
      <c r="L56" s="2">
        <f t="shared" si="0"/>
        <v>-1190</v>
      </c>
      <c r="M56" s="2"/>
      <c r="N56" s="19">
        <f t="shared" si="1"/>
        <v>-0.48770491803278687</v>
      </c>
      <c r="O56" s="10"/>
      <c r="P56" s="2">
        <f>--11389.25</f>
        <v>11389.25</v>
      </c>
      <c r="Q56" s="2"/>
      <c r="R56" s="19"/>
      <c r="S56" s="2"/>
      <c r="T56" s="2">
        <f>--5801.92</f>
        <v>5801.92</v>
      </c>
      <c r="U56" s="2"/>
      <c r="V56" s="19"/>
      <c r="W56" s="2"/>
      <c r="X56" s="2">
        <f t="shared" si="2"/>
        <v>5587.33</v>
      </c>
      <c r="Y56" s="2"/>
      <c r="Z56" s="19">
        <f t="shared" si="3"/>
        <v>0.96301396778997295</v>
      </c>
    </row>
    <row r="57" spans="1:26" s="23" customFormat="1" hidden="1" outlineLevel="1" x14ac:dyDescent="0.25">
      <c r="A57" s="44"/>
      <c r="B57" s="10" t="str">
        <f>CONCATENATE("          ", "4118", " - ", "NON-TAXABLE SALES-STUDY GUIDES")</f>
        <v xml:space="preserve">          4118 - NON-TAXABLE SALES-STUDY GUIDES</v>
      </c>
      <c r="C57" s="10"/>
      <c r="D57" s="2">
        <f t="shared" ref="D57:D59" si="13">0</f>
        <v>0</v>
      </c>
      <c r="E57" s="2"/>
      <c r="F57" s="19"/>
      <c r="G57" s="2"/>
      <c r="H57" s="2">
        <f>--7.02</f>
        <v>7.02</v>
      </c>
      <c r="I57" s="2"/>
      <c r="J57" s="19"/>
      <c r="K57" s="2"/>
      <c r="L57" s="2">
        <f t="shared" si="0"/>
        <v>-7.02</v>
      </c>
      <c r="M57" s="2"/>
      <c r="N57" s="19">
        <f t="shared" si="1"/>
        <v>-1</v>
      </c>
      <c r="O57" s="10"/>
      <c r="P57" s="2">
        <f>--771.73</f>
        <v>771.73</v>
      </c>
      <c r="Q57" s="2"/>
      <c r="R57" s="19"/>
      <c r="S57" s="2"/>
      <c r="T57" s="2">
        <f>--68.92</f>
        <v>68.92</v>
      </c>
      <c r="U57" s="2"/>
      <c r="V57" s="19"/>
      <c r="W57" s="2"/>
      <c r="X57" s="2">
        <f t="shared" si="2"/>
        <v>702.81000000000006</v>
      </c>
      <c r="Y57" s="2"/>
      <c r="Z57" s="19">
        <f t="shared" si="3"/>
        <v>10.197475333720256</v>
      </c>
    </row>
    <row r="58" spans="1:26" s="23" customFormat="1" hidden="1" outlineLevel="1" x14ac:dyDescent="0.25">
      <c r="A58" s="44"/>
      <c r="B58" s="10" t="str">
        <f>CONCATENATE("          ", "4125", " - ", "NON-TAXABLE SALES-TEST FORMS")</f>
        <v xml:space="preserve">          4125 - NON-TAXABLE SALES-TEST FORMS</v>
      </c>
      <c r="C58" s="10"/>
      <c r="D58" s="2">
        <f t="shared" si="13"/>
        <v>0</v>
      </c>
      <c r="E58" s="2"/>
      <c r="F58" s="19"/>
      <c r="G58" s="2"/>
      <c r="H58" s="2">
        <f>--4.54</f>
        <v>4.54</v>
      </c>
      <c r="I58" s="2"/>
      <c r="J58" s="19"/>
      <c r="K58" s="2"/>
      <c r="L58" s="2">
        <f t="shared" si="0"/>
        <v>-4.54</v>
      </c>
      <c r="M58" s="2"/>
      <c r="N58" s="19">
        <f t="shared" si="1"/>
        <v>-1</v>
      </c>
      <c r="O58" s="10"/>
      <c r="P58" s="2">
        <f>0</f>
        <v>0</v>
      </c>
      <c r="Q58" s="2"/>
      <c r="R58" s="19"/>
      <c r="S58" s="2"/>
      <c r="T58" s="2">
        <f>--267.61</f>
        <v>267.61</v>
      </c>
      <c r="U58" s="2"/>
      <c r="V58" s="19"/>
      <c r="W58" s="2"/>
      <c r="X58" s="2">
        <f t="shared" si="2"/>
        <v>-267.61</v>
      </c>
      <c r="Y58" s="2"/>
      <c r="Z58" s="19">
        <f t="shared" si="3"/>
        <v>-1</v>
      </c>
    </row>
    <row r="59" spans="1:26" s="23" customFormat="1" hidden="1" outlineLevel="1" x14ac:dyDescent="0.25">
      <c r="A59" s="44"/>
      <c r="B59" s="10" t="str">
        <f>CONCATENATE("          ", "4126", " - ", "NON-TAXABLE SALES-WRITING INST")</f>
        <v xml:space="preserve">          4126 - NON-TAXABLE SALES-WRITING INST</v>
      </c>
      <c r="C59" s="10"/>
      <c r="D59" s="2">
        <f t="shared" si="13"/>
        <v>0</v>
      </c>
      <c r="E59" s="2"/>
      <c r="F59" s="19"/>
      <c r="G59" s="2"/>
      <c r="H59" s="2">
        <f>--110.71</f>
        <v>110.71</v>
      </c>
      <c r="I59" s="2"/>
      <c r="J59" s="19"/>
      <c r="K59" s="2"/>
      <c r="L59" s="2">
        <f t="shared" si="0"/>
        <v>-110.71</v>
      </c>
      <c r="M59" s="2"/>
      <c r="N59" s="19">
        <f t="shared" si="1"/>
        <v>-1</v>
      </c>
      <c r="O59" s="10"/>
      <c r="P59" s="2">
        <f>--52.68</f>
        <v>52.68</v>
      </c>
      <c r="Q59" s="2"/>
      <c r="R59" s="19"/>
      <c r="S59" s="2"/>
      <c r="T59" s="2">
        <f>--3017.29</f>
        <v>3017.29</v>
      </c>
      <c r="U59" s="2"/>
      <c r="V59" s="19"/>
      <c r="W59" s="2"/>
      <c r="X59" s="2">
        <f t="shared" si="2"/>
        <v>-2964.61</v>
      </c>
      <c r="Y59" s="2"/>
      <c r="Z59" s="19">
        <f t="shared" si="3"/>
        <v>-0.98254062420251287</v>
      </c>
    </row>
    <row r="60" spans="1:26" s="23" customFormat="1" hidden="1" outlineLevel="1" x14ac:dyDescent="0.25">
      <c r="A60" s="44"/>
      <c r="B60" s="10" t="str">
        <f>CONCATENATE("          ", "4127", " - ", "NON-TAXABLE SALES-SCHOOL SUPPL")</f>
        <v xml:space="preserve">          4127 - NON-TAXABLE SALES-SCHOOL SUPPL</v>
      </c>
      <c r="C60" s="10"/>
      <c r="D60" s="2">
        <f>--389.95</f>
        <v>389.95</v>
      </c>
      <c r="E60" s="2"/>
      <c r="F60" s="19"/>
      <c r="G60" s="2"/>
      <c r="H60" s="2">
        <f>--53.81</f>
        <v>53.81</v>
      </c>
      <c r="I60" s="2"/>
      <c r="J60" s="19"/>
      <c r="K60" s="2"/>
      <c r="L60" s="2">
        <f t="shared" si="0"/>
        <v>336.14</v>
      </c>
      <c r="M60" s="2"/>
      <c r="N60" s="19">
        <f t="shared" si="1"/>
        <v>6.246794276156848</v>
      </c>
      <c r="O60" s="10"/>
      <c r="P60" s="2">
        <f>--6607.31</f>
        <v>6607.31</v>
      </c>
      <c r="Q60" s="2"/>
      <c r="R60" s="19"/>
      <c r="S60" s="2"/>
      <c r="T60" s="2">
        <f>--4716.22</f>
        <v>4716.22</v>
      </c>
      <c r="U60" s="2"/>
      <c r="V60" s="19"/>
      <c r="W60" s="2"/>
      <c r="X60" s="2">
        <f t="shared" si="2"/>
        <v>1891.0900000000001</v>
      </c>
      <c r="Y60" s="2"/>
      <c r="Z60" s="19">
        <f t="shared" si="3"/>
        <v>0.40097578145209511</v>
      </c>
    </row>
    <row r="61" spans="1:26" s="23" customFormat="1" hidden="1" outlineLevel="1" x14ac:dyDescent="0.25">
      <c r="A61" s="44"/>
      <c r="B61" s="10" t="str">
        <f>CONCATENATE("          ", "4128", " - ", "NON-TAXABLE SALES-ART/TECH")</f>
        <v xml:space="preserve">          4128 - NON-TAXABLE SALES-ART/TECH</v>
      </c>
      <c r="C61" s="10"/>
      <c r="D61" s="2">
        <f>0</f>
        <v>0</v>
      </c>
      <c r="E61" s="2"/>
      <c r="F61" s="19"/>
      <c r="G61" s="2"/>
      <c r="H61" s="2">
        <f>--52.12</f>
        <v>52.12</v>
      </c>
      <c r="I61" s="2"/>
      <c r="J61" s="19"/>
      <c r="K61" s="2"/>
      <c r="L61" s="2">
        <f t="shared" si="0"/>
        <v>-52.12</v>
      </c>
      <c r="M61" s="2"/>
      <c r="N61" s="19">
        <f t="shared" si="1"/>
        <v>-1</v>
      </c>
      <c r="O61" s="10"/>
      <c r="P61" s="2">
        <f>--38.58</f>
        <v>38.58</v>
      </c>
      <c r="Q61" s="2"/>
      <c r="R61" s="19"/>
      <c r="S61" s="2"/>
      <c r="T61" s="2">
        <f>--730.62</f>
        <v>730.62</v>
      </c>
      <c r="U61" s="2"/>
      <c r="V61" s="19"/>
      <c r="W61" s="2"/>
      <c r="X61" s="2">
        <f t="shared" si="2"/>
        <v>-692.04</v>
      </c>
      <c r="Y61" s="2"/>
      <c r="Z61" s="19">
        <f t="shared" si="3"/>
        <v>-0.94719553256138611</v>
      </c>
    </row>
    <row r="62" spans="1:26" s="23" customFormat="1" hidden="1" outlineLevel="1" x14ac:dyDescent="0.25">
      <c r="A62" s="44"/>
      <c r="B62" s="10" t="str">
        <f>CONCATENATE("          ", "4131", " - ", "NON-TAXABLE SALES-FOOD")</f>
        <v xml:space="preserve">          4131 - NON-TAXABLE SALES-FOOD</v>
      </c>
      <c r="C62" s="10"/>
      <c r="D62" s="2">
        <f>--829.28</f>
        <v>829.28</v>
      </c>
      <c r="E62" s="2"/>
      <c r="F62" s="19"/>
      <c r="G62" s="2"/>
      <c r="H62" s="2">
        <f>--4482.02</f>
        <v>4482.0200000000004</v>
      </c>
      <c r="I62" s="2"/>
      <c r="J62" s="19"/>
      <c r="K62" s="2"/>
      <c r="L62" s="2">
        <f t="shared" si="0"/>
        <v>-3652.7400000000007</v>
      </c>
      <c r="M62" s="2"/>
      <c r="N62" s="19">
        <f t="shared" si="1"/>
        <v>-0.81497628301524772</v>
      </c>
      <c r="O62" s="10"/>
      <c r="P62" s="2">
        <f>--10404.43</f>
        <v>10404.43</v>
      </c>
      <c r="Q62" s="2"/>
      <c r="R62" s="19"/>
      <c r="S62" s="2"/>
      <c r="T62" s="2">
        <f>--57883.57</f>
        <v>57883.57</v>
      </c>
      <c r="U62" s="2"/>
      <c r="V62" s="19"/>
      <c r="W62" s="2"/>
      <c r="X62" s="2">
        <f t="shared" si="2"/>
        <v>-47479.14</v>
      </c>
      <c r="Y62" s="2"/>
      <c r="Z62" s="19">
        <f t="shared" si="3"/>
        <v>-0.82025244814720311</v>
      </c>
    </row>
    <row r="63" spans="1:26" s="23" customFormat="1" hidden="1" outlineLevel="1" x14ac:dyDescent="0.25">
      <c r="A63" s="44"/>
      <c r="B63" s="10" t="str">
        <f>CONCATENATE("          ", "4132", " - ", "NON-TAXABLE SALES-JUICE")</f>
        <v xml:space="preserve">          4132 - NON-TAXABLE SALES-JUICE</v>
      </c>
      <c r="C63" s="10"/>
      <c r="D63" s="2">
        <f t="shared" ref="D63:D67" si="14">0</f>
        <v>0</v>
      </c>
      <c r="E63" s="2"/>
      <c r="F63" s="19"/>
      <c r="G63" s="2"/>
      <c r="H63" s="2">
        <f>--1150.46</f>
        <v>1150.46</v>
      </c>
      <c r="I63" s="2"/>
      <c r="J63" s="19"/>
      <c r="K63" s="2"/>
      <c r="L63" s="2">
        <f t="shared" si="0"/>
        <v>-1150.46</v>
      </c>
      <c r="M63" s="2"/>
      <c r="N63" s="19">
        <f t="shared" si="1"/>
        <v>-1</v>
      </c>
      <c r="O63" s="10"/>
      <c r="P63" s="2">
        <f>--22.49</f>
        <v>22.49</v>
      </c>
      <c r="Q63" s="2"/>
      <c r="R63" s="19"/>
      <c r="S63" s="2"/>
      <c r="T63" s="2">
        <f>--16199.63</f>
        <v>16199.63</v>
      </c>
      <c r="U63" s="2"/>
      <c r="V63" s="19"/>
      <c r="W63" s="2"/>
      <c r="X63" s="2">
        <f t="shared" si="2"/>
        <v>-16177.14</v>
      </c>
      <c r="Y63" s="2"/>
      <c r="Z63" s="19">
        <f t="shared" si="3"/>
        <v>-0.99861169668689964</v>
      </c>
    </row>
    <row r="64" spans="1:26" s="23" customFormat="1" hidden="1" outlineLevel="1" x14ac:dyDescent="0.25">
      <c r="A64" s="44"/>
      <c r="B64" s="10" t="str">
        <f>CONCATENATE("          ", "4133", " - ", "NON-TAXABLE SALES-CANDY")</f>
        <v xml:space="preserve">          4133 - NON-TAXABLE SALES-CANDY</v>
      </c>
      <c r="C64" s="10"/>
      <c r="D64" s="2">
        <f t="shared" si="14"/>
        <v>0</v>
      </c>
      <c r="E64" s="2"/>
      <c r="F64" s="19"/>
      <c r="G64" s="2"/>
      <c r="H64" s="2">
        <f>--1261.31</f>
        <v>1261.31</v>
      </c>
      <c r="I64" s="2"/>
      <c r="J64" s="19"/>
      <c r="K64" s="2"/>
      <c r="L64" s="2">
        <f t="shared" si="0"/>
        <v>-1261.31</v>
      </c>
      <c r="M64" s="2"/>
      <c r="N64" s="19">
        <f t="shared" si="1"/>
        <v>-1</v>
      </c>
      <c r="O64" s="10"/>
      <c r="P64" s="2">
        <f>--80.71</f>
        <v>80.709999999999994</v>
      </c>
      <c r="Q64" s="2"/>
      <c r="R64" s="19"/>
      <c r="S64" s="2"/>
      <c r="T64" s="2">
        <f>--18084.29</f>
        <v>18084.29</v>
      </c>
      <c r="U64" s="2"/>
      <c r="V64" s="19"/>
      <c r="W64" s="2"/>
      <c r="X64" s="2">
        <f t="shared" si="2"/>
        <v>-18003.580000000002</v>
      </c>
      <c r="Y64" s="2"/>
      <c r="Z64" s="19">
        <f t="shared" si="3"/>
        <v>-0.99553701030010033</v>
      </c>
    </row>
    <row r="65" spans="1:26" s="23" customFormat="1" hidden="1" outlineLevel="1" x14ac:dyDescent="0.25">
      <c r="A65" s="44"/>
      <c r="B65" s="10" t="str">
        <f>CONCATENATE("          ", "4134", " - ", "NON-TAXABLE SALES-SODA")</f>
        <v xml:space="preserve">          4134 - NON-TAXABLE SALES-SODA</v>
      </c>
      <c r="C65" s="10"/>
      <c r="D65" s="2">
        <f t="shared" si="14"/>
        <v>0</v>
      </c>
      <c r="E65" s="2"/>
      <c r="F65" s="19"/>
      <c r="G65" s="2"/>
      <c r="H65" s="2">
        <f t="shared" ref="H65:H66" si="15"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0"/>
      <c r="P65" s="2">
        <f>--45.53</f>
        <v>45.53</v>
      </c>
      <c r="Q65" s="2"/>
      <c r="R65" s="19"/>
      <c r="S65" s="2"/>
      <c r="T65" s="2">
        <f>--1.89</f>
        <v>1.89</v>
      </c>
      <c r="U65" s="2"/>
      <c r="V65" s="19"/>
      <c r="W65" s="2"/>
      <c r="X65" s="2">
        <f t="shared" si="2"/>
        <v>43.64</v>
      </c>
      <c r="Y65" s="2"/>
      <c r="Z65" s="19">
        <f t="shared" si="3"/>
        <v>23.089947089947092</v>
      </c>
    </row>
    <row r="66" spans="1:26" s="23" customFormat="1" hidden="1" outlineLevel="1" x14ac:dyDescent="0.25">
      <c r="A66" s="44"/>
      <c r="B66" s="10" t="str">
        <f>CONCATENATE("          ", "4135", " - ", "NON-TAXABLE SALES")</f>
        <v xml:space="preserve">          4135 - NON-TAXABLE SALES</v>
      </c>
      <c r="C66" s="10"/>
      <c r="D66" s="2">
        <f t="shared" si="14"/>
        <v>0</v>
      </c>
      <c r="E66" s="2"/>
      <c r="F66" s="19"/>
      <c r="G66" s="2"/>
      <c r="H66" s="2">
        <f t="shared" si="15"/>
        <v>0</v>
      </c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0"/>
      <c r="P66" s="2">
        <f>0</f>
        <v>0</v>
      </c>
      <c r="Q66" s="2"/>
      <c r="R66" s="19"/>
      <c r="S66" s="2"/>
      <c r="T66" s="2">
        <f>--161.4</f>
        <v>161.4</v>
      </c>
      <c r="U66" s="2"/>
      <c r="V66" s="19"/>
      <c r="W66" s="2"/>
      <c r="X66" s="2">
        <f t="shared" si="2"/>
        <v>-161.4</v>
      </c>
      <c r="Y66" s="2"/>
      <c r="Z66" s="19">
        <f t="shared" si="3"/>
        <v>-1</v>
      </c>
    </row>
    <row r="67" spans="1:26" s="23" customFormat="1" hidden="1" outlineLevel="1" x14ac:dyDescent="0.25">
      <c r="A67" s="44"/>
      <c r="B67" s="10" t="str">
        <f>CONCATENATE("          ", "4137", " - ", "NON-TAXABLE SALES-WATER")</f>
        <v xml:space="preserve">          4137 - NON-TAXABLE SALES-WATER</v>
      </c>
      <c r="C67" s="10"/>
      <c r="D67" s="2">
        <f t="shared" si="14"/>
        <v>0</v>
      </c>
      <c r="E67" s="2"/>
      <c r="F67" s="19"/>
      <c r="G67" s="2"/>
      <c r="H67" s="2">
        <f>--630.5</f>
        <v>630.5</v>
      </c>
      <c r="I67" s="2"/>
      <c r="J67" s="19"/>
      <c r="K67" s="2"/>
      <c r="L67" s="2">
        <f t="shared" si="0"/>
        <v>-630.5</v>
      </c>
      <c r="M67" s="2"/>
      <c r="N67" s="19">
        <f t="shared" si="1"/>
        <v>-1</v>
      </c>
      <c r="O67" s="10"/>
      <c r="P67" s="2">
        <f>--68.25</f>
        <v>68.25</v>
      </c>
      <c r="Q67" s="2"/>
      <c r="R67" s="19"/>
      <c r="S67" s="2"/>
      <c r="T67" s="2">
        <f>--8519.06</f>
        <v>8519.06</v>
      </c>
      <c r="U67" s="2"/>
      <c r="V67" s="19"/>
      <c r="W67" s="2"/>
      <c r="X67" s="2">
        <f t="shared" si="2"/>
        <v>-8450.81</v>
      </c>
      <c r="Y67" s="2"/>
      <c r="Z67" s="19">
        <f t="shared" si="3"/>
        <v>-0.99198855272764841</v>
      </c>
    </row>
    <row r="68" spans="1:26" s="23" customFormat="1" hidden="1" outlineLevel="1" x14ac:dyDescent="0.25">
      <c r="A68" s="44"/>
      <c r="B68" s="10" t="str">
        <f>CONCATENATE("          ", "4140", " - ", "NON-TAXABLE SALES-LOGO CLOTHIN")</f>
        <v xml:space="preserve">          4140 - NON-TAXABLE SALES-LOGO CLOTHIN</v>
      </c>
      <c r="C68" s="10"/>
      <c r="D68" s="2">
        <f>--16626.41</f>
        <v>16626.41</v>
      </c>
      <c r="E68" s="2"/>
      <c r="F68" s="19"/>
      <c r="G68" s="2"/>
      <c r="H68" s="2">
        <f>--5466.31</f>
        <v>5466.31</v>
      </c>
      <c r="I68" s="2"/>
      <c r="J68" s="19"/>
      <c r="K68" s="2"/>
      <c r="L68" s="2">
        <f t="shared" si="0"/>
        <v>11160.099999999999</v>
      </c>
      <c r="M68" s="2"/>
      <c r="N68" s="19">
        <f t="shared" si="1"/>
        <v>2.0416149102410945</v>
      </c>
      <c r="O68" s="10"/>
      <c r="P68" s="2">
        <f>--131751.69</f>
        <v>131751.69</v>
      </c>
      <c r="Q68" s="2"/>
      <c r="R68" s="19"/>
      <c r="S68" s="2"/>
      <c r="T68" s="2">
        <f>--48048.98</f>
        <v>48048.98</v>
      </c>
      <c r="U68" s="2"/>
      <c r="V68" s="19"/>
      <c r="W68" s="2"/>
      <c r="X68" s="2">
        <f t="shared" si="2"/>
        <v>83702.709999999992</v>
      </c>
      <c r="Y68" s="2"/>
      <c r="Z68" s="19">
        <f t="shared" si="3"/>
        <v>1.7420288630476648</v>
      </c>
    </row>
    <row r="69" spans="1:26" s="23" customFormat="1" hidden="1" outlineLevel="1" x14ac:dyDescent="0.25">
      <c r="A69" s="44"/>
      <c r="B69" s="10" t="str">
        <f>CONCATENATE("          ", "4141", " - ", "NON-TAXABLE SALES-LOGO GIFTS")</f>
        <v xml:space="preserve">          4141 - NON-TAXABLE SALES-LOGO GIFTS</v>
      </c>
      <c r="C69" s="10"/>
      <c r="D69" s="2">
        <f>--1055.22</f>
        <v>1055.22</v>
      </c>
      <c r="E69" s="2"/>
      <c r="F69" s="19"/>
      <c r="G69" s="2"/>
      <c r="H69" s="2">
        <f>--242.39</f>
        <v>242.39</v>
      </c>
      <c r="I69" s="2"/>
      <c r="J69" s="19"/>
      <c r="K69" s="2"/>
      <c r="L69" s="2">
        <f t="shared" si="0"/>
        <v>812.83</v>
      </c>
      <c r="M69" s="2"/>
      <c r="N69" s="19">
        <f t="shared" si="1"/>
        <v>3.3533974173852061</v>
      </c>
      <c r="O69" s="10"/>
      <c r="P69" s="2">
        <f>--9568.24</f>
        <v>9568.24</v>
      </c>
      <c r="Q69" s="2"/>
      <c r="R69" s="19"/>
      <c r="S69" s="2"/>
      <c r="T69" s="2">
        <f>--10914.56</f>
        <v>10914.56</v>
      </c>
      <c r="U69" s="2"/>
      <c r="V69" s="19"/>
      <c r="W69" s="2"/>
      <c r="X69" s="2">
        <f t="shared" si="2"/>
        <v>-1346.3199999999997</v>
      </c>
      <c r="Y69" s="2"/>
      <c r="Z69" s="19">
        <f t="shared" si="3"/>
        <v>-0.12335082678550485</v>
      </c>
    </row>
    <row r="70" spans="1:26" s="23" customFormat="1" hidden="1" outlineLevel="1" x14ac:dyDescent="0.25">
      <c r="A70" s="44"/>
      <c r="B70" s="10" t="str">
        <f>CONCATENATE("          ", "4142", " - ", "NON-TAXABLE SALES-EVERYDAY GIF")</f>
        <v xml:space="preserve">          4142 - NON-TAXABLE SALES-EVERYDAY GIF</v>
      </c>
      <c r="C70" s="10"/>
      <c r="D70" s="2">
        <f>--16.9</f>
        <v>16.899999999999999</v>
      </c>
      <c r="E70" s="2"/>
      <c r="F70" s="19"/>
      <c r="G70" s="2"/>
      <c r="H70" s="2">
        <f>--48.58</f>
        <v>48.58</v>
      </c>
      <c r="I70" s="2"/>
      <c r="J70" s="19"/>
      <c r="K70" s="2"/>
      <c r="L70" s="2">
        <f t="shared" si="0"/>
        <v>-31.68</v>
      </c>
      <c r="M70" s="2"/>
      <c r="N70" s="19">
        <f t="shared" si="1"/>
        <v>-0.65212021407986831</v>
      </c>
      <c r="O70" s="10"/>
      <c r="P70" s="2">
        <f>--2281.37</f>
        <v>2281.37</v>
      </c>
      <c r="Q70" s="2"/>
      <c r="R70" s="19"/>
      <c r="S70" s="2"/>
      <c r="T70" s="2">
        <f>--13741.43</f>
        <v>13741.43</v>
      </c>
      <c r="U70" s="2"/>
      <c r="V70" s="19"/>
      <c r="W70" s="2"/>
      <c r="X70" s="2">
        <f t="shared" si="2"/>
        <v>-11460.060000000001</v>
      </c>
      <c r="Y70" s="2"/>
      <c r="Z70" s="19">
        <f t="shared" si="3"/>
        <v>-0.83397870527303208</v>
      </c>
    </row>
    <row r="71" spans="1:26" s="23" customFormat="1" hidden="1" outlineLevel="1" x14ac:dyDescent="0.25">
      <c r="A71" s="44"/>
      <c r="B71" s="10" t="str">
        <f>CONCATENATE("          ", "4143", " - ", "NON-TAXABLE SALES-CARDS")</f>
        <v xml:space="preserve">          4143 - NON-TAXABLE SALES-CARDS</v>
      </c>
      <c r="C71" s="10"/>
      <c r="D71" s="2">
        <f>--261.82</f>
        <v>261.82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261.82</v>
      </c>
      <c r="M71" s="2"/>
      <c r="N71" s="19">
        <f t="shared" si="1"/>
        <v>0</v>
      </c>
      <c r="O71" s="10"/>
      <c r="P71" s="2">
        <f>--2381.48</f>
        <v>2381.48</v>
      </c>
      <c r="Q71" s="2"/>
      <c r="R71" s="19"/>
      <c r="S71" s="2"/>
      <c r="T71" s="2">
        <f>--9.99</f>
        <v>9.99</v>
      </c>
      <c r="U71" s="2"/>
      <c r="V71" s="19"/>
      <c r="W71" s="2"/>
      <c r="X71" s="2">
        <f t="shared" si="2"/>
        <v>2371.4900000000002</v>
      </c>
      <c r="Y71" s="2"/>
      <c r="Z71" s="19">
        <f t="shared" si="3"/>
        <v>237.38638638638639</v>
      </c>
    </row>
    <row r="72" spans="1:26" s="23" customFormat="1" hidden="1" outlineLevel="1" x14ac:dyDescent="0.25">
      <c r="A72" s="44"/>
      <c r="B72" s="10" t="str">
        <f>CONCATENATE("          ", "4144", " - ", "NON-TAXABLE SALES-ACCESSORIES")</f>
        <v xml:space="preserve">          4144 - NON-TAXABLE SALES-ACCESSORIES</v>
      </c>
      <c r="C72" s="10"/>
      <c r="D72" s="2">
        <f>--29.9</f>
        <v>29.9</v>
      </c>
      <c r="E72" s="2"/>
      <c r="F72" s="19"/>
      <c r="G72" s="2"/>
      <c r="H72" s="2">
        <f>--150</f>
        <v>150</v>
      </c>
      <c r="I72" s="2"/>
      <c r="J72" s="19"/>
      <c r="K72" s="2"/>
      <c r="L72" s="2">
        <f t="shared" si="0"/>
        <v>-120.1</v>
      </c>
      <c r="M72" s="2"/>
      <c r="N72" s="19">
        <f t="shared" si="1"/>
        <v>-0.80066666666666664</v>
      </c>
      <c r="O72" s="10"/>
      <c r="P72" s="2">
        <f>--679.25</f>
        <v>679.25</v>
      </c>
      <c r="Q72" s="2"/>
      <c r="R72" s="19"/>
      <c r="S72" s="2"/>
      <c r="T72" s="2">
        <f>--2040.27</f>
        <v>2040.27</v>
      </c>
      <c r="U72" s="2"/>
      <c r="V72" s="19"/>
      <c r="W72" s="2"/>
      <c r="X72" s="2">
        <f t="shared" si="2"/>
        <v>-1361.02</v>
      </c>
      <c r="Y72" s="2"/>
      <c r="Z72" s="19">
        <f t="shared" si="3"/>
        <v>-0.66707837688149119</v>
      </c>
    </row>
    <row r="73" spans="1:26" s="23" customFormat="1" hidden="1" outlineLevel="1" x14ac:dyDescent="0.25">
      <c r="A73" s="44"/>
      <c r="B73" s="10" t="str">
        <f>CONCATENATE("          ", "4145", " - ", "NON-TAXABLE SALES-SPECIAL ORDE")</f>
        <v xml:space="preserve">          4145 - NON-TAXABLE SALES-SPECIAL ORDE</v>
      </c>
      <c r="C73" s="10"/>
      <c r="D73" s="2">
        <f>0</f>
        <v>0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0"/>
      <c r="P73" s="2">
        <f>--53716.09</f>
        <v>53716.09</v>
      </c>
      <c r="Q73" s="2"/>
      <c r="R73" s="19"/>
      <c r="S73" s="2"/>
      <c r="T73" s="2">
        <f>--140</f>
        <v>140</v>
      </c>
      <c r="U73" s="2"/>
      <c r="V73" s="19"/>
      <c r="W73" s="2"/>
      <c r="X73" s="2">
        <f t="shared" si="2"/>
        <v>53576.09</v>
      </c>
      <c r="Y73" s="2"/>
      <c r="Z73" s="19">
        <f t="shared" si="3"/>
        <v>382.6863571428571</v>
      </c>
    </row>
    <row r="74" spans="1:26" s="23" customFormat="1" hidden="1" outlineLevel="1" x14ac:dyDescent="0.25">
      <c r="A74" s="44"/>
      <c r="B74" s="10" t="str">
        <f>CONCATENATE("          ", "4146", " - ", "NON-TAXABLE SALES-COIN OP MACH")</f>
        <v xml:space="preserve">          4146 - NON-TAXABLE SALES-COIN OP MACH</v>
      </c>
      <c r="C74" s="10"/>
      <c r="D74" s="2">
        <f>--90.7</f>
        <v>90.7</v>
      </c>
      <c r="E74" s="2"/>
      <c r="F74" s="19"/>
      <c r="G74" s="2"/>
      <c r="H74" s="2">
        <f>--13383.2</f>
        <v>13383.2</v>
      </c>
      <c r="I74" s="2"/>
      <c r="J74" s="19"/>
      <c r="K74" s="2"/>
      <c r="L74" s="2">
        <f t="shared" si="0"/>
        <v>-13292.5</v>
      </c>
      <c r="M74" s="2"/>
      <c r="N74" s="19">
        <f t="shared" si="1"/>
        <v>-0.99322284655388837</v>
      </c>
      <c r="O74" s="10"/>
      <c r="P74" s="2">
        <f>--299.1</f>
        <v>299.10000000000002</v>
      </c>
      <c r="Q74" s="2"/>
      <c r="R74" s="19"/>
      <c r="S74" s="2"/>
      <c r="T74" s="2">
        <f>--205786.95</f>
        <v>205786.95</v>
      </c>
      <c r="U74" s="2"/>
      <c r="V74" s="19"/>
      <c r="W74" s="2"/>
      <c r="X74" s="2">
        <f t="shared" si="2"/>
        <v>-205487.85</v>
      </c>
      <c r="Y74" s="2"/>
      <c r="Z74" s="19">
        <f t="shared" si="3"/>
        <v>-0.99854655506580958</v>
      </c>
    </row>
    <row r="75" spans="1:26" s="23" customFormat="1" hidden="1" outlineLevel="1" x14ac:dyDescent="0.25">
      <c r="A75" s="44"/>
      <c r="B75" s="10" t="str">
        <f>CONCATENATE("          ", "4147", " - ", "NON-TAXABLE SALES-MISC")</f>
        <v xml:space="preserve">          4147 - NON-TAXABLE SALES-MISC</v>
      </c>
      <c r="C75" s="10"/>
      <c r="D75" s="2">
        <f>--11</f>
        <v>11</v>
      </c>
      <c r="E75" s="2"/>
      <c r="F75" s="19"/>
      <c r="G75" s="2"/>
      <c r="H75" s="2">
        <f>--933.53</f>
        <v>933.53</v>
      </c>
      <c r="I75" s="2"/>
      <c r="J75" s="19"/>
      <c r="K75" s="2"/>
      <c r="L75" s="2">
        <f t="shared" si="0"/>
        <v>-922.53</v>
      </c>
      <c r="M75" s="2"/>
      <c r="N75" s="19">
        <f t="shared" si="1"/>
        <v>-0.98821676860947161</v>
      </c>
      <c r="O75" s="10"/>
      <c r="P75" s="2">
        <f>--143.5</f>
        <v>143.5</v>
      </c>
      <c r="Q75" s="2"/>
      <c r="R75" s="19"/>
      <c r="S75" s="2"/>
      <c r="T75" s="2">
        <f>--3436.37</f>
        <v>3436.37</v>
      </c>
      <c r="U75" s="2"/>
      <c r="V75" s="19"/>
      <c r="W75" s="2"/>
      <c r="X75" s="2">
        <f t="shared" si="2"/>
        <v>-3292.87</v>
      </c>
      <c r="Y75" s="2"/>
      <c r="Z75" s="19">
        <f t="shared" si="3"/>
        <v>-0.95824081807255912</v>
      </c>
    </row>
    <row r="76" spans="1:26" s="23" customFormat="1" hidden="1" outlineLevel="1" x14ac:dyDescent="0.25">
      <c r="A76" s="44"/>
      <c r="B76" s="10" t="str">
        <f>CONCATENATE("          ", "4181", " - ", "NON-TAXABLE SALES-ELECTRONICS")</f>
        <v xml:space="preserve">          4181 - NON-TAXABLE SALES-ELECTRONICS</v>
      </c>
      <c r="C76" s="10"/>
      <c r="D76" s="2">
        <f>--285.97</f>
        <v>285.97000000000003</v>
      </c>
      <c r="E76" s="2"/>
      <c r="F76" s="19"/>
      <c r="G76" s="2"/>
      <c r="H76" s="2">
        <f>--13.99</f>
        <v>13.99</v>
      </c>
      <c r="I76" s="2"/>
      <c r="J76" s="19"/>
      <c r="K76" s="2"/>
      <c r="L76" s="2">
        <f t="shared" si="0"/>
        <v>271.98</v>
      </c>
      <c r="M76" s="2"/>
      <c r="N76" s="19">
        <f t="shared" si="1"/>
        <v>19.441029306647607</v>
      </c>
      <c r="O76" s="10"/>
      <c r="P76" s="2">
        <f>--12478.63</f>
        <v>12478.63</v>
      </c>
      <c r="Q76" s="2"/>
      <c r="R76" s="19"/>
      <c r="S76" s="2"/>
      <c r="T76" s="2">
        <f>--2078.37</f>
        <v>2078.37</v>
      </c>
      <c r="U76" s="2"/>
      <c r="V76" s="19"/>
      <c r="W76" s="2"/>
      <c r="X76" s="2">
        <f t="shared" si="2"/>
        <v>10400.259999999998</v>
      </c>
      <c r="Y76" s="2"/>
      <c r="Z76" s="19">
        <f t="shared" si="3"/>
        <v>5.0040464402392253</v>
      </c>
    </row>
    <row r="77" spans="1:26" s="23" customFormat="1" hidden="1" outlineLevel="1" x14ac:dyDescent="0.25">
      <c r="A77" s="44"/>
      <c r="B77" s="10" t="str">
        <f>CONCATENATE("          ", "4182", " - ", "NON-TAXABLE SALES-COMPUTER HAR")</f>
        <v xml:space="preserve">          4182 - NON-TAXABLE SALES-COMPUTER HAR</v>
      </c>
      <c r="C77" s="10"/>
      <c r="D77" s="2">
        <f>--33767.84</f>
        <v>33767.839999999997</v>
      </c>
      <c r="E77" s="2"/>
      <c r="F77" s="19"/>
      <c r="G77" s="2"/>
      <c r="H77" s="2">
        <f>--20132</f>
        <v>20132</v>
      </c>
      <c r="I77" s="2"/>
      <c r="J77" s="19"/>
      <c r="K77" s="2"/>
      <c r="L77" s="2">
        <f t="shared" si="0"/>
        <v>13635.839999999997</v>
      </c>
      <c r="M77" s="2"/>
      <c r="N77" s="19">
        <f t="shared" si="1"/>
        <v>0.67732167693224699</v>
      </c>
      <c r="O77" s="10"/>
      <c r="P77" s="2">
        <f>--253414.83</f>
        <v>253414.83</v>
      </c>
      <c r="Q77" s="2"/>
      <c r="R77" s="19"/>
      <c r="S77" s="2"/>
      <c r="T77" s="2">
        <f>--118010.96</f>
        <v>118010.96</v>
      </c>
      <c r="U77" s="2"/>
      <c r="V77" s="19"/>
      <c r="W77" s="2"/>
      <c r="X77" s="2">
        <f t="shared" si="2"/>
        <v>135403.87</v>
      </c>
      <c r="Y77" s="2"/>
      <c r="Z77" s="19">
        <f t="shared" si="3"/>
        <v>1.1473838531607572</v>
      </c>
    </row>
    <row r="78" spans="1:26" s="23" customFormat="1" hidden="1" outlineLevel="1" x14ac:dyDescent="0.25">
      <c r="A78" s="44"/>
      <c r="B78" s="10" t="str">
        <f>CONCATENATE("          ", "4183", " - ", "NON-TAXABLE SALES-COMPUTER EQU")</f>
        <v xml:space="preserve">          4183 - NON-TAXABLE SALES-COMPUTER EQU</v>
      </c>
      <c r="C78" s="10"/>
      <c r="D78" s="2">
        <f>--2983.61</f>
        <v>2983.61</v>
      </c>
      <c r="E78" s="2"/>
      <c r="F78" s="19"/>
      <c r="G78" s="2"/>
      <c r="H78" s="2">
        <f>--705.91</f>
        <v>705.91</v>
      </c>
      <c r="I78" s="2"/>
      <c r="J78" s="19"/>
      <c r="K78" s="2"/>
      <c r="L78" s="2">
        <f t="shared" si="0"/>
        <v>2277.7000000000003</v>
      </c>
      <c r="M78" s="2"/>
      <c r="N78" s="19">
        <f t="shared" si="1"/>
        <v>3.226615290901107</v>
      </c>
      <c r="O78" s="10"/>
      <c r="P78" s="2">
        <f>--16606.43</f>
        <v>16606.43</v>
      </c>
      <c r="Q78" s="2"/>
      <c r="R78" s="19"/>
      <c r="S78" s="2"/>
      <c r="T78" s="2">
        <f>--6762.22</f>
        <v>6762.22</v>
      </c>
      <c r="U78" s="2"/>
      <c r="V78" s="19"/>
      <c r="W78" s="2"/>
      <c r="X78" s="2">
        <f t="shared" si="2"/>
        <v>9844.2099999999991</v>
      </c>
      <c r="Y78" s="2"/>
      <c r="Z78" s="19">
        <f t="shared" si="3"/>
        <v>1.4557660058383193</v>
      </c>
    </row>
    <row r="79" spans="1:26" s="23" customFormat="1" hidden="1" outlineLevel="1" x14ac:dyDescent="0.25">
      <c r="A79" s="44"/>
      <c r="B79" s="10" t="str">
        <f>CONCATENATE("          ", "4184", " - ", "NON-TAXABLE SALES-SOFTWARE LIC")</f>
        <v xml:space="preserve">          4184 - NON-TAXABLE SALES-SOFTWARE LIC</v>
      </c>
      <c r="C79" s="10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0"/>
      <c r="P79" s="2">
        <f>0</f>
        <v>0</v>
      </c>
      <c r="Q79" s="2"/>
      <c r="R79" s="19"/>
      <c r="S79" s="2"/>
      <c r="T79" s="2">
        <f>--2728</f>
        <v>2728</v>
      </c>
      <c r="U79" s="2"/>
      <c r="V79" s="19"/>
      <c r="W79" s="2"/>
      <c r="X79" s="2">
        <f t="shared" si="2"/>
        <v>-2728</v>
      </c>
      <c r="Y79" s="2"/>
      <c r="Z79" s="19">
        <f t="shared" si="3"/>
        <v>-1</v>
      </c>
    </row>
    <row r="80" spans="1:26" s="23" customFormat="1" hidden="1" outlineLevel="1" x14ac:dyDescent="0.25">
      <c r="A80" s="44"/>
      <c r="B80" s="10" t="str">
        <f>CONCATENATE("          ", "4185", " - ", "NON-TAXABLE SALES-SOFTWARE")</f>
        <v xml:space="preserve">          4185 - NON-TAXABLE SALES-SOFTWARE</v>
      </c>
      <c r="C80" s="10"/>
      <c r="D80" s="2">
        <f>--3559.59</f>
        <v>3559.59</v>
      </c>
      <c r="E80" s="2"/>
      <c r="F80" s="19"/>
      <c r="G80" s="2"/>
      <c r="H80" s="2">
        <f>--976.95</f>
        <v>976.95</v>
      </c>
      <c r="I80" s="2"/>
      <c r="J80" s="19"/>
      <c r="K80" s="2"/>
      <c r="L80" s="2">
        <f t="shared" si="0"/>
        <v>2582.6400000000003</v>
      </c>
      <c r="M80" s="2"/>
      <c r="N80" s="19">
        <f t="shared" si="1"/>
        <v>2.6435743896821742</v>
      </c>
      <c r="O80" s="10"/>
      <c r="P80" s="2">
        <f>--38686.78</f>
        <v>38686.78</v>
      </c>
      <c r="Q80" s="2"/>
      <c r="R80" s="19"/>
      <c r="S80" s="2"/>
      <c r="T80" s="2">
        <f>--13122.74</f>
        <v>13122.74</v>
      </c>
      <c r="U80" s="2"/>
      <c r="V80" s="19"/>
      <c r="W80" s="2"/>
      <c r="X80" s="2">
        <f t="shared" si="2"/>
        <v>25564.04</v>
      </c>
      <c r="Y80" s="2"/>
      <c r="Z80" s="19">
        <f t="shared" si="3"/>
        <v>1.9480718203667833</v>
      </c>
    </row>
    <row r="81" spans="1:26" s="23" customFormat="1" hidden="1" outlineLevel="1" x14ac:dyDescent="0.25">
      <c r="A81" s="44"/>
      <c r="B81" s="10" t="str">
        <f>CONCATENATE("          ", "4186", " - ", "NON-TAXABLE SALES-COMPUTER SUP")</f>
        <v xml:space="preserve">          4186 - NON-TAXABLE SALES-COMPUTER SUP</v>
      </c>
      <c r="C81" s="10"/>
      <c r="D81" s="2">
        <f>--424.94</f>
        <v>424.94</v>
      </c>
      <c r="E81" s="2"/>
      <c r="F81" s="19"/>
      <c r="G81" s="2"/>
      <c r="H81" s="2">
        <f>--149.98</f>
        <v>149.97999999999999</v>
      </c>
      <c r="I81" s="2"/>
      <c r="J81" s="19"/>
      <c r="K81" s="2"/>
      <c r="L81" s="2">
        <f t="shared" si="0"/>
        <v>274.96000000000004</v>
      </c>
      <c r="M81" s="2"/>
      <c r="N81" s="19">
        <f t="shared" si="1"/>
        <v>1.8333111081477533</v>
      </c>
      <c r="O81" s="10"/>
      <c r="P81" s="2">
        <f>--3255.2</f>
        <v>3255.2</v>
      </c>
      <c r="Q81" s="2"/>
      <c r="R81" s="19"/>
      <c r="S81" s="2"/>
      <c r="T81" s="2">
        <f>--2619.19</f>
        <v>2619.19</v>
      </c>
      <c r="U81" s="2"/>
      <c r="V81" s="19"/>
      <c r="W81" s="2"/>
      <c r="X81" s="2">
        <f t="shared" si="2"/>
        <v>636.00999999999976</v>
      </c>
      <c r="Y81" s="2"/>
      <c r="Z81" s="19">
        <f t="shared" si="3"/>
        <v>0.24282698086049495</v>
      </c>
    </row>
    <row r="82" spans="1:26" s="23" customFormat="1" hidden="1" outlineLevel="1" x14ac:dyDescent="0.25">
      <c r="A82" s="44"/>
      <c r="B82" s="10" t="str">
        <f>CONCATENATE("          ", "4188", " - ", "NON-TAXABLE SALES-MUSIC")</f>
        <v xml:space="preserve">          4188 - NON-TAXABLE SALES-MUSIC</v>
      </c>
      <c r="C82" s="10"/>
      <c r="D82" s="2">
        <f>0</f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0"/>
      <c r="P82" s="2">
        <f>0</f>
        <v>0</v>
      </c>
      <c r="Q82" s="2"/>
      <c r="R82" s="19"/>
      <c r="S82" s="2"/>
      <c r="T82" s="2">
        <f>--219.96</f>
        <v>219.96</v>
      </c>
      <c r="U82" s="2"/>
      <c r="V82" s="19"/>
      <c r="W82" s="2"/>
      <c r="X82" s="2">
        <f t="shared" si="2"/>
        <v>-219.96</v>
      </c>
      <c r="Y82" s="2"/>
      <c r="Z82" s="19">
        <f t="shared" si="3"/>
        <v>-1</v>
      </c>
    </row>
    <row r="83" spans="1:26" s="23" customFormat="1" hidden="1" outlineLevel="1" x14ac:dyDescent="0.25">
      <c r="A83" s="44"/>
      <c r="B83" s="10" t="str">
        <f>CONCATENATE("          ", "4201", " - ", "SALES RETURN TAXABLE-NEW TEXT")</f>
        <v xml:space="preserve">          4201 - SALES RETURN TAXABLE-NEW TEXT</v>
      </c>
      <c r="C83" s="10"/>
      <c r="D83" s="2">
        <f>-596.94</f>
        <v>-596.94000000000005</v>
      </c>
      <c r="E83" s="2"/>
      <c r="F83" s="19"/>
      <c r="G83" s="2"/>
      <c r="H83" s="2">
        <f>-420.3</f>
        <v>-420.3</v>
      </c>
      <c r="I83" s="2"/>
      <c r="J83" s="19"/>
      <c r="K83" s="2"/>
      <c r="L83" s="2">
        <f t="shared" si="0"/>
        <v>-176.64000000000004</v>
      </c>
      <c r="M83" s="2"/>
      <c r="N83" s="19">
        <f t="shared" si="1"/>
        <v>0.42027123483226275</v>
      </c>
      <c r="O83" s="10"/>
      <c r="P83" s="2">
        <f>-51261.17</f>
        <v>-51261.17</v>
      </c>
      <c r="Q83" s="2"/>
      <c r="R83" s="19"/>
      <c r="S83" s="2"/>
      <c r="T83" s="2">
        <f>-121160.71</f>
        <v>-121160.71</v>
      </c>
      <c r="U83" s="2"/>
      <c r="V83" s="19"/>
      <c r="W83" s="2"/>
      <c r="X83" s="2">
        <f t="shared" si="2"/>
        <v>69899.540000000008</v>
      </c>
      <c r="Y83" s="2"/>
      <c r="Z83" s="19">
        <f t="shared" si="3"/>
        <v>-0.57691589955192579</v>
      </c>
    </row>
    <row r="84" spans="1:26" s="23" customFormat="1" hidden="1" outlineLevel="1" x14ac:dyDescent="0.25">
      <c r="A84" s="44"/>
      <c r="B84" s="10" t="str">
        <f>CONCATENATE("          ", "4202", " - ", "SALES RETURN TAXABLE-USED TEXT")</f>
        <v xml:space="preserve">          4202 - SALES RETURN TAXABLE-USED TEXT</v>
      </c>
      <c r="C84" s="10"/>
      <c r="D84" s="2">
        <f>-153.8</f>
        <v>-153.80000000000001</v>
      </c>
      <c r="E84" s="2"/>
      <c r="F84" s="19"/>
      <c r="G84" s="2"/>
      <c r="H84" s="2">
        <f>-133.45</f>
        <v>-133.44999999999999</v>
      </c>
      <c r="I84" s="2"/>
      <c r="J84" s="19"/>
      <c r="K84" s="2"/>
      <c r="L84" s="2">
        <f t="shared" si="0"/>
        <v>-20.350000000000023</v>
      </c>
      <c r="M84" s="2"/>
      <c r="N84" s="19">
        <f t="shared" si="1"/>
        <v>0.15249156987635837</v>
      </c>
      <c r="O84" s="10"/>
      <c r="P84" s="2">
        <f>-19889.31</f>
        <v>-19889.310000000001</v>
      </c>
      <c r="Q84" s="2"/>
      <c r="R84" s="19"/>
      <c r="S84" s="2"/>
      <c r="T84" s="2">
        <f>-45520.76</f>
        <v>-45520.76</v>
      </c>
      <c r="U84" s="2"/>
      <c r="V84" s="19"/>
      <c r="W84" s="2"/>
      <c r="X84" s="2">
        <f t="shared" si="2"/>
        <v>25631.45</v>
      </c>
      <c r="Y84" s="2"/>
      <c r="Z84" s="19">
        <f t="shared" si="3"/>
        <v>-0.56307166224816985</v>
      </c>
    </row>
    <row r="85" spans="1:26" s="23" customFormat="1" hidden="1" outlineLevel="1" x14ac:dyDescent="0.25">
      <c r="A85" s="44"/>
      <c r="B85" s="10" t="str">
        <f>CONCATENATE("          ", "4203", " - ", "SALES RETURN TAXABLE-RENTAL TE")</f>
        <v xml:space="preserve">          4203 - SALES RETURN TAXABLE-RENTAL TE</v>
      </c>
      <c r="C85" s="10"/>
      <c r="D85" s="2">
        <f t="shared" ref="D85:D89" si="16">0</f>
        <v>0</v>
      </c>
      <c r="E85" s="2"/>
      <c r="F85" s="19"/>
      <c r="G85" s="2"/>
      <c r="H85" s="2">
        <f t="shared" ref="H85:H86" si="17"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0"/>
      <c r="P85" s="2">
        <f>0</f>
        <v>0</v>
      </c>
      <c r="Q85" s="2"/>
      <c r="R85" s="19"/>
      <c r="S85" s="2"/>
      <c r="T85" s="2">
        <f>-144.99</f>
        <v>-144.99</v>
      </c>
      <c r="U85" s="2"/>
      <c r="V85" s="19"/>
      <c r="W85" s="2"/>
      <c r="X85" s="2">
        <f t="shared" si="2"/>
        <v>144.99</v>
      </c>
      <c r="Y85" s="2"/>
      <c r="Z85" s="19">
        <f t="shared" si="3"/>
        <v>-1</v>
      </c>
    </row>
    <row r="86" spans="1:26" s="23" customFormat="1" hidden="1" outlineLevel="1" x14ac:dyDescent="0.25">
      <c r="A86" s="44"/>
      <c r="B86" s="10" t="str">
        <f>CONCATENATE("          ", "4204", " - ", "SALES RETURN TAXABLE-DIGITAL T")</f>
        <v xml:space="preserve">          4204 - SALES RETURN TAXABLE-DIGITAL T</v>
      </c>
      <c r="C86" s="10"/>
      <c r="D86" s="2">
        <f t="shared" si="16"/>
        <v>0</v>
      </c>
      <c r="E86" s="2"/>
      <c r="F86" s="19"/>
      <c r="G86" s="2"/>
      <c r="H86" s="2">
        <f t="shared" si="17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0"/>
      <c r="P86" s="2">
        <f>-1763.1</f>
        <v>-1763.1</v>
      </c>
      <c r="Q86" s="2"/>
      <c r="R86" s="19"/>
      <c r="S86" s="2"/>
      <c r="T86" s="2">
        <f>-17255.33</f>
        <v>-17255.330000000002</v>
      </c>
      <c r="U86" s="2"/>
      <c r="V86" s="19"/>
      <c r="W86" s="2"/>
      <c r="X86" s="2">
        <f t="shared" si="2"/>
        <v>15492.230000000001</v>
      </c>
      <c r="Y86" s="2"/>
      <c r="Z86" s="19">
        <f t="shared" si="3"/>
        <v>-0.89782287559843832</v>
      </c>
    </row>
    <row r="87" spans="1:26" s="23" customFormat="1" hidden="1" outlineLevel="1" x14ac:dyDescent="0.25">
      <c r="A87" s="44"/>
      <c r="B87" s="10" t="str">
        <f>CONCATENATE("          ", "4213", " - ", "NON-TAXABLE SALES-TRADE BOOKS")</f>
        <v xml:space="preserve">          4213 - NON-TAXABLE SALES-TRADE BOOKS</v>
      </c>
      <c r="C87" s="10"/>
      <c r="D87" s="2">
        <f t="shared" si="16"/>
        <v>0</v>
      </c>
      <c r="E87" s="2"/>
      <c r="F87" s="19"/>
      <c r="G87" s="2"/>
      <c r="H87" s="2">
        <f>-374.85</f>
        <v>-374.85</v>
      </c>
      <c r="I87" s="2"/>
      <c r="J87" s="19"/>
      <c r="K87" s="2"/>
      <c r="L87" s="2">
        <f t="shared" si="0"/>
        <v>374.85</v>
      </c>
      <c r="M87" s="2"/>
      <c r="N87" s="19">
        <f t="shared" si="1"/>
        <v>-1</v>
      </c>
      <c r="O87" s="10"/>
      <c r="P87" s="2">
        <f>-69.93</f>
        <v>-69.930000000000007</v>
      </c>
      <c r="Q87" s="2"/>
      <c r="R87" s="19"/>
      <c r="S87" s="2"/>
      <c r="T87" s="2">
        <f>-594.91</f>
        <v>-594.91</v>
      </c>
      <c r="U87" s="2"/>
      <c r="V87" s="19"/>
      <c r="W87" s="2"/>
      <c r="X87" s="2">
        <f t="shared" si="2"/>
        <v>524.98</v>
      </c>
      <c r="Y87" s="2"/>
      <c r="Z87" s="19">
        <f t="shared" si="3"/>
        <v>-0.88245280798776293</v>
      </c>
    </row>
    <row r="88" spans="1:26" s="23" customFormat="1" hidden="1" outlineLevel="1" x14ac:dyDescent="0.25">
      <c r="A88" s="44"/>
      <c r="B88" s="10" t="str">
        <f>CONCATENATE("          ", "4214", " - ", "SALES RETURN TAXABLE-REMAINDER")</f>
        <v xml:space="preserve">          4214 - SALES RETURN TAXABLE-REMAINDER</v>
      </c>
      <c r="C88" s="10"/>
      <c r="D88" s="2">
        <f t="shared" si="16"/>
        <v>0</v>
      </c>
      <c r="E88" s="2"/>
      <c r="F88" s="19"/>
      <c r="G88" s="2"/>
      <c r="H88" s="2">
        <f t="shared" ref="H88:H90" si="18"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0"/>
      <c r="P88" s="2">
        <f t="shared" ref="P88:P89" si="19">0</f>
        <v>0</v>
      </c>
      <c r="Q88" s="2"/>
      <c r="R88" s="19"/>
      <c r="S88" s="2"/>
      <c r="T88" s="2">
        <f>-11.94</f>
        <v>-11.94</v>
      </c>
      <c r="U88" s="2"/>
      <c r="V88" s="19"/>
      <c r="W88" s="2"/>
      <c r="X88" s="2">
        <f t="shared" si="2"/>
        <v>11.94</v>
      </c>
      <c r="Y88" s="2"/>
      <c r="Z88" s="19">
        <f t="shared" si="3"/>
        <v>-1</v>
      </c>
    </row>
    <row r="89" spans="1:26" s="23" customFormat="1" hidden="1" outlineLevel="1" x14ac:dyDescent="0.25">
      <c r="A89" s="44"/>
      <c r="B89" s="10" t="str">
        <f>CONCATENATE("          ", "4217", " - ", "NON-TAXABLE SALES-DORM/HOUSEWA")</f>
        <v xml:space="preserve">          4217 - NON-TAXABLE SALES-DORM/HOUSEWA</v>
      </c>
      <c r="C89" s="10"/>
      <c r="D89" s="2">
        <f t="shared" si="16"/>
        <v>0</v>
      </c>
      <c r="E89" s="2"/>
      <c r="F89" s="19"/>
      <c r="G89" s="2"/>
      <c r="H89" s="2">
        <f t="shared" si="18"/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0"/>
      <c r="P89" s="2">
        <f t="shared" si="19"/>
        <v>0</v>
      </c>
      <c r="Q89" s="2"/>
      <c r="R89" s="19"/>
      <c r="S89" s="2"/>
      <c r="T89" s="2">
        <f>-2.98</f>
        <v>-2.98</v>
      </c>
      <c r="U89" s="2"/>
      <c r="V89" s="19"/>
      <c r="W89" s="2"/>
      <c r="X89" s="2">
        <f t="shared" si="2"/>
        <v>2.98</v>
      </c>
      <c r="Y89" s="2"/>
      <c r="Z89" s="19">
        <f t="shared" si="3"/>
        <v>-1</v>
      </c>
    </row>
    <row r="90" spans="1:26" s="23" customFormat="1" hidden="1" outlineLevel="1" x14ac:dyDescent="0.25">
      <c r="A90" s="44"/>
      <c r="B90" s="10" t="str">
        <f>CONCATENATE("          ", "4218", " - ", "SALES RETURN TAXABLE-STUDY GUI")</f>
        <v xml:space="preserve">          4218 - SALES RETURN TAXABLE-STUDY GUI</v>
      </c>
      <c r="C90" s="10"/>
      <c r="D90" s="2">
        <f>-5.21</f>
        <v>-5.21</v>
      </c>
      <c r="E90" s="2"/>
      <c r="F90" s="19"/>
      <c r="G90" s="2"/>
      <c r="H90" s="2">
        <f t="shared" si="18"/>
        <v>0</v>
      </c>
      <c r="I90" s="2"/>
      <c r="J90" s="19"/>
      <c r="K90" s="2"/>
      <c r="L90" s="2">
        <f t="shared" si="0"/>
        <v>-5.21</v>
      </c>
      <c r="M90" s="2"/>
      <c r="N90" s="19">
        <f t="shared" si="1"/>
        <v>0</v>
      </c>
      <c r="O90" s="10"/>
      <c r="P90" s="2">
        <f>-5.21</f>
        <v>-5.21</v>
      </c>
      <c r="Q90" s="2"/>
      <c r="R90" s="19"/>
      <c r="S90" s="2"/>
      <c r="T90" s="2">
        <f>-39.25</f>
        <v>-39.25</v>
      </c>
      <c r="U90" s="2"/>
      <c r="V90" s="19"/>
      <c r="W90" s="2"/>
      <c r="X90" s="2">
        <f t="shared" si="2"/>
        <v>34.04</v>
      </c>
      <c r="Y90" s="2"/>
      <c r="Z90" s="19">
        <f t="shared" si="3"/>
        <v>-0.86726114649681529</v>
      </c>
    </row>
    <row r="91" spans="1:26" s="23" customFormat="1" hidden="1" outlineLevel="1" x14ac:dyDescent="0.25">
      <c r="A91" s="44"/>
      <c r="B91" s="10" t="str">
        <f>CONCATENATE("          ", "4225", " - ", "SALES RETURN TAXABLE-TEST FORM")</f>
        <v xml:space="preserve">          4225 - SALES RETURN TAXABLE-TEST FORM</v>
      </c>
      <c r="C91" s="10"/>
      <c r="D91" s="2">
        <f t="shared" ref="D91:D92" si="20">0</f>
        <v>0</v>
      </c>
      <c r="E91" s="2"/>
      <c r="F91" s="19"/>
      <c r="G91" s="2"/>
      <c r="H91" s="2">
        <f>-8.16</f>
        <v>-8.16</v>
      </c>
      <c r="I91" s="2"/>
      <c r="J91" s="19"/>
      <c r="K91" s="2"/>
      <c r="L91" s="2">
        <f t="shared" si="0"/>
        <v>8.16</v>
      </c>
      <c r="M91" s="2"/>
      <c r="N91" s="19">
        <f t="shared" si="1"/>
        <v>-1</v>
      </c>
      <c r="O91" s="10"/>
      <c r="P91" s="2">
        <f>0</f>
        <v>0</v>
      </c>
      <c r="Q91" s="2"/>
      <c r="R91" s="19"/>
      <c r="S91" s="2"/>
      <c r="T91" s="2">
        <f>-176.41</f>
        <v>-176.41</v>
      </c>
      <c r="U91" s="2"/>
      <c r="V91" s="19"/>
      <c r="W91" s="2"/>
      <c r="X91" s="2">
        <f t="shared" si="2"/>
        <v>176.41</v>
      </c>
      <c r="Y91" s="2"/>
      <c r="Z91" s="19">
        <f t="shared" si="3"/>
        <v>-1</v>
      </c>
    </row>
    <row r="92" spans="1:26" s="23" customFormat="1" hidden="1" outlineLevel="1" x14ac:dyDescent="0.25">
      <c r="A92" s="44"/>
      <c r="B92" s="10" t="str">
        <f>CONCATENATE("          ", "4226", " - ", "SALES RETURN TAXABLE-WRITING I")</f>
        <v xml:space="preserve">          4226 - SALES RETURN TAXABLE-WRITING I</v>
      </c>
      <c r="C92" s="10"/>
      <c r="D92" s="2">
        <f t="shared" si="20"/>
        <v>0</v>
      </c>
      <c r="E92" s="2"/>
      <c r="F92" s="19"/>
      <c r="G92" s="2"/>
      <c r="H92" s="2">
        <f>-11.25</f>
        <v>-11.25</v>
      </c>
      <c r="I92" s="2"/>
      <c r="J92" s="19"/>
      <c r="K92" s="2"/>
      <c r="L92" s="2">
        <f t="shared" si="0"/>
        <v>11.25</v>
      </c>
      <c r="M92" s="2"/>
      <c r="N92" s="19">
        <f t="shared" si="1"/>
        <v>-1</v>
      </c>
      <c r="O92" s="10"/>
      <c r="P92" s="2">
        <f>-34.23</f>
        <v>-34.229999999999997</v>
      </c>
      <c r="Q92" s="2"/>
      <c r="R92" s="19"/>
      <c r="S92" s="2"/>
      <c r="T92" s="2">
        <f>-765.04</f>
        <v>-765.04</v>
      </c>
      <c r="U92" s="2"/>
      <c r="V92" s="19"/>
      <c r="W92" s="2"/>
      <c r="X92" s="2">
        <f t="shared" si="2"/>
        <v>730.81</v>
      </c>
      <c r="Y92" s="2"/>
      <c r="Z92" s="19">
        <f t="shared" si="3"/>
        <v>-0.95525724145142732</v>
      </c>
    </row>
    <row r="93" spans="1:26" s="23" customFormat="1" hidden="1" outlineLevel="1" x14ac:dyDescent="0.25">
      <c r="A93" s="44"/>
      <c r="B93" s="10" t="str">
        <f>CONCATENATE("          ", "4227", " - ", "SALES RETURN TAXABLE-SCHOOL SU")</f>
        <v xml:space="preserve">          4227 - SALES RETURN TAXABLE-SCHOOL SU</v>
      </c>
      <c r="C93" s="10"/>
      <c r="D93" s="2">
        <f>-64.39</f>
        <v>-64.39</v>
      </c>
      <c r="E93" s="2"/>
      <c r="F93" s="19"/>
      <c r="G93" s="2"/>
      <c r="H93" s="2">
        <f>-979.19</f>
        <v>-979.19</v>
      </c>
      <c r="I93" s="2"/>
      <c r="J93" s="19"/>
      <c r="K93" s="2"/>
      <c r="L93" s="2">
        <f t="shared" si="0"/>
        <v>914.80000000000007</v>
      </c>
      <c r="M93" s="2"/>
      <c r="N93" s="19">
        <f t="shared" si="1"/>
        <v>-0.93424156700946703</v>
      </c>
      <c r="O93" s="10"/>
      <c r="P93" s="2">
        <f>-846.12</f>
        <v>-846.12</v>
      </c>
      <c r="Q93" s="2"/>
      <c r="R93" s="19"/>
      <c r="S93" s="2"/>
      <c r="T93" s="2">
        <f>-8593.61</f>
        <v>-8593.61</v>
      </c>
      <c r="U93" s="2"/>
      <c r="V93" s="19"/>
      <c r="W93" s="2"/>
      <c r="X93" s="2">
        <f t="shared" si="2"/>
        <v>7747.4900000000007</v>
      </c>
      <c r="Y93" s="2"/>
      <c r="Z93" s="19">
        <f t="shared" si="3"/>
        <v>-0.90154079601005865</v>
      </c>
    </row>
    <row r="94" spans="1:26" s="23" customFormat="1" hidden="1" outlineLevel="1" x14ac:dyDescent="0.25">
      <c r="A94" s="44"/>
      <c r="B94" s="10" t="str">
        <f>CONCATENATE("          ", "4228", " - ", "SALES RETURN TAXABLE-ART/TECH")</f>
        <v xml:space="preserve">          4228 - SALES RETURN TAXABLE-ART/TECH</v>
      </c>
      <c r="C94" s="10"/>
      <c r="D94" s="2">
        <f>-98.38</f>
        <v>-98.38</v>
      </c>
      <c r="E94" s="2"/>
      <c r="F94" s="19"/>
      <c r="G94" s="2"/>
      <c r="H94" s="2">
        <f>-139.18</f>
        <v>-139.18</v>
      </c>
      <c r="I94" s="2"/>
      <c r="J94" s="19"/>
      <c r="K94" s="2"/>
      <c r="L94" s="2">
        <f t="shared" si="0"/>
        <v>40.800000000000011</v>
      </c>
      <c r="M94" s="2"/>
      <c r="N94" s="19">
        <f t="shared" si="1"/>
        <v>-0.29314556689179488</v>
      </c>
      <c r="O94" s="10"/>
      <c r="P94" s="2">
        <f>-12837.62</f>
        <v>-12837.62</v>
      </c>
      <c r="Q94" s="2"/>
      <c r="R94" s="19"/>
      <c r="S94" s="2"/>
      <c r="T94" s="2">
        <f>-4739.1</f>
        <v>-4739.1000000000004</v>
      </c>
      <c r="U94" s="2"/>
      <c r="V94" s="19"/>
      <c r="W94" s="2"/>
      <c r="X94" s="2">
        <f t="shared" si="2"/>
        <v>-8098.52</v>
      </c>
      <c r="Y94" s="2"/>
      <c r="Z94" s="19">
        <f t="shared" si="3"/>
        <v>1.7088729927623387</v>
      </c>
    </row>
    <row r="95" spans="1:26" s="23" customFormat="1" hidden="1" outlineLevel="1" x14ac:dyDescent="0.25">
      <c r="A95" s="44"/>
      <c r="B95" s="10" t="str">
        <f>CONCATENATE("          ", "4233", " - ", "SALES RETURN TAXABLE-CANDY")</f>
        <v xml:space="preserve">          4233 - SALES RETURN TAXABLE-CANDY</v>
      </c>
      <c r="C95" s="10"/>
      <c r="D95" s="2">
        <f>0</f>
        <v>0</v>
      </c>
      <c r="E95" s="2"/>
      <c r="F95" s="19"/>
      <c r="G95" s="2"/>
      <c r="H95" s="2">
        <f>-6.96</f>
        <v>-6.96</v>
      </c>
      <c r="I95" s="2"/>
      <c r="J95" s="19"/>
      <c r="K95" s="2"/>
      <c r="L95" s="2">
        <f t="shared" si="0"/>
        <v>6.96</v>
      </c>
      <c r="M95" s="2"/>
      <c r="N95" s="19">
        <f t="shared" si="1"/>
        <v>-1</v>
      </c>
      <c r="O95" s="10"/>
      <c r="P95" s="2">
        <f>0</f>
        <v>0</v>
      </c>
      <c r="Q95" s="2"/>
      <c r="R95" s="19"/>
      <c r="S95" s="2"/>
      <c r="T95" s="2">
        <f>-8.25</f>
        <v>-8.25</v>
      </c>
      <c r="U95" s="2"/>
      <c r="V95" s="19"/>
      <c r="W95" s="2"/>
      <c r="X95" s="2">
        <f t="shared" si="2"/>
        <v>8.25</v>
      </c>
      <c r="Y95" s="2"/>
      <c r="Z95" s="19">
        <f t="shared" si="3"/>
        <v>-1</v>
      </c>
    </row>
    <row r="96" spans="1:26" s="23" customFormat="1" hidden="1" outlineLevel="1" x14ac:dyDescent="0.25">
      <c r="A96" s="44"/>
      <c r="B96" s="10" t="str">
        <f>CONCATENATE("          ", "4240", " - ", "SALES RETURN TAXABLE-LOGO CLOT")</f>
        <v xml:space="preserve">          4240 - SALES RETURN TAXABLE-LOGO CLOT</v>
      </c>
      <c r="C96" s="10"/>
      <c r="D96" s="2">
        <f>-3924.84</f>
        <v>-3924.84</v>
      </c>
      <c r="E96" s="2"/>
      <c r="F96" s="19"/>
      <c r="G96" s="2"/>
      <c r="H96" s="2">
        <f>-3000.56</f>
        <v>-3000.56</v>
      </c>
      <c r="I96" s="2"/>
      <c r="J96" s="19"/>
      <c r="K96" s="2"/>
      <c r="L96" s="2">
        <f t="shared" si="0"/>
        <v>-924.2800000000002</v>
      </c>
      <c r="M96" s="2"/>
      <c r="N96" s="19">
        <f t="shared" si="1"/>
        <v>0.30803583331111534</v>
      </c>
      <c r="O96" s="10"/>
      <c r="P96" s="2">
        <f>-35054.35</f>
        <v>-35054.35</v>
      </c>
      <c r="Q96" s="2"/>
      <c r="R96" s="19"/>
      <c r="S96" s="2"/>
      <c r="T96" s="2">
        <f>-72812.23</f>
        <v>-72812.23</v>
      </c>
      <c r="U96" s="2"/>
      <c r="V96" s="19"/>
      <c r="W96" s="2"/>
      <c r="X96" s="2">
        <f t="shared" si="2"/>
        <v>37757.879999999997</v>
      </c>
      <c r="Y96" s="2"/>
      <c r="Z96" s="19">
        <f t="shared" si="3"/>
        <v>-0.51856508171772786</v>
      </c>
    </row>
    <row r="97" spans="1:26" s="23" customFormat="1" hidden="1" outlineLevel="1" x14ac:dyDescent="0.25">
      <c r="A97" s="44"/>
      <c r="B97" s="10" t="str">
        <f>CONCATENATE("          ", "4241", " - ", "SALES RETURN TAXABLE-LOGO GIFT")</f>
        <v xml:space="preserve">          4241 - SALES RETURN TAXABLE-LOGO GIFT</v>
      </c>
      <c r="C97" s="10"/>
      <c r="D97" s="2">
        <f>-1222.82</f>
        <v>-1222.82</v>
      </c>
      <c r="E97" s="2"/>
      <c r="F97" s="19"/>
      <c r="G97" s="2"/>
      <c r="H97" s="2">
        <f>-214.4</f>
        <v>-214.4</v>
      </c>
      <c r="I97" s="2"/>
      <c r="J97" s="19"/>
      <c r="K97" s="2"/>
      <c r="L97" s="2">
        <f t="shared" si="0"/>
        <v>-1008.42</v>
      </c>
      <c r="M97" s="2"/>
      <c r="N97" s="19">
        <f t="shared" si="1"/>
        <v>4.7034514925373134</v>
      </c>
      <c r="O97" s="10"/>
      <c r="P97" s="2">
        <f>-6518.34</f>
        <v>-6518.34</v>
      </c>
      <c r="Q97" s="2"/>
      <c r="R97" s="19"/>
      <c r="S97" s="2"/>
      <c r="T97" s="2">
        <f>-6141.38</f>
        <v>-6141.38</v>
      </c>
      <c r="U97" s="2"/>
      <c r="V97" s="19"/>
      <c r="W97" s="2"/>
      <c r="X97" s="2">
        <f t="shared" si="2"/>
        <v>-376.96000000000004</v>
      </c>
      <c r="Y97" s="2"/>
      <c r="Z97" s="19">
        <f t="shared" si="3"/>
        <v>6.138034122623906E-2</v>
      </c>
    </row>
    <row r="98" spans="1:26" s="23" customFormat="1" hidden="1" outlineLevel="1" x14ac:dyDescent="0.25">
      <c r="A98" s="44"/>
      <c r="B98" s="10" t="str">
        <f>CONCATENATE("          ", "4242", " - ", "SALES RETURN TAXABLE-EVERYDAY")</f>
        <v xml:space="preserve">          4242 - SALES RETURN TAXABLE-EVERYDAY</v>
      </c>
      <c r="C98" s="10"/>
      <c r="D98" s="2">
        <f>-565.08</f>
        <v>-565.08000000000004</v>
      </c>
      <c r="E98" s="2"/>
      <c r="F98" s="19"/>
      <c r="G98" s="2"/>
      <c r="H98" s="2">
        <f>-284.33</f>
        <v>-284.33</v>
      </c>
      <c r="I98" s="2"/>
      <c r="J98" s="19"/>
      <c r="K98" s="2"/>
      <c r="L98" s="2">
        <f t="shared" si="0"/>
        <v>-280.75000000000006</v>
      </c>
      <c r="M98" s="2"/>
      <c r="N98" s="19">
        <f t="shared" si="1"/>
        <v>0.98740899658847137</v>
      </c>
      <c r="O98" s="10"/>
      <c r="P98" s="2">
        <f>-2303.82</f>
        <v>-2303.8200000000002</v>
      </c>
      <c r="Q98" s="2"/>
      <c r="R98" s="19"/>
      <c r="S98" s="2"/>
      <c r="T98" s="2">
        <f>-4178.41</f>
        <v>-4178.41</v>
      </c>
      <c r="U98" s="2"/>
      <c r="V98" s="19"/>
      <c r="W98" s="2"/>
      <c r="X98" s="2">
        <f t="shared" si="2"/>
        <v>1874.5899999999997</v>
      </c>
      <c r="Y98" s="2"/>
      <c r="Z98" s="19">
        <f t="shared" si="3"/>
        <v>-0.44863716102536605</v>
      </c>
    </row>
    <row r="99" spans="1:26" s="23" customFormat="1" hidden="1" outlineLevel="1" x14ac:dyDescent="0.25">
      <c r="A99" s="44"/>
      <c r="B99" s="10" t="str">
        <f>CONCATENATE("          ", "4243", " - ", "SALES RETURN TAXABLE-CARDS")</f>
        <v xml:space="preserve">          4243 - SALES RETURN TAXABLE-CARDS</v>
      </c>
      <c r="C99" s="10"/>
      <c r="D99" s="2">
        <f>-572.63</f>
        <v>-572.63</v>
      </c>
      <c r="E99" s="2"/>
      <c r="F99" s="19"/>
      <c r="G99" s="2"/>
      <c r="H99" s="2">
        <f>-159.92</f>
        <v>-159.91999999999999</v>
      </c>
      <c r="I99" s="2"/>
      <c r="J99" s="19"/>
      <c r="K99" s="2"/>
      <c r="L99" s="2">
        <f t="shared" si="0"/>
        <v>-412.71000000000004</v>
      </c>
      <c r="M99" s="2"/>
      <c r="N99" s="19">
        <f t="shared" si="1"/>
        <v>2.5807278639319664</v>
      </c>
      <c r="O99" s="10"/>
      <c r="P99" s="2">
        <f>-5942.23</f>
        <v>-5942.23</v>
      </c>
      <c r="Q99" s="2"/>
      <c r="R99" s="19"/>
      <c r="S99" s="2"/>
      <c r="T99" s="2">
        <f>-2993.31</f>
        <v>-2993.31</v>
      </c>
      <c r="U99" s="2"/>
      <c r="V99" s="19"/>
      <c r="W99" s="2"/>
      <c r="X99" s="2">
        <f t="shared" si="2"/>
        <v>-2948.9199999999996</v>
      </c>
      <c r="Y99" s="2"/>
      <c r="Z99" s="19">
        <f t="shared" si="3"/>
        <v>0.98517026301986754</v>
      </c>
    </row>
    <row r="100" spans="1:26" s="23" customFormat="1" hidden="1" outlineLevel="1" x14ac:dyDescent="0.25">
      <c r="A100" s="44"/>
      <c r="B100" s="10" t="str">
        <f>CONCATENATE("          ", "4244", " - ", "SALES RETURN TAXABLE-ACCESSORI")</f>
        <v xml:space="preserve">          4244 - SALES RETURN TAXABLE-ACCESSORI</v>
      </c>
      <c r="C100" s="10"/>
      <c r="D100" s="2">
        <f>-240.42</f>
        <v>-240.42</v>
      </c>
      <c r="E100" s="2"/>
      <c r="F100" s="19"/>
      <c r="G100" s="2"/>
      <c r="H100" s="2">
        <f>-39.9</f>
        <v>-39.9</v>
      </c>
      <c r="I100" s="2"/>
      <c r="J100" s="19"/>
      <c r="K100" s="2"/>
      <c r="L100" s="2">
        <f t="shared" si="0"/>
        <v>-200.51999999999998</v>
      </c>
      <c r="M100" s="2"/>
      <c r="N100" s="19">
        <f t="shared" si="1"/>
        <v>5.0255639097744362</v>
      </c>
      <c r="O100" s="10"/>
      <c r="P100" s="2">
        <f>-1235.26</f>
        <v>-1235.26</v>
      </c>
      <c r="Q100" s="2"/>
      <c r="R100" s="19"/>
      <c r="S100" s="2"/>
      <c r="T100" s="2">
        <f>-2470.7</f>
        <v>-2470.6999999999998</v>
      </c>
      <c r="U100" s="2"/>
      <c r="V100" s="19"/>
      <c r="W100" s="2"/>
      <c r="X100" s="2">
        <f t="shared" si="2"/>
        <v>1235.4399999999998</v>
      </c>
      <c r="Y100" s="2"/>
      <c r="Z100" s="19">
        <f t="shared" si="3"/>
        <v>-0.50003642692354389</v>
      </c>
    </row>
    <row r="101" spans="1:26" s="23" customFormat="1" hidden="1" outlineLevel="1" x14ac:dyDescent="0.25">
      <c r="A101" s="44"/>
      <c r="B101" s="10" t="str">
        <f>CONCATENATE("          ", "4245", " - ", "SALES RETURN TAXABLE-SPECIAL O")</f>
        <v xml:space="preserve">          4245 - SALES RETURN TAXABLE-SPECIAL O</v>
      </c>
      <c r="C101" s="10"/>
      <c r="D101" s="2">
        <f t="shared" ref="D101:D102" si="21">0</f>
        <v>0</v>
      </c>
      <c r="E101" s="2"/>
      <c r="F101" s="19"/>
      <c r="G101" s="2"/>
      <c r="H101" s="2">
        <f>-19.98</f>
        <v>-19.98</v>
      </c>
      <c r="I101" s="2"/>
      <c r="J101" s="19"/>
      <c r="K101" s="2"/>
      <c r="L101" s="2">
        <f t="shared" si="0"/>
        <v>19.98</v>
      </c>
      <c r="M101" s="2"/>
      <c r="N101" s="19">
        <f t="shared" si="1"/>
        <v>-1</v>
      </c>
      <c r="O101" s="10"/>
      <c r="P101" s="2">
        <f>-11353.59</f>
        <v>-11353.59</v>
      </c>
      <c r="Q101" s="2"/>
      <c r="R101" s="19"/>
      <c r="S101" s="2"/>
      <c r="T101" s="2">
        <f>-1735.03</f>
        <v>-1735.03</v>
      </c>
      <c r="U101" s="2"/>
      <c r="V101" s="19"/>
      <c r="W101" s="2"/>
      <c r="X101" s="2">
        <f t="shared" si="2"/>
        <v>-9618.56</v>
      </c>
      <c r="Y101" s="2"/>
      <c r="Z101" s="19">
        <f t="shared" si="3"/>
        <v>5.5437427594911899</v>
      </c>
    </row>
    <row r="102" spans="1:26" s="23" customFormat="1" hidden="1" outlineLevel="1" x14ac:dyDescent="0.25">
      <c r="A102" s="44"/>
      <c r="B102" s="10" t="str">
        <f>CONCATENATE("          ", "4281", " - ", "SALES RETURN TAXABLE-ELECTRONI")</f>
        <v xml:space="preserve">          4281 - SALES RETURN TAXABLE-ELECTRONI</v>
      </c>
      <c r="C102" s="10"/>
      <c r="D102" s="2">
        <f t="shared" si="21"/>
        <v>0</v>
      </c>
      <c r="E102" s="2"/>
      <c r="F102" s="19"/>
      <c r="G102" s="2"/>
      <c r="H102" s="2">
        <f>-213.97</f>
        <v>-213.97</v>
      </c>
      <c r="I102" s="2"/>
      <c r="J102" s="19"/>
      <c r="K102" s="2"/>
      <c r="L102" s="2">
        <f t="shared" si="0"/>
        <v>213.97</v>
      </c>
      <c r="M102" s="2"/>
      <c r="N102" s="19">
        <f t="shared" si="1"/>
        <v>-1</v>
      </c>
      <c r="O102" s="10"/>
      <c r="P102" s="2">
        <f>-14762.14</f>
        <v>-14762.14</v>
      </c>
      <c r="Q102" s="2"/>
      <c r="R102" s="19"/>
      <c r="S102" s="2"/>
      <c r="T102" s="2">
        <f>-7836.67</f>
        <v>-7836.67</v>
      </c>
      <c r="U102" s="2"/>
      <c r="V102" s="19"/>
      <c r="W102" s="2"/>
      <c r="X102" s="2">
        <f t="shared" si="2"/>
        <v>-6925.4699999999993</v>
      </c>
      <c r="Y102" s="2"/>
      <c r="Z102" s="19">
        <f t="shared" si="3"/>
        <v>0.88372612346825874</v>
      </c>
    </row>
    <row r="103" spans="1:26" s="23" customFormat="1" hidden="1" outlineLevel="1" x14ac:dyDescent="0.25">
      <c r="A103" s="44"/>
      <c r="B103" s="10" t="str">
        <f>CONCATENATE("          ", "4282", " - ", "SALES RETURN TAXABLE-COMPUTER")</f>
        <v xml:space="preserve">          4282 - SALES RETURN TAXABLE-COMPUTER</v>
      </c>
      <c r="C103" s="10"/>
      <c r="D103" s="2">
        <f>-43137</f>
        <v>-43137</v>
      </c>
      <c r="E103" s="2"/>
      <c r="F103" s="19"/>
      <c r="G103" s="2"/>
      <c r="H103" s="2">
        <f>-6266.02</f>
        <v>-6266.02</v>
      </c>
      <c r="I103" s="2"/>
      <c r="J103" s="19"/>
      <c r="K103" s="2"/>
      <c r="L103" s="2">
        <f t="shared" si="0"/>
        <v>-36870.979999999996</v>
      </c>
      <c r="M103" s="2"/>
      <c r="N103" s="19">
        <f t="shared" si="1"/>
        <v>5.8842742282980254</v>
      </c>
      <c r="O103" s="10"/>
      <c r="P103" s="2">
        <f>-172765.16</f>
        <v>-172765.16</v>
      </c>
      <c r="Q103" s="2"/>
      <c r="R103" s="19"/>
      <c r="S103" s="2"/>
      <c r="T103" s="2">
        <f>-213491.15</f>
        <v>-213491.15</v>
      </c>
      <c r="U103" s="2"/>
      <c r="V103" s="19"/>
      <c r="W103" s="2"/>
      <c r="X103" s="2">
        <f t="shared" si="2"/>
        <v>40725.989999999991</v>
      </c>
      <c r="Y103" s="2"/>
      <c r="Z103" s="19">
        <f t="shared" si="3"/>
        <v>-0.19076195898518505</v>
      </c>
    </row>
    <row r="104" spans="1:26" s="23" customFormat="1" hidden="1" outlineLevel="1" x14ac:dyDescent="0.25">
      <c r="A104" s="44"/>
      <c r="B104" s="10" t="str">
        <f>CONCATENATE("          ", "4283", " - ", "SALES RETURN TAXABLE-COMPUTER")</f>
        <v xml:space="preserve">          4283 - SALES RETURN TAXABLE-COMPUTER</v>
      </c>
      <c r="C104" s="10"/>
      <c r="D104" s="2">
        <f>-389.97</f>
        <v>-389.97</v>
      </c>
      <c r="E104" s="2"/>
      <c r="F104" s="19"/>
      <c r="G104" s="2"/>
      <c r="H104" s="2">
        <f>-627.65</f>
        <v>-627.65</v>
      </c>
      <c r="I104" s="2"/>
      <c r="J104" s="19"/>
      <c r="K104" s="2"/>
      <c r="L104" s="2">
        <f t="shared" si="0"/>
        <v>237.67999999999995</v>
      </c>
      <c r="M104" s="2"/>
      <c r="N104" s="19">
        <f t="shared" si="1"/>
        <v>-0.37868238668047471</v>
      </c>
      <c r="O104" s="10"/>
      <c r="P104" s="2">
        <f>-3749.25</f>
        <v>-3749.25</v>
      </c>
      <c r="Q104" s="2"/>
      <c r="R104" s="19"/>
      <c r="S104" s="2"/>
      <c r="T104" s="2">
        <f>-6453.06</f>
        <v>-6453.06</v>
      </c>
      <c r="U104" s="2"/>
      <c r="V104" s="19"/>
      <c r="W104" s="2"/>
      <c r="X104" s="2">
        <f t="shared" si="2"/>
        <v>2703.8100000000004</v>
      </c>
      <c r="Y104" s="2"/>
      <c r="Z104" s="19">
        <f t="shared" si="3"/>
        <v>-0.41899656906955773</v>
      </c>
    </row>
    <row r="105" spans="1:26" s="23" customFormat="1" hidden="1" outlineLevel="1" x14ac:dyDescent="0.25">
      <c r="A105" s="44"/>
      <c r="B105" s="10" t="str">
        <f>CONCATENATE("          ", "4284", " - ", "SALES RETURN TAXABLE-SOFTWARE")</f>
        <v xml:space="preserve">          4284 - SALES RETURN TAXABLE-SOFTWARE</v>
      </c>
      <c r="C105" s="10"/>
      <c r="D105" s="2">
        <f>0</f>
        <v>0</v>
      </c>
      <c r="E105" s="2"/>
      <c r="F105" s="19"/>
      <c r="G105" s="2"/>
      <c r="H105" s="2">
        <f t="shared" ref="H105:H106" si="22"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0"/>
      <c r="P105" s="2">
        <f>0</f>
        <v>0</v>
      </c>
      <c r="Q105" s="2"/>
      <c r="R105" s="19"/>
      <c r="S105" s="2"/>
      <c r="T105" s="2">
        <f>-129</f>
        <v>-129</v>
      </c>
      <c r="U105" s="2"/>
      <c r="V105" s="19"/>
      <c r="W105" s="2"/>
      <c r="X105" s="2">
        <f t="shared" si="2"/>
        <v>129</v>
      </c>
      <c r="Y105" s="2"/>
      <c r="Z105" s="19">
        <f t="shared" si="3"/>
        <v>-1</v>
      </c>
    </row>
    <row r="106" spans="1:26" s="23" customFormat="1" hidden="1" outlineLevel="1" x14ac:dyDescent="0.25">
      <c r="A106" s="44"/>
      <c r="B106" s="10" t="str">
        <f>CONCATENATE("          ", "4285", " - ", "SALES RETURN TAXABLE-SOFTWARE")</f>
        <v xml:space="preserve">          4285 - SALES RETURN TAXABLE-SOFTWARE</v>
      </c>
      <c r="C106" s="10"/>
      <c r="D106" s="2">
        <f>-149.99</f>
        <v>-149.99</v>
      </c>
      <c r="E106" s="2"/>
      <c r="F106" s="19"/>
      <c r="G106" s="2"/>
      <c r="H106" s="2">
        <f t="shared" si="22"/>
        <v>0</v>
      </c>
      <c r="I106" s="2"/>
      <c r="J106" s="19"/>
      <c r="K106" s="2"/>
      <c r="L106" s="2">
        <f t="shared" si="0"/>
        <v>-149.99</v>
      </c>
      <c r="M106" s="2"/>
      <c r="N106" s="19">
        <f t="shared" si="1"/>
        <v>0</v>
      </c>
      <c r="O106" s="10"/>
      <c r="P106" s="2">
        <f>-991.96</f>
        <v>-991.96</v>
      </c>
      <c r="Q106" s="2"/>
      <c r="R106" s="19"/>
      <c r="S106" s="2"/>
      <c r="T106" s="2">
        <f>-805.97</f>
        <v>-805.97</v>
      </c>
      <c r="U106" s="2"/>
      <c r="V106" s="19"/>
      <c r="W106" s="2"/>
      <c r="X106" s="2">
        <f t="shared" si="2"/>
        <v>-185.99</v>
      </c>
      <c r="Y106" s="2"/>
      <c r="Z106" s="19">
        <f t="shared" si="3"/>
        <v>0.23076541310470614</v>
      </c>
    </row>
    <row r="107" spans="1:26" s="23" customFormat="1" hidden="1" outlineLevel="1" x14ac:dyDescent="0.25">
      <c r="A107" s="44"/>
      <c r="B107" s="10" t="str">
        <f>CONCATENATE("          ", "4286", " - ", "SALES RETURN TAXABLE-COMPUTER")</f>
        <v xml:space="preserve">          4286 - SALES RETURN TAXABLE-COMPUTER</v>
      </c>
      <c r="C107" s="10"/>
      <c r="D107" s="2">
        <f>-39.98</f>
        <v>-39.979999999999997</v>
      </c>
      <c r="E107" s="2"/>
      <c r="F107" s="19"/>
      <c r="G107" s="2"/>
      <c r="H107" s="2">
        <f>-77.97</f>
        <v>-77.97</v>
      </c>
      <c r="I107" s="2"/>
      <c r="J107" s="19"/>
      <c r="K107" s="2"/>
      <c r="L107" s="2">
        <f t="shared" si="0"/>
        <v>37.99</v>
      </c>
      <c r="M107" s="2"/>
      <c r="N107" s="19">
        <f t="shared" si="1"/>
        <v>-0.4872386815441837</v>
      </c>
      <c r="O107" s="10"/>
      <c r="P107" s="2">
        <f>-4802.29</f>
        <v>-4802.29</v>
      </c>
      <c r="Q107" s="2"/>
      <c r="R107" s="19"/>
      <c r="S107" s="2"/>
      <c r="T107" s="2">
        <f>-3660.86</f>
        <v>-3660.86</v>
      </c>
      <c r="U107" s="2"/>
      <c r="V107" s="19"/>
      <c r="W107" s="2"/>
      <c r="X107" s="2">
        <f t="shared" si="2"/>
        <v>-1141.4299999999998</v>
      </c>
      <c r="Y107" s="2"/>
      <c r="Z107" s="19">
        <f t="shared" si="3"/>
        <v>0.31179285741601692</v>
      </c>
    </row>
    <row r="108" spans="1:26" s="23" customFormat="1" hidden="1" outlineLevel="1" x14ac:dyDescent="0.25">
      <c r="A108" s="44"/>
      <c r="B108" s="10" t="str">
        <f>CONCATENATE("          ", "4288", " - ", "TAXABLE SALES RETURN-MUSIC")</f>
        <v xml:space="preserve">          4288 - TAXABLE SALES RETURN-MUSIC</v>
      </c>
      <c r="C108" s="10"/>
      <c r="D108" s="2">
        <f t="shared" ref="D108:D111" si="23">0</f>
        <v>0</v>
      </c>
      <c r="E108" s="2"/>
      <c r="F108" s="19"/>
      <c r="G108" s="2"/>
      <c r="H108" s="2">
        <f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0"/>
      <c r="P108" s="2">
        <f t="shared" ref="P108:P110" si="24">0</f>
        <v>0</v>
      </c>
      <c r="Q108" s="2"/>
      <c r="R108" s="19"/>
      <c r="S108" s="2"/>
      <c r="T108" s="2">
        <f>-3.99</f>
        <v>-3.99</v>
      </c>
      <c r="U108" s="2"/>
      <c r="V108" s="19"/>
      <c r="W108" s="2"/>
      <c r="X108" s="2">
        <f t="shared" si="2"/>
        <v>3.99</v>
      </c>
      <c r="Y108" s="2"/>
      <c r="Z108" s="19">
        <f t="shared" si="3"/>
        <v>-1</v>
      </c>
    </row>
    <row r="109" spans="1:26" s="23" customFormat="1" hidden="1" outlineLevel="1" x14ac:dyDescent="0.25">
      <c r="A109" s="44"/>
      <c r="B109" s="10" t="str">
        <f>CONCATENATE("          ", "4292", " - ", "SALES RETURN TAXABLE-GRAD MERC")</f>
        <v xml:space="preserve">          4292 - SALES RETURN TAXABLE-GRAD MERC</v>
      </c>
      <c r="C109" s="10"/>
      <c r="D109" s="2">
        <f t="shared" si="23"/>
        <v>0</v>
      </c>
      <c r="E109" s="2"/>
      <c r="F109" s="19"/>
      <c r="G109" s="2"/>
      <c r="H109" s="2">
        <f>-94.9</f>
        <v>-94.9</v>
      </c>
      <c r="I109" s="2"/>
      <c r="J109" s="19"/>
      <c r="K109" s="2"/>
      <c r="L109" s="2">
        <f t="shared" si="0"/>
        <v>94.9</v>
      </c>
      <c r="M109" s="2"/>
      <c r="N109" s="19">
        <f t="shared" si="1"/>
        <v>-1</v>
      </c>
      <c r="O109" s="10"/>
      <c r="P109" s="2">
        <f t="shared" si="24"/>
        <v>0</v>
      </c>
      <c r="Q109" s="2"/>
      <c r="R109" s="19"/>
      <c r="S109" s="2"/>
      <c r="T109" s="2">
        <f>-513.95</f>
        <v>-513.95000000000005</v>
      </c>
      <c r="U109" s="2"/>
      <c r="V109" s="19"/>
      <c r="W109" s="2"/>
      <c r="X109" s="2">
        <f t="shared" si="2"/>
        <v>513.95000000000005</v>
      </c>
      <c r="Y109" s="2"/>
      <c r="Z109" s="19">
        <f t="shared" si="3"/>
        <v>-1</v>
      </c>
    </row>
    <row r="110" spans="1:26" s="23" customFormat="1" hidden="1" outlineLevel="1" x14ac:dyDescent="0.25">
      <c r="A110" s="44"/>
      <c r="B110" s="10" t="str">
        <f>CONCATENATE("          ", "4295", " - ", "SALES RETURN TAXABLE-CUSTOMER")</f>
        <v xml:space="preserve">          4295 - SALES RETURN TAXABLE-CUSTOMER</v>
      </c>
      <c r="C110" s="10"/>
      <c r="D110" s="2">
        <f t="shared" si="23"/>
        <v>0</v>
      </c>
      <c r="E110" s="2"/>
      <c r="F110" s="19"/>
      <c r="G110" s="2"/>
      <c r="H110" s="2">
        <f t="shared" ref="H110:H113" si="25">0</f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0"/>
      <c r="P110" s="2">
        <f t="shared" si="24"/>
        <v>0</v>
      </c>
      <c r="Q110" s="2"/>
      <c r="R110" s="19"/>
      <c r="S110" s="2"/>
      <c r="T110" s="2">
        <f>--0.99</f>
        <v>0.99</v>
      </c>
      <c r="U110" s="2"/>
      <c r="V110" s="19"/>
      <c r="W110" s="2"/>
      <c r="X110" s="2">
        <f t="shared" si="2"/>
        <v>-0.99</v>
      </c>
      <c r="Y110" s="2"/>
      <c r="Z110" s="19">
        <f t="shared" si="3"/>
        <v>-1</v>
      </c>
    </row>
    <row r="111" spans="1:26" s="23" customFormat="1" hidden="1" outlineLevel="1" x14ac:dyDescent="0.25">
      <c r="A111" s="44"/>
      <c r="B111" s="10" t="str">
        <f>CONCATENATE("          ", "4301", " - ", "SALES RETURN NON TAXABLE-NEW T")</f>
        <v xml:space="preserve">          4301 - SALES RETURN NON TAXABLE-NEW T</v>
      </c>
      <c r="C111" s="10"/>
      <c r="D111" s="2">
        <f t="shared" si="23"/>
        <v>0</v>
      </c>
      <c r="E111" s="2"/>
      <c r="F111" s="19"/>
      <c r="G111" s="2"/>
      <c r="H111" s="2">
        <f t="shared" si="25"/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0"/>
      <c r="P111" s="2">
        <f>-3237.29</f>
        <v>-3237.29</v>
      </c>
      <c r="Q111" s="2"/>
      <c r="R111" s="19"/>
      <c r="S111" s="2"/>
      <c r="T111" s="2">
        <f>-15221.62</f>
        <v>-15221.62</v>
      </c>
      <c r="U111" s="2"/>
      <c r="V111" s="19"/>
      <c r="W111" s="2"/>
      <c r="X111" s="2">
        <f t="shared" si="2"/>
        <v>11984.330000000002</v>
      </c>
      <c r="Y111" s="2"/>
      <c r="Z111" s="19">
        <f t="shared" si="3"/>
        <v>-0.78732289992786586</v>
      </c>
    </row>
    <row r="112" spans="1:26" s="23" customFormat="1" hidden="1" outlineLevel="1" x14ac:dyDescent="0.25">
      <c r="A112" s="44"/>
      <c r="B112" s="10" t="str">
        <f>CONCATENATE("          ", "4302", " - ", "SALES RETURN NON TAXABLE-TEXT")</f>
        <v xml:space="preserve">          4302 - SALES RETURN NON TAXABLE-TEXT</v>
      </c>
      <c r="C112" s="10"/>
      <c r="D112" s="2">
        <f>-270.87</f>
        <v>-270.87</v>
      </c>
      <c r="E112" s="2"/>
      <c r="F112" s="19"/>
      <c r="G112" s="2"/>
      <c r="H112" s="2">
        <f t="shared" si="25"/>
        <v>0</v>
      </c>
      <c r="I112" s="2"/>
      <c r="J112" s="19"/>
      <c r="K112" s="2"/>
      <c r="L112" s="2">
        <f t="shared" si="0"/>
        <v>-270.87</v>
      </c>
      <c r="M112" s="2"/>
      <c r="N112" s="19">
        <f t="shared" si="1"/>
        <v>0</v>
      </c>
      <c r="O112" s="10"/>
      <c r="P112" s="2">
        <f>-2344.35</f>
        <v>-2344.35</v>
      </c>
      <c r="Q112" s="2"/>
      <c r="R112" s="19"/>
      <c r="S112" s="2"/>
      <c r="T112" s="2">
        <f>-1312.37</f>
        <v>-1312.37</v>
      </c>
      <c r="U112" s="2"/>
      <c r="V112" s="19"/>
      <c r="W112" s="2"/>
      <c r="X112" s="2">
        <f t="shared" si="2"/>
        <v>-1031.98</v>
      </c>
      <c r="Y112" s="2"/>
      <c r="Z112" s="19">
        <f t="shared" si="3"/>
        <v>0.78634836212348658</v>
      </c>
    </row>
    <row r="113" spans="1:26" s="23" customFormat="1" hidden="1" outlineLevel="1" x14ac:dyDescent="0.25">
      <c r="A113" s="44"/>
      <c r="B113" s="10" t="str">
        <f>CONCATENATE("          ", "4303", " - ", "SALES RETURN NON-TAXABLE-RENTA")</f>
        <v xml:space="preserve">          4303 - SALES RETURN NON-TAXABLE-RENTA</v>
      </c>
      <c r="C113" s="10"/>
      <c r="D113" s="2">
        <f>0</f>
        <v>0</v>
      </c>
      <c r="E113" s="2"/>
      <c r="F113" s="19"/>
      <c r="G113" s="2"/>
      <c r="H113" s="2">
        <f t="shared" si="25"/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0"/>
      <c r="P113" s="2">
        <f>0</f>
        <v>0</v>
      </c>
      <c r="Q113" s="2"/>
      <c r="R113" s="19"/>
      <c r="S113" s="2"/>
      <c r="T113" s="2">
        <f>-184.99</f>
        <v>-184.99</v>
      </c>
      <c r="U113" s="2"/>
      <c r="V113" s="19"/>
      <c r="W113" s="2"/>
      <c r="X113" s="2">
        <f t="shared" si="2"/>
        <v>184.99</v>
      </c>
      <c r="Y113" s="2"/>
      <c r="Z113" s="19">
        <f t="shared" si="3"/>
        <v>-1</v>
      </c>
    </row>
    <row r="114" spans="1:26" s="23" customFormat="1" hidden="1" outlineLevel="1" x14ac:dyDescent="0.25">
      <c r="A114" s="44"/>
      <c r="B114" s="10" t="str">
        <f>CONCATENATE("          ", "4304", " - ", "SALES RETURN NON TAXABLE-DIGIT")</f>
        <v xml:space="preserve">          4304 - SALES RETURN NON TAXABLE-DIGIT</v>
      </c>
      <c r="C114" s="10"/>
      <c r="D114" s="2">
        <f>-275.04</f>
        <v>-275.04000000000002</v>
      </c>
      <c r="E114" s="2"/>
      <c r="F114" s="19"/>
      <c r="G114" s="2"/>
      <c r="H114" s="2">
        <f>-44.15</f>
        <v>-44.15</v>
      </c>
      <c r="I114" s="2"/>
      <c r="J114" s="19"/>
      <c r="K114" s="2"/>
      <c r="L114" s="2">
        <f t="shared" si="0"/>
        <v>-230.89000000000001</v>
      </c>
      <c r="M114" s="2"/>
      <c r="N114" s="19">
        <f t="shared" si="1"/>
        <v>5.2296715741789361</v>
      </c>
      <c r="O114" s="10"/>
      <c r="P114" s="2">
        <f>-27543.76</f>
        <v>-27543.759999999998</v>
      </c>
      <c r="Q114" s="2"/>
      <c r="R114" s="19"/>
      <c r="S114" s="2"/>
      <c r="T114" s="2">
        <f>-19036.13</f>
        <v>-19036.13</v>
      </c>
      <c r="U114" s="2"/>
      <c r="V114" s="19"/>
      <c r="W114" s="2"/>
      <c r="X114" s="2">
        <f t="shared" si="2"/>
        <v>-8507.6299999999974</v>
      </c>
      <c r="Y114" s="2"/>
      <c r="Z114" s="19">
        <f t="shared" si="3"/>
        <v>0.44692014605909902</v>
      </c>
    </row>
    <row r="115" spans="1:26" s="23" customFormat="1" hidden="1" outlineLevel="1" x14ac:dyDescent="0.25">
      <c r="A115" s="44"/>
      <c r="B115" s="10" t="str">
        <f>CONCATENATE("          ", "4311", " - ", "SALES RETURN NON TAXABLE-NO VA")</f>
        <v xml:space="preserve">          4311 - SALES RETURN NON TAXABLE-NO VA</v>
      </c>
      <c r="C115" s="10"/>
      <c r="D115" s="2">
        <f t="shared" ref="D115:D118" si="26">0</f>
        <v>0</v>
      </c>
      <c r="E115" s="2"/>
      <c r="F115" s="19"/>
      <c r="G115" s="2"/>
      <c r="H115" s="2">
        <f>-57.9</f>
        <v>-57.9</v>
      </c>
      <c r="I115" s="2"/>
      <c r="J115" s="19"/>
      <c r="K115" s="2"/>
      <c r="L115" s="2">
        <f t="shared" si="0"/>
        <v>57.9</v>
      </c>
      <c r="M115" s="2"/>
      <c r="N115" s="19">
        <f t="shared" si="1"/>
        <v>-1</v>
      </c>
      <c r="O115" s="10"/>
      <c r="P115" s="2">
        <f t="shared" ref="P115:P118" si="27">0</f>
        <v>0</v>
      </c>
      <c r="Q115" s="2"/>
      <c r="R115" s="19"/>
      <c r="S115" s="2"/>
      <c r="T115" s="2">
        <f>-852.66</f>
        <v>-852.66</v>
      </c>
      <c r="U115" s="2"/>
      <c r="V115" s="19"/>
      <c r="W115" s="2"/>
      <c r="X115" s="2">
        <f t="shared" si="2"/>
        <v>852.66</v>
      </c>
      <c r="Y115" s="2"/>
      <c r="Z115" s="19">
        <f t="shared" si="3"/>
        <v>-1</v>
      </c>
    </row>
    <row r="116" spans="1:26" s="23" customFormat="1" hidden="1" outlineLevel="1" x14ac:dyDescent="0.25">
      <c r="A116" s="44"/>
      <c r="B116" s="10" t="str">
        <f>CONCATENATE("          ", "4327", " - ", "SALES RETURN NON TAXABLE-SCHOO")</f>
        <v xml:space="preserve">          4327 - SALES RETURN NON TAXABLE-SCHOO</v>
      </c>
      <c r="C116" s="10"/>
      <c r="D116" s="2">
        <f t="shared" si="26"/>
        <v>0</v>
      </c>
      <c r="E116" s="2"/>
      <c r="F116" s="19"/>
      <c r="G116" s="2"/>
      <c r="H116" s="2">
        <f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0"/>
      <c r="P116" s="2">
        <f t="shared" si="27"/>
        <v>0</v>
      </c>
      <c r="Q116" s="2"/>
      <c r="R116" s="19"/>
      <c r="S116" s="2"/>
      <c r="T116" s="2">
        <f>-21.87</f>
        <v>-21.87</v>
      </c>
      <c r="U116" s="2"/>
      <c r="V116" s="19"/>
      <c r="W116" s="2"/>
      <c r="X116" s="2">
        <f t="shared" si="2"/>
        <v>21.87</v>
      </c>
      <c r="Y116" s="2"/>
      <c r="Z116" s="19">
        <f t="shared" si="3"/>
        <v>-1</v>
      </c>
    </row>
    <row r="117" spans="1:26" s="23" customFormat="1" hidden="1" outlineLevel="1" x14ac:dyDescent="0.25">
      <c r="A117" s="44"/>
      <c r="B117" s="10" t="str">
        <f>CONCATENATE("          ", "4331", " - ", "SALES RETURN NON TAXABLE-FOOD")</f>
        <v xml:space="preserve">          4331 - SALES RETURN NON TAXABLE-FOOD</v>
      </c>
      <c r="C117" s="10"/>
      <c r="D117" s="2">
        <f t="shared" si="26"/>
        <v>0</v>
      </c>
      <c r="E117" s="2"/>
      <c r="F117" s="19"/>
      <c r="G117" s="2"/>
      <c r="H117" s="2">
        <f>-4.99</f>
        <v>-4.99</v>
      </c>
      <c r="I117" s="2"/>
      <c r="J117" s="19"/>
      <c r="K117" s="2"/>
      <c r="L117" s="2">
        <f t="shared" si="0"/>
        <v>4.99</v>
      </c>
      <c r="M117" s="2"/>
      <c r="N117" s="19">
        <f t="shared" si="1"/>
        <v>-1</v>
      </c>
      <c r="O117" s="10"/>
      <c r="P117" s="2">
        <f t="shared" si="27"/>
        <v>0</v>
      </c>
      <c r="Q117" s="2"/>
      <c r="R117" s="19"/>
      <c r="S117" s="2"/>
      <c r="T117" s="2">
        <f>-12.57</f>
        <v>-12.57</v>
      </c>
      <c r="U117" s="2"/>
      <c r="V117" s="19"/>
      <c r="W117" s="2"/>
      <c r="X117" s="2">
        <f t="shared" si="2"/>
        <v>12.57</v>
      </c>
      <c r="Y117" s="2"/>
      <c r="Z117" s="19">
        <f t="shared" si="3"/>
        <v>-1</v>
      </c>
    </row>
    <row r="118" spans="1:26" s="23" customFormat="1" hidden="1" outlineLevel="1" x14ac:dyDescent="0.25">
      <c r="A118" s="44"/>
      <c r="B118" s="10" t="str">
        <f>CONCATENATE("          ", "4332", " - ", "SALES RETURN NON TAXABLE-JUICE")</f>
        <v xml:space="preserve">          4332 - SALES RETURN NON TAXABLE-JUICE</v>
      </c>
      <c r="C118" s="10"/>
      <c r="D118" s="2">
        <f t="shared" si="26"/>
        <v>0</v>
      </c>
      <c r="E118" s="2"/>
      <c r="F118" s="19"/>
      <c r="G118" s="2"/>
      <c r="H118" s="2">
        <f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0"/>
      <c r="P118" s="2">
        <f t="shared" si="27"/>
        <v>0</v>
      </c>
      <c r="Q118" s="2"/>
      <c r="R118" s="19"/>
      <c r="S118" s="2"/>
      <c r="T118" s="2">
        <f>-2.79</f>
        <v>-2.79</v>
      </c>
      <c r="U118" s="2"/>
      <c r="V118" s="19"/>
      <c r="W118" s="2"/>
      <c r="X118" s="2">
        <f t="shared" si="2"/>
        <v>2.79</v>
      </c>
      <c r="Y118" s="2"/>
      <c r="Z118" s="19">
        <f t="shared" si="3"/>
        <v>-1</v>
      </c>
    </row>
    <row r="119" spans="1:26" s="23" customFormat="1" hidden="1" outlineLevel="1" x14ac:dyDescent="0.25">
      <c r="A119" s="44"/>
      <c r="B119" s="10" t="str">
        <f>CONCATENATE("          ", "4340", " - ", "SALES RETURN NON TAXABLE-LOGO")</f>
        <v xml:space="preserve">          4340 - SALES RETURN NON TAXABLE-LOGO</v>
      </c>
      <c r="C119" s="10"/>
      <c r="D119" s="2">
        <f>-350.55</f>
        <v>-350.55</v>
      </c>
      <c r="E119" s="2"/>
      <c r="F119" s="19"/>
      <c r="G119" s="2"/>
      <c r="H119" s="2">
        <f>-63.8</f>
        <v>-63.8</v>
      </c>
      <c r="I119" s="2"/>
      <c r="J119" s="19"/>
      <c r="K119" s="2"/>
      <c r="L119" s="2">
        <f t="shared" si="0"/>
        <v>-286.75</v>
      </c>
      <c r="M119" s="2"/>
      <c r="N119" s="19">
        <f t="shared" si="1"/>
        <v>4.4945141065830727</v>
      </c>
      <c r="O119" s="10"/>
      <c r="P119" s="2">
        <f>-2643.39</f>
        <v>-2643.39</v>
      </c>
      <c r="Q119" s="2"/>
      <c r="R119" s="19"/>
      <c r="S119" s="2"/>
      <c r="T119" s="2">
        <f>-995.45</f>
        <v>-995.45</v>
      </c>
      <c r="U119" s="2"/>
      <c r="V119" s="19"/>
      <c r="W119" s="2"/>
      <c r="X119" s="2">
        <f t="shared" si="2"/>
        <v>-1647.9399999999998</v>
      </c>
      <c r="Y119" s="2"/>
      <c r="Z119" s="19">
        <f t="shared" si="3"/>
        <v>1.6554723994173486</v>
      </c>
    </row>
    <row r="120" spans="1:26" s="23" customFormat="1" hidden="1" outlineLevel="1" x14ac:dyDescent="0.25">
      <c r="A120" s="44"/>
      <c r="B120" s="10" t="str">
        <f>CONCATENATE("          ", "4341", " - ", "SALES RETURN NON TAXABLE-LOGO")</f>
        <v xml:space="preserve">          4341 - SALES RETURN NON TAXABLE-LOGO</v>
      </c>
      <c r="C120" s="10"/>
      <c r="D120" s="2">
        <f>-29.9</f>
        <v>-29.9</v>
      </c>
      <c r="E120" s="2"/>
      <c r="F120" s="19"/>
      <c r="G120" s="2"/>
      <c r="H120" s="2">
        <f t="shared" ref="H120:H122" si="28">0</f>
        <v>0</v>
      </c>
      <c r="I120" s="2"/>
      <c r="J120" s="19"/>
      <c r="K120" s="2"/>
      <c r="L120" s="2">
        <f t="shared" si="0"/>
        <v>-29.9</v>
      </c>
      <c r="M120" s="2"/>
      <c r="N120" s="19">
        <f t="shared" si="1"/>
        <v>0</v>
      </c>
      <c r="O120" s="10"/>
      <c r="P120" s="2">
        <f>-392.54</f>
        <v>-392.54</v>
      </c>
      <c r="Q120" s="2"/>
      <c r="R120" s="19"/>
      <c r="S120" s="2"/>
      <c r="T120" s="2">
        <f>-245.5</f>
        <v>-245.5</v>
      </c>
      <c r="U120" s="2"/>
      <c r="V120" s="19"/>
      <c r="W120" s="2"/>
      <c r="X120" s="2">
        <f t="shared" si="2"/>
        <v>-147.04000000000002</v>
      </c>
      <c r="Y120" s="2"/>
      <c r="Z120" s="19">
        <f t="shared" si="3"/>
        <v>0.59894093686354388</v>
      </c>
    </row>
    <row r="121" spans="1:26" s="23" customFormat="1" hidden="1" outlineLevel="1" x14ac:dyDescent="0.25">
      <c r="A121" s="44"/>
      <c r="B121" s="10" t="str">
        <f>CONCATENATE("          ", "4342", " - ", "SALES RETURN NON TAXABLE-EVERY")</f>
        <v xml:space="preserve">          4342 - SALES RETURN NON TAXABLE-EVERY</v>
      </c>
      <c r="C121" s="10"/>
      <c r="D121" s="2">
        <f t="shared" ref="D121:D126" si="29">0</f>
        <v>0</v>
      </c>
      <c r="E121" s="2"/>
      <c r="F121" s="19"/>
      <c r="G121" s="2"/>
      <c r="H121" s="2">
        <f t="shared" si="28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0"/>
      <c r="P121" s="2">
        <f>-118.7</f>
        <v>-118.7</v>
      </c>
      <c r="Q121" s="2"/>
      <c r="R121" s="19"/>
      <c r="S121" s="2"/>
      <c r="T121" s="2">
        <f>-149.22</f>
        <v>-149.22</v>
      </c>
      <c r="U121" s="2"/>
      <c r="V121" s="19"/>
      <c r="W121" s="2"/>
      <c r="X121" s="2">
        <f t="shared" si="2"/>
        <v>30.519999999999996</v>
      </c>
      <c r="Y121" s="2"/>
      <c r="Z121" s="19">
        <f t="shared" si="3"/>
        <v>-0.20453022383058569</v>
      </c>
    </row>
    <row r="122" spans="1:26" s="23" customFormat="1" hidden="1" outlineLevel="1" x14ac:dyDescent="0.25">
      <c r="A122" s="44"/>
      <c r="B122" s="10" t="str">
        <f>CONCATENATE("          ", "4346", " - ", "SALES RETURN NON TAXABLE-COIN-")</f>
        <v xml:space="preserve">          4346 - SALES RETURN NON TAXABLE-COIN-</v>
      </c>
      <c r="C122" s="10"/>
      <c r="D122" s="2">
        <f t="shared" si="29"/>
        <v>0</v>
      </c>
      <c r="E122" s="2"/>
      <c r="F122" s="19"/>
      <c r="G122" s="2"/>
      <c r="H122" s="2">
        <f t="shared" si="28"/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0"/>
      <c r="P122" s="2">
        <f t="shared" ref="P122:P123" si="30">0</f>
        <v>0</v>
      </c>
      <c r="Q122" s="2"/>
      <c r="R122" s="19"/>
      <c r="S122" s="2"/>
      <c r="T122" s="2">
        <f>-8.15</f>
        <v>-8.15</v>
      </c>
      <c r="U122" s="2"/>
      <c r="V122" s="19"/>
      <c r="W122" s="2"/>
      <c r="X122" s="2">
        <f t="shared" si="2"/>
        <v>8.15</v>
      </c>
      <c r="Y122" s="2"/>
      <c r="Z122" s="19">
        <f t="shared" si="3"/>
        <v>-1</v>
      </c>
    </row>
    <row r="123" spans="1:26" s="23" customFormat="1" hidden="1" outlineLevel="1" x14ac:dyDescent="0.25">
      <c r="A123" s="44"/>
      <c r="B123" s="10" t="str">
        <f>CONCATENATE("          ", "4347", " - ", "SALES RETURN NON TAXABLE-MISC")</f>
        <v xml:space="preserve">          4347 - SALES RETURN NON TAXABLE-MISC</v>
      </c>
      <c r="C123" s="10"/>
      <c r="D123" s="2">
        <f t="shared" si="29"/>
        <v>0</v>
      </c>
      <c r="E123" s="2"/>
      <c r="F123" s="19"/>
      <c r="G123" s="2"/>
      <c r="H123" s="2">
        <f>-84</f>
        <v>-84</v>
      </c>
      <c r="I123" s="2"/>
      <c r="J123" s="19"/>
      <c r="K123" s="2"/>
      <c r="L123" s="2">
        <f t="shared" si="0"/>
        <v>84</v>
      </c>
      <c r="M123" s="2"/>
      <c r="N123" s="19">
        <f t="shared" si="1"/>
        <v>-1</v>
      </c>
      <c r="O123" s="10"/>
      <c r="P123" s="2">
        <f t="shared" si="30"/>
        <v>0</v>
      </c>
      <c r="Q123" s="2"/>
      <c r="R123" s="19"/>
      <c r="S123" s="2"/>
      <c r="T123" s="2">
        <f>-84</f>
        <v>-84</v>
      </c>
      <c r="U123" s="2"/>
      <c r="V123" s="19"/>
      <c r="W123" s="2"/>
      <c r="X123" s="2">
        <f t="shared" si="2"/>
        <v>84</v>
      </c>
      <c r="Y123" s="2"/>
      <c r="Z123" s="19">
        <f t="shared" si="3"/>
        <v>-1</v>
      </c>
    </row>
    <row r="124" spans="1:26" s="23" customFormat="1" hidden="1" outlineLevel="1" x14ac:dyDescent="0.25">
      <c r="A124" s="44"/>
      <c r="B124" s="10" t="str">
        <f>CONCATENATE("          ", "4381", " - ", "SALES RETURN NON TAXABLE-ELECT")</f>
        <v xml:space="preserve">          4381 - SALES RETURN NON TAXABLE-ELECT</v>
      </c>
      <c r="C124" s="10"/>
      <c r="D124" s="2">
        <f t="shared" si="29"/>
        <v>0</v>
      </c>
      <c r="E124" s="2"/>
      <c r="F124" s="19"/>
      <c r="G124" s="2"/>
      <c r="H124" s="2">
        <f t="shared" ref="H124:H126" si="31">0</f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0"/>
      <c r="P124" s="2">
        <f>-5624.15</f>
        <v>-5624.15</v>
      </c>
      <c r="Q124" s="2"/>
      <c r="R124" s="19"/>
      <c r="S124" s="2"/>
      <c r="T124" s="2">
        <f>-1279.84</f>
        <v>-1279.8399999999999</v>
      </c>
      <c r="U124" s="2"/>
      <c r="V124" s="19"/>
      <c r="W124" s="2"/>
      <c r="X124" s="2">
        <f t="shared" si="2"/>
        <v>-4344.3099999999995</v>
      </c>
      <c r="Y124" s="2"/>
      <c r="Z124" s="19">
        <f t="shared" si="3"/>
        <v>3.3944164895611948</v>
      </c>
    </row>
    <row r="125" spans="1:26" s="23" customFormat="1" hidden="1" outlineLevel="1" x14ac:dyDescent="0.25">
      <c r="A125" s="44"/>
      <c r="B125" s="10" t="str">
        <f>CONCATENATE("          ", "4383", " - ", "SALES RETURN NON TAXABLE-COMPU")</f>
        <v xml:space="preserve">          4383 - SALES RETURN NON TAXABLE-COMPU</v>
      </c>
      <c r="C125" s="10"/>
      <c r="D125" s="2">
        <f t="shared" si="29"/>
        <v>0</v>
      </c>
      <c r="E125" s="2"/>
      <c r="F125" s="19"/>
      <c r="G125" s="2"/>
      <c r="H125" s="2">
        <f t="shared" si="31"/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0"/>
      <c r="P125" s="2">
        <f t="shared" ref="P125:P126" si="32">0</f>
        <v>0</v>
      </c>
      <c r="Q125" s="2"/>
      <c r="R125" s="19"/>
      <c r="S125" s="2"/>
      <c r="T125" s="2">
        <f>-49.98</f>
        <v>-49.98</v>
      </c>
      <c r="U125" s="2"/>
      <c r="V125" s="19"/>
      <c r="W125" s="2"/>
      <c r="X125" s="2">
        <f t="shared" si="2"/>
        <v>49.98</v>
      </c>
      <c r="Y125" s="2"/>
      <c r="Z125" s="19">
        <f t="shared" si="3"/>
        <v>-1</v>
      </c>
    </row>
    <row r="126" spans="1:26" s="23" customFormat="1" hidden="1" outlineLevel="1" x14ac:dyDescent="0.25">
      <c r="A126" s="44"/>
      <c r="B126" s="10" t="str">
        <f>CONCATENATE("          ", "4386", " - ", "SALES RETURN NON TAXABLE-COMPU")</f>
        <v xml:space="preserve">          4386 - SALES RETURN NON TAXABLE-COMPU</v>
      </c>
      <c r="C126" s="10"/>
      <c r="D126" s="2">
        <f t="shared" si="29"/>
        <v>0</v>
      </c>
      <c r="E126" s="2"/>
      <c r="F126" s="19"/>
      <c r="G126" s="2"/>
      <c r="H126" s="2">
        <f t="shared" si="31"/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0"/>
      <c r="P126" s="2">
        <f t="shared" si="32"/>
        <v>0</v>
      </c>
      <c r="Q126" s="2"/>
      <c r="R126" s="19"/>
      <c r="S126" s="2"/>
      <c r="T126" s="2">
        <f>-104.96</f>
        <v>-104.96</v>
      </c>
      <c r="U126" s="2"/>
      <c r="V126" s="19"/>
      <c r="W126" s="2"/>
      <c r="X126" s="2">
        <f t="shared" si="2"/>
        <v>104.96</v>
      </c>
      <c r="Y126" s="2"/>
      <c r="Z126" s="19">
        <f t="shared" si="3"/>
        <v>-1</v>
      </c>
    </row>
    <row r="127" spans="1:26" x14ac:dyDescent="0.25">
      <c r="A127" s="9"/>
      <c r="B127" s="11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collapsed="1" x14ac:dyDescent="0.25">
      <c r="A128" s="11"/>
      <c r="B128" s="28" t="s">
        <v>256</v>
      </c>
      <c r="C128" s="11"/>
      <c r="D128" s="4">
        <f>SUM(OSRRefD16x_0)</f>
        <v>454474.85000000003</v>
      </c>
      <c r="E128" s="4"/>
      <c r="F128" s="13">
        <f t="shared" ref="F128:F187" si="33">IF(D$12=0,0,D128/D$12)</f>
        <v>0.74141880958484252</v>
      </c>
      <c r="G128" s="4"/>
      <c r="H128" s="4">
        <f>SUM(OSRRefH16x_0)</f>
        <v>203661.20999999976</v>
      </c>
      <c r="I128" s="4"/>
      <c r="J128" s="13">
        <f t="shared" ref="J128:J187" si="34">IF(H$12=0,0,H128/H$12)</f>
        <v>0.58803226044887125</v>
      </c>
      <c r="K128" s="4"/>
      <c r="L128" s="4">
        <f t="shared" ref="L128:L187" si="35">+D128-H128</f>
        <v>250813.64000000028</v>
      </c>
      <c r="M128" s="4"/>
      <c r="N128" s="13">
        <f t="shared" ref="N128:N187" si="36">IF(H128=0,0,L128/H128)</f>
        <v>1.231523862595143</v>
      </c>
      <c r="O128" s="11"/>
      <c r="P128" s="4">
        <f>SUM(OSRRefP16x_0)</f>
        <v>4585497.6000000006</v>
      </c>
      <c r="Q128" s="4"/>
      <c r="R128" s="13">
        <f t="shared" ref="R128:R187" si="37">IF(P$12=0,0,P128/P$12)</f>
        <v>0.72974138621720808</v>
      </c>
      <c r="S128" s="4"/>
      <c r="T128" s="4">
        <f>SUM(OSRRefT16x_0)</f>
        <v>6788118.8199999984</v>
      </c>
      <c r="U128" s="4"/>
      <c r="V128" s="13">
        <f t="shared" ref="V128:V187" si="38">IF(T$12=0,0,T128/T$12)</f>
        <v>0.63818367463578518</v>
      </c>
      <c r="W128" s="4"/>
      <c r="X128" s="4">
        <f t="shared" ref="X128:X187" si="39">+P128-T128</f>
        <v>-2202621.2199999979</v>
      </c>
      <c r="Y128" s="4"/>
      <c r="Z128" s="13">
        <f t="shared" ref="Z128:Z187" si="40">IF(T128=0,0,X128/T128)</f>
        <v>-0.32448183044621459</v>
      </c>
    </row>
    <row r="129" spans="1:26" s="23" customFormat="1" hidden="1" outlineLevel="1" x14ac:dyDescent="0.25">
      <c r="A129" s="44"/>
      <c r="B129" s="10" t="str">
        <f>CONCATENATE("          ", "5000", " - ", "PURCHASES @ COST")</f>
        <v xml:space="preserve">          5000 - PURCHASES @ COST</v>
      </c>
      <c r="C129" s="10"/>
      <c r="D129" s="2">
        <v>0</v>
      </c>
      <c r="E129" s="2"/>
      <c r="F129" s="19">
        <f t="shared" si="33"/>
        <v>0</v>
      </c>
      <c r="G129" s="2"/>
      <c r="H129" s="2">
        <v>0</v>
      </c>
      <c r="I129" s="2"/>
      <c r="J129" s="19">
        <f t="shared" si="34"/>
        <v>0</v>
      </c>
      <c r="K129" s="2"/>
      <c r="L129" s="2">
        <f t="shared" si="35"/>
        <v>0</v>
      </c>
      <c r="M129" s="2"/>
      <c r="N129" s="19">
        <f t="shared" si="36"/>
        <v>0</v>
      </c>
      <c r="O129" s="10"/>
      <c r="P129" s="2">
        <v>0</v>
      </c>
      <c r="Q129" s="2"/>
      <c r="R129" s="19">
        <f t="shared" si="37"/>
        <v>0</v>
      </c>
      <c r="S129" s="2"/>
      <c r="T129" s="2">
        <v>0</v>
      </c>
      <c r="U129" s="2"/>
      <c r="V129" s="19">
        <f t="shared" si="38"/>
        <v>0</v>
      </c>
      <c r="W129" s="2"/>
      <c r="X129" s="2">
        <f t="shared" si="39"/>
        <v>0</v>
      </c>
      <c r="Y129" s="2"/>
      <c r="Z129" s="19">
        <f t="shared" si="40"/>
        <v>0</v>
      </c>
    </row>
    <row r="130" spans="1:26" s="23" customFormat="1" hidden="1" outlineLevel="1" x14ac:dyDescent="0.25">
      <c r="A130" s="44"/>
      <c r="B130" s="10" t="str">
        <f>CONCATENATE("          ", "5001", " - ", "PURCHASES @ COST-NEW TEXT")</f>
        <v xml:space="preserve">          5001 - PURCHASES @ COST-NEW TEXT</v>
      </c>
      <c r="C130" s="10"/>
      <c r="D130" s="2">
        <v>-290899.24</v>
      </c>
      <c r="E130" s="2"/>
      <c r="F130" s="19">
        <f t="shared" si="33"/>
        <v>-0.47456568439361468</v>
      </c>
      <c r="G130" s="2"/>
      <c r="H130" s="2">
        <v>-921934.35</v>
      </c>
      <c r="I130" s="2"/>
      <c r="J130" s="19">
        <f t="shared" si="34"/>
        <v>-2.6619067018994995</v>
      </c>
      <c r="K130" s="2"/>
      <c r="L130" s="2">
        <f t="shared" si="35"/>
        <v>631035.11</v>
      </c>
      <c r="M130" s="2"/>
      <c r="N130" s="19">
        <f t="shared" si="36"/>
        <v>-0.68446859583873843</v>
      </c>
      <c r="O130" s="10"/>
      <c r="P130" s="2">
        <v>1035516.4</v>
      </c>
      <c r="Q130" s="2"/>
      <c r="R130" s="19">
        <f t="shared" si="37"/>
        <v>0.16479327634729388</v>
      </c>
      <c r="S130" s="2"/>
      <c r="T130" s="2">
        <v>1594665.12</v>
      </c>
      <c r="U130" s="2"/>
      <c r="V130" s="19">
        <f t="shared" si="38"/>
        <v>0.14992213204881932</v>
      </c>
      <c r="W130" s="2"/>
      <c r="X130" s="2">
        <f t="shared" si="39"/>
        <v>-559148.72000000009</v>
      </c>
      <c r="Y130" s="2"/>
      <c r="Z130" s="19">
        <f t="shared" si="40"/>
        <v>-0.35063707921322068</v>
      </c>
    </row>
    <row r="131" spans="1:26" s="23" customFormat="1" hidden="1" outlineLevel="1" x14ac:dyDescent="0.25">
      <c r="A131" s="44"/>
      <c r="B131" s="10" t="str">
        <f>CONCATENATE("          ", "5002", " - ", "PURCHASES @ COST-USED TEXT")</f>
        <v xml:space="preserve">          5002 - PURCHASES @ COST-USED TEXT</v>
      </c>
      <c r="C131" s="10"/>
      <c r="D131" s="2">
        <v>14728.45</v>
      </c>
      <c r="E131" s="2"/>
      <c r="F131" s="19">
        <f t="shared" si="33"/>
        <v>2.40276219157779E-2</v>
      </c>
      <c r="G131" s="2"/>
      <c r="H131" s="2">
        <v>74144.740000000005</v>
      </c>
      <c r="I131" s="2"/>
      <c r="J131" s="19">
        <f t="shared" si="34"/>
        <v>0.21407856244492457</v>
      </c>
      <c r="K131" s="2"/>
      <c r="L131" s="2">
        <f t="shared" si="35"/>
        <v>-59416.290000000008</v>
      </c>
      <c r="M131" s="2"/>
      <c r="N131" s="19">
        <f t="shared" si="36"/>
        <v>-0.80135542993339792</v>
      </c>
      <c r="O131" s="10"/>
      <c r="P131" s="2">
        <v>397052.67</v>
      </c>
      <c r="Q131" s="2"/>
      <c r="R131" s="19">
        <f t="shared" si="37"/>
        <v>6.3187420664453861E-2</v>
      </c>
      <c r="S131" s="2"/>
      <c r="T131" s="2">
        <v>598700.11</v>
      </c>
      <c r="U131" s="2"/>
      <c r="V131" s="19">
        <f t="shared" si="38"/>
        <v>5.6286674752792386E-2</v>
      </c>
      <c r="W131" s="2"/>
      <c r="X131" s="2">
        <f t="shared" si="39"/>
        <v>-201647.44</v>
      </c>
      <c r="Y131" s="2"/>
      <c r="Z131" s="19">
        <f t="shared" si="40"/>
        <v>-0.3368087572257169</v>
      </c>
    </row>
    <row r="132" spans="1:26" s="23" customFormat="1" hidden="1" outlineLevel="1" x14ac:dyDescent="0.25">
      <c r="A132" s="44"/>
      <c r="B132" s="10" t="str">
        <f>CONCATENATE("          ", "5003", " - ", "PURCHASES @ COST-RENTAL TEXT")</f>
        <v xml:space="preserve">          5003 - PURCHASES @ COST-RENTAL TEXT</v>
      </c>
      <c r="C132" s="10"/>
      <c r="D132" s="2"/>
      <c r="E132" s="2"/>
      <c r="F132" s="19">
        <f t="shared" si="33"/>
        <v>0</v>
      </c>
      <c r="G132" s="2"/>
      <c r="H132" s="2"/>
      <c r="I132" s="2"/>
      <c r="J132" s="19">
        <f t="shared" si="34"/>
        <v>0</v>
      </c>
      <c r="K132" s="2"/>
      <c r="L132" s="2">
        <f t="shared" si="35"/>
        <v>0</v>
      </c>
      <c r="M132" s="2"/>
      <c r="N132" s="19">
        <f t="shared" si="36"/>
        <v>0</v>
      </c>
      <c r="O132" s="10"/>
      <c r="P132" s="2">
        <v>32.520000000000003</v>
      </c>
      <c r="Q132" s="2"/>
      <c r="R132" s="19">
        <f t="shared" si="37"/>
        <v>5.1752703740993355E-6</v>
      </c>
      <c r="S132" s="2"/>
      <c r="T132" s="2">
        <v>-78.400000000000006</v>
      </c>
      <c r="U132" s="2"/>
      <c r="V132" s="19">
        <f t="shared" si="38"/>
        <v>-7.3707607981213223E-6</v>
      </c>
      <c r="W132" s="2"/>
      <c r="X132" s="2">
        <f t="shared" si="39"/>
        <v>110.92000000000002</v>
      </c>
      <c r="Y132" s="2"/>
      <c r="Z132" s="19">
        <f t="shared" si="40"/>
        <v>-1.4147959183673471</v>
      </c>
    </row>
    <row r="133" spans="1:26" s="23" customFormat="1" hidden="1" outlineLevel="1" x14ac:dyDescent="0.25">
      <c r="A133" s="44"/>
      <c r="B133" s="10" t="str">
        <f>CONCATENATE("          ", "5004", " - ", "PURCHASES @ COST-DIGITAL TEXT")</f>
        <v xml:space="preserve">          5004 - PURCHASES @ COST-DIGITAL TEXT</v>
      </c>
      <c r="C133" s="10"/>
      <c r="D133" s="2">
        <v>-13446.08</v>
      </c>
      <c r="E133" s="2"/>
      <c r="F133" s="19">
        <f t="shared" si="33"/>
        <v>-2.1935595835902818E-2</v>
      </c>
      <c r="G133" s="2"/>
      <c r="H133" s="2">
        <v>-96834.95</v>
      </c>
      <c r="I133" s="2"/>
      <c r="J133" s="19">
        <f t="shared" si="34"/>
        <v>-0.27959214491042989</v>
      </c>
      <c r="K133" s="2"/>
      <c r="L133" s="2">
        <f t="shared" si="35"/>
        <v>83388.87</v>
      </c>
      <c r="M133" s="2"/>
      <c r="N133" s="19">
        <f t="shared" si="36"/>
        <v>-0.8611443492251506</v>
      </c>
      <c r="O133" s="10"/>
      <c r="P133" s="2">
        <v>206562.5</v>
      </c>
      <c r="Q133" s="2"/>
      <c r="R133" s="19">
        <f t="shared" si="37"/>
        <v>3.2872594915433394E-2</v>
      </c>
      <c r="S133" s="2"/>
      <c r="T133" s="2">
        <v>438322.88</v>
      </c>
      <c r="U133" s="2"/>
      <c r="V133" s="19">
        <f t="shared" si="38"/>
        <v>4.1208840571730056E-2</v>
      </c>
      <c r="W133" s="2"/>
      <c r="X133" s="2">
        <f t="shared" si="39"/>
        <v>-231760.38</v>
      </c>
      <c r="Y133" s="2"/>
      <c r="Z133" s="19">
        <f t="shared" si="40"/>
        <v>-0.52874351437004607</v>
      </c>
    </row>
    <row r="134" spans="1:26" s="23" customFormat="1" hidden="1" outlineLevel="1" x14ac:dyDescent="0.25">
      <c r="A134" s="44"/>
      <c r="B134" s="10" t="str">
        <f>CONCATENATE("          ", "5011", " - ", "PURCHASES @ COST-NO VALUE TEXT")</f>
        <v xml:space="preserve">          5011 - PURCHASES @ COST-NO VALUE TEXT</v>
      </c>
      <c r="C134" s="10"/>
      <c r="D134" s="2"/>
      <c r="E134" s="2"/>
      <c r="F134" s="19">
        <f t="shared" si="33"/>
        <v>0</v>
      </c>
      <c r="G134" s="2"/>
      <c r="H134" s="2">
        <v>588</v>
      </c>
      <c r="I134" s="2"/>
      <c r="J134" s="19">
        <f t="shared" si="34"/>
        <v>1.6977360055159089E-3</v>
      </c>
      <c r="K134" s="2"/>
      <c r="L134" s="2">
        <f t="shared" si="35"/>
        <v>-588</v>
      </c>
      <c r="M134" s="2"/>
      <c r="N134" s="19">
        <f t="shared" si="36"/>
        <v>-1</v>
      </c>
      <c r="O134" s="10"/>
      <c r="P134" s="2">
        <v>67.17</v>
      </c>
      <c r="Q134" s="2"/>
      <c r="R134" s="19">
        <f t="shared" si="37"/>
        <v>1.0689511409232852E-5</v>
      </c>
      <c r="S134" s="2"/>
      <c r="T134" s="2">
        <v>6321</v>
      </c>
      <c r="U134" s="2"/>
      <c r="V134" s="19">
        <f t="shared" si="38"/>
        <v>5.9426758934853156E-4</v>
      </c>
      <c r="W134" s="2"/>
      <c r="X134" s="2">
        <f t="shared" si="39"/>
        <v>-6253.83</v>
      </c>
      <c r="Y134" s="2"/>
      <c r="Z134" s="19">
        <f t="shared" si="40"/>
        <v>-0.98937351684859987</v>
      </c>
    </row>
    <row r="135" spans="1:26" s="23" customFormat="1" hidden="1" outlineLevel="1" x14ac:dyDescent="0.25">
      <c r="A135" s="44"/>
      <c r="B135" s="10" t="str">
        <f>CONCATENATE("          ", "5013", " - ", "PURCHASES @ COST-TRADE BOOKS")</f>
        <v xml:space="preserve">          5013 - PURCHASES @ COST-TRADE BOOKS</v>
      </c>
      <c r="C135" s="10"/>
      <c r="D135" s="2">
        <v>2907.93</v>
      </c>
      <c r="E135" s="2"/>
      <c r="F135" s="19">
        <f t="shared" si="33"/>
        <v>4.7439236713671855E-3</v>
      </c>
      <c r="G135" s="2"/>
      <c r="H135" s="2">
        <v>3297.82</v>
      </c>
      <c r="I135" s="2"/>
      <c r="J135" s="19">
        <f t="shared" si="34"/>
        <v>9.5218159076708754E-3</v>
      </c>
      <c r="K135" s="2"/>
      <c r="L135" s="2">
        <f t="shared" si="35"/>
        <v>-389.89000000000033</v>
      </c>
      <c r="M135" s="2"/>
      <c r="N135" s="19">
        <f t="shared" si="36"/>
        <v>-0.11822658604775285</v>
      </c>
      <c r="O135" s="10"/>
      <c r="P135" s="2">
        <v>8870.02</v>
      </c>
      <c r="Q135" s="2"/>
      <c r="R135" s="19">
        <f t="shared" si="37"/>
        <v>1.4115852313551225E-3</v>
      </c>
      <c r="S135" s="2"/>
      <c r="T135" s="2">
        <v>6348.54</v>
      </c>
      <c r="U135" s="2"/>
      <c r="V135" s="19">
        <f t="shared" si="38"/>
        <v>5.9685675710848386E-4</v>
      </c>
      <c r="W135" s="2"/>
      <c r="X135" s="2">
        <f t="shared" si="39"/>
        <v>2521.4800000000005</v>
      </c>
      <c r="Y135" s="2"/>
      <c r="Z135" s="19">
        <f t="shared" si="40"/>
        <v>0.39717478349352775</v>
      </c>
    </row>
    <row r="136" spans="1:26" s="23" customFormat="1" hidden="1" outlineLevel="1" x14ac:dyDescent="0.25">
      <c r="A136" s="44"/>
      <c r="B136" s="10" t="str">
        <f>CONCATENATE("          ", "5014", " - ", "PURCHASES @ COST-REMAINDERS")</f>
        <v xml:space="preserve">          5014 - PURCHASES @ COST-REMAINDERS</v>
      </c>
      <c r="C136" s="10"/>
      <c r="D136" s="2"/>
      <c r="E136" s="2"/>
      <c r="F136" s="19">
        <f t="shared" si="33"/>
        <v>0</v>
      </c>
      <c r="G136" s="2"/>
      <c r="H136" s="2">
        <v>13.9</v>
      </c>
      <c r="I136" s="2"/>
      <c r="J136" s="19">
        <f t="shared" si="34"/>
        <v>4.0133555232433899E-5</v>
      </c>
      <c r="K136" s="2"/>
      <c r="L136" s="2">
        <f t="shared" si="35"/>
        <v>-13.9</v>
      </c>
      <c r="M136" s="2"/>
      <c r="N136" s="19">
        <f t="shared" si="36"/>
        <v>-1</v>
      </c>
      <c r="O136" s="10"/>
      <c r="P136" s="2">
        <v>111.57</v>
      </c>
      <c r="Q136" s="2"/>
      <c r="R136" s="19">
        <f t="shared" si="37"/>
        <v>1.7755378709663677E-5</v>
      </c>
      <c r="S136" s="2"/>
      <c r="T136" s="2">
        <v>615.07000000000005</v>
      </c>
      <c r="U136" s="2"/>
      <c r="V136" s="19">
        <f t="shared" si="38"/>
        <v>5.7825686786995942E-5</v>
      </c>
      <c r="W136" s="2"/>
      <c r="X136" s="2">
        <f t="shared" si="39"/>
        <v>-503.50000000000006</v>
      </c>
      <c r="Y136" s="2"/>
      <c r="Z136" s="19">
        <f t="shared" si="40"/>
        <v>-0.81860601232380059</v>
      </c>
    </row>
    <row r="137" spans="1:26" s="23" customFormat="1" hidden="1" outlineLevel="1" x14ac:dyDescent="0.25">
      <c r="A137" s="44"/>
      <c r="B137" s="10" t="str">
        <f>CONCATENATE("          ", "5017", " - ", "PURCHASES @ COST-DORM/HOUSEWAR")</f>
        <v xml:space="preserve">          5017 - PURCHASES @ COST-DORM/HOUSEWAR</v>
      </c>
      <c r="C137" s="10"/>
      <c r="D137" s="2"/>
      <c r="E137" s="2"/>
      <c r="F137" s="19">
        <f t="shared" si="33"/>
        <v>0</v>
      </c>
      <c r="G137" s="2"/>
      <c r="H137" s="2">
        <v>14.46</v>
      </c>
      <c r="I137" s="2"/>
      <c r="J137" s="19">
        <f t="shared" si="34"/>
        <v>4.1750446666258578E-5</v>
      </c>
      <c r="K137" s="2"/>
      <c r="L137" s="2">
        <f t="shared" si="35"/>
        <v>-14.46</v>
      </c>
      <c r="M137" s="2"/>
      <c r="N137" s="19">
        <f t="shared" si="36"/>
        <v>-1</v>
      </c>
      <c r="O137" s="10"/>
      <c r="P137" s="2"/>
      <c r="Q137" s="2"/>
      <c r="R137" s="19">
        <f t="shared" si="37"/>
        <v>0</v>
      </c>
      <c r="S137" s="2"/>
      <c r="T137" s="2">
        <v>14.46</v>
      </c>
      <c r="U137" s="2"/>
      <c r="V137" s="19">
        <f t="shared" si="38"/>
        <v>1.3594540961841113E-6</v>
      </c>
      <c r="W137" s="2"/>
      <c r="X137" s="2">
        <f t="shared" si="39"/>
        <v>-14.46</v>
      </c>
      <c r="Y137" s="2"/>
      <c r="Z137" s="19">
        <f t="shared" si="40"/>
        <v>-1</v>
      </c>
    </row>
    <row r="138" spans="1:26" s="23" customFormat="1" hidden="1" outlineLevel="1" x14ac:dyDescent="0.25">
      <c r="A138" s="44"/>
      <c r="B138" s="10" t="str">
        <f>CONCATENATE("          ", "5018", " - ", "PURCHASES @ COST-STUDY GUIDES")</f>
        <v xml:space="preserve">          5018 - PURCHASES @ COST-STUDY GUIDES</v>
      </c>
      <c r="C138" s="10"/>
      <c r="D138" s="2">
        <v>444.87</v>
      </c>
      <c r="E138" s="2"/>
      <c r="F138" s="19">
        <f t="shared" si="33"/>
        <v>7.2574969950484362E-4</v>
      </c>
      <c r="G138" s="2"/>
      <c r="H138" s="2">
        <v>108.9</v>
      </c>
      <c r="I138" s="2"/>
      <c r="J138" s="19">
        <f t="shared" si="34"/>
        <v>3.1442763775626272E-4</v>
      </c>
      <c r="K138" s="2"/>
      <c r="L138" s="2">
        <f t="shared" si="35"/>
        <v>335.97</v>
      </c>
      <c r="M138" s="2"/>
      <c r="N138" s="19">
        <f t="shared" si="36"/>
        <v>3.0851239669421489</v>
      </c>
      <c r="O138" s="10"/>
      <c r="P138" s="2">
        <v>967.21</v>
      </c>
      <c r="Q138" s="2"/>
      <c r="R138" s="19">
        <f t="shared" si="37"/>
        <v>1.5392291692904731E-4</v>
      </c>
      <c r="S138" s="2"/>
      <c r="T138" s="2">
        <v>2377.33</v>
      </c>
      <c r="U138" s="2"/>
      <c r="V138" s="19">
        <f t="shared" si="38"/>
        <v>2.2350421898211431E-4</v>
      </c>
      <c r="W138" s="2"/>
      <c r="X138" s="2">
        <f t="shared" si="39"/>
        <v>-1410.12</v>
      </c>
      <c r="Y138" s="2"/>
      <c r="Z138" s="19">
        <f t="shared" si="40"/>
        <v>-0.59315282270446257</v>
      </c>
    </row>
    <row r="139" spans="1:26" s="23" customFormat="1" hidden="1" outlineLevel="1" x14ac:dyDescent="0.25">
      <c r="A139" s="44"/>
      <c r="B139" s="10" t="str">
        <f>CONCATENATE("          ", "5025", " - ", "PURCHASES @ COST-TEST FORMS")</f>
        <v xml:space="preserve">          5025 - PURCHASES @ COST-TEST FORMS</v>
      </c>
      <c r="C139" s="10"/>
      <c r="D139" s="2"/>
      <c r="E139" s="2"/>
      <c r="F139" s="19">
        <f t="shared" si="33"/>
        <v>0</v>
      </c>
      <c r="G139" s="2"/>
      <c r="H139" s="2">
        <v>-1</v>
      </c>
      <c r="I139" s="2"/>
      <c r="J139" s="19">
        <f t="shared" si="34"/>
        <v>-2.887306131829777E-6</v>
      </c>
      <c r="K139" s="2"/>
      <c r="L139" s="2">
        <f t="shared" si="35"/>
        <v>1</v>
      </c>
      <c r="M139" s="2"/>
      <c r="N139" s="19">
        <f t="shared" si="36"/>
        <v>-1</v>
      </c>
      <c r="O139" s="10"/>
      <c r="P139" s="2">
        <v>599.29</v>
      </c>
      <c r="Q139" s="2"/>
      <c r="R139" s="19">
        <f t="shared" si="37"/>
        <v>9.537170302872049E-5</v>
      </c>
      <c r="S139" s="2"/>
      <c r="T139" s="2">
        <v>26400.39</v>
      </c>
      <c r="U139" s="2"/>
      <c r="V139" s="19">
        <f t="shared" si="38"/>
        <v>2.4820275467744156E-3</v>
      </c>
      <c r="W139" s="2"/>
      <c r="X139" s="2">
        <f t="shared" si="39"/>
        <v>-25801.1</v>
      </c>
      <c r="Y139" s="2"/>
      <c r="Z139" s="19">
        <f t="shared" si="40"/>
        <v>-0.97729995655367208</v>
      </c>
    </row>
    <row r="140" spans="1:26" s="23" customFormat="1" hidden="1" outlineLevel="1" x14ac:dyDescent="0.25">
      <c r="A140" s="44"/>
      <c r="B140" s="10" t="str">
        <f>CONCATENATE("          ", "5026", " - ", "PURCHASES @ COST-WRITING INSTR")</f>
        <v xml:space="preserve">          5026 - PURCHASES @ COST-WRITING INSTR</v>
      </c>
      <c r="C140" s="10"/>
      <c r="D140" s="2">
        <v>209.64</v>
      </c>
      <c r="E140" s="2"/>
      <c r="F140" s="19">
        <f t="shared" si="33"/>
        <v>3.4200140940992966E-4</v>
      </c>
      <c r="G140" s="2"/>
      <c r="H140" s="2">
        <v>3209.26</v>
      </c>
      <c r="I140" s="2"/>
      <c r="J140" s="19">
        <f t="shared" si="34"/>
        <v>9.2661160766360304E-3</v>
      </c>
      <c r="K140" s="2"/>
      <c r="L140" s="2">
        <f t="shared" si="35"/>
        <v>-2999.6200000000003</v>
      </c>
      <c r="M140" s="2"/>
      <c r="N140" s="19">
        <f t="shared" si="36"/>
        <v>-0.93467652979191473</v>
      </c>
      <c r="O140" s="10"/>
      <c r="P140" s="2">
        <v>584.54999999999995</v>
      </c>
      <c r="Q140" s="2"/>
      <c r="R140" s="19">
        <f t="shared" si="37"/>
        <v>9.302596239790178E-5</v>
      </c>
      <c r="S140" s="2"/>
      <c r="T140" s="2">
        <v>48971.27</v>
      </c>
      <c r="U140" s="2"/>
      <c r="V140" s="19">
        <f t="shared" si="38"/>
        <v>4.6040244534466162E-3</v>
      </c>
      <c r="W140" s="2"/>
      <c r="X140" s="2">
        <f t="shared" si="39"/>
        <v>-48386.719999999994</v>
      </c>
      <c r="Y140" s="2"/>
      <c r="Z140" s="19">
        <f t="shared" si="40"/>
        <v>-0.98806340942352522</v>
      </c>
    </row>
    <row r="141" spans="1:26" s="23" customFormat="1" hidden="1" outlineLevel="1" x14ac:dyDescent="0.25">
      <c r="A141" s="44"/>
      <c r="B141" s="10" t="str">
        <f>CONCATENATE("          ", "5027", " - ", "PURCHASES @ COST-SCHOOL SUPPLI")</f>
        <v xml:space="preserve">          5027 - PURCHASES @ COST-SCHOOL SUPPLI</v>
      </c>
      <c r="C141" s="10"/>
      <c r="D141" s="2">
        <v>2824.53</v>
      </c>
      <c r="E141" s="2"/>
      <c r="F141" s="19">
        <f t="shared" si="33"/>
        <v>4.607867014504048E-3</v>
      </c>
      <c r="G141" s="2"/>
      <c r="H141" s="2">
        <v>19253.84</v>
      </c>
      <c r="I141" s="2"/>
      <c r="J141" s="19">
        <f t="shared" si="34"/>
        <v>5.5591730293269435E-2</v>
      </c>
      <c r="K141" s="2"/>
      <c r="L141" s="2">
        <f t="shared" si="35"/>
        <v>-16429.310000000001</v>
      </c>
      <c r="M141" s="2"/>
      <c r="N141" s="19">
        <f t="shared" si="36"/>
        <v>-0.85330043253709398</v>
      </c>
      <c r="O141" s="10"/>
      <c r="P141" s="2">
        <v>21895.88</v>
      </c>
      <c r="Q141" s="2"/>
      <c r="R141" s="19">
        <f t="shared" si="37"/>
        <v>3.4845356420305706E-3</v>
      </c>
      <c r="S141" s="2"/>
      <c r="T141" s="2">
        <v>137605.04</v>
      </c>
      <c r="U141" s="2"/>
      <c r="V141" s="19">
        <f t="shared" si="38"/>
        <v>1.2936911153774445E-2</v>
      </c>
      <c r="W141" s="2"/>
      <c r="X141" s="2">
        <f t="shared" si="39"/>
        <v>-115709.16</v>
      </c>
      <c r="Y141" s="2"/>
      <c r="Z141" s="19">
        <f t="shared" si="40"/>
        <v>-0.84087879339303262</v>
      </c>
    </row>
    <row r="142" spans="1:26" s="23" customFormat="1" hidden="1" outlineLevel="1" x14ac:dyDescent="0.25">
      <c r="A142" s="44"/>
      <c r="B142" s="10" t="str">
        <f>CONCATENATE("          ", "5028", " - ", "PURCHASES @ COST-ART/TECH")</f>
        <v xml:space="preserve">          5028 - PURCHASES @ COST-ART/TECH</v>
      </c>
      <c r="C142" s="10"/>
      <c r="D142" s="2">
        <v>3443.78</v>
      </c>
      <c r="E142" s="2"/>
      <c r="F142" s="19">
        <f t="shared" si="33"/>
        <v>5.6180958485867565E-3</v>
      </c>
      <c r="G142" s="2"/>
      <c r="H142" s="2">
        <v>4417.37</v>
      </c>
      <c r="I142" s="2"/>
      <c r="J142" s="19">
        <f t="shared" si="34"/>
        <v>1.2754299487560902E-2</v>
      </c>
      <c r="K142" s="2"/>
      <c r="L142" s="2">
        <f t="shared" si="35"/>
        <v>-973.58999999999969</v>
      </c>
      <c r="M142" s="2"/>
      <c r="N142" s="19">
        <f t="shared" si="36"/>
        <v>-0.22040037397818152</v>
      </c>
      <c r="O142" s="10"/>
      <c r="P142" s="2">
        <v>45635.360000000001</v>
      </c>
      <c r="Q142" s="2"/>
      <c r="R142" s="19">
        <f t="shared" si="37"/>
        <v>7.262463918184435E-3</v>
      </c>
      <c r="S142" s="2"/>
      <c r="T142" s="2">
        <v>151070.15</v>
      </c>
      <c r="U142" s="2"/>
      <c r="V142" s="19">
        <f t="shared" si="38"/>
        <v>1.4202830859519231E-2</v>
      </c>
      <c r="W142" s="2"/>
      <c r="X142" s="2">
        <f t="shared" si="39"/>
        <v>-105434.79</v>
      </c>
      <c r="Y142" s="2"/>
      <c r="Z142" s="19">
        <f t="shared" si="40"/>
        <v>-0.69791941028720761</v>
      </c>
    </row>
    <row r="143" spans="1:26" s="23" customFormat="1" hidden="1" outlineLevel="1" x14ac:dyDescent="0.25">
      <c r="A143" s="44"/>
      <c r="B143" s="10" t="str">
        <f>CONCATENATE("          ", "5031", " - ", "PURCHASES @ COST-FOOD")</f>
        <v xml:space="preserve">          5031 - PURCHASES @ COST-FOOD</v>
      </c>
      <c r="C143" s="10"/>
      <c r="D143" s="2"/>
      <c r="E143" s="2"/>
      <c r="F143" s="19">
        <f t="shared" si="33"/>
        <v>0</v>
      </c>
      <c r="G143" s="2"/>
      <c r="H143" s="2">
        <v>3113.82</v>
      </c>
      <c r="I143" s="2"/>
      <c r="J143" s="19">
        <f t="shared" si="34"/>
        <v>8.9905515794141966E-3</v>
      </c>
      <c r="K143" s="2"/>
      <c r="L143" s="2">
        <f t="shared" si="35"/>
        <v>-3113.82</v>
      </c>
      <c r="M143" s="2"/>
      <c r="N143" s="19">
        <f t="shared" si="36"/>
        <v>-1</v>
      </c>
      <c r="O143" s="10"/>
      <c r="P143" s="2">
        <v>7785.72</v>
      </c>
      <c r="Q143" s="2"/>
      <c r="R143" s="19">
        <f t="shared" si="37"/>
        <v>1.2390284765385201E-3</v>
      </c>
      <c r="S143" s="2"/>
      <c r="T143" s="2">
        <v>33239.879999999997</v>
      </c>
      <c r="U143" s="2"/>
      <c r="V143" s="19">
        <f t="shared" si="38"/>
        <v>3.125040872936951E-3</v>
      </c>
      <c r="W143" s="2"/>
      <c r="X143" s="2">
        <f t="shared" si="39"/>
        <v>-25454.159999999996</v>
      </c>
      <c r="Y143" s="2"/>
      <c r="Z143" s="19">
        <f t="shared" si="40"/>
        <v>-0.76577171758742801</v>
      </c>
    </row>
    <row r="144" spans="1:26" s="23" customFormat="1" hidden="1" outlineLevel="1" x14ac:dyDescent="0.25">
      <c r="A144" s="44"/>
      <c r="B144" s="10" t="str">
        <f>CONCATENATE("          ", "5032", " - ", "PURCHASES @ COST-JUICE")</f>
        <v xml:space="preserve">          5032 - PURCHASES @ COST-JUICE</v>
      </c>
      <c r="C144" s="10"/>
      <c r="D144" s="2"/>
      <c r="E144" s="2"/>
      <c r="F144" s="19">
        <f t="shared" si="33"/>
        <v>0</v>
      </c>
      <c r="G144" s="2"/>
      <c r="H144" s="2">
        <v>688.97</v>
      </c>
      <c r="I144" s="2"/>
      <c r="J144" s="19">
        <f t="shared" si="34"/>
        <v>1.9892673056467617E-3</v>
      </c>
      <c r="K144" s="2"/>
      <c r="L144" s="2">
        <f t="shared" si="35"/>
        <v>-688.97</v>
      </c>
      <c r="M144" s="2"/>
      <c r="N144" s="19">
        <f t="shared" si="36"/>
        <v>-1</v>
      </c>
      <c r="O144" s="10"/>
      <c r="P144" s="2"/>
      <c r="Q144" s="2"/>
      <c r="R144" s="19">
        <f t="shared" si="37"/>
        <v>0</v>
      </c>
      <c r="S144" s="2"/>
      <c r="T144" s="2">
        <v>7802.45</v>
      </c>
      <c r="U144" s="2"/>
      <c r="V144" s="19">
        <f t="shared" si="38"/>
        <v>7.3354582384313406E-4</v>
      </c>
      <c r="W144" s="2"/>
      <c r="X144" s="2">
        <f t="shared" si="39"/>
        <v>-7802.45</v>
      </c>
      <c r="Y144" s="2"/>
      <c r="Z144" s="19">
        <f t="shared" si="40"/>
        <v>-1</v>
      </c>
    </row>
    <row r="145" spans="1:26" s="23" customFormat="1" hidden="1" outlineLevel="1" x14ac:dyDescent="0.25">
      <c r="A145" s="44"/>
      <c r="B145" s="10" t="str">
        <f>CONCATENATE("          ", "5033", " - ", "PURCHASES @ COST-CANDY")</f>
        <v xml:space="preserve">          5033 - PURCHASES @ COST-CANDY</v>
      </c>
      <c r="C145" s="10"/>
      <c r="D145" s="2"/>
      <c r="E145" s="2"/>
      <c r="F145" s="19">
        <f t="shared" si="33"/>
        <v>0</v>
      </c>
      <c r="G145" s="2"/>
      <c r="H145" s="2">
        <v>1198.55</v>
      </c>
      <c r="I145" s="2"/>
      <c r="J145" s="19">
        <f t="shared" si="34"/>
        <v>3.4605807643045793E-3</v>
      </c>
      <c r="K145" s="2"/>
      <c r="L145" s="2">
        <f t="shared" si="35"/>
        <v>-1198.55</v>
      </c>
      <c r="M145" s="2"/>
      <c r="N145" s="19">
        <f t="shared" si="36"/>
        <v>-1</v>
      </c>
      <c r="O145" s="10"/>
      <c r="P145" s="2"/>
      <c r="Q145" s="2"/>
      <c r="R145" s="19">
        <f t="shared" si="37"/>
        <v>0</v>
      </c>
      <c r="S145" s="2"/>
      <c r="T145" s="2">
        <v>10023.61</v>
      </c>
      <c r="U145" s="2"/>
      <c r="V145" s="19">
        <f t="shared" si="38"/>
        <v>9.4236775055684785E-4</v>
      </c>
      <c r="W145" s="2"/>
      <c r="X145" s="2">
        <f t="shared" si="39"/>
        <v>-10023.61</v>
      </c>
      <c r="Y145" s="2"/>
      <c r="Z145" s="19">
        <f t="shared" si="40"/>
        <v>-1</v>
      </c>
    </row>
    <row r="146" spans="1:26" s="23" customFormat="1" hidden="1" outlineLevel="1" x14ac:dyDescent="0.25">
      <c r="A146" s="44"/>
      <c r="B146" s="10" t="str">
        <f>CONCATENATE("          ", "5034", " - ", "PURCHASES @ COST-SODA")</f>
        <v xml:space="preserve">          5034 - PURCHASES @ COST-SODA</v>
      </c>
      <c r="C146" s="10"/>
      <c r="D146" s="2"/>
      <c r="E146" s="2"/>
      <c r="F146" s="19">
        <f t="shared" si="33"/>
        <v>0</v>
      </c>
      <c r="G146" s="2"/>
      <c r="H146" s="2">
        <v>271.79000000000002</v>
      </c>
      <c r="I146" s="2"/>
      <c r="J146" s="19">
        <f t="shared" si="34"/>
        <v>7.8474093357001516E-4</v>
      </c>
      <c r="K146" s="2"/>
      <c r="L146" s="2">
        <f t="shared" si="35"/>
        <v>-271.79000000000002</v>
      </c>
      <c r="M146" s="2"/>
      <c r="N146" s="19">
        <f t="shared" si="36"/>
        <v>-1</v>
      </c>
      <c r="O146" s="10"/>
      <c r="P146" s="2"/>
      <c r="Q146" s="2"/>
      <c r="R146" s="19">
        <f t="shared" si="37"/>
        <v>0</v>
      </c>
      <c r="S146" s="2"/>
      <c r="T146" s="2">
        <v>4033.88</v>
      </c>
      <c r="U146" s="2"/>
      <c r="V146" s="19">
        <f t="shared" si="38"/>
        <v>3.7924444602456173E-4</v>
      </c>
      <c r="W146" s="2"/>
      <c r="X146" s="2">
        <f t="shared" si="39"/>
        <v>-4033.88</v>
      </c>
      <c r="Y146" s="2"/>
      <c r="Z146" s="19">
        <f t="shared" si="40"/>
        <v>-1</v>
      </c>
    </row>
    <row r="147" spans="1:26" s="23" customFormat="1" hidden="1" outlineLevel="1" x14ac:dyDescent="0.25">
      <c r="A147" s="44"/>
      <c r="B147" s="10" t="str">
        <f>CONCATENATE("          ", "5035", " - ", "PURCHASES @ COST-HEALTH &amp; BEAU")</f>
        <v xml:space="preserve">          5035 - PURCHASES @ COST-HEALTH &amp; BEAU</v>
      </c>
      <c r="C147" s="10"/>
      <c r="D147" s="2"/>
      <c r="E147" s="2"/>
      <c r="F147" s="19">
        <f t="shared" si="33"/>
        <v>0</v>
      </c>
      <c r="G147" s="2"/>
      <c r="H147" s="2">
        <v>61.98</v>
      </c>
      <c r="I147" s="2"/>
      <c r="J147" s="19">
        <f t="shared" si="34"/>
        <v>1.7895523405080956E-4</v>
      </c>
      <c r="K147" s="2"/>
      <c r="L147" s="2">
        <f t="shared" si="35"/>
        <v>-61.98</v>
      </c>
      <c r="M147" s="2"/>
      <c r="N147" s="19">
        <f t="shared" si="36"/>
        <v>-1</v>
      </c>
      <c r="O147" s="10"/>
      <c r="P147" s="2"/>
      <c r="Q147" s="2"/>
      <c r="R147" s="19">
        <f t="shared" si="37"/>
        <v>0</v>
      </c>
      <c r="S147" s="2"/>
      <c r="T147" s="2">
        <v>1117.6500000000001</v>
      </c>
      <c r="U147" s="2"/>
      <c r="V147" s="19">
        <f t="shared" si="38"/>
        <v>1.0507564803597317E-4</v>
      </c>
      <c r="W147" s="2"/>
      <c r="X147" s="2">
        <f t="shared" si="39"/>
        <v>-1117.6500000000001</v>
      </c>
      <c r="Y147" s="2"/>
      <c r="Z147" s="19">
        <f t="shared" si="40"/>
        <v>-1</v>
      </c>
    </row>
    <row r="148" spans="1:26" s="23" customFormat="1" hidden="1" outlineLevel="1" x14ac:dyDescent="0.25">
      <c r="A148" s="44"/>
      <c r="B148" s="10" t="str">
        <f>CONCATENATE("          ", "5037", " - ", "PURCHASES @ COST-WATER")</f>
        <v xml:space="preserve">          5037 - PURCHASES @ COST-WATER</v>
      </c>
      <c r="C148" s="10"/>
      <c r="D148" s="2"/>
      <c r="E148" s="2"/>
      <c r="F148" s="19">
        <f t="shared" si="33"/>
        <v>0</v>
      </c>
      <c r="G148" s="2"/>
      <c r="H148" s="2">
        <v>393.84</v>
      </c>
      <c r="I148" s="2"/>
      <c r="J148" s="19">
        <f t="shared" si="34"/>
        <v>1.1371366469598394E-3</v>
      </c>
      <c r="K148" s="2"/>
      <c r="L148" s="2">
        <f t="shared" si="35"/>
        <v>-393.84</v>
      </c>
      <c r="M148" s="2"/>
      <c r="N148" s="19">
        <f t="shared" si="36"/>
        <v>-1</v>
      </c>
      <c r="O148" s="10"/>
      <c r="P148" s="2"/>
      <c r="Q148" s="2"/>
      <c r="R148" s="19">
        <f t="shared" si="37"/>
        <v>0</v>
      </c>
      <c r="S148" s="2"/>
      <c r="T148" s="2">
        <v>5693.57</v>
      </c>
      <c r="U148" s="2"/>
      <c r="V148" s="19">
        <f t="shared" si="38"/>
        <v>5.3527987955815834E-4</v>
      </c>
      <c r="W148" s="2"/>
      <c r="X148" s="2">
        <f t="shared" si="39"/>
        <v>-5693.57</v>
      </c>
      <c r="Y148" s="2"/>
      <c r="Z148" s="19">
        <f t="shared" si="40"/>
        <v>-1</v>
      </c>
    </row>
    <row r="149" spans="1:26" s="23" customFormat="1" hidden="1" outlineLevel="1" x14ac:dyDescent="0.25">
      <c r="A149" s="44"/>
      <c r="B149" s="10" t="str">
        <f>CONCATENATE("          ", "5040", " - ", "PURCHASES @ COST-LOGO CLOTHING")</f>
        <v xml:space="preserve">          5040 - PURCHASES @ COST-LOGO CLOTHING</v>
      </c>
      <c r="C149" s="10"/>
      <c r="D149" s="2">
        <v>45900.51</v>
      </c>
      <c r="E149" s="2"/>
      <c r="F149" s="19">
        <f t="shared" si="33"/>
        <v>7.4880934519340636E-2</v>
      </c>
      <c r="G149" s="2"/>
      <c r="H149" s="2">
        <v>65352.98</v>
      </c>
      <c r="I149" s="2"/>
      <c r="J149" s="19">
        <f t="shared" si="34"/>
        <v>0.1886940598873488</v>
      </c>
      <c r="K149" s="2"/>
      <c r="L149" s="2">
        <f t="shared" si="35"/>
        <v>-19452.47</v>
      </c>
      <c r="M149" s="2"/>
      <c r="N149" s="19">
        <f t="shared" si="36"/>
        <v>-0.29765237943242984</v>
      </c>
      <c r="O149" s="10"/>
      <c r="P149" s="2">
        <v>239871.6</v>
      </c>
      <c r="Q149" s="2"/>
      <c r="R149" s="19">
        <f t="shared" si="37"/>
        <v>3.8173443575270791E-2</v>
      </c>
      <c r="S149" s="2"/>
      <c r="T149" s="2">
        <v>966898.54</v>
      </c>
      <c r="U149" s="2"/>
      <c r="V149" s="19">
        <f t="shared" si="38"/>
        <v>9.0902778755009461E-2</v>
      </c>
      <c r="W149" s="2"/>
      <c r="X149" s="2">
        <f t="shared" si="39"/>
        <v>-727026.94000000006</v>
      </c>
      <c r="Y149" s="2"/>
      <c r="Z149" s="19">
        <f t="shared" si="40"/>
        <v>-0.75191647305621134</v>
      </c>
    </row>
    <row r="150" spans="1:26" s="23" customFormat="1" hidden="1" outlineLevel="1" x14ac:dyDescent="0.25">
      <c r="A150" s="44"/>
      <c r="B150" s="10" t="str">
        <f>CONCATENATE("          ", "5041", " - ", "PURCHASES @ COST-LOGO GIFTS")</f>
        <v xml:space="preserve">          5041 - PURCHASES @ COST-LOGO GIFTS</v>
      </c>
      <c r="C150" s="10"/>
      <c r="D150" s="2">
        <v>899.63</v>
      </c>
      <c r="E150" s="2"/>
      <c r="F150" s="19">
        <f t="shared" si="33"/>
        <v>1.4676336956089249E-3</v>
      </c>
      <c r="G150" s="2"/>
      <c r="H150" s="2">
        <v>15128.67</v>
      </c>
      <c r="I150" s="2"/>
      <c r="J150" s="19">
        <f t="shared" si="34"/>
        <v>4.3681101657429194E-2</v>
      </c>
      <c r="K150" s="2"/>
      <c r="L150" s="2">
        <f t="shared" si="35"/>
        <v>-14229.04</v>
      </c>
      <c r="M150" s="2"/>
      <c r="N150" s="19">
        <f t="shared" si="36"/>
        <v>-0.94053475949967846</v>
      </c>
      <c r="O150" s="10"/>
      <c r="P150" s="2">
        <v>68463.44</v>
      </c>
      <c r="Q150" s="2"/>
      <c r="R150" s="19">
        <f t="shared" si="37"/>
        <v>1.089535094529297E-2</v>
      </c>
      <c r="S150" s="2"/>
      <c r="T150" s="2">
        <v>149510.73000000001</v>
      </c>
      <c r="U150" s="2"/>
      <c r="V150" s="19">
        <f t="shared" si="38"/>
        <v>1.4056222290593133E-2</v>
      </c>
      <c r="W150" s="2"/>
      <c r="X150" s="2">
        <f t="shared" si="39"/>
        <v>-81047.290000000008</v>
      </c>
      <c r="Y150" s="2"/>
      <c r="Z150" s="19">
        <f t="shared" si="40"/>
        <v>-0.54208343441303508</v>
      </c>
    </row>
    <row r="151" spans="1:26" s="23" customFormat="1" hidden="1" outlineLevel="1" x14ac:dyDescent="0.25">
      <c r="A151" s="44"/>
      <c r="B151" s="10" t="str">
        <f>CONCATENATE("          ", "5042", " - ", "PURCHASES @ COST-EVERYDAY GIFT")</f>
        <v xml:space="preserve">          5042 - PURCHASES @ COST-EVERYDAY GIFT</v>
      </c>
      <c r="C151" s="10"/>
      <c r="D151" s="2">
        <v>-270</v>
      </c>
      <c r="E151" s="2"/>
      <c r="F151" s="19">
        <f t="shared" si="33"/>
        <v>-4.4047119128353849E-4</v>
      </c>
      <c r="G151" s="2"/>
      <c r="H151" s="2">
        <v>15355.27</v>
      </c>
      <c r="I151" s="2"/>
      <c r="J151" s="19">
        <f t="shared" si="34"/>
        <v>4.4335365226901818E-2</v>
      </c>
      <c r="K151" s="2"/>
      <c r="L151" s="2">
        <f t="shared" si="35"/>
        <v>-15625.27</v>
      </c>
      <c r="M151" s="2"/>
      <c r="N151" s="19">
        <f t="shared" si="36"/>
        <v>-1.0175835397228443</v>
      </c>
      <c r="O151" s="10"/>
      <c r="P151" s="2">
        <v>18748.18</v>
      </c>
      <c r="Q151" s="2"/>
      <c r="R151" s="19">
        <f t="shared" si="37"/>
        <v>2.9836070271304325E-3</v>
      </c>
      <c r="S151" s="2"/>
      <c r="T151" s="2">
        <v>115363.24</v>
      </c>
      <c r="U151" s="2"/>
      <c r="V151" s="19">
        <f t="shared" si="38"/>
        <v>1.0845852639493133E-2</v>
      </c>
      <c r="W151" s="2"/>
      <c r="X151" s="2">
        <f t="shared" si="39"/>
        <v>-96615.06</v>
      </c>
      <c r="Y151" s="2"/>
      <c r="Z151" s="19">
        <f t="shared" si="40"/>
        <v>-0.83748566701143268</v>
      </c>
    </row>
    <row r="152" spans="1:26" s="23" customFormat="1" hidden="1" outlineLevel="1" x14ac:dyDescent="0.25">
      <c r="A152" s="44"/>
      <c r="B152" s="10" t="str">
        <f>CONCATENATE("          ", "5043", " - ", "PURCHASES @ COST-CARDS")</f>
        <v xml:space="preserve">          5043 - PURCHASES @ COST-CARDS</v>
      </c>
      <c r="C152" s="10"/>
      <c r="D152" s="2"/>
      <c r="E152" s="2"/>
      <c r="F152" s="19">
        <f t="shared" si="33"/>
        <v>0</v>
      </c>
      <c r="G152" s="2"/>
      <c r="H152" s="2">
        <v>-4258.25</v>
      </c>
      <c r="I152" s="2"/>
      <c r="J152" s="19">
        <f t="shared" si="34"/>
        <v>-1.2294871335864148E-2</v>
      </c>
      <c r="K152" s="2"/>
      <c r="L152" s="2">
        <f t="shared" si="35"/>
        <v>4258.25</v>
      </c>
      <c r="M152" s="2"/>
      <c r="N152" s="19">
        <f t="shared" si="36"/>
        <v>-1</v>
      </c>
      <c r="O152" s="10"/>
      <c r="P152" s="2">
        <v>55364.33</v>
      </c>
      <c r="Q152" s="2"/>
      <c r="R152" s="19">
        <f t="shared" si="37"/>
        <v>8.8107434449833655E-3</v>
      </c>
      <c r="S152" s="2"/>
      <c r="T152" s="2">
        <v>24776.91</v>
      </c>
      <c r="U152" s="2"/>
      <c r="V152" s="19">
        <f t="shared" si="38"/>
        <v>2.3293963893696451E-3</v>
      </c>
      <c r="W152" s="2"/>
      <c r="X152" s="2">
        <f t="shared" si="39"/>
        <v>30587.420000000002</v>
      </c>
      <c r="Y152" s="2"/>
      <c r="Z152" s="19">
        <f t="shared" si="40"/>
        <v>1.2345131011090569</v>
      </c>
    </row>
    <row r="153" spans="1:26" s="23" customFormat="1" hidden="1" outlineLevel="1" x14ac:dyDescent="0.25">
      <c r="A153" s="44"/>
      <c r="B153" s="10" t="str">
        <f>CONCATENATE("          ", "5044", " - ", "PURCHASES @ COST-ACCESSORIES")</f>
        <v xml:space="preserve">          5044 - PURCHASES @ COST-ACCESSORIES</v>
      </c>
      <c r="C153" s="10"/>
      <c r="D153" s="2"/>
      <c r="E153" s="2"/>
      <c r="F153" s="19">
        <f t="shared" si="33"/>
        <v>0</v>
      </c>
      <c r="G153" s="2"/>
      <c r="H153" s="2">
        <v>-1305.4100000000001</v>
      </c>
      <c r="I153" s="2"/>
      <c r="J153" s="19">
        <f t="shared" si="34"/>
        <v>-3.7691182975519094E-3</v>
      </c>
      <c r="K153" s="2"/>
      <c r="L153" s="2">
        <f t="shared" si="35"/>
        <v>1305.4100000000001</v>
      </c>
      <c r="M153" s="2"/>
      <c r="N153" s="19">
        <f t="shared" si="36"/>
        <v>-1</v>
      </c>
      <c r="O153" s="10"/>
      <c r="P153" s="2">
        <v>1064.83</v>
      </c>
      <c r="Q153" s="2"/>
      <c r="R153" s="19">
        <f t="shared" si="37"/>
        <v>1.6945827652067017E-4</v>
      </c>
      <c r="S153" s="2"/>
      <c r="T153" s="2">
        <v>32094.03</v>
      </c>
      <c r="U153" s="2"/>
      <c r="V153" s="19">
        <f t="shared" si="38"/>
        <v>3.0173140073690005E-3</v>
      </c>
      <c r="W153" s="2"/>
      <c r="X153" s="2">
        <f t="shared" si="39"/>
        <v>-31029.199999999997</v>
      </c>
      <c r="Y153" s="2"/>
      <c r="Z153" s="19">
        <f t="shared" si="40"/>
        <v>-0.96682155528613878</v>
      </c>
    </row>
    <row r="154" spans="1:26" s="23" customFormat="1" hidden="1" outlineLevel="1" x14ac:dyDescent="0.25">
      <c r="A154" s="44"/>
      <c r="B154" s="10" t="str">
        <f>CONCATENATE("          ", "5045", " - ", "PURCHASES @ COST-SPECIAL ORDER")</f>
        <v xml:space="preserve">          5045 - PURCHASES @ COST-SPECIAL ORDER</v>
      </c>
      <c r="C154" s="10"/>
      <c r="D154" s="2">
        <v>13853.18</v>
      </c>
      <c r="E154" s="2"/>
      <c r="F154" s="19">
        <f t="shared" si="33"/>
        <v>2.2599728509871443E-2</v>
      </c>
      <c r="G154" s="2"/>
      <c r="H154" s="2">
        <v>6736.47</v>
      </c>
      <c r="I154" s="2"/>
      <c r="J154" s="19">
        <f t="shared" si="34"/>
        <v>1.9450251137887339E-2</v>
      </c>
      <c r="K154" s="2"/>
      <c r="L154" s="2">
        <f t="shared" si="35"/>
        <v>7116.71</v>
      </c>
      <c r="M154" s="2"/>
      <c r="N154" s="19">
        <f t="shared" si="36"/>
        <v>1.0564449927038939</v>
      </c>
      <c r="O154" s="10"/>
      <c r="P154" s="2">
        <v>109226.69</v>
      </c>
      <c r="Q154" s="2"/>
      <c r="R154" s="19">
        <f t="shared" si="37"/>
        <v>1.7382461648767899E-2</v>
      </c>
      <c r="S154" s="2"/>
      <c r="T154" s="2">
        <v>57701.25</v>
      </c>
      <c r="U154" s="2"/>
      <c r="V154" s="19">
        <f t="shared" si="38"/>
        <v>5.4247718303902801E-3</v>
      </c>
      <c r="W154" s="2"/>
      <c r="X154" s="2">
        <f t="shared" si="39"/>
        <v>51525.440000000002</v>
      </c>
      <c r="Y154" s="2"/>
      <c r="Z154" s="19">
        <f t="shared" si="40"/>
        <v>0.89296921643811877</v>
      </c>
    </row>
    <row r="155" spans="1:26" s="23" customFormat="1" hidden="1" outlineLevel="1" x14ac:dyDescent="0.25">
      <c r="A155" s="44"/>
      <c r="B155" s="10" t="str">
        <f>CONCATENATE("          ", "5081", " - ", "PURCHASES @ COST-ELECTRONICS")</f>
        <v xml:space="preserve">          5081 - PURCHASES @ COST-ELECTRONICS</v>
      </c>
      <c r="C155" s="10"/>
      <c r="D155" s="2">
        <v>309.97000000000003</v>
      </c>
      <c r="E155" s="2"/>
      <c r="F155" s="19">
        <f t="shared" si="33"/>
        <v>5.0567724134132751E-4</v>
      </c>
      <c r="G155" s="2"/>
      <c r="H155" s="2">
        <v>36011.160000000003</v>
      </c>
      <c r="I155" s="2"/>
      <c r="J155" s="19">
        <f t="shared" si="34"/>
        <v>0.1039752430823032</v>
      </c>
      <c r="K155" s="2"/>
      <c r="L155" s="2">
        <f t="shared" si="35"/>
        <v>-35701.19</v>
      </c>
      <c r="M155" s="2"/>
      <c r="N155" s="19">
        <f t="shared" si="36"/>
        <v>-0.99139239058114204</v>
      </c>
      <c r="O155" s="10"/>
      <c r="P155" s="2">
        <v>32467.87</v>
      </c>
      <c r="Q155" s="2"/>
      <c r="R155" s="19">
        <f t="shared" si="37"/>
        <v>5.1669743456675453E-3</v>
      </c>
      <c r="S155" s="2"/>
      <c r="T155" s="2">
        <v>265032.64</v>
      </c>
      <c r="U155" s="2"/>
      <c r="V155" s="19">
        <f t="shared" si="38"/>
        <v>2.4916992259369913E-2</v>
      </c>
      <c r="W155" s="2"/>
      <c r="X155" s="2">
        <f t="shared" si="39"/>
        <v>-232564.77000000002</v>
      </c>
      <c r="Y155" s="2"/>
      <c r="Z155" s="19">
        <f t="shared" si="40"/>
        <v>-0.87749482478837326</v>
      </c>
    </row>
    <row r="156" spans="1:26" s="23" customFormat="1" hidden="1" outlineLevel="1" x14ac:dyDescent="0.25">
      <c r="A156" s="44"/>
      <c r="B156" s="10" t="str">
        <f>CONCATENATE("          ", "5082", " - ", "PURCHASES @ COST-COMPUTER HARD")</f>
        <v xml:space="preserve">          5082 - PURCHASES @ COST-COMPUTER HARD</v>
      </c>
      <c r="C156" s="10"/>
      <c r="D156" s="2">
        <v>132715.92000000001</v>
      </c>
      <c r="E156" s="2"/>
      <c r="F156" s="19">
        <f t="shared" si="33"/>
        <v>0.21650940512848443</v>
      </c>
      <c r="G156" s="2"/>
      <c r="H156" s="2">
        <v>169875.81</v>
      </c>
      <c r="I156" s="2"/>
      <c r="J156" s="19">
        <f t="shared" si="34"/>
        <v>0.49048346786255015</v>
      </c>
      <c r="K156" s="2"/>
      <c r="L156" s="2">
        <f t="shared" si="35"/>
        <v>-37159.889999999985</v>
      </c>
      <c r="M156" s="2"/>
      <c r="N156" s="19">
        <f t="shared" si="36"/>
        <v>-0.21874738963717075</v>
      </c>
      <c r="O156" s="10"/>
      <c r="P156" s="2">
        <v>1396293.76</v>
      </c>
      <c r="Q156" s="2"/>
      <c r="R156" s="19">
        <f t="shared" si="37"/>
        <v>0.22220780226530648</v>
      </c>
      <c r="S156" s="2"/>
      <c r="T156" s="2">
        <v>1381174.39</v>
      </c>
      <c r="U156" s="2"/>
      <c r="V156" s="19">
        <f t="shared" si="38"/>
        <v>0.12985084246404502</v>
      </c>
      <c r="W156" s="2"/>
      <c r="X156" s="2">
        <f t="shared" si="39"/>
        <v>15119.370000000112</v>
      </c>
      <c r="Y156" s="2"/>
      <c r="Z156" s="19">
        <f t="shared" si="40"/>
        <v>1.0946749454281521E-2</v>
      </c>
    </row>
    <row r="157" spans="1:26" s="23" customFormat="1" hidden="1" outlineLevel="1" x14ac:dyDescent="0.25">
      <c r="A157" s="44"/>
      <c r="B157" s="10" t="str">
        <f>CONCATENATE("          ", "5083", " - ", "PURCHASES @ COST-COMPUTER EQUI")</f>
        <v xml:space="preserve">          5083 - PURCHASES @ COST-COMPUTER EQUI</v>
      </c>
      <c r="C157" s="10"/>
      <c r="D157" s="2">
        <v>6015.06</v>
      </c>
      <c r="E157" s="2"/>
      <c r="F157" s="19">
        <f t="shared" si="33"/>
        <v>9.8128171994146703E-3</v>
      </c>
      <c r="G157" s="2"/>
      <c r="H157" s="2">
        <v>6360.99</v>
      </c>
      <c r="I157" s="2"/>
      <c r="J157" s="19">
        <f t="shared" si="34"/>
        <v>1.8366125431507892E-2</v>
      </c>
      <c r="K157" s="2"/>
      <c r="L157" s="2">
        <f t="shared" si="35"/>
        <v>-345.92999999999938</v>
      </c>
      <c r="M157" s="2"/>
      <c r="N157" s="19">
        <f t="shared" si="36"/>
        <v>-5.4383044148788064E-2</v>
      </c>
      <c r="O157" s="10"/>
      <c r="P157" s="2">
        <v>105203.33</v>
      </c>
      <c r="Q157" s="2"/>
      <c r="R157" s="19">
        <f t="shared" si="37"/>
        <v>1.6742179489716968E-2</v>
      </c>
      <c r="S157" s="2"/>
      <c r="T157" s="2">
        <v>77872.789999999994</v>
      </c>
      <c r="U157" s="2"/>
      <c r="V157" s="19">
        <f t="shared" si="38"/>
        <v>7.3211952521981382E-3</v>
      </c>
      <c r="W157" s="2"/>
      <c r="X157" s="2">
        <f t="shared" si="39"/>
        <v>27330.540000000008</v>
      </c>
      <c r="Y157" s="2"/>
      <c r="Z157" s="19">
        <f t="shared" si="40"/>
        <v>0.35096392462630416</v>
      </c>
    </row>
    <row r="158" spans="1:26" s="23" customFormat="1" hidden="1" outlineLevel="1" x14ac:dyDescent="0.25">
      <c r="A158" s="44"/>
      <c r="B158" s="10" t="str">
        <f>CONCATENATE("          ", "5084", " - ", "PURCHASES @ COST-SOFTWARE LICE")</f>
        <v xml:space="preserve">          5084 - PURCHASES @ COST-SOFTWARE LICE</v>
      </c>
      <c r="C158" s="10"/>
      <c r="D158" s="2"/>
      <c r="E158" s="2"/>
      <c r="F158" s="19">
        <f t="shared" si="33"/>
        <v>0</v>
      </c>
      <c r="G158" s="2"/>
      <c r="H158" s="2"/>
      <c r="I158" s="2"/>
      <c r="J158" s="19">
        <f t="shared" si="34"/>
        <v>0</v>
      </c>
      <c r="K158" s="2"/>
      <c r="L158" s="2">
        <f t="shared" si="35"/>
        <v>0</v>
      </c>
      <c r="M158" s="2"/>
      <c r="N158" s="19">
        <f t="shared" si="36"/>
        <v>0</v>
      </c>
      <c r="O158" s="10"/>
      <c r="P158" s="2"/>
      <c r="Q158" s="2"/>
      <c r="R158" s="19">
        <f t="shared" si="37"/>
        <v>0</v>
      </c>
      <c r="S158" s="2"/>
      <c r="T158" s="2">
        <v>2728</v>
      </c>
      <c r="U158" s="2"/>
      <c r="V158" s="19">
        <f t="shared" si="38"/>
        <v>2.5647239103667049E-4</v>
      </c>
      <c r="W158" s="2"/>
      <c r="X158" s="2">
        <f t="shared" si="39"/>
        <v>-2728</v>
      </c>
      <c r="Y158" s="2"/>
      <c r="Z158" s="19">
        <f t="shared" si="40"/>
        <v>-1</v>
      </c>
    </row>
    <row r="159" spans="1:26" s="23" customFormat="1" hidden="1" outlineLevel="1" x14ac:dyDescent="0.25">
      <c r="A159" s="44"/>
      <c r="B159" s="10" t="str">
        <f>CONCATENATE("          ", "5085", " - ", "PURCHASES @ COST-SOFTWARE")</f>
        <v xml:space="preserve">          5085 - PURCHASES @ COST-SOFTWARE</v>
      </c>
      <c r="C159" s="10"/>
      <c r="D159" s="2">
        <v>3753.26</v>
      </c>
      <c r="E159" s="2"/>
      <c r="F159" s="19">
        <f t="shared" si="33"/>
        <v>6.1229737162846439E-3</v>
      </c>
      <c r="G159" s="2"/>
      <c r="H159" s="2"/>
      <c r="I159" s="2"/>
      <c r="J159" s="19">
        <f t="shared" si="34"/>
        <v>0</v>
      </c>
      <c r="K159" s="2"/>
      <c r="L159" s="2">
        <f t="shared" si="35"/>
        <v>3753.26</v>
      </c>
      <c r="M159" s="2"/>
      <c r="N159" s="19">
        <f t="shared" si="36"/>
        <v>0</v>
      </c>
      <c r="O159" s="10"/>
      <c r="P159" s="2">
        <v>33898.71</v>
      </c>
      <c r="Q159" s="2"/>
      <c r="R159" s="19">
        <f t="shared" si="37"/>
        <v>5.3946798764816992E-3</v>
      </c>
      <c r="S159" s="2"/>
      <c r="T159" s="2">
        <v>9162.39</v>
      </c>
      <c r="U159" s="2"/>
      <c r="V159" s="19">
        <f t="shared" si="38"/>
        <v>8.614003192487094E-4</v>
      </c>
      <c r="W159" s="2"/>
      <c r="X159" s="2">
        <f t="shared" si="39"/>
        <v>24736.32</v>
      </c>
      <c r="Y159" s="2"/>
      <c r="Z159" s="19">
        <f t="shared" si="40"/>
        <v>2.6997672004793509</v>
      </c>
    </row>
    <row r="160" spans="1:26" s="23" customFormat="1" hidden="1" outlineLevel="1" x14ac:dyDescent="0.25">
      <c r="A160" s="44"/>
      <c r="B160" s="10" t="str">
        <f>CONCATENATE("          ", "5086", " - ", "PURCHASES @ COST-COMPUTER SUPP")</f>
        <v xml:space="preserve">          5086 - PURCHASES @ COST-COMPUTER SUPP</v>
      </c>
      <c r="C160" s="10"/>
      <c r="D160" s="2">
        <v>525.71</v>
      </c>
      <c r="E160" s="2"/>
      <c r="F160" s="19">
        <f t="shared" si="33"/>
        <v>8.5763003692470013E-4</v>
      </c>
      <c r="G160" s="2"/>
      <c r="H160" s="2">
        <v>948.45</v>
      </c>
      <c r="I160" s="2"/>
      <c r="J160" s="19">
        <f t="shared" si="34"/>
        <v>2.738465500733952E-3</v>
      </c>
      <c r="K160" s="2"/>
      <c r="L160" s="2">
        <f t="shared" si="35"/>
        <v>-422.74</v>
      </c>
      <c r="M160" s="2"/>
      <c r="N160" s="19">
        <f t="shared" si="36"/>
        <v>-0.4457166956613422</v>
      </c>
      <c r="O160" s="10"/>
      <c r="P160" s="2">
        <v>23664.2</v>
      </c>
      <c r="Q160" s="2"/>
      <c r="R160" s="19">
        <f t="shared" si="37"/>
        <v>3.7659481299742153E-3</v>
      </c>
      <c r="S160" s="2"/>
      <c r="T160" s="2">
        <v>30376.77</v>
      </c>
      <c r="U160" s="2"/>
      <c r="V160" s="19">
        <f t="shared" si="38"/>
        <v>2.8558661414483143E-3</v>
      </c>
      <c r="W160" s="2"/>
      <c r="X160" s="2">
        <f t="shared" si="39"/>
        <v>-6712.57</v>
      </c>
      <c r="Y160" s="2"/>
      <c r="Z160" s="19">
        <f t="shared" si="40"/>
        <v>-0.22097708215850467</v>
      </c>
    </row>
    <row r="161" spans="1:26" s="23" customFormat="1" hidden="1" outlineLevel="1" x14ac:dyDescent="0.25">
      <c r="A161" s="44"/>
      <c r="B161" s="10" t="str">
        <f>CONCATENATE("          ", "5088", " - ", "PURCHASES @ COST-MUSIC")</f>
        <v xml:space="preserve">          5088 - PURCHASES @ COST-MUSIC</v>
      </c>
      <c r="C161" s="10"/>
      <c r="D161" s="2"/>
      <c r="E161" s="2"/>
      <c r="F161" s="19">
        <f t="shared" si="33"/>
        <v>0</v>
      </c>
      <c r="G161" s="2"/>
      <c r="H161" s="2"/>
      <c r="I161" s="2"/>
      <c r="J161" s="19">
        <f t="shared" si="34"/>
        <v>0</v>
      </c>
      <c r="K161" s="2"/>
      <c r="L161" s="2">
        <f t="shared" si="35"/>
        <v>0</v>
      </c>
      <c r="M161" s="2"/>
      <c r="N161" s="19">
        <f t="shared" si="36"/>
        <v>0</v>
      </c>
      <c r="O161" s="10"/>
      <c r="P161" s="2"/>
      <c r="Q161" s="2"/>
      <c r="R161" s="19">
        <f t="shared" si="37"/>
        <v>0</v>
      </c>
      <c r="S161" s="2"/>
      <c r="T161" s="2">
        <v>95.65</v>
      </c>
      <c r="U161" s="2"/>
      <c r="V161" s="19">
        <f t="shared" si="38"/>
        <v>8.992516203320211E-6</v>
      </c>
      <c r="W161" s="2"/>
      <c r="X161" s="2">
        <f t="shared" si="39"/>
        <v>-95.65</v>
      </c>
      <c r="Y161" s="2"/>
      <c r="Z161" s="19">
        <f t="shared" si="40"/>
        <v>-1</v>
      </c>
    </row>
    <row r="162" spans="1:26" s="23" customFormat="1" hidden="1" outlineLevel="1" x14ac:dyDescent="0.25">
      <c r="A162" s="44"/>
      <c r="B162" s="10" t="str">
        <f>CONCATENATE("          ", "5092", " - ", "PURCHASES @ COST-GRAD MERCH")</f>
        <v xml:space="preserve">          5092 - PURCHASES @ COST-GRAD MERCH</v>
      </c>
      <c r="C162" s="10"/>
      <c r="D162" s="2"/>
      <c r="E162" s="2"/>
      <c r="F162" s="19">
        <f t="shared" si="33"/>
        <v>0</v>
      </c>
      <c r="G162" s="2"/>
      <c r="H162" s="2">
        <v>1036.33</v>
      </c>
      <c r="I162" s="2"/>
      <c r="J162" s="19">
        <f t="shared" si="34"/>
        <v>2.9922019635991526E-3</v>
      </c>
      <c r="K162" s="2"/>
      <c r="L162" s="2">
        <f t="shared" si="35"/>
        <v>-1036.33</v>
      </c>
      <c r="M162" s="2"/>
      <c r="N162" s="19">
        <f t="shared" si="36"/>
        <v>-1</v>
      </c>
      <c r="O162" s="10"/>
      <c r="P162" s="2">
        <v>0</v>
      </c>
      <c r="Q162" s="2"/>
      <c r="R162" s="19">
        <f t="shared" si="37"/>
        <v>0</v>
      </c>
      <c r="S162" s="2"/>
      <c r="T162" s="2">
        <v>2946.13</v>
      </c>
      <c r="U162" s="2"/>
      <c r="V162" s="19">
        <f t="shared" si="38"/>
        <v>2.7697984069093332E-4</v>
      </c>
      <c r="W162" s="2"/>
      <c r="X162" s="2">
        <f t="shared" si="39"/>
        <v>-2946.13</v>
      </c>
      <c r="Y162" s="2"/>
      <c r="Z162" s="19">
        <f t="shared" si="40"/>
        <v>-1</v>
      </c>
    </row>
    <row r="163" spans="1:26" s="23" customFormat="1" hidden="1" outlineLevel="1" x14ac:dyDescent="0.25">
      <c r="A163" s="44"/>
      <c r="B163" s="10" t="str">
        <f>CONCATENATE("          ", "5095", " - ", "PURCHASES @ COST-CUSTOMER SERV")</f>
        <v xml:space="preserve">          5095 - PURCHASES @ COST-CUSTOMER SERV</v>
      </c>
      <c r="C163" s="10"/>
      <c r="D163" s="2"/>
      <c r="E163" s="2"/>
      <c r="F163" s="19">
        <f t="shared" si="33"/>
        <v>0</v>
      </c>
      <c r="G163" s="2"/>
      <c r="H163" s="2"/>
      <c r="I163" s="2"/>
      <c r="J163" s="19">
        <f t="shared" si="34"/>
        <v>0</v>
      </c>
      <c r="K163" s="2"/>
      <c r="L163" s="2">
        <f t="shared" si="35"/>
        <v>0</v>
      </c>
      <c r="M163" s="2"/>
      <c r="N163" s="19">
        <f t="shared" si="36"/>
        <v>0</v>
      </c>
      <c r="O163" s="10"/>
      <c r="P163" s="2"/>
      <c r="Q163" s="2"/>
      <c r="R163" s="19">
        <f t="shared" si="37"/>
        <v>0</v>
      </c>
      <c r="S163" s="2"/>
      <c r="T163" s="2">
        <v>0</v>
      </c>
      <c r="U163" s="2"/>
      <c r="V163" s="19">
        <f t="shared" si="38"/>
        <v>0</v>
      </c>
      <c r="W163" s="2"/>
      <c r="X163" s="2">
        <f t="shared" si="39"/>
        <v>0</v>
      </c>
      <c r="Y163" s="2"/>
      <c r="Z163" s="19">
        <f t="shared" si="40"/>
        <v>0</v>
      </c>
    </row>
    <row r="164" spans="1:26" s="23" customFormat="1" hidden="1" outlineLevel="1" x14ac:dyDescent="0.25">
      <c r="A164" s="44"/>
      <c r="B164" s="10" t="str">
        <f>CONCATENATE("          ", "5200", " - ", "PURCHASES OFFSET")</f>
        <v xml:space="preserve">          5200 - PURCHASES OFFSET</v>
      </c>
      <c r="C164" s="10"/>
      <c r="D164" s="2">
        <v>73739.19</v>
      </c>
      <c r="E164" s="2"/>
      <c r="F164" s="19">
        <f t="shared" si="33"/>
        <v>0.12029625505030811</v>
      </c>
      <c r="G164" s="2"/>
      <c r="H164" s="2">
        <v>593468</v>
      </c>
      <c r="I164" s="2"/>
      <c r="J164" s="19">
        <f t="shared" si="34"/>
        <v>1.7135237954447542</v>
      </c>
      <c r="K164" s="2"/>
      <c r="L164" s="2">
        <f t="shared" si="35"/>
        <v>-519728.81</v>
      </c>
      <c r="M164" s="2"/>
      <c r="N164" s="19">
        <f t="shared" si="36"/>
        <v>-0.87574866715644317</v>
      </c>
      <c r="O164" s="10"/>
      <c r="P164" s="2">
        <v>-3351949.73</v>
      </c>
      <c r="Q164" s="2"/>
      <c r="R164" s="19">
        <f t="shared" si="37"/>
        <v>-0.53343315292556159</v>
      </c>
      <c r="S164" s="2"/>
      <c r="T164" s="2">
        <v>-5131493</v>
      </c>
      <c r="U164" s="2"/>
      <c r="V164" s="19">
        <f t="shared" si="38"/>
        <v>-0.4824363193907395</v>
      </c>
      <c r="W164" s="2"/>
      <c r="X164" s="2">
        <f t="shared" si="39"/>
        <v>1779543.27</v>
      </c>
      <c r="Y164" s="2"/>
      <c r="Z164" s="19">
        <f t="shared" si="40"/>
        <v>-0.3467885993413613</v>
      </c>
    </row>
    <row r="165" spans="1:26" s="23" customFormat="1" hidden="1" outlineLevel="1" x14ac:dyDescent="0.25">
      <c r="A165" s="44"/>
      <c r="B165" s="10" t="str">
        <f>CONCATENATE("          ", "5300", " - ", "COG$ OFFSET")</f>
        <v xml:space="preserve">          5300 - COG$ OFFSET</v>
      </c>
      <c r="C165" s="10"/>
      <c r="D165" s="2">
        <v>453621</v>
      </c>
      <c r="E165" s="2"/>
      <c r="F165" s="19">
        <f t="shared" si="33"/>
        <v>0.74002586022677785</v>
      </c>
      <c r="G165" s="2"/>
      <c r="H165" s="2">
        <v>200750</v>
      </c>
      <c r="I165" s="2"/>
      <c r="J165" s="19">
        <f t="shared" si="34"/>
        <v>0.57962670596482779</v>
      </c>
      <c r="K165" s="2"/>
      <c r="L165" s="2">
        <f t="shared" si="35"/>
        <v>252871</v>
      </c>
      <c r="M165" s="2"/>
      <c r="N165" s="19">
        <f t="shared" si="36"/>
        <v>1.2596313823163139</v>
      </c>
      <c r="O165" s="10"/>
      <c r="P165" s="2">
        <v>4038084</v>
      </c>
      <c r="Q165" s="2"/>
      <c r="R165" s="19">
        <f t="shared" si="37"/>
        <v>0.64262535342326377</v>
      </c>
      <c r="S165" s="2"/>
      <c r="T165" s="2">
        <v>5599707.4699999997</v>
      </c>
      <c r="U165" s="2"/>
      <c r="V165" s="19">
        <f t="shared" si="38"/>
        <v>0.526455412000295</v>
      </c>
      <c r="W165" s="2"/>
      <c r="X165" s="2">
        <f t="shared" si="39"/>
        <v>-1561623.4699999997</v>
      </c>
      <c r="Y165" s="2"/>
      <c r="Z165" s="19">
        <f t="shared" si="40"/>
        <v>-0.27887590170848692</v>
      </c>
    </row>
    <row r="166" spans="1:26" s="23" customFormat="1" hidden="1" outlineLevel="1" x14ac:dyDescent="0.25">
      <c r="A166" s="44"/>
      <c r="B166" s="10" t="str">
        <f>CONCATENATE("          ", "5500", " - ", "FREIGHT-IN")</f>
        <v xml:space="preserve">          5500 - FREIGHT-IN</v>
      </c>
      <c r="C166" s="10"/>
      <c r="D166" s="2"/>
      <c r="E166" s="2"/>
      <c r="F166" s="19">
        <f t="shared" si="33"/>
        <v>0</v>
      </c>
      <c r="G166" s="2"/>
      <c r="H166" s="2"/>
      <c r="I166" s="2"/>
      <c r="J166" s="19">
        <f t="shared" si="34"/>
        <v>0</v>
      </c>
      <c r="K166" s="2"/>
      <c r="L166" s="2">
        <f t="shared" si="35"/>
        <v>0</v>
      </c>
      <c r="M166" s="2"/>
      <c r="N166" s="19">
        <f t="shared" si="36"/>
        <v>0</v>
      </c>
      <c r="O166" s="10"/>
      <c r="P166" s="2">
        <v>0</v>
      </c>
      <c r="Q166" s="2"/>
      <c r="R166" s="19">
        <f t="shared" si="37"/>
        <v>0</v>
      </c>
      <c r="S166" s="2"/>
      <c r="T166" s="2">
        <v>156.47999999999999</v>
      </c>
      <c r="U166" s="2"/>
      <c r="V166" s="19">
        <f t="shared" si="38"/>
        <v>1.4711436858291128E-5</v>
      </c>
      <c r="W166" s="2"/>
      <c r="X166" s="2">
        <f t="shared" si="39"/>
        <v>-156.47999999999999</v>
      </c>
      <c r="Y166" s="2"/>
      <c r="Z166" s="19">
        <f t="shared" si="40"/>
        <v>-1</v>
      </c>
    </row>
    <row r="167" spans="1:26" s="23" customFormat="1" hidden="1" outlineLevel="1" x14ac:dyDescent="0.25">
      <c r="A167" s="44"/>
      <c r="B167" s="10" t="str">
        <f>CONCATENATE("          ", "5501", " - ", "FREIGHT-IN-NEW TEXT")</f>
        <v xml:space="preserve">          5501 - FREIGHT-IN-NEW TEXT</v>
      </c>
      <c r="C167" s="10"/>
      <c r="D167" s="2">
        <v>785.54</v>
      </c>
      <c r="E167" s="2"/>
      <c r="F167" s="19">
        <f t="shared" si="33"/>
        <v>1.281510146669892E-3</v>
      </c>
      <c r="G167" s="2"/>
      <c r="H167" s="2">
        <v>1315.81</v>
      </c>
      <c r="I167" s="2"/>
      <c r="J167" s="19">
        <f t="shared" si="34"/>
        <v>3.7991462813229387E-3</v>
      </c>
      <c r="K167" s="2"/>
      <c r="L167" s="2">
        <f t="shared" si="35"/>
        <v>-530.27</v>
      </c>
      <c r="M167" s="2"/>
      <c r="N167" s="19">
        <f t="shared" si="36"/>
        <v>-0.4029989132169538</v>
      </c>
      <c r="O167" s="10"/>
      <c r="P167" s="2">
        <v>50042.46</v>
      </c>
      <c r="Q167" s="2"/>
      <c r="R167" s="19">
        <f t="shared" si="37"/>
        <v>7.963814904214361E-3</v>
      </c>
      <c r="S167" s="2"/>
      <c r="T167" s="2">
        <v>67340.55</v>
      </c>
      <c r="U167" s="2"/>
      <c r="V167" s="19">
        <f t="shared" si="38"/>
        <v>6.3310087508154185E-3</v>
      </c>
      <c r="W167" s="2"/>
      <c r="X167" s="2">
        <f t="shared" si="39"/>
        <v>-17298.090000000004</v>
      </c>
      <c r="Y167" s="2"/>
      <c r="Z167" s="19">
        <f t="shared" si="40"/>
        <v>-0.25687479534990437</v>
      </c>
    </row>
    <row r="168" spans="1:26" s="23" customFormat="1" hidden="1" outlineLevel="1" x14ac:dyDescent="0.25">
      <c r="A168" s="44"/>
      <c r="B168" s="10" t="str">
        <f>CONCATENATE("          ", "5502", " - ", "FREIGHT-IN-USED TEXT")</f>
        <v xml:space="preserve">          5502 - FREIGHT-IN-USED TEXT</v>
      </c>
      <c r="C168" s="10"/>
      <c r="D168" s="2">
        <v>663.37</v>
      </c>
      <c r="E168" s="2"/>
      <c r="F168" s="19">
        <f t="shared" si="33"/>
        <v>1.0822050894880035E-3</v>
      </c>
      <c r="G168" s="2"/>
      <c r="H168" s="2">
        <v>506.55</v>
      </c>
      <c r="I168" s="2"/>
      <c r="J168" s="19">
        <f t="shared" si="34"/>
        <v>1.4625649210783737E-3</v>
      </c>
      <c r="K168" s="2"/>
      <c r="L168" s="2">
        <f t="shared" si="35"/>
        <v>156.82</v>
      </c>
      <c r="M168" s="2"/>
      <c r="N168" s="19">
        <f t="shared" si="36"/>
        <v>0.30958444378639816</v>
      </c>
      <c r="O168" s="10"/>
      <c r="P168" s="2">
        <v>17800.13</v>
      </c>
      <c r="Q168" s="2"/>
      <c r="R168" s="19">
        <f t="shared" si="37"/>
        <v>2.8327332547391391E-3</v>
      </c>
      <c r="S168" s="2"/>
      <c r="T168" s="2">
        <v>15264.64</v>
      </c>
      <c r="U168" s="2"/>
      <c r="V168" s="19">
        <f t="shared" si="38"/>
        <v>1.4351021697631972E-3</v>
      </c>
      <c r="W168" s="2"/>
      <c r="X168" s="2">
        <f t="shared" si="39"/>
        <v>2535.4900000000016</v>
      </c>
      <c r="Y168" s="2"/>
      <c r="Z168" s="19">
        <f t="shared" si="40"/>
        <v>0.16610218125026216</v>
      </c>
    </row>
    <row r="169" spans="1:26" s="23" customFormat="1" hidden="1" outlineLevel="1" x14ac:dyDescent="0.25">
      <c r="A169" s="44"/>
      <c r="B169" s="10" t="str">
        <f>CONCATENATE("          ", "5504", " - ", "FREIGHT-IN-DIGITAL TEXT")</f>
        <v xml:space="preserve">          5504 - FREIGHT-IN-DIGITAL TEXT</v>
      </c>
      <c r="C169" s="10"/>
      <c r="D169" s="2"/>
      <c r="E169" s="2"/>
      <c r="F169" s="19">
        <f t="shared" si="33"/>
        <v>0</v>
      </c>
      <c r="G169" s="2"/>
      <c r="H169" s="2">
        <v>12.78</v>
      </c>
      <c r="I169" s="2"/>
      <c r="J169" s="19">
        <f t="shared" si="34"/>
        <v>3.6899772364784549E-5</v>
      </c>
      <c r="K169" s="2"/>
      <c r="L169" s="2">
        <f t="shared" si="35"/>
        <v>-12.78</v>
      </c>
      <c r="M169" s="2"/>
      <c r="N169" s="19">
        <f t="shared" si="36"/>
        <v>-1</v>
      </c>
      <c r="O169" s="10"/>
      <c r="P169" s="2">
        <v>28.92</v>
      </c>
      <c r="Q169" s="2"/>
      <c r="R169" s="19">
        <f t="shared" si="37"/>
        <v>4.6023622146049439E-6</v>
      </c>
      <c r="S169" s="2"/>
      <c r="T169" s="2">
        <v>118.75</v>
      </c>
      <c r="U169" s="2"/>
      <c r="V169" s="19">
        <f t="shared" si="38"/>
        <v>1.1164258224195243E-5</v>
      </c>
      <c r="W169" s="2"/>
      <c r="X169" s="2">
        <f t="shared" si="39"/>
        <v>-89.83</v>
      </c>
      <c r="Y169" s="2"/>
      <c r="Z169" s="19">
        <f t="shared" si="40"/>
        <v>-0.75646315789473684</v>
      </c>
    </row>
    <row r="170" spans="1:26" s="23" customFormat="1" hidden="1" outlineLevel="1" x14ac:dyDescent="0.25">
      <c r="A170" s="44"/>
      <c r="B170" s="10" t="str">
        <f>CONCATENATE("          ", "5513", " - ", "FREIGHT-IN-TRADE BOOKS")</f>
        <v xml:space="preserve">          5513 - FREIGHT-IN-TRADE BOOKS</v>
      </c>
      <c r="C170" s="10"/>
      <c r="D170" s="2">
        <v>51.76</v>
      </c>
      <c r="E170" s="2"/>
      <c r="F170" s="19">
        <f t="shared" si="33"/>
        <v>8.4439958743836853E-5</v>
      </c>
      <c r="G170" s="2"/>
      <c r="H170" s="2">
        <v>8.83</v>
      </c>
      <c r="I170" s="2"/>
      <c r="J170" s="19">
        <f t="shared" si="34"/>
        <v>2.5494913144056931E-5</v>
      </c>
      <c r="K170" s="2"/>
      <c r="L170" s="2">
        <f t="shared" si="35"/>
        <v>42.93</v>
      </c>
      <c r="M170" s="2"/>
      <c r="N170" s="19">
        <f t="shared" si="36"/>
        <v>4.8618346545866364</v>
      </c>
      <c r="O170" s="10"/>
      <c r="P170" s="2">
        <v>85.28</v>
      </c>
      <c r="Q170" s="2"/>
      <c r="R170" s="19">
        <f t="shared" si="37"/>
        <v>1.357155773380047E-5</v>
      </c>
      <c r="S170" s="2"/>
      <c r="T170" s="2">
        <v>30.24</v>
      </c>
      <c r="U170" s="2"/>
      <c r="V170" s="19">
        <f t="shared" si="38"/>
        <v>2.843007736418224E-6</v>
      </c>
      <c r="W170" s="2"/>
      <c r="X170" s="2">
        <f t="shared" si="39"/>
        <v>55.040000000000006</v>
      </c>
      <c r="Y170" s="2"/>
      <c r="Z170" s="19">
        <f t="shared" si="40"/>
        <v>1.8201058201058204</v>
      </c>
    </row>
    <row r="171" spans="1:26" s="23" customFormat="1" hidden="1" outlineLevel="1" x14ac:dyDescent="0.25">
      <c r="A171" s="44"/>
      <c r="B171" s="10" t="str">
        <f>CONCATENATE("          ", "5518", " - ", "FREIGHT-IN-STUDY GUIDES")</f>
        <v xml:space="preserve">          5518 - FREIGHT-IN-STUDY GUIDES</v>
      </c>
      <c r="C171" s="10"/>
      <c r="D171" s="2"/>
      <c r="E171" s="2"/>
      <c r="F171" s="19">
        <f t="shared" si="33"/>
        <v>0</v>
      </c>
      <c r="G171" s="2"/>
      <c r="H171" s="2"/>
      <c r="I171" s="2"/>
      <c r="J171" s="19">
        <f t="shared" si="34"/>
        <v>0</v>
      </c>
      <c r="K171" s="2"/>
      <c r="L171" s="2">
        <f t="shared" si="35"/>
        <v>0</v>
      </c>
      <c r="M171" s="2"/>
      <c r="N171" s="19">
        <f t="shared" si="36"/>
        <v>0</v>
      </c>
      <c r="O171" s="10"/>
      <c r="P171" s="2"/>
      <c r="Q171" s="2"/>
      <c r="R171" s="19">
        <f t="shared" si="37"/>
        <v>0</v>
      </c>
      <c r="S171" s="2"/>
      <c r="T171" s="2">
        <v>21.13</v>
      </c>
      <c r="U171" s="2"/>
      <c r="V171" s="19">
        <f t="shared" si="38"/>
        <v>1.9865328528610146E-6</v>
      </c>
      <c r="W171" s="2"/>
      <c r="X171" s="2">
        <f t="shared" si="39"/>
        <v>-21.13</v>
      </c>
      <c r="Y171" s="2"/>
      <c r="Z171" s="19">
        <f t="shared" si="40"/>
        <v>-1</v>
      </c>
    </row>
    <row r="172" spans="1:26" s="23" customFormat="1" hidden="1" outlineLevel="1" x14ac:dyDescent="0.25">
      <c r="A172" s="44"/>
      <c r="B172" s="10" t="str">
        <f>CONCATENATE("          ", "5525", " - ", "FREIGHT-IN-TEST FORMS")</f>
        <v xml:space="preserve">          5525 - FREIGHT-IN-TEST FORMS</v>
      </c>
      <c r="C172" s="10"/>
      <c r="D172" s="2"/>
      <c r="E172" s="2"/>
      <c r="F172" s="19">
        <f t="shared" si="33"/>
        <v>0</v>
      </c>
      <c r="G172" s="2"/>
      <c r="H172" s="2">
        <v>82.2</v>
      </c>
      <c r="I172" s="2"/>
      <c r="J172" s="19">
        <f t="shared" si="34"/>
        <v>2.3733656403640769E-4</v>
      </c>
      <c r="K172" s="2"/>
      <c r="L172" s="2">
        <f t="shared" si="35"/>
        <v>-82.2</v>
      </c>
      <c r="M172" s="2"/>
      <c r="N172" s="19">
        <f t="shared" si="36"/>
        <v>-1</v>
      </c>
      <c r="O172" s="10"/>
      <c r="P172" s="2">
        <v>48.14</v>
      </c>
      <c r="Q172" s="2"/>
      <c r="R172" s="19">
        <f t="shared" si="37"/>
        <v>7.6610552216833323E-6</v>
      </c>
      <c r="S172" s="2"/>
      <c r="T172" s="2">
        <v>1237.22</v>
      </c>
      <c r="U172" s="2"/>
      <c r="V172" s="19">
        <f t="shared" si="38"/>
        <v>1.1631699840116917E-4</v>
      </c>
      <c r="W172" s="2"/>
      <c r="X172" s="2">
        <f t="shared" si="39"/>
        <v>-1189.08</v>
      </c>
      <c r="Y172" s="2"/>
      <c r="Z172" s="19">
        <f t="shared" si="40"/>
        <v>-0.9610901860623009</v>
      </c>
    </row>
    <row r="173" spans="1:26" s="23" customFormat="1" hidden="1" outlineLevel="1" x14ac:dyDescent="0.25">
      <c r="A173" s="44"/>
      <c r="B173" s="10" t="str">
        <f>CONCATENATE("          ", "5526", " - ", "FREIGHT-IN-WRITING INSTRUMENTS")</f>
        <v xml:space="preserve">          5526 - FREIGHT-IN-WRITING INSTRUMENTS</v>
      </c>
      <c r="C173" s="10"/>
      <c r="D173" s="2"/>
      <c r="E173" s="2"/>
      <c r="F173" s="19">
        <f t="shared" si="33"/>
        <v>0</v>
      </c>
      <c r="G173" s="2"/>
      <c r="H173" s="2"/>
      <c r="I173" s="2"/>
      <c r="J173" s="19">
        <f t="shared" si="34"/>
        <v>0</v>
      </c>
      <c r="K173" s="2"/>
      <c r="L173" s="2">
        <f t="shared" si="35"/>
        <v>0</v>
      </c>
      <c r="M173" s="2"/>
      <c r="N173" s="19">
        <f t="shared" si="36"/>
        <v>0</v>
      </c>
      <c r="O173" s="10"/>
      <c r="P173" s="2">
        <v>0</v>
      </c>
      <c r="Q173" s="2"/>
      <c r="R173" s="19">
        <f t="shared" si="37"/>
        <v>0</v>
      </c>
      <c r="S173" s="2"/>
      <c r="T173" s="2">
        <v>260.35000000000002</v>
      </c>
      <c r="U173" s="2"/>
      <c r="V173" s="19">
        <f t="shared" si="38"/>
        <v>2.4476754767740899E-5</v>
      </c>
      <c r="W173" s="2"/>
      <c r="X173" s="2">
        <f t="shared" si="39"/>
        <v>-260.35000000000002</v>
      </c>
      <c r="Y173" s="2"/>
      <c r="Z173" s="19">
        <f t="shared" si="40"/>
        <v>-1</v>
      </c>
    </row>
    <row r="174" spans="1:26" s="23" customFormat="1" hidden="1" outlineLevel="1" x14ac:dyDescent="0.25">
      <c r="A174" s="44"/>
      <c r="B174" s="10" t="str">
        <f>CONCATENATE("          ", "5527", " - ", "FREIGHT-IN-SCHOOL SUPPLIES")</f>
        <v xml:space="preserve">          5527 - FREIGHT-IN-SCHOOL SUPPLIES</v>
      </c>
      <c r="C174" s="10"/>
      <c r="D174" s="2">
        <v>41.12</v>
      </c>
      <c r="E174" s="2"/>
      <c r="F174" s="19">
        <f t="shared" si="33"/>
        <v>6.708213105770037E-5</v>
      </c>
      <c r="G174" s="2"/>
      <c r="H174" s="2">
        <v>407.31</v>
      </c>
      <c r="I174" s="2"/>
      <c r="J174" s="19">
        <f t="shared" si="34"/>
        <v>1.1760286605555865E-3</v>
      </c>
      <c r="K174" s="2"/>
      <c r="L174" s="2">
        <f t="shared" si="35"/>
        <v>-366.19</v>
      </c>
      <c r="M174" s="2"/>
      <c r="N174" s="19">
        <f t="shared" si="36"/>
        <v>-0.89904495347523994</v>
      </c>
      <c r="O174" s="10"/>
      <c r="P174" s="2">
        <v>218.62</v>
      </c>
      <c r="Q174" s="2"/>
      <c r="R174" s="19">
        <f t="shared" si="37"/>
        <v>3.4791439396851064E-5</v>
      </c>
      <c r="S174" s="2"/>
      <c r="T174" s="2">
        <v>2058.91</v>
      </c>
      <c r="U174" s="2"/>
      <c r="V174" s="19">
        <f t="shared" si="38"/>
        <v>1.9356802442423431E-4</v>
      </c>
      <c r="W174" s="2"/>
      <c r="X174" s="2">
        <f t="shared" si="39"/>
        <v>-1840.29</v>
      </c>
      <c r="Y174" s="2"/>
      <c r="Z174" s="19">
        <f t="shared" si="40"/>
        <v>-0.89381760251783715</v>
      </c>
    </row>
    <row r="175" spans="1:26" s="23" customFormat="1" hidden="1" outlineLevel="1" x14ac:dyDescent="0.25">
      <c r="A175" s="44"/>
      <c r="B175" s="10" t="str">
        <f>CONCATENATE("          ", "5528", " - ", "FREIGHT-IN-ART/TECH")</f>
        <v xml:space="preserve">          5528 - FREIGHT-IN-ART/TECH</v>
      </c>
      <c r="C175" s="10"/>
      <c r="D175" s="2">
        <v>103.71</v>
      </c>
      <c r="E175" s="2"/>
      <c r="F175" s="19">
        <f t="shared" si="33"/>
        <v>1.6918987869635473E-4</v>
      </c>
      <c r="G175" s="2"/>
      <c r="H175" s="2">
        <v>771.27</v>
      </c>
      <c r="I175" s="2"/>
      <c r="J175" s="19">
        <f t="shared" si="34"/>
        <v>2.226892600296352E-3</v>
      </c>
      <c r="K175" s="2"/>
      <c r="L175" s="2">
        <f t="shared" si="35"/>
        <v>-667.56</v>
      </c>
      <c r="M175" s="2"/>
      <c r="N175" s="19">
        <f t="shared" si="36"/>
        <v>-0.86553347076899134</v>
      </c>
      <c r="O175" s="10"/>
      <c r="P175" s="2">
        <v>455.21</v>
      </c>
      <c r="Q175" s="2"/>
      <c r="R175" s="19">
        <f t="shared" si="37"/>
        <v>7.2442645356511634E-5</v>
      </c>
      <c r="S175" s="2"/>
      <c r="T175" s="2">
        <v>2267.52</v>
      </c>
      <c r="U175" s="2"/>
      <c r="V175" s="19">
        <f t="shared" si="38"/>
        <v>2.1318045312443954E-4</v>
      </c>
      <c r="W175" s="2"/>
      <c r="X175" s="2">
        <f t="shared" si="39"/>
        <v>-1812.31</v>
      </c>
      <c r="Y175" s="2"/>
      <c r="Z175" s="19">
        <f t="shared" si="40"/>
        <v>-0.79924763618402483</v>
      </c>
    </row>
    <row r="176" spans="1:26" s="23" customFormat="1" hidden="1" outlineLevel="1" x14ac:dyDescent="0.25">
      <c r="A176" s="44"/>
      <c r="B176" s="10" t="str">
        <f>CONCATENATE("          ", "5540", " - ", "FREIGHT-IN-LOGO CLOTHING")</f>
        <v xml:space="preserve">          5540 - FREIGHT-IN-LOGO CLOTHING</v>
      </c>
      <c r="C176" s="10"/>
      <c r="D176" s="2">
        <v>1167.1400000000001</v>
      </c>
      <c r="E176" s="2"/>
      <c r="F176" s="19">
        <f t="shared" si="33"/>
        <v>1.9040427636839597E-3</v>
      </c>
      <c r="G176" s="2"/>
      <c r="H176" s="2">
        <v>2177.09</v>
      </c>
      <c r="I176" s="2"/>
      <c r="J176" s="19">
        <f t="shared" si="34"/>
        <v>6.2859253065452895E-3</v>
      </c>
      <c r="K176" s="2"/>
      <c r="L176" s="2">
        <f t="shared" si="35"/>
        <v>-1009.95</v>
      </c>
      <c r="M176" s="2"/>
      <c r="N176" s="19">
        <f t="shared" si="36"/>
        <v>-0.46389905791676045</v>
      </c>
      <c r="O176" s="10"/>
      <c r="P176" s="2">
        <v>7108.37</v>
      </c>
      <c r="Q176" s="2"/>
      <c r="R176" s="19">
        <f t="shared" si="37"/>
        <v>1.1312342149180962E-3</v>
      </c>
      <c r="S176" s="2"/>
      <c r="T176" s="2">
        <v>30658.39</v>
      </c>
      <c r="U176" s="2"/>
      <c r="V176" s="19">
        <f t="shared" si="38"/>
        <v>2.8823425911417701E-3</v>
      </c>
      <c r="W176" s="2"/>
      <c r="X176" s="2">
        <f t="shared" si="39"/>
        <v>-23550.02</v>
      </c>
      <c r="Y176" s="2"/>
      <c r="Z176" s="19">
        <f t="shared" si="40"/>
        <v>-0.76814274983128605</v>
      </c>
    </row>
    <row r="177" spans="1:26" s="23" customFormat="1" hidden="1" outlineLevel="1" x14ac:dyDescent="0.25">
      <c r="A177" s="44"/>
      <c r="B177" s="10" t="str">
        <f>CONCATENATE("          ", "5541", " - ", "FREIGHT-IN-LOGO GIFTS")</f>
        <v xml:space="preserve">          5541 - FREIGHT-IN-LOGO GIFTS</v>
      </c>
      <c r="C177" s="10"/>
      <c r="D177" s="2">
        <v>60.07</v>
      </c>
      <c r="E177" s="2"/>
      <c r="F177" s="19">
        <f t="shared" si="33"/>
        <v>9.799668318667466E-5</v>
      </c>
      <c r="G177" s="2"/>
      <c r="H177" s="2">
        <v>622.03</v>
      </c>
      <c r="I177" s="2"/>
      <c r="J177" s="19">
        <f t="shared" si="34"/>
        <v>1.795991033182076E-3</v>
      </c>
      <c r="K177" s="2"/>
      <c r="L177" s="2">
        <f t="shared" si="35"/>
        <v>-561.95999999999992</v>
      </c>
      <c r="M177" s="2"/>
      <c r="N177" s="19">
        <f t="shared" si="36"/>
        <v>-0.90342909505972369</v>
      </c>
      <c r="O177" s="10"/>
      <c r="P177" s="2">
        <v>2138</v>
      </c>
      <c r="Q177" s="2"/>
      <c r="R177" s="19">
        <f t="shared" si="37"/>
        <v>3.402437902775024E-4</v>
      </c>
      <c r="S177" s="2"/>
      <c r="T177" s="2">
        <v>4695.95</v>
      </c>
      <c r="U177" s="2"/>
      <c r="V177" s="19">
        <f t="shared" si="38"/>
        <v>4.4148882869818649E-4</v>
      </c>
      <c r="W177" s="2"/>
      <c r="X177" s="2">
        <f t="shared" si="39"/>
        <v>-2557.9499999999998</v>
      </c>
      <c r="Y177" s="2"/>
      <c r="Z177" s="19">
        <f t="shared" si="40"/>
        <v>-0.5447140621173564</v>
      </c>
    </row>
    <row r="178" spans="1:26" s="23" customFormat="1" hidden="1" outlineLevel="1" x14ac:dyDescent="0.25">
      <c r="A178" s="44"/>
      <c r="B178" s="10" t="str">
        <f>CONCATENATE("          ", "5542", " - ", "FREIGHT-IN-EVERYDAY GIFTS")</f>
        <v xml:space="preserve">          5542 - FREIGHT-IN-EVERYDAY GIFTS</v>
      </c>
      <c r="C178" s="10"/>
      <c r="D178" s="2">
        <v>297.79000000000002</v>
      </c>
      <c r="E178" s="2"/>
      <c r="F178" s="19">
        <f t="shared" si="33"/>
        <v>4.8580709649009233E-4</v>
      </c>
      <c r="G178" s="2"/>
      <c r="H178" s="2">
        <v>42.24</v>
      </c>
      <c r="I178" s="2"/>
      <c r="J178" s="19">
        <f t="shared" si="34"/>
        <v>1.2195981100848979E-4</v>
      </c>
      <c r="K178" s="2"/>
      <c r="L178" s="2">
        <f t="shared" si="35"/>
        <v>255.55</v>
      </c>
      <c r="M178" s="2"/>
      <c r="N178" s="19">
        <f t="shared" si="36"/>
        <v>6.0499526515151514</v>
      </c>
      <c r="O178" s="10"/>
      <c r="P178" s="2">
        <v>681.72</v>
      </c>
      <c r="Q178" s="2"/>
      <c r="R178" s="19">
        <f t="shared" si="37"/>
        <v>1.0848970846958791E-4</v>
      </c>
      <c r="S178" s="2"/>
      <c r="T178" s="2">
        <v>1793.94</v>
      </c>
      <c r="U178" s="2"/>
      <c r="V178" s="19">
        <f t="shared" si="38"/>
        <v>1.6865692125231843E-4</v>
      </c>
      <c r="W178" s="2"/>
      <c r="X178" s="2">
        <f t="shared" si="39"/>
        <v>-1112.22</v>
      </c>
      <c r="Y178" s="2"/>
      <c r="Z178" s="19">
        <f t="shared" si="40"/>
        <v>-0.61998729054483426</v>
      </c>
    </row>
    <row r="179" spans="1:26" s="23" customFormat="1" hidden="1" outlineLevel="1" x14ac:dyDescent="0.25">
      <c r="A179" s="44"/>
      <c r="B179" s="10" t="str">
        <f>CONCATENATE("          ", "5543", " - ", "FREIGHT-IN-CARDS")</f>
        <v xml:space="preserve">          5543 - FREIGHT-IN-CARDS</v>
      </c>
      <c r="C179" s="10"/>
      <c r="D179" s="2"/>
      <c r="E179" s="2"/>
      <c r="F179" s="19">
        <f t="shared" si="33"/>
        <v>0</v>
      </c>
      <c r="G179" s="2"/>
      <c r="H179" s="2">
        <v>25.64</v>
      </c>
      <c r="I179" s="2"/>
      <c r="J179" s="19">
        <f t="shared" si="34"/>
        <v>7.4030529220115479E-5</v>
      </c>
      <c r="K179" s="2"/>
      <c r="L179" s="2">
        <f t="shared" si="35"/>
        <v>-25.64</v>
      </c>
      <c r="M179" s="2"/>
      <c r="N179" s="19">
        <f t="shared" si="36"/>
        <v>-1</v>
      </c>
      <c r="O179" s="10"/>
      <c r="P179" s="2">
        <v>9110.5300000000007</v>
      </c>
      <c r="Q179" s="2"/>
      <c r="R179" s="19">
        <f t="shared" si="37"/>
        <v>1.4498602706440103E-3</v>
      </c>
      <c r="S179" s="2"/>
      <c r="T179" s="2">
        <v>2926.76</v>
      </c>
      <c r="U179" s="2"/>
      <c r="V179" s="19">
        <f t="shared" si="38"/>
        <v>2.7515877389680565E-4</v>
      </c>
      <c r="W179" s="2"/>
      <c r="X179" s="2">
        <f t="shared" si="39"/>
        <v>6183.77</v>
      </c>
      <c r="Y179" s="2"/>
      <c r="Z179" s="19">
        <f t="shared" si="40"/>
        <v>2.112838087168063</v>
      </c>
    </row>
    <row r="180" spans="1:26" s="23" customFormat="1" hidden="1" outlineLevel="1" x14ac:dyDescent="0.25">
      <c r="A180" s="44"/>
      <c r="B180" s="10" t="str">
        <f>CONCATENATE("          ", "5544", " - ", "FREIGHT-IN-ACCESSORIES")</f>
        <v xml:space="preserve">          5544 - FREIGHT-IN-ACCESSORIES</v>
      </c>
      <c r="C180" s="10"/>
      <c r="D180" s="2"/>
      <c r="E180" s="2"/>
      <c r="F180" s="19">
        <f t="shared" si="33"/>
        <v>0</v>
      </c>
      <c r="G180" s="2"/>
      <c r="H180" s="2"/>
      <c r="I180" s="2"/>
      <c r="J180" s="19">
        <f t="shared" si="34"/>
        <v>0</v>
      </c>
      <c r="K180" s="2"/>
      <c r="L180" s="2">
        <f t="shared" si="35"/>
        <v>0</v>
      </c>
      <c r="M180" s="2"/>
      <c r="N180" s="19">
        <f t="shared" si="36"/>
        <v>0</v>
      </c>
      <c r="O180" s="10"/>
      <c r="P180" s="2"/>
      <c r="Q180" s="2"/>
      <c r="R180" s="19">
        <f t="shared" si="37"/>
        <v>0</v>
      </c>
      <c r="S180" s="2"/>
      <c r="T180" s="2">
        <v>483.44</v>
      </c>
      <c r="U180" s="2"/>
      <c r="V180" s="19">
        <f t="shared" si="38"/>
        <v>4.5450517860252192E-5</v>
      </c>
      <c r="W180" s="2"/>
      <c r="X180" s="2">
        <f t="shared" si="39"/>
        <v>-483.44</v>
      </c>
      <c r="Y180" s="2"/>
      <c r="Z180" s="19">
        <f t="shared" si="40"/>
        <v>-1</v>
      </c>
    </row>
    <row r="181" spans="1:26" s="23" customFormat="1" hidden="1" outlineLevel="1" x14ac:dyDescent="0.25">
      <c r="A181" s="44"/>
      <c r="B181" s="10" t="str">
        <f>CONCATENATE("          ", "5545", " - ", "FREIGHT-IN-SPECIAL ORDERS")</f>
        <v xml:space="preserve">          5545 - FREIGHT-IN-SPECIAL ORDERS</v>
      </c>
      <c r="C181" s="10"/>
      <c r="D181" s="2">
        <v>17.63</v>
      </c>
      <c r="E181" s="2"/>
      <c r="F181" s="19">
        <f t="shared" si="33"/>
        <v>2.876113741603253E-5</v>
      </c>
      <c r="G181" s="2"/>
      <c r="H181" s="2">
        <v>28.68</v>
      </c>
      <c r="I181" s="2"/>
      <c r="J181" s="19">
        <f t="shared" si="34"/>
        <v>8.2807939860878003E-5</v>
      </c>
      <c r="K181" s="2"/>
      <c r="L181" s="2">
        <f t="shared" si="35"/>
        <v>-11.05</v>
      </c>
      <c r="M181" s="2"/>
      <c r="N181" s="19">
        <f t="shared" si="36"/>
        <v>-0.38528591352859137</v>
      </c>
      <c r="O181" s="10"/>
      <c r="P181" s="2">
        <v>1266.1600000000001</v>
      </c>
      <c r="Q181" s="2"/>
      <c r="R181" s="19">
        <f t="shared" si="37"/>
        <v>2.0149816534039406E-4</v>
      </c>
      <c r="S181" s="2"/>
      <c r="T181" s="2">
        <v>875.07</v>
      </c>
      <c r="U181" s="2"/>
      <c r="V181" s="19">
        <f t="shared" si="38"/>
        <v>8.2269536372602374E-5</v>
      </c>
      <c r="W181" s="2"/>
      <c r="X181" s="2">
        <f t="shared" si="39"/>
        <v>391.09000000000003</v>
      </c>
      <c r="Y181" s="2"/>
      <c r="Z181" s="19">
        <f t="shared" si="40"/>
        <v>0.44692424606031517</v>
      </c>
    </row>
    <row r="182" spans="1:26" s="23" customFormat="1" hidden="1" outlineLevel="1" x14ac:dyDescent="0.25">
      <c r="A182" s="44"/>
      <c r="B182" s="10" t="str">
        <f>CONCATENATE("          ", "5581", " - ", "FREIGHT-IN-ELECTRONICS")</f>
        <v xml:space="preserve">          5581 - FREIGHT-IN-ELECTRONICS</v>
      </c>
      <c r="C182" s="10"/>
      <c r="D182" s="2"/>
      <c r="E182" s="2"/>
      <c r="F182" s="19">
        <f t="shared" si="33"/>
        <v>0</v>
      </c>
      <c r="G182" s="2"/>
      <c r="H182" s="2"/>
      <c r="I182" s="2"/>
      <c r="J182" s="19">
        <f t="shared" si="34"/>
        <v>0</v>
      </c>
      <c r="K182" s="2"/>
      <c r="L182" s="2">
        <f t="shared" si="35"/>
        <v>0</v>
      </c>
      <c r="M182" s="2"/>
      <c r="N182" s="19">
        <f t="shared" si="36"/>
        <v>0</v>
      </c>
      <c r="O182" s="10"/>
      <c r="P182" s="2">
        <v>31</v>
      </c>
      <c r="Q182" s="2"/>
      <c r="R182" s="19">
        <f t="shared" si="37"/>
        <v>4.9333758178683696E-6</v>
      </c>
      <c r="S182" s="2"/>
      <c r="T182" s="2">
        <v>105.75</v>
      </c>
      <c r="U182" s="2"/>
      <c r="V182" s="19">
        <f t="shared" si="38"/>
        <v>9.9420657449149213E-6</v>
      </c>
      <c r="W182" s="2"/>
      <c r="X182" s="2">
        <f t="shared" si="39"/>
        <v>-74.75</v>
      </c>
      <c r="Y182" s="2"/>
      <c r="Z182" s="19">
        <f t="shared" si="40"/>
        <v>-0.70685579196217496</v>
      </c>
    </row>
    <row r="183" spans="1:26" s="23" customFormat="1" hidden="1" outlineLevel="1" x14ac:dyDescent="0.25">
      <c r="A183" s="44"/>
      <c r="B183" s="10" t="str">
        <f>CONCATENATE("          ", "5582", " - ", "FREIGHT-IN-COMPUTER HARDWARE")</f>
        <v xml:space="preserve">          5582 - FREIGHT-IN-COMPUTER HARDWARE</v>
      </c>
      <c r="C183" s="10"/>
      <c r="D183" s="2"/>
      <c r="E183" s="2"/>
      <c r="F183" s="19">
        <f t="shared" si="33"/>
        <v>0</v>
      </c>
      <c r="G183" s="2"/>
      <c r="H183" s="2">
        <v>149.46</v>
      </c>
      <c r="I183" s="2"/>
      <c r="J183" s="19">
        <f t="shared" si="34"/>
        <v>4.315367744632785E-4</v>
      </c>
      <c r="K183" s="2"/>
      <c r="L183" s="2">
        <f t="shared" si="35"/>
        <v>-149.46</v>
      </c>
      <c r="M183" s="2"/>
      <c r="N183" s="19">
        <f t="shared" si="36"/>
        <v>-1</v>
      </c>
      <c r="O183" s="10"/>
      <c r="P183" s="2">
        <v>125</v>
      </c>
      <c r="Q183" s="2"/>
      <c r="R183" s="19">
        <f t="shared" si="37"/>
        <v>1.9892644426888587E-5</v>
      </c>
      <c r="S183" s="2"/>
      <c r="T183" s="2">
        <v>154.30000000000001</v>
      </c>
      <c r="U183" s="2"/>
      <c r="V183" s="19">
        <f t="shared" si="38"/>
        <v>1.450648458099643E-5</v>
      </c>
      <c r="W183" s="2"/>
      <c r="X183" s="2">
        <f t="shared" si="39"/>
        <v>-29.300000000000011</v>
      </c>
      <c r="Y183" s="2"/>
      <c r="Z183" s="19">
        <f t="shared" si="40"/>
        <v>-0.18988982501620227</v>
      </c>
    </row>
    <row r="184" spans="1:26" s="23" customFormat="1" hidden="1" outlineLevel="1" x14ac:dyDescent="0.25">
      <c r="A184" s="44"/>
      <c r="B184" s="10" t="str">
        <f>CONCATENATE("          ", "5583", " - ", "FREIGHT-IN-COMPUTER EQUIPMENT")</f>
        <v xml:space="preserve">          5583 - FREIGHT-IN-COMPUTER EQUIPMENT</v>
      </c>
      <c r="C184" s="10"/>
      <c r="D184" s="2"/>
      <c r="E184" s="2"/>
      <c r="F184" s="19">
        <f t="shared" si="33"/>
        <v>0</v>
      </c>
      <c r="G184" s="2"/>
      <c r="H184" s="2"/>
      <c r="I184" s="2"/>
      <c r="J184" s="19">
        <f t="shared" si="34"/>
        <v>0</v>
      </c>
      <c r="K184" s="2"/>
      <c r="L184" s="2">
        <f t="shared" si="35"/>
        <v>0</v>
      </c>
      <c r="M184" s="2"/>
      <c r="N184" s="19">
        <f t="shared" si="36"/>
        <v>0</v>
      </c>
      <c r="O184" s="10"/>
      <c r="P184" s="2">
        <v>242.46</v>
      </c>
      <c r="Q184" s="2"/>
      <c r="R184" s="19">
        <f t="shared" si="37"/>
        <v>3.8585364541947258E-5</v>
      </c>
      <c r="S184" s="2"/>
      <c r="T184" s="2">
        <v>57.5</v>
      </c>
      <c r="U184" s="2"/>
      <c r="V184" s="19">
        <f t="shared" si="38"/>
        <v>5.4058513506629593E-6</v>
      </c>
      <c r="W184" s="2"/>
      <c r="X184" s="2">
        <f t="shared" si="39"/>
        <v>184.96</v>
      </c>
      <c r="Y184" s="2"/>
      <c r="Z184" s="19">
        <f t="shared" si="40"/>
        <v>3.2166956521739132</v>
      </c>
    </row>
    <row r="185" spans="1:26" s="23" customFormat="1" hidden="1" outlineLevel="1" x14ac:dyDescent="0.25">
      <c r="A185" s="44"/>
      <c r="B185" s="10" t="str">
        <f>CONCATENATE("          ", "5585", " - ", "FREIGHT-IN-SOFTWARE")</f>
        <v xml:space="preserve">          5585 - FREIGHT-IN-SOFTWARE</v>
      </c>
      <c r="C185" s="10"/>
      <c r="D185" s="2">
        <v>9.41</v>
      </c>
      <c r="E185" s="2"/>
      <c r="F185" s="19">
        <f t="shared" si="33"/>
        <v>1.5351236703622583E-5</v>
      </c>
      <c r="G185" s="2"/>
      <c r="H185" s="2"/>
      <c r="I185" s="2"/>
      <c r="J185" s="19">
        <f t="shared" si="34"/>
        <v>0</v>
      </c>
      <c r="K185" s="2"/>
      <c r="L185" s="2">
        <f t="shared" si="35"/>
        <v>9.41</v>
      </c>
      <c r="M185" s="2"/>
      <c r="N185" s="19">
        <f t="shared" si="36"/>
        <v>0</v>
      </c>
      <c r="O185" s="10"/>
      <c r="P185" s="2">
        <v>9.41</v>
      </c>
      <c r="Q185" s="2"/>
      <c r="R185" s="19">
        <f t="shared" si="37"/>
        <v>1.4975182724561728E-6</v>
      </c>
      <c r="S185" s="2"/>
      <c r="T185" s="2"/>
      <c r="U185" s="2"/>
      <c r="V185" s="19">
        <f t="shared" si="38"/>
        <v>0</v>
      </c>
      <c r="W185" s="2"/>
      <c r="X185" s="2">
        <f t="shared" si="39"/>
        <v>9.41</v>
      </c>
      <c r="Y185" s="2"/>
      <c r="Z185" s="19">
        <f t="shared" si="40"/>
        <v>0</v>
      </c>
    </row>
    <row r="186" spans="1:26" s="23" customFormat="1" hidden="1" outlineLevel="1" x14ac:dyDescent="0.25">
      <c r="A186" s="44"/>
      <c r="B186" s="10" t="str">
        <f>CONCATENATE("          ", "5586", " - ", "FREIGHT-IN-COMPUTER SUPPLIES")</f>
        <v xml:space="preserve">          5586 - FREIGHT-IN-COMPUTER SUPPLIES</v>
      </c>
      <c r="C186" s="10"/>
      <c r="D186" s="2"/>
      <c r="E186" s="2"/>
      <c r="F186" s="19">
        <f t="shared" si="33"/>
        <v>0</v>
      </c>
      <c r="G186" s="2"/>
      <c r="H186" s="2">
        <v>30.96</v>
      </c>
      <c r="I186" s="2"/>
      <c r="J186" s="19">
        <f t="shared" si="34"/>
        <v>8.9390997841449899E-5</v>
      </c>
      <c r="K186" s="2"/>
      <c r="L186" s="2">
        <f t="shared" si="35"/>
        <v>-30.96</v>
      </c>
      <c r="M186" s="2"/>
      <c r="N186" s="19">
        <f t="shared" si="36"/>
        <v>-1</v>
      </c>
      <c r="O186" s="10"/>
      <c r="P186" s="2">
        <v>24.12</v>
      </c>
      <c r="Q186" s="2"/>
      <c r="R186" s="19">
        <f t="shared" si="37"/>
        <v>3.8384846686124222E-6</v>
      </c>
      <c r="S186" s="2"/>
      <c r="T186" s="2">
        <v>301.27</v>
      </c>
      <c r="U186" s="2"/>
      <c r="V186" s="19">
        <f t="shared" si="38"/>
        <v>2.832384063329095E-5</v>
      </c>
      <c r="W186" s="2"/>
      <c r="X186" s="2">
        <f t="shared" si="39"/>
        <v>-277.14999999999998</v>
      </c>
      <c r="Y186" s="2"/>
      <c r="Z186" s="19">
        <f t="shared" si="40"/>
        <v>-0.91993892521658316</v>
      </c>
    </row>
    <row r="187" spans="1:26" s="23" customFormat="1" hidden="1" outlineLevel="1" x14ac:dyDescent="0.25">
      <c r="A187" s="44"/>
      <c r="B187" s="10" t="str">
        <f>CONCATENATE("          ", "5592", " - ", "FREIGHT-IN-GRAD MERCH")</f>
        <v xml:space="preserve">          5592 - FREIGHT-IN-GRAD MERCH</v>
      </c>
      <c r="C187" s="10"/>
      <c r="D187" s="2"/>
      <c r="E187" s="2"/>
      <c r="F187" s="19">
        <f t="shared" si="33"/>
        <v>0</v>
      </c>
      <c r="G187" s="2"/>
      <c r="H187" s="2">
        <v>12.95</v>
      </c>
      <c r="I187" s="2"/>
      <c r="J187" s="19">
        <f t="shared" si="34"/>
        <v>3.7390614407195611E-5</v>
      </c>
      <c r="K187" s="2"/>
      <c r="L187" s="2">
        <f t="shared" si="35"/>
        <v>-12.95</v>
      </c>
      <c r="M187" s="2"/>
      <c r="N187" s="19">
        <f t="shared" si="36"/>
        <v>-1</v>
      </c>
      <c r="O187" s="10"/>
      <c r="P187" s="2">
        <v>0</v>
      </c>
      <c r="Q187" s="2"/>
      <c r="R187" s="19">
        <f t="shared" si="37"/>
        <v>0</v>
      </c>
      <c r="S187" s="2"/>
      <c r="T187" s="2">
        <v>118.73</v>
      </c>
      <c r="U187" s="2"/>
      <c r="V187" s="19">
        <f t="shared" si="38"/>
        <v>1.1162377928073272E-5</v>
      </c>
      <c r="W187" s="2"/>
      <c r="X187" s="2">
        <f t="shared" si="39"/>
        <v>-118.73</v>
      </c>
      <c r="Y187" s="2"/>
      <c r="Z187" s="19">
        <f t="shared" si="40"/>
        <v>-1</v>
      </c>
    </row>
    <row r="188" spans="1:26" x14ac:dyDescent="0.25">
      <c r="A188" s="9"/>
      <c r="B188" s="11"/>
      <c r="C188" s="11"/>
      <c r="D188" s="3"/>
      <c r="E188" s="3"/>
      <c r="F188" s="8"/>
      <c r="G188" s="3"/>
      <c r="H188" s="3"/>
      <c r="I188" s="3"/>
      <c r="J188" s="8"/>
      <c r="K188" s="3"/>
      <c r="L188" s="3"/>
      <c r="M188" s="3"/>
      <c r="N188" s="8"/>
      <c r="O188" s="11"/>
      <c r="P188" s="3"/>
      <c r="Q188" s="3"/>
      <c r="R188" s="8"/>
      <c r="S188" s="3"/>
      <c r="T188" s="3"/>
      <c r="U188" s="3"/>
      <c r="V188" s="8"/>
      <c r="W188" s="3"/>
      <c r="X188" s="3"/>
      <c r="Y188" s="3"/>
      <c r="Z188" s="8"/>
    </row>
    <row r="189" spans="1:26" s="24" customFormat="1" x14ac:dyDescent="0.25">
      <c r="A189" s="11"/>
      <c r="B189" s="29" t="s">
        <v>107</v>
      </c>
      <c r="C189" s="29"/>
      <c r="D189" s="22">
        <f>D12-D128</f>
        <v>158505.0799999999</v>
      </c>
      <c r="E189" s="14"/>
      <c r="F189" s="20">
        <f>IF(D$12=0,0,D189/D$12)</f>
        <v>0.25858119041515748</v>
      </c>
      <c r="G189" s="14"/>
      <c r="H189" s="22">
        <f>H12-H128</f>
        <v>142682.39000000039</v>
      </c>
      <c r="I189" s="14"/>
      <c r="J189" s="20">
        <f>IF(H$12=0,0,H189/H$12)</f>
        <v>0.41196773955112881</v>
      </c>
      <c r="K189" s="15"/>
      <c r="L189" s="22">
        <f>+D189-H189</f>
        <v>15822.689999999508</v>
      </c>
      <c r="M189" s="15"/>
      <c r="N189" s="20">
        <f>IF(H189=0,0,L189/H189)</f>
        <v>0.11089448389531087</v>
      </c>
      <c r="O189" s="28"/>
      <c r="P189" s="22">
        <f>P12-P128</f>
        <v>1698232.0700000012</v>
      </c>
      <c r="Q189" s="14"/>
      <c r="R189" s="20">
        <f>IF(P$12=0,0,P189/P$12)</f>
        <v>0.27025861378279198</v>
      </c>
      <c r="S189" s="14"/>
      <c r="T189" s="22">
        <f>T12-T128</f>
        <v>3848503.660000002</v>
      </c>
      <c r="U189" s="14"/>
      <c r="V189" s="20">
        <f>IF(T$12=0,0,T189/T$12)</f>
        <v>0.36181632536421487</v>
      </c>
      <c r="W189" s="15"/>
      <c r="X189" s="22">
        <f>+P189-T189</f>
        <v>-2150271.5900000008</v>
      </c>
      <c r="Y189" s="15"/>
      <c r="Z189" s="20">
        <f>IF(T189=0,0,X189/T189)</f>
        <v>-0.55872925686655051</v>
      </c>
    </row>
    <row r="190" spans="1:26" x14ac:dyDescent="0.25">
      <c r="A190" s="9"/>
      <c r="B190" s="11"/>
      <c r="C190" s="9"/>
      <c r="D190" s="1"/>
      <c r="E190" s="1"/>
      <c r="F190" s="5"/>
      <c r="G190" s="1"/>
      <c r="H190" s="1"/>
      <c r="I190" s="1"/>
      <c r="J190" s="5"/>
      <c r="K190" s="1"/>
      <c r="L190" s="1"/>
      <c r="M190" s="1"/>
      <c r="N190" s="5"/>
      <c r="O190" s="37"/>
      <c r="P190" s="1"/>
      <c r="Q190" s="1"/>
      <c r="R190" s="5"/>
      <c r="S190" s="1"/>
      <c r="T190" s="1"/>
      <c r="U190" s="1"/>
      <c r="V190" s="5"/>
      <c r="W190" s="1"/>
      <c r="X190" s="1"/>
      <c r="Y190" s="1"/>
      <c r="Z190" s="5"/>
    </row>
    <row r="191" spans="1:26" s="24" customFormat="1" x14ac:dyDescent="0.25">
      <c r="A191" s="11"/>
      <c r="B191" s="28" t="s">
        <v>294</v>
      </c>
      <c r="C191" s="11"/>
      <c r="D191" s="21">
        <f>SUM(OSRRefD22x_0)</f>
        <v>243630.8899999999</v>
      </c>
      <c r="E191" s="21"/>
      <c r="F191" s="31">
        <f t="shared" ref="F191:F202" si="41">IF(D$12=0,0,D191/D$12)</f>
        <v>0.39745329019173586</v>
      </c>
      <c r="G191" s="21"/>
      <c r="H191" s="21">
        <f>SUM(OSRRefH22x_0)</f>
        <v>329237.12999999995</v>
      </c>
      <c r="I191" s="21"/>
      <c r="J191" s="31">
        <f t="shared" ref="J191:J202" si="42">IF(H$12=0,0,H191/H$12)</f>
        <v>0.95060838427503724</v>
      </c>
      <c r="K191" s="4"/>
      <c r="L191" s="21">
        <f t="shared" ref="L191:L202" si="43">+D191-H191</f>
        <v>-85606.240000000049</v>
      </c>
      <c r="M191" s="4"/>
      <c r="N191" s="31">
        <f t="shared" ref="N191:N202" si="44">IF(H191=0,0,L191/H191)</f>
        <v>-0.26001392977760457</v>
      </c>
      <c r="O191" s="11"/>
      <c r="P191" s="21">
        <f>SUM(OSRRefP22x_0)</f>
        <v>2506813.6900000004</v>
      </c>
      <c r="Q191" s="21"/>
      <c r="R191" s="31">
        <f t="shared" ref="R191:R202" si="45">IF(P$12=0,0,P191/P$12)</f>
        <v>0.39893722703701218</v>
      </c>
      <c r="S191" s="21"/>
      <c r="T191" s="21">
        <f>SUM(OSRRefT22x_0)</f>
        <v>3570780.3200000017</v>
      </c>
      <c r="U191" s="21"/>
      <c r="V191" s="31">
        <f t="shared" ref="V191:V202" si="46">IF(T$12=0,0,T191/T$12)</f>
        <v>0.33570621940509082</v>
      </c>
      <c r="W191" s="4"/>
      <c r="X191" s="21">
        <f t="shared" ref="X191:X202" si="47">+P191-T191</f>
        <v>-1063966.6300000013</v>
      </c>
      <c r="Y191" s="4"/>
      <c r="Z191" s="31">
        <f t="shared" ref="Z191:Z202" si="48">IF(T191=0,0,X191/T191)</f>
        <v>-0.29796474009916152</v>
      </c>
    </row>
    <row r="192" spans="1:26" s="26" customFormat="1" outlineLevel="1" collapsed="1" x14ac:dyDescent="0.25">
      <c r="A192" s="27"/>
      <c r="B192" s="12" t="str">
        <f>CONCATENATE("     ","*Benefits                                         ")</f>
        <v xml:space="preserve">     *Benefits                                         </v>
      </c>
      <c r="C192" s="12"/>
      <c r="D192" s="1">
        <f>SUM(OSRRefD22_0x_0)</f>
        <v>48548.210000000006</v>
      </c>
      <c r="E192" s="1"/>
      <c r="F192" s="5">
        <f t="shared" si="41"/>
        <v>7.9200325531049623E-2</v>
      </c>
      <c r="G192" s="1"/>
      <c r="H192" s="1">
        <f>SUM(OSRRefH22_0x_0)</f>
        <v>29829.700000000004</v>
      </c>
      <c r="I192" s="1"/>
      <c r="J192" s="5">
        <f t="shared" si="42"/>
        <v>8.6127475720642707E-2</v>
      </c>
      <c r="K192" s="1"/>
      <c r="L192" s="1">
        <f t="shared" si="43"/>
        <v>18718.510000000002</v>
      </c>
      <c r="M192" s="1"/>
      <c r="N192" s="5">
        <f t="shared" si="44"/>
        <v>0.62751251269707709</v>
      </c>
      <c r="O192" s="12"/>
      <c r="P192" s="1">
        <f>SUM(OSRRefP22_0x_0)</f>
        <v>436475.83</v>
      </c>
      <c r="Q192" s="1"/>
      <c r="R192" s="5">
        <f t="shared" si="45"/>
        <v>6.9461267896968562E-2</v>
      </c>
      <c r="S192" s="1"/>
      <c r="T192" s="1">
        <f>SUM(OSRRefT22_0x_0)</f>
        <v>447930.51000000007</v>
      </c>
      <c r="U192" s="1"/>
      <c r="V192" s="5">
        <f t="shared" si="46"/>
        <v>4.2112100043246066E-2</v>
      </c>
      <c r="W192" s="1"/>
      <c r="X192" s="1">
        <f t="shared" si="47"/>
        <v>-11454.680000000051</v>
      </c>
      <c r="Y192" s="1"/>
      <c r="Z192" s="5">
        <f t="shared" si="48"/>
        <v>-2.5572448726477796E-2</v>
      </c>
    </row>
    <row r="193" spans="1:26" s="23" customFormat="1" hidden="1" outlineLevel="2" x14ac:dyDescent="0.25">
      <c r="A193" s="25"/>
      <c r="B193" s="10" t="str">
        <f>CONCATENATE("          ", "6111", " - ", "F.I.C.A.")</f>
        <v xml:space="preserve">          6111 - F.I.C.A.</v>
      </c>
      <c r="C193" s="10"/>
      <c r="D193" s="6">
        <v>7927.26</v>
      </c>
      <c r="E193" s="2"/>
      <c r="F193" s="7">
        <f t="shared" si="41"/>
        <v>1.2932332058571642E-2</v>
      </c>
      <c r="G193" s="2"/>
      <c r="H193" s="6">
        <v>11763.21</v>
      </c>
      <c r="I193" s="2"/>
      <c r="J193" s="7">
        <f t="shared" si="42"/>
        <v>3.3963988363001352E-2</v>
      </c>
      <c r="K193" s="2"/>
      <c r="L193" s="6">
        <f t="shared" si="43"/>
        <v>-3835.9499999999989</v>
      </c>
      <c r="M193" s="2"/>
      <c r="N193" s="7">
        <f t="shared" si="44"/>
        <v>-0.32609721326066604</v>
      </c>
      <c r="O193" s="10"/>
      <c r="P193" s="6">
        <v>83205.94</v>
      </c>
      <c r="Q193" s="2"/>
      <c r="R193" s="7">
        <f t="shared" si="45"/>
        <v>1.3241489429000211E-2</v>
      </c>
      <c r="S193" s="2"/>
      <c r="T193" s="6">
        <v>92237.57</v>
      </c>
      <c r="U193" s="2"/>
      <c r="V193" s="7">
        <f t="shared" si="46"/>
        <v>8.6716972585455538E-3</v>
      </c>
      <c r="W193" s="2"/>
      <c r="X193" s="6">
        <f t="shared" si="47"/>
        <v>-9031.6300000000047</v>
      </c>
      <c r="Y193" s="2"/>
      <c r="Z193" s="7">
        <f t="shared" si="48"/>
        <v>-9.7917041830134985E-2</v>
      </c>
    </row>
    <row r="194" spans="1:26" s="23" customFormat="1" hidden="1" outlineLevel="2" x14ac:dyDescent="0.25">
      <c r="A194" s="25"/>
      <c r="B194" s="10" t="str">
        <f>CONCATENATE("          ", "6112", " - ", "COMPENSATION INSURANCE")</f>
        <v xml:space="preserve">          6112 - COMPENSATION INSURANCE</v>
      </c>
      <c r="C194" s="10"/>
      <c r="D194" s="6">
        <v>1901.46</v>
      </c>
      <c r="E194" s="2"/>
      <c r="F194" s="7">
        <f t="shared" si="41"/>
        <v>3.1019938939925817E-3</v>
      </c>
      <c r="G194" s="2"/>
      <c r="H194" s="6">
        <v>3833.09</v>
      </c>
      <c r="I194" s="2"/>
      <c r="J194" s="7">
        <f t="shared" si="42"/>
        <v>1.10673042608554E-2</v>
      </c>
      <c r="K194" s="2"/>
      <c r="L194" s="6">
        <f t="shared" si="43"/>
        <v>-1931.63</v>
      </c>
      <c r="M194" s="2"/>
      <c r="N194" s="7">
        <f t="shared" si="44"/>
        <v>-0.50393546720791838</v>
      </c>
      <c r="O194" s="10"/>
      <c r="P194" s="6">
        <v>21337.55</v>
      </c>
      <c r="Q194" s="2"/>
      <c r="R194" s="7">
        <f t="shared" si="45"/>
        <v>3.3956823607276527E-3</v>
      </c>
      <c r="S194" s="2"/>
      <c r="T194" s="6">
        <v>25026.37</v>
      </c>
      <c r="U194" s="2"/>
      <c r="V194" s="7">
        <f t="shared" si="46"/>
        <v>2.3528493228989734E-3</v>
      </c>
      <c r="W194" s="2"/>
      <c r="X194" s="6">
        <f t="shared" si="47"/>
        <v>-3688.8199999999997</v>
      </c>
      <c r="Y194" s="2"/>
      <c r="Z194" s="7">
        <f t="shared" si="48"/>
        <v>-0.14739732530127223</v>
      </c>
    </row>
    <row r="195" spans="1:26" s="23" customFormat="1" hidden="1" outlineLevel="2" x14ac:dyDescent="0.25">
      <c r="A195" s="25"/>
      <c r="B195" s="10" t="str">
        <f>CONCATENATE("          ", "6113", " - ", "GROUP INSURANCE")</f>
        <v xml:space="preserve">          6113 - GROUP INSURANCE</v>
      </c>
      <c r="C195" s="10"/>
      <c r="D195" s="6">
        <v>19334.150000000001</v>
      </c>
      <c r="E195" s="2"/>
      <c r="F195" s="7">
        <f t="shared" si="41"/>
        <v>3.1541244751683802E-2</v>
      </c>
      <c r="G195" s="2"/>
      <c r="H195" s="6">
        <v>18713.54</v>
      </c>
      <c r="I195" s="2"/>
      <c r="J195" s="7">
        <f t="shared" si="42"/>
        <v>5.4031718790241809E-2</v>
      </c>
      <c r="K195" s="2"/>
      <c r="L195" s="6">
        <f t="shared" si="43"/>
        <v>620.61000000000058</v>
      </c>
      <c r="M195" s="2"/>
      <c r="N195" s="7">
        <f t="shared" si="44"/>
        <v>3.3163687896571176E-2</v>
      </c>
      <c r="O195" s="10"/>
      <c r="P195" s="6">
        <v>155962.42000000001</v>
      </c>
      <c r="Q195" s="2"/>
      <c r="R195" s="7">
        <f t="shared" si="45"/>
        <v>2.4820039720136459E-2</v>
      </c>
      <c r="S195" s="2"/>
      <c r="T195" s="6">
        <v>173722.84</v>
      </c>
      <c r="U195" s="2"/>
      <c r="V195" s="7">
        <f t="shared" si="46"/>
        <v>1.633251911747835E-2</v>
      </c>
      <c r="W195" s="2"/>
      <c r="X195" s="6">
        <f t="shared" si="47"/>
        <v>-17760.419999999984</v>
      </c>
      <c r="Y195" s="2"/>
      <c r="Z195" s="7">
        <f t="shared" si="48"/>
        <v>-0.10223422550540841</v>
      </c>
    </row>
    <row r="196" spans="1:26" s="23" customFormat="1" hidden="1" outlineLevel="2" x14ac:dyDescent="0.25">
      <c r="A196" s="25"/>
      <c r="B196" s="10" t="str">
        <f>CONCATENATE("          ", "6114", " - ", "STATE UNEMPLOYMENT INSURANCE")</f>
        <v xml:space="preserve">          6114 - STATE UNEMPLOYMENT INSURANCE</v>
      </c>
      <c r="C196" s="10"/>
      <c r="D196" s="6">
        <v>331.72</v>
      </c>
      <c r="E196" s="2"/>
      <c r="F196" s="7">
        <f t="shared" si="41"/>
        <v>5.4115964286139036E-4</v>
      </c>
      <c r="G196" s="2"/>
      <c r="H196" s="6">
        <v>627.54999999999995</v>
      </c>
      <c r="I196" s="2"/>
      <c r="J196" s="7">
        <f t="shared" si="42"/>
        <v>1.8119289630297763E-3</v>
      </c>
      <c r="K196" s="2"/>
      <c r="L196" s="6">
        <f t="shared" si="43"/>
        <v>-295.82999999999993</v>
      </c>
      <c r="M196" s="2"/>
      <c r="N196" s="7">
        <f t="shared" si="44"/>
        <v>-0.47140466895068112</v>
      </c>
      <c r="O196" s="10"/>
      <c r="P196" s="6">
        <v>3442</v>
      </c>
      <c r="Q196" s="2"/>
      <c r="R196" s="7">
        <f t="shared" si="45"/>
        <v>5.4776385693880414E-4</v>
      </c>
      <c r="S196" s="2"/>
      <c r="T196" s="6">
        <v>4833.07</v>
      </c>
      <c r="U196" s="2"/>
      <c r="V196" s="7">
        <f t="shared" si="46"/>
        <v>4.5438013891041089E-4</v>
      </c>
      <c r="W196" s="2"/>
      <c r="X196" s="6">
        <f t="shared" si="47"/>
        <v>-1391.0699999999997</v>
      </c>
      <c r="Y196" s="2"/>
      <c r="Z196" s="7">
        <f t="shared" si="48"/>
        <v>-0.28782326761251126</v>
      </c>
    </row>
    <row r="197" spans="1:26" s="23" customFormat="1" hidden="1" outlineLevel="2" x14ac:dyDescent="0.25">
      <c r="A197" s="25"/>
      <c r="B197" s="10" t="str">
        <f>CONCATENATE("          ", "6115", " - ", "P.E.R.S.")</f>
        <v xml:space="preserve">          6115 - P.E.R.S.</v>
      </c>
      <c r="C197" s="10"/>
      <c r="D197" s="6">
        <v>6531.85</v>
      </c>
      <c r="E197" s="2"/>
      <c r="F197" s="7">
        <f t="shared" si="41"/>
        <v>1.0655895373279189E-2</v>
      </c>
      <c r="G197" s="2"/>
      <c r="H197" s="6">
        <v>8775.4599999999991</v>
      </c>
      <c r="I197" s="2"/>
      <c r="J197" s="7">
        <f t="shared" si="42"/>
        <v>2.5337439467626933E-2</v>
      </c>
      <c r="K197" s="2"/>
      <c r="L197" s="6">
        <f t="shared" si="43"/>
        <v>-2243.6099999999988</v>
      </c>
      <c r="M197" s="2"/>
      <c r="N197" s="7">
        <f t="shared" si="44"/>
        <v>-0.2556686487090134</v>
      </c>
      <c r="O197" s="10"/>
      <c r="P197" s="6">
        <v>63936.34</v>
      </c>
      <c r="Q197" s="2"/>
      <c r="R197" s="7">
        <f t="shared" si="45"/>
        <v>1.0174903020613231E-2</v>
      </c>
      <c r="S197" s="2"/>
      <c r="T197" s="6">
        <v>67360.23</v>
      </c>
      <c r="U197" s="2"/>
      <c r="V197" s="7">
        <f t="shared" si="46"/>
        <v>6.3328589621994358E-3</v>
      </c>
      <c r="W197" s="2"/>
      <c r="X197" s="6">
        <f t="shared" si="47"/>
        <v>-3423.8899999999994</v>
      </c>
      <c r="Y197" s="2"/>
      <c r="Z197" s="7">
        <f t="shared" si="48"/>
        <v>-5.082954734566672E-2</v>
      </c>
    </row>
    <row r="198" spans="1:26" s="23" customFormat="1" hidden="1" outlineLevel="2" x14ac:dyDescent="0.25">
      <c r="A198" s="25"/>
      <c r="B198" s="10" t="str">
        <f>CONCATENATE("          ", "6116", " - ", "EDUCATIONAL BENEFITS")</f>
        <v xml:space="preserve">          6116 - EDUCATIONAL BENEFITS</v>
      </c>
      <c r="C198" s="10"/>
      <c r="D198" s="6"/>
      <c r="E198" s="2"/>
      <c r="F198" s="7">
        <f t="shared" si="41"/>
        <v>0</v>
      </c>
      <c r="G198" s="2"/>
      <c r="H198" s="6"/>
      <c r="I198" s="2"/>
      <c r="J198" s="7">
        <f t="shared" si="42"/>
        <v>0</v>
      </c>
      <c r="K198" s="2"/>
      <c r="L198" s="6">
        <f t="shared" si="43"/>
        <v>0</v>
      </c>
      <c r="M198" s="2"/>
      <c r="N198" s="7">
        <f t="shared" si="44"/>
        <v>0</v>
      </c>
      <c r="O198" s="10"/>
      <c r="P198" s="6">
        <v>0</v>
      </c>
      <c r="Q198" s="2"/>
      <c r="R198" s="7">
        <f t="shared" si="45"/>
        <v>0</v>
      </c>
      <c r="S198" s="2"/>
      <c r="T198" s="6"/>
      <c r="U198" s="2"/>
      <c r="V198" s="7">
        <f t="shared" si="46"/>
        <v>0</v>
      </c>
      <c r="W198" s="2"/>
      <c r="X198" s="6">
        <f t="shared" si="47"/>
        <v>0</v>
      </c>
      <c r="Y198" s="2"/>
      <c r="Z198" s="7">
        <f t="shared" si="48"/>
        <v>0</v>
      </c>
    </row>
    <row r="199" spans="1:26" s="23" customFormat="1" hidden="1" outlineLevel="2" x14ac:dyDescent="0.25">
      <c r="A199" s="25"/>
      <c r="B199" s="10" t="str">
        <f>CONCATENATE("          ", "6117", " - ", "RETIREMENT STAFF HOURLY")</f>
        <v xml:space="preserve">          6117 - RETIREMENT STAFF HOURLY</v>
      </c>
      <c r="C199" s="10"/>
      <c r="D199" s="6">
        <v>914.84</v>
      </c>
      <c r="E199" s="2"/>
      <c r="F199" s="7">
        <f t="shared" si="41"/>
        <v>1.4924469060512309E-3</v>
      </c>
      <c r="G199" s="2"/>
      <c r="H199" s="6">
        <v>212.04</v>
      </c>
      <c r="I199" s="2"/>
      <c r="J199" s="7">
        <f t="shared" si="42"/>
        <v>6.1222439219318588E-4</v>
      </c>
      <c r="K199" s="2"/>
      <c r="L199" s="6">
        <f t="shared" si="43"/>
        <v>702.80000000000007</v>
      </c>
      <c r="M199" s="2"/>
      <c r="N199" s="7">
        <f t="shared" si="44"/>
        <v>3.3144689681192232</v>
      </c>
      <c r="O199" s="10"/>
      <c r="P199" s="6">
        <v>5122.3</v>
      </c>
      <c r="Q199" s="2"/>
      <c r="R199" s="7">
        <f t="shared" si="45"/>
        <v>8.1516874038281128E-4</v>
      </c>
      <c r="S199" s="2"/>
      <c r="T199" s="6">
        <v>2565.59</v>
      </c>
      <c r="U199" s="2"/>
      <c r="V199" s="7">
        <f t="shared" si="46"/>
        <v>2.4120344637821534E-4</v>
      </c>
      <c r="W199" s="2"/>
      <c r="X199" s="6">
        <f t="shared" si="47"/>
        <v>2556.71</v>
      </c>
      <c r="Y199" s="2"/>
      <c r="Z199" s="7">
        <f t="shared" si="48"/>
        <v>0.99653880783757343</v>
      </c>
    </row>
    <row r="200" spans="1:26" s="23" customFormat="1" hidden="1" outlineLevel="2" x14ac:dyDescent="0.25">
      <c r="A200" s="25"/>
      <c r="B200" s="10" t="str">
        <f>CONCATENATE("          ", "6118", " - ", "VACATION")</f>
        <v xml:space="preserve">          6118 - VACATION</v>
      </c>
      <c r="C200" s="10"/>
      <c r="D200" s="6">
        <v>5722.61</v>
      </c>
      <c r="E200" s="2"/>
      <c r="F200" s="7">
        <f t="shared" si="41"/>
        <v>9.3357216442632972E-3</v>
      </c>
      <c r="G200" s="2"/>
      <c r="H200" s="6">
        <v>10982.77</v>
      </c>
      <c r="I200" s="2"/>
      <c r="J200" s="7">
        <f t="shared" si="42"/>
        <v>3.1710619165476121E-2</v>
      </c>
      <c r="K200" s="2"/>
      <c r="L200" s="6">
        <f t="shared" si="43"/>
        <v>-5260.1600000000008</v>
      </c>
      <c r="M200" s="2"/>
      <c r="N200" s="7">
        <f t="shared" si="44"/>
        <v>-0.47894656812443498</v>
      </c>
      <c r="O200" s="10"/>
      <c r="P200" s="6">
        <v>51436.7</v>
      </c>
      <c r="Q200" s="2"/>
      <c r="R200" s="7">
        <f t="shared" si="45"/>
        <v>8.1856958687403208E-3</v>
      </c>
      <c r="S200" s="2"/>
      <c r="T200" s="6">
        <v>54394.64</v>
      </c>
      <c r="U200" s="2"/>
      <c r="V200" s="7">
        <f t="shared" si="46"/>
        <v>5.1139015323969639E-3</v>
      </c>
      <c r="W200" s="2"/>
      <c r="X200" s="6">
        <f t="shared" si="47"/>
        <v>-2957.9400000000023</v>
      </c>
      <c r="Y200" s="2"/>
      <c r="Z200" s="7">
        <f t="shared" si="48"/>
        <v>-5.4379255014832387E-2</v>
      </c>
    </row>
    <row r="201" spans="1:26" s="23" customFormat="1" hidden="1" outlineLevel="2" x14ac:dyDescent="0.25">
      <c r="A201" s="25"/>
      <c r="B201" s="10" t="str">
        <f>CONCATENATE("          ", "6119", " - ", "SICK LEAVE")</f>
        <v xml:space="preserve">          6119 - SICK LEAVE</v>
      </c>
      <c r="C201" s="10"/>
      <c r="D201" s="6">
        <v>4091.66</v>
      </c>
      <c r="E201" s="2"/>
      <c r="F201" s="7">
        <f t="shared" si="41"/>
        <v>6.6750309426933446E-3</v>
      </c>
      <c r="G201" s="2"/>
      <c r="H201" s="6">
        <v>-26654.16</v>
      </c>
      <c r="I201" s="2"/>
      <c r="J201" s="7">
        <f t="shared" si="42"/>
        <v>-7.6958719606771975E-2</v>
      </c>
      <c r="K201" s="2"/>
      <c r="L201" s="6">
        <f t="shared" si="43"/>
        <v>30745.82</v>
      </c>
      <c r="M201" s="2"/>
      <c r="N201" s="7">
        <f t="shared" si="44"/>
        <v>-1.1535092458362972</v>
      </c>
      <c r="O201" s="10"/>
      <c r="P201" s="6">
        <v>37455.69</v>
      </c>
      <c r="Q201" s="2"/>
      <c r="R201" s="7">
        <f t="shared" si="45"/>
        <v>5.9607417834701328E-3</v>
      </c>
      <c r="S201" s="2"/>
      <c r="T201" s="6">
        <v>8359.56</v>
      </c>
      <c r="U201" s="2"/>
      <c r="V201" s="7">
        <f t="shared" si="46"/>
        <v>7.8592241246866164E-4</v>
      </c>
      <c r="W201" s="2"/>
      <c r="X201" s="6">
        <f t="shared" si="47"/>
        <v>29096.130000000005</v>
      </c>
      <c r="Y201" s="2"/>
      <c r="Z201" s="7">
        <f t="shared" si="48"/>
        <v>3.4805815138595819</v>
      </c>
    </row>
    <row r="202" spans="1:26" s="23" customFormat="1" hidden="1" outlineLevel="2" x14ac:dyDescent="0.25">
      <c r="A202" s="25"/>
      <c r="B202" s="10" t="str">
        <f>CONCATENATE("          ", "6156", " - ", "EMPLOYEE MEALS")</f>
        <v xml:space="preserve">          6156 - EMPLOYEE MEALS</v>
      </c>
      <c r="C202" s="10"/>
      <c r="D202" s="6">
        <v>1792.66</v>
      </c>
      <c r="E202" s="2"/>
      <c r="F202" s="7">
        <f t="shared" si="41"/>
        <v>2.9245003176531412E-3</v>
      </c>
      <c r="G202" s="2"/>
      <c r="H202" s="6">
        <v>1576.2</v>
      </c>
      <c r="I202" s="2"/>
      <c r="J202" s="7">
        <f t="shared" si="42"/>
        <v>4.5509719249900949E-3</v>
      </c>
      <c r="K202" s="2"/>
      <c r="L202" s="6">
        <f t="shared" si="43"/>
        <v>216.46000000000004</v>
      </c>
      <c r="M202" s="2"/>
      <c r="N202" s="7">
        <f t="shared" si="44"/>
        <v>0.13733028803451341</v>
      </c>
      <c r="O202" s="10"/>
      <c r="P202" s="6">
        <v>14576.89</v>
      </c>
      <c r="Q202" s="2"/>
      <c r="R202" s="7">
        <f t="shared" si="45"/>
        <v>2.319783116958944E-3</v>
      </c>
      <c r="S202" s="2"/>
      <c r="T202" s="6">
        <v>19430.64</v>
      </c>
      <c r="U202" s="2"/>
      <c r="V202" s="7">
        <f t="shared" si="46"/>
        <v>1.8267678519694908E-3</v>
      </c>
      <c r="W202" s="2"/>
      <c r="X202" s="6">
        <f t="shared" si="47"/>
        <v>-4853.75</v>
      </c>
      <c r="Y202" s="2"/>
      <c r="Z202" s="7">
        <f t="shared" si="48"/>
        <v>-0.24979877142492476</v>
      </c>
    </row>
    <row r="203" spans="1:26" s="26" customFormat="1" outlineLevel="1" collapsed="1" x14ac:dyDescent="0.25">
      <c r="A203" s="27"/>
      <c r="B203" s="12" t="str">
        <f>CONCATENATE("     ","*Payroll                                          ")</f>
        <v xml:space="preserve">     *Payroll                                          </v>
      </c>
      <c r="C203" s="12"/>
      <c r="D203" s="1">
        <f>SUM(OSRRefD22_1x_0)</f>
        <v>124811.92</v>
      </c>
      <c r="E203" s="1"/>
      <c r="F203" s="5">
        <f t="shared" ref="F203:F210" si="49">IF(D$12=0,0,D203/D$12)</f>
        <v>0.20361501884735445</v>
      </c>
      <c r="G203" s="1"/>
      <c r="H203" s="1">
        <f>SUM(OSRRefH22_1x_0)</f>
        <v>175564.55</v>
      </c>
      <c r="I203" s="1"/>
      <c r="J203" s="5">
        <f t="shared" ref="J203:J210" si="50">IF(H$12=0,0,H203/H$12)</f>
        <v>0.50690860174693542</v>
      </c>
      <c r="K203" s="1"/>
      <c r="L203" s="1">
        <f t="shared" ref="L203:L210" si="51">+D203-H203</f>
        <v>-50752.62999999999</v>
      </c>
      <c r="M203" s="1"/>
      <c r="N203" s="5">
        <f t="shared" ref="N203:N210" si="52">IF(H203=0,0,L203/H203)</f>
        <v>-0.28908244859226989</v>
      </c>
      <c r="O203" s="12"/>
      <c r="P203" s="1">
        <f>SUM(OSRRefP22_1x_0)</f>
        <v>1196872.7600000002</v>
      </c>
      <c r="Q203" s="1"/>
      <c r="R203" s="5">
        <f t="shared" ref="R203:R210" si="53">IF(P$12=0,0,P203/P$12)</f>
        <v>0.19047171391127013</v>
      </c>
      <c r="S203" s="1"/>
      <c r="T203" s="1">
        <f>SUM(OSRRefT22_1x_0)</f>
        <v>1716873.74</v>
      </c>
      <c r="U203" s="1"/>
      <c r="V203" s="5">
        <f t="shared" ref="V203:V210" si="54">IF(T$12=0,0,T203/T$12)</f>
        <v>0.1614115517616829</v>
      </c>
      <c r="W203" s="1"/>
      <c r="X203" s="1">
        <f t="shared" ref="X203:X210" si="55">+P203-T203</f>
        <v>-520000.97999999975</v>
      </c>
      <c r="Y203" s="1"/>
      <c r="Z203" s="5">
        <f t="shared" ref="Z203:Z210" si="56">IF(T203=0,0,X203/T203)</f>
        <v>-0.30287665766266525</v>
      </c>
    </row>
    <row r="204" spans="1:26" s="23" customFormat="1" hidden="1" outlineLevel="2" x14ac:dyDescent="0.25">
      <c r="A204" s="25"/>
      <c r="B204" s="10" t="str">
        <f>CONCATENATE("          ", "6001", " - ", "ADMINISTRATIVE SALARIES")</f>
        <v xml:space="preserve">          6001 - ADMINISTRATIVE SALARIES</v>
      </c>
      <c r="C204" s="10"/>
      <c r="D204" s="6">
        <v>4279.74</v>
      </c>
      <c r="E204" s="2"/>
      <c r="F204" s="7">
        <f t="shared" si="49"/>
        <v>6.981859911791892E-3</v>
      </c>
      <c r="G204" s="2"/>
      <c r="H204" s="6">
        <v>4822.2</v>
      </c>
      <c r="I204" s="2"/>
      <c r="J204" s="7">
        <f t="shared" si="50"/>
        <v>1.392316762890955E-2</v>
      </c>
      <c r="K204" s="2"/>
      <c r="L204" s="6">
        <f t="shared" si="51"/>
        <v>-542.46</v>
      </c>
      <c r="M204" s="2"/>
      <c r="N204" s="7">
        <f t="shared" si="52"/>
        <v>-0.1124922234664676</v>
      </c>
      <c r="O204" s="10"/>
      <c r="P204" s="6">
        <v>38776.33</v>
      </c>
      <c r="Q204" s="2"/>
      <c r="R204" s="7">
        <f t="shared" si="53"/>
        <v>6.1709099589575423E-3</v>
      </c>
      <c r="S204" s="2"/>
      <c r="T204" s="6">
        <v>93238.31</v>
      </c>
      <c r="U204" s="2"/>
      <c r="V204" s="7">
        <f t="shared" si="54"/>
        <v>8.7657816356005516E-3</v>
      </c>
      <c r="W204" s="2"/>
      <c r="X204" s="6">
        <f t="shared" si="55"/>
        <v>-54461.979999999996</v>
      </c>
      <c r="Y204" s="2"/>
      <c r="Z204" s="7">
        <f t="shared" si="56"/>
        <v>-0.58411590686274772</v>
      </c>
    </row>
    <row r="205" spans="1:26" s="23" customFormat="1" hidden="1" outlineLevel="2" x14ac:dyDescent="0.25">
      <c r="A205" s="25"/>
      <c r="B205" s="10" t="str">
        <f>CONCATENATE("          ", "6002", " - ", "STAFF SALARIES")</f>
        <v xml:space="preserve">          6002 - STAFF SALARIES</v>
      </c>
      <c r="C205" s="10"/>
      <c r="D205" s="6">
        <v>62207.73</v>
      </c>
      <c r="E205" s="2"/>
      <c r="F205" s="7">
        <f t="shared" si="49"/>
        <v>0.10148412200053598</v>
      </c>
      <c r="G205" s="2"/>
      <c r="H205" s="6">
        <v>57957.49</v>
      </c>
      <c r="I205" s="2"/>
      <c r="J205" s="7">
        <f t="shared" si="50"/>
        <v>0.16734101626246298</v>
      </c>
      <c r="K205" s="2"/>
      <c r="L205" s="6">
        <f t="shared" si="51"/>
        <v>4250.2400000000052</v>
      </c>
      <c r="M205" s="2"/>
      <c r="N205" s="7">
        <f t="shared" si="52"/>
        <v>7.3333748580209482E-2</v>
      </c>
      <c r="O205" s="10"/>
      <c r="P205" s="6">
        <v>555755.72</v>
      </c>
      <c r="Q205" s="2"/>
      <c r="R205" s="7">
        <f t="shared" si="53"/>
        <v>8.8443607409355626E-2</v>
      </c>
      <c r="S205" s="2"/>
      <c r="T205" s="6">
        <v>552521.91</v>
      </c>
      <c r="U205" s="2"/>
      <c r="V205" s="7">
        <f t="shared" si="54"/>
        <v>5.1945240233815276E-2</v>
      </c>
      <c r="W205" s="2"/>
      <c r="X205" s="6">
        <f t="shared" si="55"/>
        <v>3233.8099999999395</v>
      </c>
      <c r="Y205" s="2"/>
      <c r="Z205" s="7">
        <f t="shared" si="56"/>
        <v>5.8528176737822745E-3</v>
      </c>
    </row>
    <row r="206" spans="1:26" s="23" customFormat="1" hidden="1" outlineLevel="2" x14ac:dyDescent="0.25">
      <c r="A206" s="25"/>
      <c r="B206" s="10" t="str">
        <f>CONCATENATE("          ", "6004", " - ", "STAFF HOURLY")</f>
        <v xml:space="preserve">          6004 - STAFF HOURLY</v>
      </c>
      <c r="C206" s="10"/>
      <c r="D206" s="6">
        <v>15435.7</v>
      </c>
      <c r="E206" s="2"/>
      <c r="F206" s="7">
        <f t="shared" si="49"/>
        <v>2.5181411730723389E-2</v>
      </c>
      <c r="G206" s="2"/>
      <c r="H206" s="6">
        <v>11773.32</v>
      </c>
      <c r="I206" s="2"/>
      <c r="J206" s="7">
        <f t="shared" si="50"/>
        <v>3.3993179027994147E-2</v>
      </c>
      <c r="K206" s="2"/>
      <c r="L206" s="6">
        <f t="shared" si="51"/>
        <v>3662.380000000001</v>
      </c>
      <c r="M206" s="2"/>
      <c r="N206" s="7">
        <f t="shared" si="52"/>
        <v>0.31107453122823481</v>
      </c>
      <c r="O206" s="10"/>
      <c r="P206" s="6">
        <v>169228.29</v>
      </c>
      <c r="Q206" s="2"/>
      <c r="R206" s="7">
        <f t="shared" si="53"/>
        <v>2.6931185599523087E-2</v>
      </c>
      <c r="S206" s="2"/>
      <c r="T206" s="6">
        <v>40943.25</v>
      </c>
      <c r="U206" s="2"/>
      <c r="V206" s="7">
        <f t="shared" si="54"/>
        <v>3.8492717097918473E-3</v>
      </c>
      <c r="W206" s="2"/>
      <c r="X206" s="6">
        <f t="shared" si="55"/>
        <v>128285.04000000001</v>
      </c>
      <c r="Y206" s="2"/>
      <c r="Z206" s="7">
        <f t="shared" si="56"/>
        <v>3.1332402777014527</v>
      </c>
    </row>
    <row r="207" spans="1:26" s="23" customFormat="1" hidden="1" outlineLevel="2" x14ac:dyDescent="0.25">
      <c r="A207" s="25"/>
      <c r="B207" s="10" t="str">
        <f>CONCATENATE("          ", "6005", " - ", "TEMPORARY WAGES-HOURLY")</f>
        <v xml:space="preserve">          6005 - TEMPORARY WAGES-HOURLY</v>
      </c>
      <c r="C207" s="10"/>
      <c r="D207" s="6">
        <v>13818.91</v>
      </c>
      <c r="E207" s="2"/>
      <c r="F207" s="7">
        <f t="shared" si="49"/>
        <v>2.2543821296074084E-2</v>
      </c>
      <c r="G207" s="2"/>
      <c r="H207" s="6">
        <v>22581.49</v>
      </c>
      <c r="I207" s="2"/>
      <c r="J207" s="7">
        <f t="shared" si="50"/>
        <v>6.519967454285279E-2</v>
      </c>
      <c r="K207" s="2"/>
      <c r="L207" s="6">
        <f t="shared" si="51"/>
        <v>-8762.5800000000017</v>
      </c>
      <c r="M207" s="2"/>
      <c r="N207" s="7">
        <f t="shared" si="52"/>
        <v>-0.38804259594916019</v>
      </c>
      <c r="O207" s="10"/>
      <c r="P207" s="6">
        <v>136226.98000000001</v>
      </c>
      <c r="Q207" s="2"/>
      <c r="R207" s="7">
        <f t="shared" si="53"/>
        <v>2.1679318995910905E-2</v>
      </c>
      <c r="S207" s="2"/>
      <c r="T207" s="6">
        <v>196496.6</v>
      </c>
      <c r="U207" s="2"/>
      <c r="V207" s="7">
        <f t="shared" si="54"/>
        <v>1.8473589748011814E-2</v>
      </c>
      <c r="W207" s="2"/>
      <c r="X207" s="6">
        <f t="shared" si="55"/>
        <v>-60269.619999999995</v>
      </c>
      <c r="Y207" s="2"/>
      <c r="Z207" s="7">
        <f t="shared" si="56"/>
        <v>-0.30672093054027394</v>
      </c>
    </row>
    <row r="208" spans="1:26" s="23" customFormat="1" hidden="1" outlineLevel="2" x14ac:dyDescent="0.25">
      <c r="A208" s="25"/>
      <c r="B208" s="10" t="str">
        <f>CONCATENATE("          ", "6006", " - ", "TEMPORARY PART TIME")</f>
        <v xml:space="preserve">          6006 - TEMPORARY PART TIME</v>
      </c>
      <c r="C208" s="10"/>
      <c r="D208" s="6">
        <v>2022.89</v>
      </c>
      <c r="E208" s="2"/>
      <c r="F208" s="7">
        <f t="shared" si="49"/>
        <v>3.3000917338353972E-3</v>
      </c>
      <c r="G208" s="2"/>
      <c r="H208" s="6">
        <v>4638.62</v>
      </c>
      <c r="I208" s="2"/>
      <c r="J208" s="7">
        <f t="shared" si="50"/>
        <v>1.339311596922824E-2</v>
      </c>
      <c r="K208" s="2"/>
      <c r="L208" s="6">
        <f t="shared" si="51"/>
        <v>-2615.7299999999996</v>
      </c>
      <c r="M208" s="2"/>
      <c r="N208" s="7">
        <f t="shared" si="52"/>
        <v>-0.56390262621210607</v>
      </c>
      <c r="O208" s="10"/>
      <c r="P208" s="6">
        <v>14053.29</v>
      </c>
      <c r="Q208" s="2"/>
      <c r="R208" s="7">
        <f t="shared" si="53"/>
        <v>2.2364568079835932E-3</v>
      </c>
      <c r="S208" s="2"/>
      <c r="T208" s="6">
        <v>38855.69</v>
      </c>
      <c r="U208" s="2"/>
      <c r="V208" s="7">
        <f t="shared" si="54"/>
        <v>3.6530101611728914E-3</v>
      </c>
      <c r="W208" s="2"/>
      <c r="X208" s="6">
        <f t="shared" si="55"/>
        <v>-24802.400000000001</v>
      </c>
      <c r="Y208" s="2"/>
      <c r="Z208" s="7">
        <f t="shared" si="56"/>
        <v>-0.6383209254551907</v>
      </c>
    </row>
    <row r="209" spans="1:26" s="23" customFormat="1" hidden="1" outlineLevel="2" x14ac:dyDescent="0.25">
      <c r="A209" s="25"/>
      <c r="B209" s="10" t="str">
        <f>CONCATENATE("          ", "6007", " - ", "STUDENT HOURLY")</f>
        <v xml:space="preserve">          6007 - STUDENT HOURLY</v>
      </c>
      <c r="C209" s="10"/>
      <c r="D209" s="6">
        <v>25934.58</v>
      </c>
      <c r="E209" s="2"/>
      <c r="F209" s="7">
        <f t="shared" si="49"/>
        <v>4.230901980754901E-2</v>
      </c>
      <c r="G209" s="2"/>
      <c r="H209" s="6">
        <v>72055.09</v>
      </c>
      <c r="I209" s="2"/>
      <c r="J209" s="7">
        <f t="shared" si="50"/>
        <v>0.20804510318654643</v>
      </c>
      <c r="K209" s="2"/>
      <c r="L209" s="6">
        <f t="shared" si="51"/>
        <v>-46120.509999999995</v>
      </c>
      <c r="M209" s="2"/>
      <c r="N209" s="7">
        <f t="shared" si="52"/>
        <v>-0.64007289422579305</v>
      </c>
      <c r="O209" s="10"/>
      <c r="P209" s="6">
        <v>274420.53000000003</v>
      </c>
      <c r="Q209" s="2"/>
      <c r="R209" s="7">
        <f t="shared" si="53"/>
        <v>4.3671600213826503E-2</v>
      </c>
      <c r="S209" s="2"/>
      <c r="T209" s="6">
        <v>779494.06</v>
      </c>
      <c r="U209" s="2"/>
      <c r="V209" s="7">
        <f t="shared" si="54"/>
        <v>7.3283982905821818E-2</v>
      </c>
      <c r="W209" s="2"/>
      <c r="X209" s="6">
        <f t="shared" si="55"/>
        <v>-505073.53</v>
      </c>
      <c r="Y209" s="2"/>
      <c r="Z209" s="7">
        <f t="shared" si="56"/>
        <v>-0.6479504539136578</v>
      </c>
    </row>
    <row r="210" spans="1:26" s="23" customFormat="1" hidden="1" outlineLevel="2" x14ac:dyDescent="0.25">
      <c r="A210" s="25"/>
      <c r="B210" s="10" t="str">
        <f>CONCATENATE("          ", "6008", " - ", "STUDENT HOURLY-FICA EXEMPT")</f>
        <v xml:space="preserve">          6008 - STUDENT HOURLY-FICA EXEMPT</v>
      </c>
      <c r="C210" s="10"/>
      <c r="D210" s="6">
        <v>1112.3699999999999</v>
      </c>
      <c r="E210" s="2"/>
      <c r="F210" s="7">
        <f t="shared" si="49"/>
        <v>1.8146923668447023E-3</v>
      </c>
      <c r="G210" s="2"/>
      <c r="H210" s="6">
        <v>1736.34</v>
      </c>
      <c r="I210" s="2"/>
      <c r="J210" s="7">
        <f t="shared" si="50"/>
        <v>5.0133451289413149E-3</v>
      </c>
      <c r="K210" s="2"/>
      <c r="L210" s="6">
        <f t="shared" si="51"/>
        <v>-623.97</v>
      </c>
      <c r="M210" s="2"/>
      <c r="N210" s="7">
        <f t="shared" si="52"/>
        <v>-0.35935934206434228</v>
      </c>
      <c r="O210" s="10"/>
      <c r="P210" s="6">
        <v>8411.6200000000008</v>
      </c>
      <c r="Q210" s="2"/>
      <c r="R210" s="7">
        <f t="shared" si="53"/>
        <v>1.3386349257128367E-3</v>
      </c>
      <c r="S210" s="2"/>
      <c r="T210" s="6">
        <v>15323.92</v>
      </c>
      <c r="U210" s="2"/>
      <c r="V210" s="7">
        <f t="shared" si="54"/>
        <v>1.4406753674687154E-3</v>
      </c>
      <c r="W210" s="2"/>
      <c r="X210" s="6">
        <f t="shared" si="55"/>
        <v>-6912.2999999999993</v>
      </c>
      <c r="Y210" s="2"/>
      <c r="Z210" s="7">
        <f t="shared" si="56"/>
        <v>-0.45107909725448836</v>
      </c>
    </row>
    <row r="211" spans="1:26" s="26" customFormat="1" outlineLevel="1" collapsed="1" x14ac:dyDescent="0.25">
      <c r="A211" s="27"/>
      <c r="B211" s="12" t="str">
        <f>CONCATENATE("     ","Advertising/Promo                                 ")</f>
        <v xml:space="preserve">     Advertising/Promo                                 </v>
      </c>
      <c r="C211" s="12"/>
      <c r="D211" s="1">
        <f>SUM(OSRRefD22_2x_0)</f>
        <v>73.430000000000007</v>
      </c>
      <c r="E211" s="1"/>
      <c r="F211" s="5">
        <f t="shared" ref="F211:F215" si="57">IF(D$12=0,0,D211/D$12)</f>
        <v>1.1979185028129716E-4</v>
      </c>
      <c r="G211" s="1"/>
      <c r="H211" s="1">
        <f>SUM(OSRRefH22_2x_0)</f>
        <v>496.82</v>
      </c>
      <c r="I211" s="1"/>
      <c r="J211" s="5">
        <f t="shared" ref="J211:J215" si="58">IF(H$12=0,0,H211/H$12)</f>
        <v>1.4344714324156698E-3</v>
      </c>
      <c r="K211" s="1"/>
      <c r="L211" s="1">
        <f t="shared" ref="L211:L215" si="59">+D211-H211</f>
        <v>-423.39</v>
      </c>
      <c r="M211" s="1"/>
      <c r="N211" s="5">
        <f t="shared" ref="N211:N215" si="60">IF(H211=0,0,L211/H211)</f>
        <v>-0.85219999194879437</v>
      </c>
      <c r="O211" s="12"/>
      <c r="P211" s="1">
        <f>SUM(OSRRefP22_2x_0)</f>
        <v>16821.150000000001</v>
      </c>
      <c r="Q211" s="1"/>
      <c r="R211" s="5">
        <f t="shared" ref="R211:R215" si="61">IF(P$12=0,0,P211/P$12)</f>
        <v>2.676937246410856E-3</v>
      </c>
      <c r="S211" s="1"/>
      <c r="T211" s="1">
        <f>SUM(OSRRefT22_2x_0)</f>
        <v>45388.91</v>
      </c>
      <c r="U211" s="1"/>
      <c r="V211" s="5">
        <f t="shared" ref="V211:V215" si="62">IF(T$12=0,0,T211/T$12)</f>
        <v>4.2672295726716436E-3</v>
      </c>
      <c r="W211" s="1"/>
      <c r="X211" s="1">
        <f t="shared" ref="X211:X215" si="63">+P211-T211</f>
        <v>-28567.760000000002</v>
      </c>
      <c r="Y211" s="1"/>
      <c r="Z211" s="5">
        <f t="shared" ref="Z211:Z215" si="64">IF(T211=0,0,X211/T211)</f>
        <v>-0.62939956037719347</v>
      </c>
    </row>
    <row r="212" spans="1:26" s="23" customFormat="1" hidden="1" outlineLevel="2" x14ac:dyDescent="0.25">
      <c r="A212" s="25"/>
      <c r="B212" s="10" t="str">
        <f>CONCATENATE("          ", "6362", " - ", "ADVERTISING EXPENSE")</f>
        <v xml:space="preserve">          6362 - ADVERTISING EXPENSE</v>
      </c>
      <c r="C212" s="10"/>
      <c r="D212" s="6">
        <v>73.430000000000007</v>
      </c>
      <c r="E212" s="2"/>
      <c r="F212" s="7">
        <f t="shared" si="57"/>
        <v>1.1979185028129716E-4</v>
      </c>
      <c r="G212" s="2"/>
      <c r="H212" s="6">
        <v>496.82</v>
      </c>
      <c r="I212" s="2"/>
      <c r="J212" s="7">
        <f t="shared" si="58"/>
        <v>1.4344714324156698E-3</v>
      </c>
      <c r="K212" s="2"/>
      <c r="L212" s="6">
        <f t="shared" si="59"/>
        <v>-423.39</v>
      </c>
      <c r="M212" s="2"/>
      <c r="N212" s="7">
        <f t="shared" si="60"/>
        <v>-0.85219999194879437</v>
      </c>
      <c r="O212" s="10"/>
      <c r="P212" s="6">
        <v>16821.150000000001</v>
      </c>
      <c r="Q212" s="2"/>
      <c r="R212" s="7">
        <f t="shared" si="61"/>
        <v>2.676937246410856E-3</v>
      </c>
      <c r="S212" s="2"/>
      <c r="T212" s="6">
        <v>45388.91</v>
      </c>
      <c r="U212" s="2"/>
      <c r="V212" s="7">
        <f t="shared" si="62"/>
        <v>4.2672295726716436E-3</v>
      </c>
      <c r="W212" s="2"/>
      <c r="X212" s="6">
        <f t="shared" si="63"/>
        <v>-28567.760000000002</v>
      </c>
      <c r="Y212" s="2"/>
      <c r="Z212" s="7">
        <f t="shared" si="64"/>
        <v>-0.62939956037719347</v>
      </c>
    </row>
    <row r="213" spans="1:26" s="26" customFormat="1" outlineLevel="1" collapsed="1" x14ac:dyDescent="0.25">
      <c r="A213" s="27"/>
      <c r="B213" s="12" t="str">
        <f>CONCATENATE("     ","Bad Debts/Over/Short                              ")</f>
        <v xml:space="preserve">     Bad Debts/Over/Short                              </v>
      </c>
      <c r="C213" s="12"/>
      <c r="D213" s="1">
        <f>SUM(OSRRefD22_3x_0)</f>
        <v>-16.510000000000002</v>
      </c>
      <c r="E213" s="1"/>
      <c r="F213" s="5">
        <f t="shared" si="57"/>
        <v>-2.6933997659597114E-5</v>
      </c>
      <c r="G213" s="1"/>
      <c r="H213" s="1">
        <f>SUM(OSRRefH22_3x_0)</f>
        <v>-50.56</v>
      </c>
      <c r="I213" s="1"/>
      <c r="J213" s="5">
        <f t="shared" si="58"/>
        <v>-1.4598219802531353E-4</v>
      </c>
      <c r="K213" s="1"/>
      <c r="L213" s="1">
        <f t="shared" si="59"/>
        <v>34.049999999999997</v>
      </c>
      <c r="M213" s="1"/>
      <c r="N213" s="5">
        <f t="shared" si="60"/>
        <v>-0.67345727848101256</v>
      </c>
      <c r="O213" s="12"/>
      <c r="P213" s="1">
        <f>SUM(OSRRefP22_3x_0)</f>
        <v>5183.95</v>
      </c>
      <c r="Q213" s="1"/>
      <c r="R213" s="5">
        <f t="shared" si="61"/>
        <v>8.2497979261415269E-4</v>
      </c>
      <c r="S213" s="1"/>
      <c r="T213" s="1">
        <f>SUM(OSRRefT22_3x_0)</f>
        <v>-31.019999999999996</v>
      </c>
      <c r="U213" s="1"/>
      <c r="V213" s="5">
        <f t="shared" si="62"/>
        <v>-2.9163392851750432E-6</v>
      </c>
      <c r="W213" s="1"/>
      <c r="X213" s="1">
        <f t="shared" si="63"/>
        <v>5214.97</v>
      </c>
      <c r="Y213" s="1"/>
      <c r="Z213" s="5">
        <f t="shared" si="64"/>
        <v>-168.11637653127019</v>
      </c>
    </row>
    <row r="214" spans="1:26" s="23" customFormat="1" hidden="1" outlineLevel="2" x14ac:dyDescent="0.25">
      <c r="A214" s="25"/>
      <c r="B214" s="10" t="str">
        <f>CONCATENATE("          ", "6272", " - ", "CASH (OVER/SHORT)")</f>
        <v xml:space="preserve">          6272 - CASH (OVER/SHORT)</v>
      </c>
      <c r="C214" s="10"/>
      <c r="D214" s="6">
        <v>-16.510000000000002</v>
      </c>
      <c r="E214" s="2"/>
      <c r="F214" s="7">
        <f t="shared" si="57"/>
        <v>-2.6933997659597114E-5</v>
      </c>
      <c r="G214" s="2"/>
      <c r="H214" s="6">
        <v>-50.56</v>
      </c>
      <c r="I214" s="2"/>
      <c r="J214" s="7">
        <f t="shared" si="58"/>
        <v>-1.4598219802531353E-4</v>
      </c>
      <c r="K214" s="2"/>
      <c r="L214" s="6">
        <f t="shared" si="59"/>
        <v>34.049999999999997</v>
      </c>
      <c r="M214" s="2"/>
      <c r="N214" s="7">
        <f t="shared" si="60"/>
        <v>-0.67345727848101256</v>
      </c>
      <c r="O214" s="10"/>
      <c r="P214" s="6">
        <v>-165.47</v>
      </c>
      <c r="Q214" s="2"/>
      <c r="R214" s="7">
        <f t="shared" si="61"/>
        <v>-2.6333086986538036E-5</v>
      </c>
      <c r="S214" s="2"/>
      <c r="T214" s="6">
        <v>-75.819999999999993</v>
      </c>
      <c r="U214" s="2"/>
      <c r="V214" s="7">
        <f t="shared" si="62"/>
        <v>-7.1282025983872271E-6</v>
      </c>
      <c r="W214" s="2"/>
      <c r="X214" s="6">
        <f t="shared" si="63"/>
        <v>-89.65</v>
      </c>
      <c r="Y214" s="2"/>
      <c r="Z214" s="7">
        <f t="shared" si="64"/>
        <v>1.1824056977050912</v>
      </c>
    </row>
    <row r="215" spans="1:26" s="23" customFormat="1" hidden="1" outlineLevel="2" x14ac:dyDescent="0.25">
      <c r="A215" s="25"/>
      <c r="B215" s="10" t="str">
        <f>CONCATENATE("          ", "6342", " - ", "BAD DEBT")</f>
        <v xml:space="preserve">          6342 - BAD DEBT</v>
      </c>
      <c r="C215" s="10"/>
      <c r="D215" s="6"/>
      <c r="E215" s="2"/>
      <c r="F215" s="7">
        <f t="shared" si="57"/>
        <v>0</v>
      </c>
      <c r="G215" s="2"/>
      <c r="H215" s="6"/>
      <c r="I215" s="2"/>
      <c r="J215" s="7">
        <f t="shared" si="58"/>
        <v>0</v>
      </c>
      <c r="K215" s="2"/>
      <c r="L215" s="6">
        <f t="shared" si="59"/>
        <v>0</v>
      </c>
      <c r="M215" s="2"/>
      <c r="N215" s="7">
        <f t="shared" si="60"/>
        <v>0</v>
      </c>
      <c r="O215" s="10"/>
      <c r="P215" s="6">
        <v>5349.42</v>
      </c>
      <c r="Q215" s="2"/>
      <c r="R215" s="7">
        <f t="shared" si="61"/>
        <v>8.513128796006908E-4</v>
      </c>
      <c r="S215" s="2"/>
      <c r="T215" s="6">
        <v>44.8</v>
      </c>
      <c r="U215" s="2"/>
      <c r="V215" s="7">
        <f t="shared" si="62"/>
        <v>4.2118633132121839E-6</v>
      </c>
      <c r="W215" s="2"/>
      <c r="X215" s="6">
        <f t="shared" si="63"/>
        <v>5304.62</v>
      </c>
      <c r="Y215" s="2"/>
      <c r="Z215" s="7">
        <f t="shared" si="64"/>
        <v>118.40669642857144</v>
      </c>
    </row>
    <row r="216" spans="1:26" s="26" customFormat="1" outlineLevel="1" collapsed="1" x14ac:dyDescent="0.25">
      <c r="A216" s="27"/>
      <c r="B216" s="12" t="str">
        <f>CONCATENATE("     ","Bank/card Fees                                    ")</f>
        <v xml:space="preserve">     Bank/card Fees                                    </v>
      </c>
      <c r="C216" s="12"/>
      <c r="D216" s="1">
        <f>SUM(OSRRefD22_4x_0)</f>
        <v>3823.93</v>
      </c>
      <c r="E216" s="1"/>
      <c r="F216" s="5">
        <f t="shared" ref="F216:F221" si="65">IF(D$12=0,0,D216/D$12)</f>
        <v>6.2382629721661528E-3</v>
      </c>
      <c r="G216" s="1"/>
      <c r="H216" s="1">
        <f>SUM(OSRRefH22_4x_0)</f>
        <v>5912.23</v>
      </c>
      <c r="I216" s="1"/>
      <c r="J216" s="5">
        <f t="shared" ref="J216:J221" si="66">IF(H$12=0,0,H216/H$12)</f>
        <v>1.707041793178796E-2</v>
      </c>
      <c r="K216" s="1"/>
      <c r="L216" s="1">
        <f t="shared" ref="L216:L221" si="67">+D216-H216</f>
        <v>-2088.2999999999997</v>
      </c>
      <c r="M216" s="1"/>
      <c r="N216" s="5">
        <f t="shared" ref="N216:N221" si="68">IF(H216=0,0,L216/H216)</f>
        <v>-0.35321697565893073</v>
      </c>
      <c r="O216" s="12"/>
      <c r="P216" s="1">
        <f>SUM(OSRRefP22_4x_0)</f>
        <v>69325.009999999995</v>
      </c>
      <c r="Q216" s="1"/>
      <c r="R216" s="5">
        <f t="shared" ref="R216:R221" si="69">IF(P$12=0,0,P216/P$12)</f>
        <v>1.1032462190563964E-2</v>
      </c>
      <c r="S216" s="1"/>
      <c r="T216" s="1">
        <f>SUM(OSRRefT22_4x_0)</f>
        <v>137147.91</v>
      </c>
      <c r="U216" s="1"/>
      <c r="V216" s="5">
        <f t="shared" ref="V216:V221" si="70">IF(T$12=0,0,T216/T$12)</f>
        <v>1.2893934165462645E-2</v>
      </c>
      <c r="W216" s="1"/>
      <c r="X216" s="1">
        <f t="shared" ref="X216:X221" si="71">+P216-T216</f>
        <v>-67822.900000000009</v>
      </c>
      <c r="Y216" s="1"/>
      <c r="Z216" s="5">
        <f t="shared" ref="Z216:Z221" si="72">IF(T216=0,0,X216/T216)</f>
        <v>-0.49452375905691898</v>
      </c>
    </row>
    <row r="217" spans="1:26" s="23" customFormat="1" hidden="1" outlineLevel="2" x14ac:dyDescent="0.25">
      <c r="A217" s="25"/>
      <c r="B217" s="10" t="str">
        <f>CONCATENATE("          ", "6381", " - ", "BANK/CREDIT CARD FEES")</f>
        <v xml:space="preserve">          6381 - BANK/CREDIT CARD FEES</v>
      </c>
      <c r="C217" s="10"/>
      <c r="D217" s="6">
        <v>3823.93</v>
      </c>
      <c r="E217" s="2"/>
      <c r="F217" s="7">
        <f t="shared" si="65"/>
        <v>6.2382629721661528E-3</v>
      </c>
      <c r="G217" s="2"/>
      <c r="H217" s="6">
        <v>5912.23</v>
      </c>
      <c r="I217" s="2"/>
      <c r="J217" s="7">
        <f t="shared" si="66"/>
        <v>1.707041793178796E-2</v>
      </c>
      <c r="K217" s="2"/>
      <c r="L217" s="6">
        <f t="shared" si="67"/>
        <v>-2088.2999999999997</v>
      </c>
      <c r="M217" s="2"/>
      <c r="N217" s="7">
        <f t="shared" si="68"/>
        <v>-0.35321697565893073</v>
      </c>
      <c r="O217" s="10"/>
      <c r="P217" s="6">
        <v>69325.009999999995</v>
      </c>
      <c r="Q217" s="2"/>
      <c r="R217" s="7">
        <f t="shared" si="69"/>
        <v>1.1032462190563964E-2</v>
      </c>
      <c r="S217" s="2"/>
      <c r="T217" s="6">
        <v>137147.91</v>
      </c>
      <c r="U217" s="2"/>
      <c r="V217" s="7">
        <f t="shared" si="70"/>
        <v>1.2893934165462645E-2</v>
      </c>
      <c r="W217" s="2"/>
      <c r="X217" s="6">
        <f t="shared" si="71"/>
        <v>-67822.900000000009</v>
      </c>
      <c r="Y217" s="2"/>
      <c r="Z217" s="7">
        <f t="shared" si="72"/>
        <v>-0.49452375905691898</v>
      </c>
    </row>
    <row r="218" spans="1:26" s="26" customFormat="1" outlineLevel="1" collapsed="1" x14ac:dyDescent="0.25">
      <c r="A218" s="27"/>
      <c r="B218" s="12" t="str">
        <f>CONCATENATE("     ","Depreciation                                      ")</f>
        <v xml:space="preserve">     Depreciation                                      </v>
      </c>
      <c r="C218" s="12"/>
      <c r="D218" s="1">
        <f>SUM(OSRRefD22_5x_0)</f>
        <v>31016.29</v>
      </c>
      <c r="E218" s="1"/>
      <c r="F218" s="5">
        <f t="shared" si="65"/>
        <v>5.0599193353687788E-2</v>
      </c>
      <c r="G218" s="1"/>
      <c r="H218" s="1">
        <f>SUM(OSRRefH22_5x_0)</f>
        <v>30723.919999999998</v>
      </c>
      <c r="I218" s="1"/>
      <c r="J218" s="5">
        <f t="shared" si="66"/>
        <v>8.870936260984752E-2</v>
      </c>
      <c r="K218" s="1"/>
      <c r="L218" s="1">
        <f t="shared" si="67"/>
        <v>292.37000000000262</v>
      </c>
      <c r="M218" s="1"/>
      <c r="N218" s="5">
        <f t="shared" si="68"/>
        <v>9.5160383180272132E-3</v>
      </c>
      <c r="O218" s="12"/>
      <c r="P218" s="1">
        <f>SUM(OSRRefP22_5x_0)</f>
        <v>279442.09999999998</v>
      </c>
      <c r="Q218" s="1"/>
      <c r="R218" s="5">
        <f t="shared" si="69"/>
        <v>4.4470738665624343E-2</v>
      </c>
      <c r="S218" s="1"/>
      <c r="T218" s="1">
        <f>SUM(OSRRefT22_5x_0)</f>
        <v>270857.42</v>
      </c>
      <c r="U218" s="1"/>
      <c r="V218" s="5">
        <f t="shared" si="70"/>
        <v>2.5464607821636249E-2</v>
      </c>
      <c r="W218" s="1"/>
      <c r="X218" s="1">
        <f t="shared" si="71"/>
        <v>8584.679999999993</v>
      </c>
      <c r="Y218" s="1"/>
      <c r="Z218" s="5">
        <f t="shared" si="72"/>
        <v>3.1694461240899342E-2</v>
      </c>
    </row>
    <row r="219" spans="1:26" s="23" customFormat="1" hidden="1" outlineLevel="2" x14ac:dyDescent="0.25">
      <c r="A219" s="25"/>
      <c r="B219" s="10" t="str">
        <f>CONCATENATE("          ", "6321", " - ", "BUILDING DEPRECIATION")</f>
        <v xml:space="preserve">          6321 - BUILDING DEPRECIATION</v>
      </c>
      <c r="C219" s="10"/>
      <c r="D219" s="6">
        <v>16396.52</v>
      </c>
      <c r="E219" s="2"/>
      <c r="F219" s="7">
        <f t="shared" si="65"/>
        <v>2.6748869249275425E-2</v>
      </c>
      <c r="G219" s="2"/>
      <c r="H219" s="6">
        <v>16396.52</v>
      </c>
      <c r="I219" s="2"/>
      <c r="J219" s="7">
        <f t="shared" si="66"/>
        <v>4.7341772736669577E-2</v>
      </c>
      <c r="K219" s="2"/>
      <c r="L219" s="6">
        <f t="shared" si="67"/>
        <v>0</v>
      </c>
      <c r="M219" s="2"/>
      <c r="N219" s="7">
        <f t="shared" si="68"/>
        <v>0</v>
      </c>
      <c r="O219" s="10"/>
      <c r="P219" s="6">
        <v>147568.68</v>
      </c>
      <c r="Q219" s="2"/>
      <c r="R219" s="7">
        <f t="shared" si="69"/>
        <v>2.3484250238282441E-2</v>
      </c>
      <c r="S219" s="2"/>
      <c r="T219" s="6">
        <v>147568.68</v>
      </c>
      <c r="U219" s="2"/>
      <c r="V219" s="7">
        <f t="shared" si="70"/>
        <v>1.3873640836409566E-2</v>
      </c>
      <c r="W219" s="2"/>
      <c r="X219" s="6">
        <f t="shared" si="71"/>
        <v>0</v>
      </c>
      <c r="Y219" s="2"/>
      <c r="Z219" s="7">
        <f t="shared" si="72"/>
        <v>0</v>
      </c>
    </row>
    <row r="220" spans="1:26" s="23" customFormat="1" hidden="1" outlineLevel="2" x14ac:dyDescent="0.25">
      <c r="A220" s="25"/>
      <c r="B220" s="10" t="str">
        <f>CONCATENATE("          ", "6322", " - ", "EQUIPMENT DEPRECIATION EXPENSE")</f>
        <v xml:space="preserve">          6322 - EQUIPMENT DEPRECIATION EXPENSE</v>
      </c>
      <c r="C220" s="10"/>
      <c r="D220" s="6">
        <v>14619.77</v>
      </c>
      <c r="E220" s="2"/>
      <c r="F220" s="7">
        <f t="shared" si="65"/>
        <v>2.385032410441236E-2</v>
      </c>
      <c r="G220" s="2"/>
      <c r="H220" s="6">
        <v>14327.4</v>
      </c>
      <c r="I220" s="2"/>
      <c r="J220" s="7">
        <f t="shared" si="66"/>
        <v>4.1367589873177943E-2</v>
      </c>
      <c r="K220" s="2"/>
      <c r="L220" s="6">
        <f t="shared" si="67"/>
        <v>292.3700000000008</v>
      </c>
      <c r="M220" s="2"/>
      <c r="N220" s="7">
        <f t="shared" si="68"/>
        <v>2.040635425827441E-2</v>
      </c>
      <c r="O220" s="10"/>
      <c r="P220" s="6">
        <v>131873.42000000001</v>
      </c>
      <c r="Q220" s="2"/>
      <c r="R220" s="7">
        <f t="shared" si="69"/>
        <v>2.0986488427341906E-2</v>
      </c>
      <c r="S220" s="2"/>
      <c r="T220" s="6">
        <v>123288.74</v>
      </c>
      <c r="U220" s="2"/>
      <c r="V220" s="7">
        <f t="shared" si="70"/>
        <v>1.1590966985226686E-2</v>
      </c>
      <c r="W220" s="2"/>
      <c r="X220" s="6">
        <f t="shared" si="71"/>
        <v>8584.6800000000076</v>
      </c>
      <c r="Y220" s="2"/>
      <c r="Z220" s="7">
        <f t="shared" si="72"/>
        <v>6.9630689712621013E-2</v>
      </c>
    </row>
    <row r="221" spans="1:26" s="23" customFormat="1" hidden="1" outlineLevel="2" x14ac:dyDescent="0.25">
      <c r="A221" s="25"/>
      <c r="B221" s="10" t="str">
        <f>CONCATENATE("          ", "6324", " - ", "FURNITURE + FIXT DEPRECIATION")</f>
        <v xml:space="preserve">          6324 - FURNITURE + FIXT DEPRECIATION</v>
      </c>
      <c r="C221" s="10"/>
      <c r="D221" s="6"/>
      <c r="E221" s="2"/>
      <c r="F221" s="7">
        <f t="shared" si="65"/>
        <v>0</v>
      </c>
      <c r="G221" s="2"/>
      <c r="H221" s="6"/>
      <c r="I221" s="2"/>
      <c r="J221" s="7">
        <f t="shared" si="66"/>
        <v>0</v>
      </c>
      <c r="K221" s="2"/>
      <c r="L221" s="6">
        <f t="shared" si="67"/>
        <v>0</v>
      </c>
      <c r="M221" s="2"/>
      <c r="N221" s="7">
        <f t="shared" si="68"/>
        <v>0</v>
      </c>
      <c r="O221" s="10"/>
      <c r="P221" s="6"/>
      <c r="Q221" s="2"/>
      <c r="R221" s="7">
        <f t="shared" si="69"/>
        <v>0</v>
      </c>
      <c r="S221" s="2"/>
      <c r="T221" s="6">
        <v>0</v>
      </c>
      <c r="U221" s="2"/>
      <c r="V221" s="7">
        <f t="shared" si="70"/>
        <v>0</v>
      </c>
      <c r="W221" s="2"/>
      <c r="X221" s="6">
        <f t="shared" si="71"/>
        <v>0</v>
      </c>
      <c r="Y221" s="2"/>
      <c r="Z221" s="7">
        <f t="shared" si="72"/>
        <v>0</v>
      </c>
    </row>
    <row r="222" spans="1:26" s="26" customFormat="1" outlineLevel="1" collapsed="1" x14ac:dyDescent="0.25">
      <c r="A222" s="27"/>
      <c r="B222" s="12" t="str">
        <f>CONCATENATE("     ","Discounts and Markdowns                           ")</f>
        <v xml:space="preserve">     Discounts and Markdowns                           </v>
      </c>
      <c r="C222" s="12"/>
      <c r="D222" s="1">
        <f>SUM(OSRRefD22_6x_0)</f>
        <v>0</v>
      </c>
      <c r="E222" s="1"/>
      <c r="F222" s="5">
        <f t="shared" ref="F222:F224" si="73">IF(D$12=0,0,D222/D$12)</f>
        <v>0</v>
      </c>
      <c r="G222" s="1"/>
      <c r="H222" s="1">
        <f>SUM(OSRRefH22_6x_0)</f>
        <v>18113.14</v>
      </c>
      <c r="I222" s="1"/>
      <c r="J222" s="5">
        <f t="shared" ref="J222:J224" si="74">IF(H$12=0,0,H222/H$12)</f>
        <v>5.2298180188691208E-2</v>
      </c>
      <c r="K222" s="1"/>
      <c r="L222" s="1">
        <f t="shared" ref="L222:L224" si="75">+D222-H222</f>
        <v>-18113.14</v>
      </c>
      <c r="M222" s="1"/>
      <c r="N222" s="5">
        <f t="shared" ref="N222:N224" si="76">IF(H222=0,0,L222/H222)</f>
        <v>-1</v>
      </c>
      <c r="O222" s="12"/>
      <c r="P222" s="1">
        <f>SUM(OSRRefP22_6x_0)</f>
        <v>0</v>
      </c>
      <c r="Q222" s="1"/>
      <c r="R222" s="5">
        <f t="shared" ref="R222:R224" si="77">IF(P$12=0,0,P222/P$12)</f>
        <v>0</v>
      </c>
      <c r="S222" s="1"/>
      <c r="T222" s="1">
        <f>SUM(OSRRefT22_6x_0)</f>
        <v>326767.05000000005</v>
      </c>
      <c r="U222" s="1"/>
      <c r="V222" s="5">
        <f t="shared" ref="V222:V224" si="78">IF(T$12=0,0,T222/T$12)</f>
        <v>3.0720940845124365E-2</v>
      </c>
      <c r="W222" s="1"/>
      <c r="X222" s="1">
        <f t="shared" ref="X222:X224" si="79">+P222-T222</f>
        <v>-326767.05000000005</v>
      </c>
      <c r="Y222" s="1"/>
      <c r="Z222" s="5">
        <f t="shared" ref="Z222:Z224" si="80">IF(T222=0,0,X222/T222)</f>
        <v>-1</v>
      </c>
    </row>
    <row r="223" spans="1:26" s="23" customFormat="1" hidden="1" outlineLevel="2" x14ac:dyDescent="0.25">
      <c r="A223" s="25"/>
      <c r="B223" s="10" t="str">
        <f>CONCATENATE("          ", "6382", " - ", "DISCOUNTS/MARK DOWNS")</f>
        <v xml:space="preserve">          6382 - DISCOUNTS/MARK DOWNS</v>
      </c>
      <c r="C223" s="10"/>
      <c r="D223" s="6">
        <v>0</v>
      </c>
      <c r="E223" s="2"/>
      <c r="F223" s="7">
        <f t="shared" si="73"/>
        <v>0</v>
      </c>
      <c r="G223" s="2"/>
      <c r="H223" s="6">
        <v>18248.849999999999</v>
      </c>
      <c r="I223" s="2"/>
      <c r="J223" s="7">
        <f t="shared" si="74"/>
        <v>5.2690016503841822E-2</v>
      </c>
      <c r="K223" s="2"/>
      <c r="L223" s="6">
        <f t="shared" si="75"/>
        <v>-18248.849999999999</v>
      </c>
      <c r="M223" s="2"/>
      <c r="N223" s="7">
        <f t="shared" si="76"/>
        <v>-1</v>
      </c>
      <c r="O223" s="10"/>
      <c r="P223" s="6">
        <v>0</v>
      </c>
      <c r="Q223" s="2"/>
      <c r="R223" s="7">
        <f t="shared" si="77"/>
        <v>0</v>
      </c>
      <c r="S223" s="2"/>
      <c r="T223" s="6">
        <v>329998.53000000003</v>
      </c>
      <c r="U223" s="2"/>
      <c r="V223" s="7">
        <f t="shared" si="78"/>
        <v>3.1024747810735501E-2</v>
      </c>
      <c r="W223" s="2"/>
      <c r="X223" s="6">
        <f t="shared" si="79"/>
        <v>-329998.53000000003</v>
      </c>
      <c r="Y223" s="2"/>
      <c r="Z223" s="7">
        <f t="shared" si="80"/>
        <v>-1</v>
      </c>
    </row>
    <row r="224" spans="1:26" s="23" customFormat="1" hidden="1" outlineLevel="2" x14ac:dyDescent="0.25">
      <c r="A224" s="25"/>
      <c r="B224" s="10" t="str">
        <f>CONCATENATE("          ", "9175", " - ", "EARNED DISCOUNTS")</f>
        <v xml:space="preserve">          9175 - EARNED DISCOUNTS</v>
      </c>
      <c r="C224" s="10"/>
      <c r="D224" s="6">
        <v>0</v>
      </c>
      <c r="E224" s="2"/>
      <c r="F224" s="7">
        <f t="shared" si="73"/>
        <v>0</v>
      </c>
      <c r="G224" s="2"/>
      <c r="H224" s="6">
        <v>-135.71</v>
      </c>
      <c r="I224" s="2"/>
      <c r="J224" s="7">
        <f t="shared" si="74"/>
        <v>-3.9183631515061904E-4</v>
      </c>
      <c r="K224" s="2"/>
      <c r="L224" s="6">
        <f t="shared" si="75"/>
        <v>135.71</v>
      </c>
      <c r="M224" s="2"/>
      <c r="N224" s="7">
        <f t="shared" si="76"/>
        <v>-1</v>
      </c>
      <c r="O224" s="10"/>
      <c r="P224" s="6">
        <v>0</v>
      </c>
      <c r="Q224" s="2"/>
      <c r="R224" s="7">
        <f t="shared" si="77"/>
        <v>0</v>
      </c>
      <c r="S224" s="2"/>
      <c r="T224" s="6">
        <v>-3231.48</v>
      </c>
      <c r="U224" s="2"/>
      <c r="V224" s="7">
        <f t="shared" si="78"/>
        <v>-3.0380696561113635E-4</v>
      </c>
      <c r="W224" s="2"/>
      <c r="X224" s="6">
        <f t="shared" si="79"/>
        <v>3231.48</v>
      </c>
      <c r="Y224" s="2"/>
      <c r="Z224" s="7">
        <f t="shared" si="80"/>
        <v>-1</v>
      </c>
    </row>
    <row r="225" spans="1:26" s="26" customFormat="1" outlineLevel="1" collapsed="1" x14ac:dyDescent="0.25">
      <c r="A225" s="27"/>
      <c r="B225" s="12" t="str">
        <f>CONCATENATE("     ","Donations                                         ")</f>
        <v xml:space="preserve">     Donations                                         </v>
      </c>
      <c r="C225" s="12"/>
      <c r="D225" s="1">
        <f>SUM(OSRRefD22_7x_0)</f>
        <v>0</v>
      </c>
      <c r="E225" s="1"/>
      <c r="F225" s="5">
        <f t="shared" ref="F225:F233" si="81">IF(D$12=0,0,D225/D$12)</f>
        <v>0</v>
      </c>
      <c r="G225" s="1"/>
      <c r="H225" s="1">
        <f>SUM(OSRRefH22_7x_0)</f>
        <v>769.23</v>
      </c>
      <c r="I225" s="1"/>
      <c r="J225" s="5">
        <f t="shared" ref="J225:J233" si="82">IF(H$12=0,0,H225/H$12)</f>
        <v>2.2210024957874195E-3</v>
      </c>
      <c r="K225" s="1"/>
      <c r="L225" s="1">
        <f t="shared" ref="L225:L233" si="83">+D225-H225</f>
        <v>-769.23</v>
      </c>
      <c r="M225" s="1"/>
      <c r="N225" s="5">
        <f t="shared" ref="N225:N233" si="84">IF(H225=0,0,L225/H225)</f>
        <v>-1</v>
      </c>
      <c r="O225" s="12"/>
      <c r="P225" s="1">
        <f>SUM(OSRRefP22_7x_0)</f>
        <v>0</v>
      </c>
      <c r="Q225" s="1"/>
      <c r="R225" s="5">
        <f t="shared" ref="R225:R233" si="85">IF(P$12=0,0,P225/P$12)</f>
        <v>0</v>
      </c>
      <c r="S225" s="1"/>
      <c r="T225" s="1">
        <f>SUM(OSRRefT22_7x_0)</f>
        <v>12371.45</v>
      </c>
      <c r="U225" s="1"/>
      <c r="V225" s="5">
        <f t="shared" ref="V225:V233" si="86">IF(T$12=0,0,T225/T$12)</f>
        <v>1.1630994729071179E-3</v>
      </c>
      <c r="W225" s="1"/>
      <c r="X225" s="1">
        <f t="shared" ref="X225:X233" si="87">+P225-T225</f>
        <v>-12371.45</v>
      </c>
      <c r="Y225" s="1"/>
      <c r="Z225" s="5">
        <f t="shared" ref="Z225:Z233" si="88">IF(T225=0,0,X225/T225)</f>
        <v>-1</v>
      </c>
    </row>
    <row r="226" spans="1:26" s="23" customFormat="1" hidden="1" outlineLevel="2" x14ac:dyDescent="0.25">
      <c r="A226" s="25"/>
      <c r="B226" s="10" t="str">
        <f>CONCATENATE("          ", "6399", " - ", "DONATION-ON CAMPUS")</f>
        <v xml:space="preserve">          6399 - DONATION-ON CAMPUS</v>
      </c>
      <c r="C226" s="10"/>
      <c r="D226" s="6"/>
      <c r="E226" s="2"/>
      <c r="F226" s="7">
        <f t="shared" si="81"/>
        <v>0</v>
      </c>
      <c r="G226" s="2"/>
      <c r="H226" s="6">
        <v>769.23</v>
      </c>
      <c r="I226" s="2"/>
      <c r="J226" s="7">
        <f t="shared" si="82"/>
        <v>2.2210024957874195E-3</v>
      </c>
      <c r="K226" s="2"/>
      <c r="L226" s="6">
        <f t="shared" si="83"/>
        <v>-769.23</v>
      </c>
      <c r="M226" s="2"/>
      <c r="N226" s="7">
        <f t="shared" si="84"/>
        <v>-1</v>
      </c>
      <c r="O226" s="10"/>
      <c r="P226" s="6"/>
      <c r="Q226" s="2"/>
      <c r="R226" s="7">
        <f t="shared" si="85"/>
        <v>0</v>
      </c>
      <c r="S226" s="2"/>
      <c r="T226" s="6">
        <v>12371.45</v>
      </c>
      <c r="U226" s="2"/>
      <c r="V226" s="7">
        <f t="shared" si="86"/>
        <v>1.1630994729071179E-3</v>
      </c>
      <c r="W226" s="2"/>
      <c r="X226" s="6">
        <f t="shared" si="87"/>
        <v>-12371.45</v>
      </c>
      <c r="Y226" s="2"/>
      <c r="Z226" s="7">
        <f t="shared" si="88"/>
        <v>-1</v>
      </c>
    </row>
    <row r="227" spans="1:26" s="26" customFormat="1" outlineLevel="1" collapsed="1" x14ac:dyDescent="0.25">
      <c r="A227" s="27"/>
      <c r="B227" s="12" t="str">
        <f>CONCATENATE("     ","Employees' Appreciation                           ")</f>
        <v xml:space="preserve">     Employees' Appreciation                           </v>
      </c>
      <c r="C227" s="12"/>
      <c r="D227" s="1">
        <f>SUM(OSRRefD22_8x_0)</f>
        <v>0</v>
      </c>
      <c r="E227" s="1"/>
      <c r="F227" s="5">
        <f t="shared" si="81"/>
        <v>0</v>
      </c>
      <c r="G227" s="1"/>
      <c r="H227" s="1">
        <f>SUM(OSRRefH22_8x_0)</f>
        <v>239.54</v>
      </c>
      <c r="I227" s="1"/>
      <c r="J227" s="5">
        <f t="shared" si="82"/>
        <v>6.916253108185048E-4</v>
      </c>
      <c r="K227" s="1"/>
      <c r="L227" s="1">
        <f t="shared" si="83"/>
        <v>-239.54</v>
      </c>
      <c r="M227" s="1"/>
      <c r="N227" s="5">
        <f t="shared" si="84"/>
        <v>-1</v>
      </c>
      <c r="O227" s="12"/>
      <c r="P227" s="1">
        <f>SUM(OSRRefP22_8x_0)</f>
        <v>186.03</v>
      </c>
      <c r="Q227" s="1"/>
      <c r="R227" s="5">
        <f t="shared" si="85"/>
        <v>2.9605029141872674E-5</v>
      </c>
      <c r="S227" s="1"/>
      <c r="T227" s="1">
        <f>SUM(OSRRefT22_8x_0)</f>
        <v>1524.12</v>
      </c>
      <c r="U227" s="1"/>
      <c r="V227" s="5">
        <f t="shared" si="86"/>
        <v>1.4328984627082485E-4</v>
      </c>
      <c r="W227" s="1"/>
      <c r="X227" s="1">
        <f t="shared" si="87"/>
        <v>-1338.09</v>
      </c>
      <c r="Y227" s="1"/>
      <c r="Z227" s="5">
        <f t="shared" si="88"/>
        <v>-0.87794268167860801</v>
      </c>
    </row>
    <row r="228" spans="1:26" s="23" customFormat="1" hidden="1" outlineLevel="2" x14ac:dyDescent="0.25">
      <c r="A228" s="25"/>
      <c r="B228" s="10" t="str">
        <f>CONCATENATE("          ", "6277", " - ", "EMPLOYEE APPRECIATION")</f>
        <v xml:space="preserve">          6277 - EMPLOYEE APPRECIATION</v>
      </c>
      <c r="C228" s="10"/>
      <c r="D228" s="6"/>
      <c r="E228" s="2"/>
      <c r="F228" s="7">
        <f t="shared" si="81"/>
        <v>0</v>
      </c>
      <c r="G228" s="2"/>
      <c r="H228" s="6">
        <v>239.54</v>
      </c>
      <c r="I228" s="2"/>
      <c r="J228" s="7">
        <f t="shared" si="82"/>
        <v>6.916253108185048E-4</v>
      </c>
      <c r="K228" s="2"/>
      <c r="L228" s="6">
        <f t="shared" si="83"/>
        <v>-239.54</v>
      </c>
      <c r="M228" s="2"/>
      <c r="N228" s="7">
        <f t="shared" si="84"/>
        <v>-1</v>
      </c>
      <c r="O228" s="10"/>
      <c r="P228" s="6">
        <v>186.03</v>
      </c>
      <c r="Q228" s="2"/>
      <c r="R228" s="7">
        <f t="shared" si="85"/>
        <v>2.9605029141872674E-5</v>
      </c>
      <c r="S228" s="2"/>
      <c r="T228" s="6">
        <v>1524.12</v>
      </c>
      <c r="U228" s="2"/>
      <c r="V228" s="7">
        <f t="shared" si="86"/>
        <v>1.4328984627082485E-4</v>
      </c>
      <c r="W228" s="2"/>
      <c r="X228" s="6">
        <f t="shared" si="87"/>
        <v>-1338.09</v>
      </c>
      <c r="Y228" s="2"/>
      <c r="Z228" s="7">
        <f t="shared" si="88"/>
        <v>-0.87794268167860801</v>
      </c>
    </row>
    <row r="229" spans="1:26" s="26" customFormat="1" outlineLevel="1" collapsed="1" x14ac:dyDescent="0.25">
      <c r="A229" s="27"/>
      <c r="B229" s="12" t="str">
        <f>CONCATENATE("     ","Equipment Rental                                  ")</f>
        <v xml:space="preserve">     Equipment Rental                                  </v>
      </c>
      <c r="C229" s="12"/>
      <c r="D229" s="1">
        <f>SUM(OSRRefD22_9x_0)</f>
        <v>1296.9000000000001</v>
      </c>
      <c r="E229" s="1"/>
      <c r="F229" s="5">
        <f t="shared" si="81"/>
        <v>2.1157299554652631E-3</v>
      </c>
      <c r="G229" s="1"/>
      <c r="H229" s="1">
        <f>SUM(OSRRefH22_9x_0)</f>
        <v>1388.16</v>
      </c>
      <c r="I229" s="1"/>
      <c r="J229" s="5">
        <f t="shared" si="82"/>
        <v>4.0080428799608237E-3</v>
      </c>
      <c r="K229" s="1"/>
      <c r="L229" s="1">
        <f t="shared" si="83"/>
        <v>-91.259999999999991</v>
      </c>
      <c r="M229" s="1"/>
      <c r="N229" s="5">
        <f t="shared" si="84"/>
        <v>-6.5741701244813266E-2</v>
      </c>
      <c r="O229" s="12"/>
      <c r="P229" s="1">
        <f>SUM(OSRRefP22_9x_0)</f>
        <v>13446.01</v>
      </c>
      <c r="Q229" s="1"/>
      <c r="R229" s="5">
        <f t="shared" si="85"/>
        <v>2.1398135671231058E-3</v>
      </c>
      <c r="S229" s="1"/>
      <c r="T229" s="1">
        <f>SUM(OSRRefT22_9x_0)</f>
        <v>15254.62</v>
      </c>
      <c r="U229" s="1"/>
      <c r="V229" s="5">
        <f t="shared" si="86"/>
        <v>1.4341601414060905E-3</v>
      </c>
      <c r="W229" s="1"/>
      <c r="X229" s="1">
        <f t="shared" si="87"/>
        <v>-1808.6100000000006</v>
      </c>
      <c r="Y229" s="1"/>
      <c r="Z229" s="5">
        <f t="shared" si="88"/>
        <v>-0.11856145875806808</v>
      </c>
    </row>
    <row r="230" spans="1:26" s="23" customFormat="1" hidden="1" outlineLevel="2" x14ac:dyDescent="0.25">
      <c r="A230" s="25"/>
      <c r="B230" s="10" t="str">
        <f>CONCATENATE("          ", "6351", " - ", "EQUIPMENT RENTAL")</f>
        <v xml:space="preserve">          6351 - EQUIPMENT RENTAL</v>
      </c>
      <c r="C230" s="10"/>
      <c r="D230" s="6">
        <v>1296.9000000000001</v>
      </c>
      <c r="E230" s="2"/>
      <c r="F230" s="7">
        <f t="shared" si="81"/>
        <v>2.1157299554652631E-3</v>
      </c>
      <c r="G230" s="2"/>
      <c r="H230" s="6">
        <v>1388.16</v>
      </c>
      <c r="I230" s="2"/>
      <c r="J230" s="7">
        <f t="shared" si="82"/>
        <v>4.0080428799608237E-3</v>
      </c>
      <c r="K230" s="2"/>
      <c r="L230" s="6">
        <f t="shared" si="83"/>
        <v>-91.259999999999991</v>
      </c>
      <c r="M230" s="2"/>
      <c r="N230" s="7">
        <f t="shared" si="84"/>
        <v>-6.5741701244813266E-2</v>
      </c>
      <c r="O230" s="10"/>
      <c r="P230" s="6">
        <v>13446.01</v>
      </c>
      <c r="Q230" s="2"/>
      <c r="R230" s="7">
        <f t="shared" si="85"/>
        <v>2.1398135671231058E-3</v>
      </c>
      <c r="S230" s="2"/>
      <c r="T230" s="6">
        <v>15254.62</v>
      </c>
      <c r="U230" s="2"/>
      <c r="V230" s="7">
        <f t="shared" si="86"/>
        <v>1.4341601414060905E-3</v>
      </c>
      <c r="W230" s="2"/>
      <c r="X230" s="6">
        <f t="shared" si="87"/>
        <v>-1808.6100000000006</v>
      </c>
      <c r="Y230" s="2"/>
      <c r="Z230" s="7">
        <f t="shared" si="88"/>
        <v>-0.11856145875806808</v>
      </c>
    </row>
    <row r="231" spans="1:26" s="26" customFormat="1" outlineLevel="1" collapsed="1" x14ac:dyDescent="0.25">
      <c r="A231" s="27"/>
      <c r="B231" s="12" t="str">
        <f>CONCATENATE("     ","Freight out/Postage                               ")</f>
        <v xml:space="preserve">     Freight out/Postage                               </v>
      </c>
      <c r="C231" s="12"/>
      <c r="D231" s="1">
        <f>SUM(OSRRefD22_10x_0)</f>
        <v>-1320.7900000000009</v>
      </c>
      <c r="E231" s="1"/>
      <c r="F231" s="5">
        <f t="shared" si="81"/>
        <v>-2.1547034990199452E-3</v>
      </c>
      <c r="G231" s="1"/>
      <c r="H231" s="1">
        <f>SUM(OSRRefH22_10x_0)</f>
        <v>2109.1600000000003</v>
      </c>
      <c r="I231" s="1"/>
      <c r="J231" s="5">
        <f t="shared" si="82"/>
        <v>6.0897906010100936E-3</v>
      </c>
      <c r="K231" s="1"/>
      <c r="L231" s="1">
        <f t="shared" si="83"/>
        <v>-3429.9500000000012</v>
      </c>
      <c r="M231" s="1"/>
      <c r="N231" s="5">
        <f t="shared" si="84"/>
        <v>-1.6262161239545605</v>
      </c>
      <c r="O231" s="12"/>
      <c r="P231" s="1">
        <f>SUM(OSRRefP22_10x_0)</f>
        <v>-32892.359999999986</v>
      </c>
      <c r="Q231" s="1"/>
      <c r="R231" s="5">
        <f t="shared" si="85"/>
        <v>-5.2345281747297025E-3</v>
      </c>
      <c r="S231" s="1"/>
      <c r="T231" s="1">
        <f>SUM(OSRRefT22_10x_0)</f>
        <v>921.04999999999563</v>
      </c>
      <c r="U231" s="1"/>
      <c r="V231" s="5">
        <f t="shared" si="86"/>
        <v>8.6592337157010346E-5</v>
      </c>
      <c r="W231" s="1"/>
      <c r="X231" s="1">
        <f t="shared" si="87"/>
        <v>-33813.409999999982</v>
      </c>
      <c r="Y231" s="1"/>
      <c r="Z231" s="5">
        <f t="shared" si="88"/>
        <v>-36.711807176592089</v>
      </c>
    </row>
    <row r="232" spans="1:26" s="23" customFormat="1" hidden="1" outlineLevel="2" x14ac:dyDescent="0.25">
      <c r="A232" s="25"/>
      <c r="B232" s="10" t="str">
        <f>CONCATENATE("          ", "6305", " - ", "FREIGHT OUT")</f>
        <v xml:space="preserve">          6305 - FREIGHT OUT</v>
      </c>
      <c r="C232" s="10"/>
      <c r="D232" s="6">
        <v>18098.53</v>
      </c>
      <c r="E232" s="2"/>
      <c r="F232" s="7">
        <f t="shared" si="81"/>
        <v>2.9525485442892071E-2</v>
      </c>
      <c r="G232" s="2"/>
      <c r="H232" s="6">
        <v>5757.68</v>
      </c>
      <c r="I232" s="2"/>
      <c r="J232" s="7">
        <f t="shared" si="82"/>
        <v>1.6624184769113672E-2</v>
      </c>
      <c r="K232" s="2"/>
      <c r="L232" s="6">
        <f t="shared" si="83"/>
        <v>12340.849999999999</v>
      </c>
      <c r="M232" s="2"/>
      <c r="N232" s="7">
        <f t="shared" si="84"/>
        <v>2.1433719831598834</v>
      </c>
      <c r="O232" s="10"/>
      <c r="P232" s="6">
        <v>180835.48</v>
      </c>
      <c r="Q232" s="2"/>
      <c r="R232" s="7">
        <f t="shared" si="85"/>
        <v>2.8778367227245784E-2</v>
      </c>
      <c r="S232" s="2"/>
      <c r="T232" s="6">
        <v>51792.2</v>
      </c>
      <c r="U232" s="2"/>
      <c r="V232" s="7">
        <f t="shared" si="86"/>
        <v>4.8692336404140193E-3</v>
      </c>
      <c r="W232" s="2"/>
      <c r="X232" s="6">
        <f t="shared" si="87"/>
        <v>129043.28000000001</v>
      </c>
      <c r="Y232" s="2"/>
      <c r="Z232" s="7">
        <f t="shared" si="88"/>
        <v>2.4915581882986246</v>
      </c>
    </row>
    <row r="233" spans="1:26" s="23" customFormat="1" hidden="1" outlineLevel="2" x14ac:dyDescent="0.25">
      <c r="A233" s="25"/>
      <c r="B233" s="10" t="str">
        <f>CONCATENATE("          ", "6307", " - ", "POSTAGE")</f>
        <v xml:space="preserve">          6307 - POSTAGE</v>
      </c>
      <c r="C233" s="10"/>
      <c r="D233" s="6">
        <v>-19419.32</v>
      </c>
      <c r="E233" s="2"/>
      <c r="F233" s="7">
        <f t="shared" si="81"/>
        <v>-3.1680188941912019E-2</v>
      </c>
      <c r="G233" s="2"/>
      <c r="H233" s="6">
        <v>-3648.52</v>
      </c>
      <c r="I233" s="2"/>
      <c r="J233" s="7">
        <f t="shared" si="82"/>
        <v>-1.0534394168103579E-2</v>
      </c>
      <c r="K233" s="2"/>
      <c r="L233" s="6">
        <f t="shared" si="83"/>
        <v>-15770.8</v>
      </c>
      <c r="M233" s="2"/>
      <c r="N233" s="7">
        <f t="shared" si="84"/>
        <v>4.3225198162542622</v>
      </c>
      <c r="O233" s="10"/>
      <c r="P233" s="6">
        <v>-213727.84</v>
      </c>
      <c r="Q233" s="2"/>
      <c r="R233" s="7">
        <f t="shared" si="85"/>
        <v>-3.4012895401975489E-2</v>
      </c>
      <c r="S233" s="2"/>
      <c r="T233" s="6">
        <v>-50871.15</v>
      </c>
      <c r="U233" s="2"/>
      <c r="V233" s="7">
        <f t="shared" si="86"/>
        <v>-4.7826413032570087E-3</v>
      </c>
      <c r="W233" s="2"/>
      <c r="X233" s="6">
        <f t="shared" si="87"/>
        <v>-162856.69</v>
      </c>
      <c r="Y233" s="2"/>
      <c r="Z233" s="7">
        <f t="shared" si="88"/>
        <v>3.2013565645754025</v>
      </c>
    </row>
    <row r="234" spans="1:26" s="26" customFormat="1" outlineLevel="1" collapsed="1" x14ac:dyDescent="0.25">
      <c r="A234" s="27"/>
      <c r="B234" s="12" t="str">
        <f>CONCATENATE("     ","General                                           ")</f>
        <v xml:space="preserve">     General                                           </v>
      </c>
      <c r="C234" s="12"/>
      <c r="D234" s="1">
        <f>SUM(OSRRefD22_11x_0)</f>
        <v>0</v>
      </c>
      <c r="E234" s="1"/>
      <c r="F234" s="5">
        <f t="shared" ref="F234:F241" si="89">IF(D$12=0,0,D234/D$12)</f>
        <v>0</v>
      </c>
      <c r="G234" s="1"/>
      <c r="H234" s="1">
        <f>SUM(OSRRefH22_11x_0)</f>
        <v>0</v>
      </c>
      <c r="I234" s="1"/>
      <c r="J234" s="5">
        <f t="shared" ref="J234:J241" si="90">IF(H$12=0,0,H234/H$12)</f>
        <v>0</v>
      </c>
      <c r="K234" s="1"/>
      <c r="L234" s="1">
        <f t="shared" ref="L234:L241" si="91">+D234-H234</f>
        <v>0</v>
      </c>
      <c r="M234" s="1"/>
      <c r="N234" s="5">
        <f t="shared" ref="N234:N241" si="92">IF(H234=0,0,L234/H234)</f>
        <v>0</v>
      </c>
      <c r="O234" s="12"/>
      <c r="P234" s="1">
        <f>SUM(OSRRefP22_11x_0)</f>
        <v>2479.64</v>
      </c>
      <c r="Q234" s="1"/>
      <c r="R234" s="5">
        <f t="shared" ref="R234:R241" si="93">IF(P$12=0,0,P234/P$12)</f>
        <v>3.9461277461352011E-4</v>
      </c>
      <c r="S234" s="1"/>
      <c r="T234" s="1">
        <f>SUM(OSRRefT22_11x_0)</f>
        <v>-1031.5899999999999</v>
      </c>
      <c r="U234" s="1"/>
      <c r="V234" s="5">
        <f t="shared" ref="V234:V241" si="94">IF(T$12=0,0,T234/T$12)</f>
        <v>-9.698473382313742E-5</v>
      </c>
      <c r="W234" s="1"/>
      <c r="X234" s="1">
        <f t="shared" ref="X234:X241" si="95">+P234-T234</f>
        <v>3511.2299999999996</v>
      </c>
      <c r="Y234" s="1"/>
      <c r="Z234" s="5">
        <f t="shared" ref="Z234:Z241" si="96">IF(T234=0,0,X234/T234)</f>
        <v>-3.4037068990587342</v>
      </c>
    </row>
    <row r="235" spans="1:26" s="23" customFormat="1" hidden="1" outlineLevel="2" x14ac:dyDescent="0.25">
      <c r="A235" s="25"/>
      <c r="B235" s="10" t="str">
        <f>CONCATENATE("          ", "6279", " - ", "GENERAL EXPENSE")</f>
        <v xml:space="preserve">          6279 - GENERAL EXPENSE</v>
      </c>
      <c r="C235" s="10"/>
      <c r="D235" s="6">
        <v>0</v>
      </c>
      <c r="E235" s="2"/>
      <c r="F235" s="7">
        <f t="shared" si="89"/>
        <v>0</v>
      </c>
      <c r="G235" s="2"/>
      <c r="H235" s="6"/>
      <c r="I235" s="2"/>
      <c r="J235" s="7">
        <f t="shared" si="90"/>
        <v>0</v>
      </c>
      <c r="K235" s="2"/>
      <c r="L235" s="6">
        <f t="shared" si="91"/>
        <v>0</v>
      </c>
      <c r="M235" s="2"/>
      <c r="N235" s="7">
        <f t="shared" si="92"/>
        <v>0</v>
      </c>
      <c r="O235" s="10"/>
      <c r="P235" s="6">
        <v>2479.64</v>
      </c>
      <c r="Q235" s="2"/>
      <c r="R235" s="7">
        <f t="shared" si="93"/>
        <v>3.9461277461352011E-4</v>
      </c>
      <c r="S235" s="2"/>
      <c r="T235" s="6">
        <v>-1031.5899999999999</v>
      </c>
      <c r="U235" s="2"/>
      <c r="V235" s="7">
        <f t="shared" si="94"/>
        <v>-9.698473382313742E-5</v>
      </c>
      <c r="W235" s="2"/>
      <c r="X235" s="6">
        <f t="shared" si="95"/>
        <v>3511.2299999999996</v>
      </c>
      <c r="Y235" s="2"/>
      <c r="Z235" s="7">
        <f t="shared" si="96"/>
        <v>-3.4037068990587342</v>
      </c>
    </row>
    <row r="236" spans="1:26" s="26" customFormat="1" outlineLevel="1" collapsed="1" x14ac:dyDescent="0.25">
      <c r="A236" s="27"/>
      <c r="B236" s="12" t="str">
        <f>CONCATENATE("     ","Insurance                                         ")</f>
        <v xml:space="preserve">     Insurance                                         </v>
      </c>
      <c r="C236" s="12"/>
      <c r="D236" s="1">
        <f>SUM(OSRRefD22_12x_0)</f>
        <v>4044.74</v>
      </c>
      <c r="E236" s="1"/>
      <c r="F236" s="5">
        <f t="shared" si="89"/>
        <v>6.5984868378969608E-3</v>
      </c>
      <c r="G236" s="1"/>
      <c r="H236" s="1">
        <f>SUM(OSRRefH22_12x_0)</f>
        <v>4044.74</v>
      </c>
      <c r="I236" s="1"/>
      <c r="J236" s="5">
        <f t="shared" si="90"/>
        <v>1.1678402603657172E-2</v>
      </c>
      <c r="K236" s="1"/>
      <c r="L236" s="1">
        <f t="shared" si="91"/>
        <v>0</v>
      </c>
      <c r="M236" s="1"/>
      <c r="N236" s="5">
        <f t="shared" si="92"/>
        <v>0</v>
      </c>
      <c r="O236" s="12"/>
      <c r="P236" s="1">
        <f>SUM(OSRRefP22_12x_0)</f>
        <v>36402.660000000003</v>
      </c>
      <c r="Q236" s="1"/>
      <c r="R236" s="5">
        <f t="shared" si="93"/>
        <v>5.7931613725833615E-3</v>
      </c>
      <c r="S236" s="1"/>
      <c r="T236" s="1">
        <f>SUM(OSRRefT22_12x_0)</f>
        <v>36402.660000000003</v>
      </c>
      <c r="U236" s="1"/>
      <c r="V236" s="5">
        <f t="shared" si="94"/>
        <v>3.4223890213691218E-3</v>
      </c>
      <c r="W236" s="1"/>
      <c r="X236" s="1">
        <f t="shared" si="95"/>
        <v>0</v>
      </c>
      <c r="Y236" s="1"/>
      <c r="Z236" s="5">
        <f t="shared" si="96"/>
        <v>0</v>
      </c>
    </row>
    <row r="237" spans="1:26" s="23" customFormat="1" hidden="1" outlineLevel="2" x14ac:dyDescent="0.25">
      <c r="A237" s="25"/>
      <c r="B237" s="10" t="str">
        <f>CONCATENATE("          ", "6314", " - ", "LIABILITY INSURANCE")</f>
        <v xml:space="preserve">          6314 - LIABILITY INSURANCE</v>
      </c>
      <c r="C237" s="10"/>
      <c r="D237" s="6">
        <v>4044.74</v>
      </c>
      <c r="E237" s="2"/>
      <c r="F237" s="7">
        <f t="shared" si="89"/>
        <v>6.5984868378969608E-3</v>
      </c>
      <c r="G237" s="2"/>
      <c r="H237" s="6">
        <v>4044.74</v>
      </c>
      <c r="I237" s="2"/>
      <c r="J237" s="7">
        <f t="shared" si="90"/>
        <v>1.1678402603657172E-2</v>
      </c>
      <c r="K237" s="2"/>
      <c r="L237" s="6">
        <f t="shared" si="91"/>
        <v>0</v>
      </c>
      <c r="M237" s="2"/>
      <c r="N237" s="7">
        <f t="shared" si="92"/>
        <v>0</v>
      </c>
      <c r="O237" s="10"/>
      <c r="P237" s="6">
        <v>36402.660000000003</v>
      </c>
      <c r="Q237" s="2"/>
      <c r="R237" s="7">
        <f t="shared" si="93"/>
        <v>5.7931613725833615E-3</v>
      </c>
      <c r="S237" s="2"/>
      <c r="T237" s="6">
        <v>36402.660000000003</v>
      </c>
      <c r="U237" s="2"/>
      <c r="V237" s="7">
        <f t="shared" si="94"/>
        <v>3.4223890213691218E-3</v>
      </c>
      <c r="W237" s="2"/>
      <c r="X237" s="6">
        <f t="shared" si="95"/>
        <v>0</v>
      </c>
      <c r="Y237" s="2"/>
      <c r="Z237" s="7">
        <f t="shared" si="96"/>
        <v>0</v>
      </c>
    </row>
    <row r="238" spans="1:26" s="26" customFormat="1" outlineLevel="1" collapsed="1" x14ac:dyDescent="0.25">
      <c r="A238" s="27"/>
      <c r="B238" s="12" t="str">
        <f>CONCATENATE("     ","Inventory Adjustment                              ")</f>
        <v xml:space="preserve">     Inventory Adjustment                              </v>
      </c>
      <c r="C238" s="12"/>
      <c r="D238" s="1">
        <f>SUM(OSRRefD22_13x_0)</f>
        <v>3350</v>
      </c>
      <c r="E238" s="1"/>
      <c r="F238" s="5">
        <f t="shared" si="89"/>
        <v>5.4651055214809405E-3</v>
      </c>
      <c r="G238" s="1"/>
      <c r="H238" s="1">
        <f>SUM(OSRRefH22_13x_0)</f>
        <v>4550</v>
      </c>
      <c r="I238" s="1"/>
      <c r="J238" s="5">
        <f t="shared" si="90"/>
        <v>1.3137242899825485E-2</v>
      </c>
      <c r="K238" s="1"/>
      <c r="L238" s="1">
        <f t="shared" si="91"/>
        <v>-1200</v>
      </c>
      <c r="M238" s="1"/>
      <c r="N238" s="5">
        <f t="shared" si="92"/>
        <v>-0.26373626373626374</v>
      </c>
      <c r="O238" s="12"/>
      <c r="P238" s="1">
        <f>SUM(OSRRefP22_13x_0)</f>
        <v>35150</v>
      </c>
      <c r="Q238" s="1"/>
      <c r="R238" s="5">
        <f t="shared" si="93"/>
        <v>5.593811612841071E-3</v>
      </c>
      <c r="S238" s="1"/>
      <c r="T238" s="1">
        <f>SUM(OSRRefT22_13x_0)</f>
        <v>44250</v>
      </c>
      <c r="U238" s="1"/>
      <c r="V238" s="5">
        <f t="shared" si="94"/>
        <v>4.160155169858017E-3</v>
      </c>
      <c r="W238" s="1"/>
      <c r="X238" s="1">
        <f t="shared" si="95"/>
        <v>-9100</v>
      </c>
      <c r="Y238" s="1"/>
      <c r="Z238" s="5">
        <f t="shared" si="96"/>
        <v>-0.20564971751412428</v>
      </c>
    </row>
    <row r="239" spans="1:26" s="23" customFormat="1" hidden="1" outlineLevel="2" x14ac:dyDescent="0.25">
      <c r="A239" s="25"/>
      <c r="B239" s="10" t="str">
        <f>CONCATENATE("          ", "6408", " - ", "INVENTORY ADJUSTMENT")</f>
        <v xml:space="preserve">          6408 - INVENTORY ADJUSTMENT</v>
      </c>
      <c r="C239" s="10"/>
      <c r="D239" s="6">
        <v>3350</v>
      </c>
      <c r="E239" s="2"/>
      <c r="F239" s="7">
        <f t="shared" si="89"/>
        <v>5.4651055214809405E-3</v>
      </c>
      <c r="G239" s="2"/>
      <c r="H239" s="6">
        <v>4550</v>
      </c>
      <c r="I239" s="2"/>
      <c r="J239" s="7">
        <f t="shared" si="90"/>
        <v>1.3137242899825485E-2</v>
      </c>
      <c r="K239" s="2"/>
      <c r="L239" s="6">
        <f t="shared" si="91"/>
        <v>-1200</v>
      </c>
      <c r="M239" s="2"/>
      <c r="N239" s="7">
        <f t="shared" si="92"/>
        <v>-0.26373626373626374</v>
      </c>
      <c r="O239" s="10"/>
      <c r="P239" s="6">
        <v>35150</v>
      </c>
      <c r="Q239" s="2"/>
      <c r="R239" s="7">
        <f t="shared" si="93"/>
        <v>5.593811612841071E-3</v>
      </c>
      <c r="S239" s="2"/>
      <c r="T239" s="6">
        <v>44250</v>
      </c>
      <c r="U239" s="2"/>
      <c r="V239" s="7">
        <f t="shared" si="94"/>
        <v>4.160155169858017E-3</v>
      </c>
      <c r="W239" s="2"/>
      <c r="X239" s="6">
        <f t="shared" si="95"/>
        <v>-9100</v>
      </c>
      <c r="Y239" s="2"/>
      <c r="Z239" s="7">
        <f t="shared" si="96"/>
        <v>-0.20564971751412428</v>
      </c>
    </row>
    <row r="240" spans="1:26" s="23" customFormat="1" hidden="1" outlineLevel="2" x14ac:dyDescent="0.25">
      <c r="A240" s="25"/>
      <c r="B240" s="10" t="str">
        <f>CONCATENATE("          ", "7701", " - ", "INV. SHRINKAGE-NEW TEXT")</f>
        <v xml:space="preserve">          7701 - INV. SHRINKAGE-NEW TEXT</v>
      </c>
      <c r="C240" s="10"/>
      <c r="D240" s="6"/>
      <c r="E240" s="2"/>
      <c r="F240" s="7">
        <f t="shared" si="89"/>
        <v>0</v>
      </c>
      <c r="G240" s="2"/>
      <c r="H240" s="6"/>
      <c r="I240" s="2"/>
      <c r="J240" s="7">
        <f t="shared" si="90"/>
        <v>0</v>
      </c>
      <c r="K240" s="2"/>
      <c r="L240" s="6">
        <f t="shared" si="91"/>
        <v>0</v>
      </c>
      <c r="M240" s="2"/>
      <c r="N240" s="7">
        <f t="shared" si="92"/>
        <v>0</v>
      </c>
      <c r="O240" s="10"/>
      <c r="P240" s="6"/>
      <c r="Q240" s="2"/>
      <c r="R240" s="7">
        <f t="shared" si="93"/>
        <v>0</v>
      </c>
      <c r="S240" s="2"/>
      <c r="T240" s="6">
        <v>0</v>
      </c>
      <c r="U240" s="2"/>
      <c r="V240" s="7">
        <f t="shared" si="94"/>
        <v>0</v>
      </c>
      <c r="W240" s="2"/>
      <c r="X240" s="6">
        <f t="shared" si="95"/>
        <v>0</v>
      </c>
      <c r="Y240" s="2"/>
      <c r="Z240" s="7">
        <f t="shared" si="96"/>
        <v>0</v>
      </c>
    </row>
    <row r="241" spans="1:26" s="23" customFormat="1" hidden="1" outlineLevel="2" x14ac:dyDescent="0.25">
      <c r="A241" s="25"/>
      <c r="B241" s="10" t="str">
        <f>CONCATENATE("          ", "7741", " - ", "INV. SHRINKAGE-LOGO GIFTS")</f>
        <v xml:space="preserve">          7741 - INV. SHRINKAGE-LOGO GIFTS</v>
      </c>
      <c r="C241" s="10"/>
      <c r="D241" s="6"/>
      <c r="E241" s="2"/>
      <c r="F241" s="7">
        <f t="shared" si="89"/>
        <v>0</v>
      </c>
      <c r="G241" s="2"/>
      <c r="H241" s="6"/>
      <c r="I241" s="2"/>
      <c r="J241" s="7">
        <f t="shared" si="90"/>
        <v>0</v>
      </c>
      <c r="K241" s="2"/>
      <c r="L241" s="6">
        <f t="shared" si="91"/>
        <v>0</v>
      </c>
      <c r="M241" s="2"/>
      <c r="N241" s="7">
        <f t="shared" si="92"/>
        <v>0</v>
      </c>
      <c r="O241" s="10"/>
      <c r="P241" s="6">
        <v>0</v>
      </c>
      <c r="Q241" s="2"/>
      <c r="R241" s="7">
        <f t="shared" si="93"/>
        <v>0</v>
      </c>
      <c r="S241" s="2"/>
      <c r="T241" s="6"/>
      <c r="U241" s="2"/>
      <c r="V241" s="7">
        <f t="shared" si="94"/>
        <v>0</v>
      </c>
      <c r="W241" s="2"/>
      <c r="X241" s="6">
        <f t="shared" si="95"/>
        <v>0</v>
      </c>
      <c r="Y241" s="2"/>
      <c r="Z241" s="7">
        <f t="shared" si="96"/>
        <v>0</v>
      </c>
    </row>
    <row r="242" spans="1:26" s="26" customFormat="1" outlineLevel="1" collapsed="1" x14ac:dyDescent="0.25">
      <c r="A242" s="27"/>
      <c r="B242" s="12" t="str">
        <f>CONCATENATE("     ","Professional Services                             ")</f>
        <v xml:space="preserve">     Professional Services                             </v>
      </c>
      <c r="C242" s="12"/>
      <c r="D242" s="1">
        <f>SUM(OSRRefD22_14x_0)</f>
        <v>0</v>
      </c>
      <c r="E242" s="1"/>
      <c r="F242" s="5">
        <f t="shared" ref="F242:F250" si="97">IF(D$12=0,0,D242/D$12)</f>
        <v>0</v>
      </c>
      <c r="G242" s="1"/>
      <c r="H242" s="1">
        <f>SUM(OSRRefH22_14x_0)</f>
        <v>0</v>
      </c>
      <c r="I242" s="1"/>
      <c r="J242" s="5">
        <f t="shared" ref="J242:J250" si="98">IF(H$12=0,0,H242/H$12)</f>
        <v>0</v>
      </c>
      <c r="K242" s="1"/>
      <c r="L242" s="1">
        <f t="shared" ref="L242:L250" si="99">+D242-H242</f>
        <v>0</v>
      </c>
      <c r="M242" s="1"/>
      <c r="N242" s="5">
        <f t="shared" ref="N242:N250" si="100">IF(H242=0,0,L242/H242)</f>
        <v>0</v>
      </c>
      <c r="O242" s="12"/>
      <c r="P242" s="1">
        <f>SUM(OSRRefP22_14x_0)</f>
        <v>0</v>
      </c>
      <c r="Q242" s="1"/>
      <c r="R242" s="5">
        <f t="shared" ref="R242:R250" si="101">IF(P$12=0,0,P242/P$12)</f>
        <v>0</v>
      </c>
      <c r="S242" s="1"/>
      <c r="T242" s="1">
        <f>SUM(OSRRefT22_14x_0)</f>
        <v>6199.56</v>
      </c>
      <c r="U242" s="1"/>
      <c r="V242" s="5">
        <f t="shared" ref="V242:V250" si="102">IF(T$12=0,0,T242/T$12)</f>
        <v>5.8285043129593147E-4</v>
      </c>
      <c r="W242" s="1"/>
      <c r="X242" s="1">
        <f t="shared" ref="X242:X250" si="103">+P242-T242</f>
        <v>-6199.56</v>
      </c>
      <c r="Y242" s="1"/>
      <c r="Z242" s="5">
        <f t="shared" ref="Z242:Z250" si="104">IF(T242=0,0,X242/T242)</f>
        <v>-1</v>
      </c>
    </row>
    <row r="243" spans="1:26" s="23" customFormat="1" hidden="1" outlineLevel="2" x14ac:dyDescent="0.25">
      <c r="A243" s="25"/>
      <c r="B243" s="10" t="str">
        <f>CONCATENATE("          ", "6336", " - ", "PROFESSIONAL SERVICES")</f>
        <v xml:space="preserve">          6336 - PROFESSIONAL SERVICES</v>
      </c>
      <c r="C243" s="10"/>
      <c r="D243" s="6"/>
      <c r="E243" s="2"/>
      <c r="F243" s="7">
        <f t="shared" si="97"/>
        <v>0</v>
      </c>
      <c r="G243" s="2"/>
      <c r="H243" s="6"/>
      <c r="I243" s="2"/>
      <c r="J243" s="7">
        <f t="shared" si="98"/>
        <v>0</v>
      </c>
      <c r="K243" s="2"/>
      <c r="L243" s="6">
        <f t="shared" si="99"/>
        <v>0</v>
      </c>
      <c r="M243" s="2"/>
      <c r="N243" s="7">
        <f t="shared" si="100"/>
        <v>0</v>
      </c>
      <c r="O243" s="10"/>
      <c r="P243" s="6"/>
      <c r="Q243" s="2"/>
      <c r="R243" s="7">
        <f t="shared" si="101"/>
        <v>0</v>
      </c>
      <c r="S243" s="2"/>
      <c r="T243" s="6">
        <v>6199.56</v>
      </c>
      <c r="U243" s="2"/>
      <c r="V243" s="7">
        <f t="shared" si="102"/>
        <v>5.8285043129593147E-4</v>
      </c>
      <c r="W243" s="2"/>
      <c r="X243" s="6">
        <f t="shared" si="103"/>
        <v>-6199.56</v>
      </c>
      <c r="Y243" s="2"/>
      <c r="Z243" s="7">
        <f t="shared" si="104"/>
        <v>-1</v>
      </c>
    </row>
    <row r="244" spans="1:26" s="26" customFormat="1" outlineLevel="1" collapsed="1" x14ac:dyDescent="0.25">
      <c r="A244" s="27"/>
      <c r="B244" s="12" t="str">
        <f>CONCATENATE("     ","Rent                                              ")</f>
        <v xml:space="preserve">     Rent                                              </v>
      </c>
      <c r="C244" s="12"/>
      <c r="D244" s="1">
        <f>SUM(OSRRefD22_15x_0)</f>
        <v>6100</v>
      </c>
      <c r="E244" s="1"/>
      <c r="F244" s="5">
        <f t="shared" si="97"/>
        <v>9.9513861734429072E-3</v>
      </c>
      <c r="G244" s="1"/>
      <c r="H244" s="1">
        <f>SUM(OSRRefH22_15x_0)</f>
        <v>6100</v>
      </c>
      <c r="I244" s="1"/>
      <c r="J244" s="5">
        <f t="shared" si="98"/>
        <v>1.7612567404161641E-2</v>
      </c>
      <c r="K244" s="1"/>
      <c r="L244" s="1">
        <f t="shared" si="99"/>
        <v>0</v>
      </c>
      <c r="M244" s="1"/>
      <c r="N244" s="5">
        <f t="shared" si="100"/>
        <v>0</v>
      </c>
      <c r="O244" s="12"/>
      <c r="P244" s="1">
        <f>SUM(OSRRefP22_15x_0)</f>
        <v>54900</v>
      </c>
      <c r="Q244" s="1"/>
      <c r="R244" s="5">
        <f t="shared" si="101"/>
        <v>8.7368494322894678E-3</v>
      </c>
      <c r="S244" s="1"/>
      <c r="T244" s="1">
        <f>SUM(OSRRefT22_15x_0)</f>
        <v>56500</v>
      </c>
      <c r="U244" s="1"/>
      <c r="V244" s="5">
        <f t="shared" si="102"/>
        <v>5.3118365445644728E-3</v>
      </c>
      <c r="W244" s="1"/>
      <c r="X244" s="1">
        <f t="shared" si="103"/>
        <v>-1600</v>
      </c>
      <c r="Y244" s="1"/>
      <c r="Z244" s="5">
        <f t="shared" si="104"/>
        <v>-2.831858407079646E-2</v>
      </c>
    </row>
    <row r="245" spans="1:26" s="23" customFormat="1" hidden="1" outlineLevel="2" x14ac:dyDescent="0.25">
      <c r="A245" s="25"/>
      <c r="B245" s="10" t="str">
        <f>CONCATENATE("          ", "6273", " - ", "RENT")</f>
        <v xml:space="preserve">          6273 - RENT</v>
      </c>
      <c r="C245" s="10"/>
      <c r="D245" s="6">
        <v>6100</v>
      </c>
      <c r="E245" s="2"/>
      <c r="F245" s="7">
        <f t="shared" si="97"/>
        <v>9.9513861734429072E-3</v>
      </c>
      <c r="G245" s="2"/>
      <c r="H245" s="6">
        <v>6100</v>
      </c>
      <c r="I245" s="2"/>
      <c r="J245" s="7">
        <f t="shared" si="98"/>
        <v>1.7612567404161641E-2</v>
      </c>
      <c r="K245" s="2"/>
      <c r="L245" s="6">
        <f t="shared" si="99"/>
        <v>0</v>
      </c>
      <c r="M245" s="2"/>
      <c r="N245" s="7">
        <f t="shared" si="100"/>
        <v>0</v>
      </c>
      <c r="O245" s="10"/>
      <c r="P245" s="6">
        <v>54900</v>
      </c>
      <c r="Q245" s="2"/>
      <c r="R245" s="7">
        <f t="shared" si="101"/>
        <v>8.7368494322894678E-3</v>
      </c>
      <c r="S245" s="2"/>
      <c r="T245" s="6">
        <v>56500</v>
      </c>
      <c r="U245" s="2"/>
      <c r="V245" s="7">
        <f t="shared" si="102"/>
        <v>5.3118365445644728E-3</v>
      </c>
      <c r="W245" s="2"/>
      <c r="X245" s="6">
        <f t="shared" si="103"/>
        <v>-1600</v>
      </c>
      <c r="Y245" s="2"/>
      <c r="Z245" s="7">
        <f t="shared" si="104"/>
        <v>-2.831858407079646E-2</v>
      </c>
    </row>
    <row r="246" spans="1:26" s="26" customFormat="1" outlineLevel="1" collapsed="1" x14ac:dyDescent="0.25">
      <c r="A246" s="27"/>
      <c r="B246" s="12" t="str">
        <f>CONCATENATE("     ","Repair and Maintenance                            ")</f>
        <v xml:space="preserve">     Repair and Maintenance                            </v>
      </c>
      <c r="C246" s="12"/>
      <c r="D246" s="1">
        <f>SUM(OSRRefD22_16x_0)</f>
        <v>3023.46</v>
      </c>
      <c r="E246" s="1"/>
      <c r="F246" s="5">
        <f t="shared" si="97"/>
        <v>4.9323963999930642E-3</v>
      </c>
      <c r="G246" s="1"/>
      <c r="H246" s="1">
        <f>SUM(OSRRefH22_16x_0)</f>
        <v>12901.489999999998</v>
      </c>
      <c r="I246" s="1"/>
      <c r="J246" s="5">
        <f t="shared" si="98"/>
        <v>3.7250551186740546E-2</v>
      </c>
      <c r="K246" s="1"/>
      <c r="L246" s="1">
        <f t="shared" si="99"/>
        <v>-9878.0299999999988</v>
      </c>
      <c r="M246" s="1"/>
      <c r="N246" s="5">
        <f t="shared" si="100"/>
        <v>-0.7656503241098509</v>
      </c>
      <c r="O246" s="12"/>
      <c r="P246" s="1">
        <f>SUM(OSRRefP22_16x_0)</f>
        <v>131979.85999999999</v>
      </c>
      <c r="Q246" s="1"/>
      <c r="R246" s="5">
        <f t="shared" si="101"/>
        <v>2.1003427411924284E-2</v>
      </c>
      <c r="S246" s="1"/>
      <c r="T246" s="1">
        <f>SUM(OSRRefT22_16x_0)</f>
        <v>121254.29000000001</v>
      </c>
      <c r="U246" s="1"/>
      <c r="V246" s="5">
        <f t="shared" si="102"/>
        <v>1.1399698562959621E-2</v>
      </c>
      <c r="W246" s="1"/>
      <c r="X246" s="1">
        <f t="shared" si="103"/>
        <v>10725.569999999978</v>
      </c>
      <c r="Y246" s="1"/>
      <c r="Z246" s="5">
        <f t="shared" si="104"/>
        <v>8.8455179606428583E-2</v>
      </c>
    </row>
    <row r="247" spans="1:26" s="23" customFormat="1" hidden="1" outlineLevel="2" x14ac:dyDescent="0.25">
      <c r="A247" s="25"/>
      <c r="B247" s="10" t="str">
        <f>CONCATENATE("          ", "6371", " - ", "COMPUTER SOFTWARE MAINTENANCE")</f>
        <v xml:space="preserve">          6371 - COMPUTER SOFTWARE MAINTENANCE</v>
      </c>
      <c r="C247" s="10"/>
      <c r="D247" s="6">
        <v>1550</v>
      </c>
      <c r="E247" s="2"/>
      <c r="F247" s="7">
        <f t="shared" si="97"/>
        <v>2.5286309129240172E-3</v>
      </c>
      <c r="G247" s="2"/>
      <c r="H247" s="6">
        <v>631.04999999999995</v>
      </c>
      <c r="I247" s="2"/>
      <c r="J247" s="7">
        <f t="shared" si="98"/>
        <v>1.8220345344911806E-3</v>
      </c>
      <c r="K247" s="2"/>
      <c r="L247" s="6">
        <f t="shared" si="99"/>
        <v>918.95</v>
      </c>
      <c r="M247" s="2"/>
      <c r="N247" s="7">
        <f t="shared" si="100"/>
        <v>1.4562237540606926</v>
      </c>
      <c r="O247" s="10"/>
      <c r="P247" s="6">
        <v>61317.72</v>
      </c>
      <c r="Q247" s="2"/>
      <c r="R247" s="7">
        <f t="shared" si="101"/>
        <v>9.75817280822012E-3</v>
      </c>
      <c r="S247" s="2"/>
      <c r="T247" s="6">
        <v>15786.45</v>
      </c>
      <c r="U247" s="2"/>
      <c r="V247" s="7">
        <f t="shared" si="102"/>
        <v>1.4841600357334483E-3</v>
      </c>
      <c r="W247" s="2"/>
      <c r="X247" s="6">
        <f t="shared" si="103"/>
        <v>45531.270000000004</v>
      </c>
      <c r="Y247" s="2"/>
      <c r="Z247" s="7">
        <f t="shared" si="104"/>
        <v>2.8841994241897324</v>
      </c>
    </row>
    <row r="248" spans="1:26" s="23" customFormat="1" hidden="1" outlineLevel="2" x14ac:dyDescent="0.25">
      <c r="A248" s="25"/>
      <c r="B248" s="10" t="str">
        <f>CONCATENATE("          ", "6372", " - ", "COMPUTER HARDWARE MAINTENANCE")</f>
        <v xml:space="preserve">          6372 - COMPUTER HARDWARE MAINTENANCE</v>
      </c>
      <c r="C248" s="10"/>
      <c r="D248" s="6"/>
      <c r="E248" s="2"/>
      <c r="F248" s="7">
        <f t="shared" si="97"/>
        <v>0</v>
      </c>
      <c r="G248" s="2"/>
      <c r="H248" s="6"/>
      <c r="I248" s="2"/>
      <c r="J248" s="7">
        <f t="shared" si="98"/>
        <v>0</v>
      </c>
      <c r="K248" s="2"/>
      <c r="L248" s="6">
        <f t="shared" si="99"/>
        <v>0</v>
      </c>
      <c r="M248" s="2"/>
      <c r="N248" s="7">
        <f t="shared" si="100"/>
        <v>0</v>
      </c>
      <c r="O248" s="10"/>
      <c r="P248" s="6">
        <v>-1.1499999999999999</v>
      </c>
      <c r="Q248" s="2"/>
      <c r="R248" s="7">
        <f t="shared" si="101"/>
        <v>-1.8301232872737498E-7</v>
      </c>
      <c r="S248" s="2"/>
      <c r="T248" s="6">
        <v>52.32</v>
      </c>
      <c r="U248" s="2"/>
      <c r="V248" s="7">
        <f t="shared" si="102"/>
        <v>4.9188546550728008E-6</v>
      </c>
      <c r="W248" s="2"/>
      <c r="X248" s="6">
        <f t="shared" si="103"/>
        <v>-53.47</v>
      </c>
      <c r="Y248" s="2"/>
      <c r="Z248" s="7">
        <f t="shared" si="104"/>
        <v>-1.0219801223241589</v>
      </c>
    </row>
    <row r="249" spans="1:26" s="23" customFormat="1" hidden="1" outlineLevel="2" x14ac:dyDescent="0.25">
      <c r="A249" s="25"/>
      <c r="B249" s="10" t="str">
        <f>CONCATENATE("          ", "6373", " - ", "MAINTENANCE CONTRACTS")</f>
        <v xml:space="preserve">          6373 - MAINTENANCE CONTRACTS</v>
      </c>
      <c r="C249" s="10"/>
      <c r="D249" s="6">
        <v>1262.9000000000001</v>
      </c>
      <c r="E249" s="2"/>
      <c r="F249" s="7">
        <f t="shared" si="97"/>
        <v>2.0602632128591883E-3</v>
      </c>
      <c r="G249" s="2"/>
      <c r="H249" s="6">
        <v>11994.48</v>
      </c>
      <c r="I249" s="2"/>
      <c r="J249" s="7">
        <f t="shared" si="98"/>
        <v>3.463173565210962E-2</v>
      </c>
      <c r="K249" s="2"/>
      <c r="L249" s="6">
        <f t="shared" si="99"/>
        <v>-10731.58</v>
      </c>
      <c r="M249" s="2"/>
      <c r="N249" s="7">
        <f t="shared" si="100"/>
        <v>-0.89470989988728156</v>
      </c>
      <c r="O249" s="10"/>
      <c r="P249" s="6">
        <v>44689.58</v>
      </c>
      <c r="Q249" s="2"/>
      <c r="R249" s="7">
        <f t="shared" si="101"/>
        <v>7.1119513962159342E-3</v>
      </c>
      <c r="S249" s="2"/>
      <c r="T249" s="6">
        <v>69448.56</v>
      </c>
      <c r="U249" s="2"/>
      <c r="V249" s="7">
        <f t="shared" si="102"/>
        <v>6.5291929022190881E-3</v>
      </c>
      <c r="W249" s="2"/>
      <c r="X249" s="6">
        <f t="shared" si="103"/>
        <v>-24758.979999999996</v>
      </c>
      <c r="Y249" s="2"/>
      <c r="Z249" s="7">
        <f t="shared" si="104"/>
        <v>-0.35650818389898936</v>
      </c>
    </row>
    <row r="250" spans="1:26" s="23" customFormat="1" hidden="1" outlineLevel="2" x14ac:dyDescent="0.25">
      <c r="A250" s="25"/>
      <c r="B250" s="10" t="str">
        <f>CONCATENATE("          ", "6375", " - ", "OUTSIDE REPAIRS &amp; MAINTENANCE")</f>
        <v xml:space="preserve">          6375 - OUTSIDE REPAIRS &amp; MAINTENANCE</v>
      </c>
      <c r="C250" s="10"/>
      <c r="D250" s="6">
        <v>210.56</v>
      </c>
      <c r="E250" s="2"/>
      <c r="F250" s="7">
        <f t="shared" si="97"/>
        <v>3.4350227420985874E-4</v>
      </c>
      <c r="G250" s="2"/>
      <c r="H250" s="6">
        <v>275.95999999999998</v>
      </c>
      <c r="I250" s="2"/>
      <c r="J250" s="7">
        <f t="shared" si="98"/>
        <v>7.9678100013974519E-4</v>
      </c>
      <c r="K250" s="2"/>
      <c r="L250" s="6">
        <f t="shared" si="99"/>
        <v>-65.399999999999977</v>
      </c>
      <c r="M250" s="2"/>
      <c r="N250" s="7">
        <f t="shared" si="100"/>
        <v>-0.23699086824177409</v>
      </c>
      <c r="O250" s="10"/>
      <c r="P250" s="6">
        <v>25973.71</v>
      </c>
      <c r="Q250" s="2"/>
      <c r="R250" s="7">
        <f t="shared" si="101"/>
        <v>4.1334862198169628E-3</v>
      </c>
      <c r="S250" s="2"/>
      <c r="T250" s="6">
        <v>35966.959999999999</v>
      </c>
      <c r="U250" s="2"/>
      <c r="V250" s="7">
        <f t="shared" si="102"/>
        <v>3.3814267703520108E-3</v>
      </c>
      <c r="W250" s="2"/>
      <c r="X250" s="6">
        <f t="shared" si="103"/>
        <v>-9993.25</v>
      </c>
      <c r="Y250" s="2"/>
      <c r="Z250" s="7">
        <f t="shared" si="104"/>
        <v>-0.2778452779995863</v>
      </c>
    </row>
    <row r="251" spans="1:26" s="26" customFormat="1" outlineLevel="1" collapsed="1" x14ac:dyDescent="0.25">
      <c r="A251" s="27"/>
      <c r="B251" s="12" t="str">
        <f>CONCATENATE("     ","Royalty &amp; Commissions                             ")</f>
        <v xml:space="preserve">     Royalty &amp; Commissions                             </v>
      </c>
      <c r="C251" s="12"/>
      <c r="D251" s="1">
        <f>SUM(OSRRefD22_17x_0)</f>
        <v>27.21</v>
      </c>
      <c r="E251" s="1"/>
      <c r="F251" s="5">
        <f t="shared" ref="F251:F254" si="105">IF(D$12=0,0,D251/D$12)</f>
        <v>4.4389707832685489E-5</v>
      </c>
      <c r="G251" s="1"/>
      <c r="H251" s="1">
        <f>SUM(OSRRefH22_17x_0)</f>
        <v>6708.88</v>
      </c>
      <c r="I251" s="1"/>
      <c r="J251" s="5">
        <f t="shared" ref="J251:J254" si="106">IF(H$12=0,0,H251/H$12)</f>
        <v>1.9370590361710155E-2</v>
      </c>
      <c r="K251" s="1"/>
      <c r="L251" s="1">
        <f t="shared" ref="L251:L254" si="107">+D251-H251</f>
        <v>-6681.67</v>
      </c>
      <c r="M251" s="1"/>
      <c r="N251" s="5">
        <f t="shared" ref="N251:N254" si="108">IF(H251=0,0,L251/H251)</f>
        <v>-0.99594418144310226</v>
      </c>
      <c r="O251" s="12"/>
      <c r="P251" s="1">
        <f>SUM(OSRRefP22_17x_0)</f>
        <v>36861.200000000004</v>
      </c>
      <c r="Q251" s="1"/>
      <c r="R251" s="5">
        <f t="shared" ref="R251:R254" si="109">IF(P$12=0,0,P251/P$12)</f>
        <v>5.8661339579874055E-3</v>
      </c>
      <c r="S251" s="1"/>
      <c r="T251" s="1">
        <f>SUM(OSRRefT22_17x_0)</f>
        <v>103111.95000000001</v>
      </c>
      <c r="U251" s="1"/>
      <c r="V251" s="5">
        <f t="shared" ref="V251:V254" si="110">IF(T$12=0,0,T251/T$12)</f>
        <v>9.6940499856868114E-3</v>
      </c>
      <c r="W251" s="1"/>
      <c r="X251" s="1">
        <f t="shared" ref="X251:X254" si="111">+P251-T251</f>
        <v>-66250.75</v>
      </c>
      <c r="Y251" s="1"/>
      <c r="Z251" s="5">
        <f t="shared" ref="Z251:Z254" si="112">IF(T251=0,0,X251/T251)</f>
        <v>-0.64251282222865524</v>
      </c>
    </row>
    <row r="252" spans="1:26" s="23" customFormat="1" hidden="1" outlineLevel="2" x14ac:dyDescent="0.25">
      <c r="A252" s="25"/>
      <c r="B252" s="10" t="str">
        <f>CONCATENATE("          ", "6253", " - ", "ROYALTY DUE ATHLETICS-LRG")</f>
        <v xml:space="preserve">          6253 - ROYALTY DUE ATHLETICS-LRG</v>
      </c>
      <c r="C252" s="10"/>
      <c r="D252" s="6"/>
      <c r="E252" s="2"/>
      <c r="F252" s="7">
        <f t="shared" si="105"/>
        <v>0</v>
      </c>
      <c r="G252" s="2"/>
      <c r="H252" s="6">
        <v>1669.49</v>
      </c>
      <c r="I252" s="2"/>
      <c r="J252" s="7">
        <f t="shared" si="106"/>
        <v>4.8203287140284948E-3</v>
      </c>
      <c r="K252" s="2"/>
      <c r="L252" s="6">
        <f t="shared" si="107"/>
        <v>-1669.49</v>
      </c>
      <c r="M252" s="2"/>
      <c r="N252" s="7">
        <f t="shared" si="108"/>
        <v>-1</v>
      </c>
      <c r="O252" s="10"/>
      <c r="P252" s="6">
        <v>26197.58</v>
      </c>
      <c r="Q252" s="2"/>
      <c r="R252" s="7">
        <f t="shared" si="109"/>
        <v>4.1691131502797438E-3</v>
      </c>
      <c r="S252" s="2"/>
      <c r="T252" s="6">
        <v>18314.93</v>
      </c>
      <c r="U252" s="2"/>
      <c r="V252" s="7">
        <f t="shared" si="110"/>
        <v>1.7218745926573487E-3</v>
      </c>
      <c r="W252" s="2"/>
      <c r="X252" s="6">
        <f t="shared" si="111"/>
        <v>7882.6500000000015</v>
      </c>
      <c r="Y252" s="2"/>
      <c r="Z252" s="7">
        <f t="shared" si="112"/>
        <v>0.43039476536355864</v>
      </c>
    </row>
    <row r="253" spans="1:26" s="23" customFormat="1" hidden="1" outlineLevel="2" x14ac:dyDescent="0.25">
      <c r="A253" s="25"/>
      <c r="B253" s="10" t="str">
        <f>CONCATENATE("          ", "6254", " - ", "ROYALTY &amp; COMMISSIONS")</f>
        <v xml:space="preserve">          6254 - ROYALTY &amp; COMMISSIONS</v>
      </c>
      <c r="C253" s="10"/>
      <c r="D253" s="6"/>
      <c r="E253" s="2"/>
      <c r="F253" s="7">
        <f t="shared" si="105"/>
        <v>0</v>
      </c>
      <c r="G253" s="2"/>
      <c r="H253" s="6">
        <v>1175.47</v>
      </c>
      <c r="I253" s="2"/>
      <c r="J253" s="7">
        <f t="shared" si="106"/>
        <v>3.3939417387819481E-3</v>
      </c>
      <c r="K253" s="2"/>
      <c r="L253" s="6">
        <f t="shared" si="107"/>
        <v>-1175.47</v>
      </c>
      <c r="M253" s="2"/>
      <c r="N253" s="7">
        <f t="shared" si="108"/>
        <v>-1</v>
      </c>
      <c r="O253" s="10"/>
      <c r="P253" s="6"/>
      <c r="Q253" s="2"/>
      <c r="R253" s="7">
        <f t="shared" si="109"/>
        <v>0</v>
      </c>
      <c r="S253" s="2"/>
      <c r="T253" s="6">
        <v>7971.22</v>
      </c>
      <c r="U253" s="2"/>
      <c r="V253" s="7">
        <f t="shared" si="110"/>
        <v>7.4941270266837561E-4</v>
      </c>
      <c r="W253" s="2"/>
      <c r="X253" s="6">
        <f t="shared" si="111"/>
        <v>-7971.22</v>
      </c>
      <c r="Y253" s="2"/>
      <c r="Z253" s="7">
        <f t="shared" si="112"/>
        <v>-1</v>
      </c>
    </row>
    <row r="254" spans="1:26" s="23" customFormat="1" hidden="1" outlineLevel="2" x14ac:dyDescent="0.25">
      <c r="A254" s="25"/>
      <c r="B254" s="10" t="str">
        <f>CONCATENATE("          ", "6259", " - ", "ROYALTY &amp; COMMISSIONS")</f>
        <v xml:space="preserve">          6259 - ROYALTY &amp; COMMISSIONS</v>
      </c>
      <c r="C254" s="10"/>
      <c r="D254" s="6">
        <v>27.21</v>
      </c>
      <c r="E254" s="2"/>
      <c r="F254" s="7">
        <f t="shared" si="105"/>
        <v>4.4389707832685489E-5</v>
      </c>
      <c r="G254" s="2"/>
      <c r="H254" s="6">
        <v>3863.92</v>
      </c>
      <c r="I254" s="2"/>
      <c r="J254" s="7">
        <f t="shared" si="106"/>
        <v>1.1156319908899712E-2</v>
      </c>
      <c r="K254" s="2"/>
      <c r="L254" s="6">
        <f t="shared" si="107"/>
        <v>-3836.71</v>
      </c>
      <c r="M254" s="2"/>
      <c r="N254" s="7">
        <f t="shared" si="108"/>
        <v>-0.99295792873558453</v>
      </c>
      <c r="O254" s="10"/>
      <c r="P254" s="6">
        <v>10663.62</v>
      </c>
      <c r="Q254" s="2"/>
      <c r="R254" s="7">
        <f t="shared" si="109"/>
        <v>1.6970208077076616E-3</v>
      </c>
      <c r="S254" s="2"/>
      <c r="T254" s="6">
        <v>76825.8</v>
      </c>
      <c r="U254" s="2"/>
      <c r="V254" s="7">
        <f t="shared" si="110"/>
        <v>7.2227626903610858E-3</v>
      </c>
      <c r="W254" s="2"/>
      <c r="X254" s="6">
        <f t="shared" si="111"/>
        <v>-66162.180000000008</v>
      </c>
      <c r="Y254" s="2"/>
      <c r="Z254" s="7">
        <f t="shared" si="112"/>
        <v>-0.86119741024499585</v>
      </c>
    </row>
    <row r="255" spans="1:26" s="26" customFormat="1" outlineLevel="1" collapsed="1" x14ac:dyDescent="0.25">
      <c r="A255" s="27"/>
      <c r="B255" s="12" t="str">
        <f>CONCATENATE("     ","Services                                          ")</f>
        <v xml:space="preserve">     Services                                          </v>
      </c>
      <c r="C255" s="12"/>
      <c r="D255" s="1">
        <f>SUM(OSRRefD22_18x_0)</f>
        <v>7475.7699999999995</v>
      </c>
      <c r="E255" s="1"/>
      <c r="F255" s="5">
        <f t="shared" ref="F255:F259" si="113">IF(D$12=0,0,D255/D$12)</f>
        <v>1.2195782658006438E-2</v>
      </c>
      <c r="G255" s="1"/>
      <c r="H255" s="1">
        <f>SUM(OSRRefH22_18x_0)</f>
        <v>4580.8599999999997</v>
      </c>
      <c r="I255" s="1"/>
      <c r="J255" s="5">
        <f t="shared" ref="J255:J259" si="114">IF(H$12=0,0,H255/H$12)</f>
        <v>1.3226345167053752E-2</v>
      </c>
      <c r="K255" s="1"/>
      <c r="L255" s="1">
        <f t="shared" ref="L255:L259" si="115">+D255-H255</f>
        <v>2894.91</v>
      </c>
      <c r="M255" s="1"/>
      <c r="N255" s="5">
        <f t="shared" ref="N255:N259" si="116">IF(H255=0,0,L255/H255)</f>
        <v>0.63195775465742243</v>
      </c>
      <c r="O255" s="12"/>
      <c r="P255" s="1">
        <f>SUM(OSRRefP22_18x_0)</f>
        <v>36137.660000000003</v>
      </c>
      <c r="Q255" s="1"/>
      <c r="R255" s="5">
        <f t="shared" ref="R255:R259" si="117">IF(P$12=0,0,P255/P$12)</f>
        <v>5.7509889663983575E-3</v>
      </c>
      <c r="S255" s="1"/>
      <c r="T255" s="1">
        <f>SUM(OSRRefT22_18x_0)</f>
        <v>41600.92</v>
      </c>
      <c r="U255" s="1"/>
      <c r="V255" s="5">
        <f t="shared" ref="V255:V259" si="118">IF(T$12=0,0,T255/T$12)</f>
        <v>3.9111024273186384E-3</v>
      </c>
      <c r="W255" s="1"/>
      <c r="X255" s="1">
        <f t="shared" ref="X255:X259" si="119">+P255-T255</f>
        <v>-5463.2599999999948</v>
      </c>
      <c r="Y255" s="1"/>
      <c r="Z255" s="5">
        <f t="shared" ref="Z255:Z259" si="120">IF(T255=0,0,X255/T255)</f>
        <v>-0.13132546107153387</v>
      </c>
    </row>
    <row r="256" spans="1:26" s="23" customFormat="1" hidden="1" outlineLevel="2" x14ac:dyDescent="0.25">
      <c r="A256" s="25"/>
      <c r="B256" s="10" t="str">
        <f>CONCATENATE("          ", "6282", " - ", "JANITORIAL/EXTERMINATOR EXPENS")</f>
        <v xml:space="preserve">          6282 - JANITORIAL/EXTERMINATOR EXPENS</v>
      </c>
      <c r="C256" s="10"/>
      <c r="D256" s="6">
        <v>453</v>
      </c>
      <c r="E256" s="2"/>
      <c r="F256" s="7">
        <f t="shared" si="113"/>
        <v>7.3901277648682562E-4</v>
      </c>
      <c r="G256" s="2"/>
      <c r="H256" s="6">
        <v>222.5</v>
      </c>
      <c r="I256" s="2"/>
      <c r="J256" s="7">
        <f t="shared" si="114"/>
        <v>6.4242561433212539E-4</v>
      </c>
      <c r="K256" s="2"/>
      <c r="L256" s="6">
        <f t="shared" si="115"/>
        <v>230.5</v>
      </c>
      <c r="M256" s="2"/>
      <c r="N256" s="7">
        <f t="shared" si="116"/>
        <v>1.0359550561797752</v>
      </c>
      <c r="O256" s="10"/>
      <c r="P256" s="6">
        <v>7406.12</v>
      </c>
      <c r="Q256" s="2"/>
      <c r="R256" s="7">
        <f t="shared" si="117"/>
        <v>1.1786184939429449E-3</v>
      </c>
      <c r="S256" s="2"/>
      <c r="T256" s="6">
        <v>2375.52</v>
      </c>
      <c r="U256" s="2"/>
      <c r="V256" s="7">
        <f t="shared" si="118"/>
        <v>2.2333405218307606E-4</v>
      </c>
      <c r="W256" s="2"/>
      <c r="X256" s="6">
        <f t="shared" si="119"/>
        <v>5030.6000000000004</v>
      </c>
      <c r="Y256" s="2"/>
      <c r="Z256" s="7">
        <f t="shared" si="120"/>
        <v>2.1176837071462251</v>
      </c>
    </row>
    <row r="257" spans="1:26" s="23" customFormat="1" hidden="1" outlineLevel="2" x14ac:dyDescent="0.25">
      <c r="A257" s="25"/>
      <c r="B257" s="10" t="str">
        <f>CONCATENATE("          ", "6283", " - ", "PLANT SERVICE")</f>
        <v xml:space="preserve">          6283 - PLANT SERVICE</v>
      </c>
      <c r="C257" s="10"/>
      <c r="D257" s="6"/>
      <c r="E257" s="2"/>
      <c r="F257" s="7">
        <f t="shared" si="113"/>
        <v>0</v>
      </c>
      <c r="G257" s="2"/>
      <c r="H257" s="6"/>
      <c r="I257" s="2"/>
      <c r="J257" s="7">
        <f t="shared" si="114"/>
        <v>0</v>
      </c>
      <c r="K257" s="2"/>
      <c r="L257" s="6">
        <f t="shared" si="115"/>
        <v>0</v>
      </c>
      <c r="M257" s="2"/>
      <c r="N257" s="7">
        <f t="shared" si="116"/>
        <v>0</v>
      </c>
      <c r="O257" s="10"/>
      <c r="P257" s="6">
        <v>171.31</v>
      </c>
      <c r="Q257" s="2"/>
      <c r="R257" s="7">
        <f t="shared" si="117"/>
        <v>2.7262471334162273E-5</v>
      </c>
      <c r="S257" s="2"/>
      <c r="T257" s="6">
        <v>541.98</v>
      </c>
      <c r="U257" s="2"/>
      <c r="V257" s="7">
        <f t="shared" si="118"/>
        <v>5.0954144609257579E-5</v>
      </c>
      <c r="W257" s="2"/>
      <c r="X257" s="6">
        <f t="shared" si="119"/>
        <v>-370.67</v>
      </c>
      <c r="Y257" s="2"/>
      <c r="Z257" s="7">
        <f t="shared" si="120"/>
        <v>-0.68391822576478833</v>
      </c>
    </row>
    <row r="258" spans="1:26" s="23" customFormat="1" hidden="1" outlineLevel="2" x14ac:dyDescent="0.25">
      <c r="A258" s="25"/>
      <c r="B258" s="10" t="str">
        <f>CONCATENATE("          ", "6284", " - ", "TRASH REMOVAL EXPENSE")</f>
        <v xml:space="preserve">          6284 - TRASH REMOVAL EXPENSE</v>
      </c>
      <c r="C258" s="10"/>
      <c r="D258" s="6">
        <v>142.57</v>
      </c>
      <c r="E258" s="2"/>
      <c r="F258" s="7">
        <f t="shared" si="113"/>
        <v>2.3258510274553362E-4</v>
      </c>
      <c r="G258" s="2"/>
      <c r="H258" s="6">
        <v>134.82</v>
      </c>
      <c r="I258" s="2"/>
      <c r="J258" s="7">
        <f t="shared" si="114"/>
        <v>3.8926661269329051E-4</v>
      </c>
      <c r="K258" s="2"/>
      <c r="L258" s="6">
        <f t="shared" si="115"/>
        <v>7.75</v>
      </c>
      <c r="M258" s="2"/>
      <c r="N258" s="7">
        <f t="shared" si="116"/>
        <v>5.7484052811155616E-2</v>
      </c>
      <c r="O258" s="10"/>
      <c r="P258" s="6">
        <v>1298.1500000000001</v>
      </c>
      <c r="Q258" s="2"/>
      <c r="R258" s="7">
        <f t="shared" si="117"/>
        <v>2.0658909090212336E-4</v>
      </c>
      <c r="S258" s="2"/>
      <c r="T258" s="6">
        <v>1213.3800000000001</v>
      </c>
      <c r="U258" s="2"/>
      <c r="V258" s="7">
        <f t="shared" si="118"/>
        <v>1.1407568542378126E-4</v>
      </c>
      <c r="W258" s="2"/>
      <c r="X258" s="6">
        <f t="shared" si="119"/>
        <v>84.769999999999982</v>
      </c>
      <c r="Y258" s="2"/>
      <c r="Z258" s="7">
        <f t="shared" si="120"/>
        <v>6.9862697588554262E-2</v>
      </c>
    </row>
    <row r="259" spans="1:26" s="23" customFormat="1" hidden="1" outlineLevel="2" x14ac:dyDescent="0.25">
      <c r="A259" s="25"/>
      <c r="B259" s="10" t="str">
        <f>CONCATENATE("          ", "6285", " - ", "JANITORIAL SERVICES")</f>
        <v xml:space="preserve">          6285 - JANITORIAL SERVICES</v>
      </c>
      <c r="C259" s="10"/>
      <c r="D259" s="6">
        <v>6880.2</v>
      </c>
      <c r="E259" s="2"/>
      <c r="F259" s="7">
        <f t="shared" si="113"/>
        <v>1.122418477877408E-2</v>
      </c>
      <c r="G259" s="2"/>
      <c r="H259" s="6">
        <v>4223.54</v>
      </c>
      <c r="I259" s="2"/>
      <c r="J259" s="7">
        <f t="shared" si="114"/>
        <v>1.2194652940028337E-2</v>
      </c>
      <c r="K259" s="2"/>
      <c r="L259" s="6">
        <f t="shared" si="115"/>
        <v>2656.66</v>
      </c>
      <c r="M259" s="2"/>
      <c r="N259" s="7">
        <f t="shared" si="116"/>
        <v>0.6290126292162499</v>
      </c>
      <c r="O259" s="10"/>
      <c r="P259" s="6">
        <v>27262.080000000002</v>
      </c>
      <c r="Q259" s="2"/>
      <c r="R259" s="7">
        <f t="shared" si="117"/>
        <v>4.338518910219127E-3</v>
      </c>
      <c r="S259" s="2"/>
      <c r="T259" s="6">
        <v>37470.04</v>
      </c>
      <c r="U259" s="2"/>
      <c r="V259" s="7">
        <f t="shared" si="118"/>
        <v>3.522738545102524E-3</v>
      </c>
      <c r="W259" s="2"/>
      <c r="X259" s="6">
        <f t="shared" si="119"/>
        <v>-10207.959999999999</v>
      </c>
      <c r="Y259" s="2"/>
      <c r="Z259" s="7">
        <f t="shared" si="120"/>
        <v>-0.27242992001076055</v>
      </c>
    </row>
    <row r="260" spans="1:26" s="26" customFormat="1" outlineLevel="1" collapsed="1" x14ac:dyDescent="0.25">
      <c r="A260" s="27"/>
      <c r="B260" s="12" t="str">
        <f>CONCATENATE("     ","Subscriptions &amp; Dues                              ")</f>
        <v xml:space="preserve">     Subscriptions &amp; Dues                              </v>
      </c>
      <c r="C260" s="12"/>
      <c r="D260" s="1">
        <f>SUM(OSRRefD22_19x_0)</f>
        <v>307.78999999999996</v>
      </c>
      <c r="E260" s="1"/>
      <c r="F260" s="5">
        <f t="shared" ref="F260:F262" si="121">IF(D$12=0,0,D260/D$12)</f>
        <v>5.0212084431540849E-4</v>
      </c>
      <c r="G260" s="1"/>
      <c r="H260" s="1">
        <f>SUM(OSRRefH22_19x_0)</f>
        <v>616.54</v>
      </c>
      <c r="I260" s="1"/>
      <c r="J260" s="5">
        <f t="shared" ref="J260:J262" si="122">IF(H$12=0,0,H260/H$12)</f>
        <v>1.7801397225183306E-3</v>
      </c>
      <c r="K260" s="1"/>
      <c r="L260" s="1">
        <f t="shared" ref="L260:L262" si="123">+D260-H260</f>
        <v>-308.75</v>
      </c>
      <c r="M260" s="1"/>
      <c r="N260" s="5">
        <f t="shared" ref="N260:N262" si="124">IF(H260=0,0,L260/H260)</f>
        <v>-0.50077853829435237</v>
      </c>
      <c r="O260" s="12"/>
      <c r="P260" s="1">
        <f>SUM(OSRRefP22_19x_0)</f>
        <v>4334.33</v>
      </c>
      <c r="Q260" s="1"/>
      <c r="R260" s="5">
        <f t="shared" ref="R260:R262" si="125">IF(P$12=0,0,P260/P$12)</f>
        <v>6.8977028415036809E-4</v>
      </c>
      <c r="S260" s="1"/>
      <c r="T260" s="1">
        <f>SUM(OSRRefT22_19x_0)</f>
        <v>35.269999999999982</v>
      </c>
      <c r="U260" s="1"/>
      <c r="V260" s="5">
        <f t="shared" ref="V260:V262" si="126">IF(T$12=0,0,T260/T$12)</f>
        <v>3.3159022110936085E-6</v>
      </c>
      <c r="W260" s="1"/>
      <c r="X260" s="1">
        <f t="shared" ref="X260:X262" si="127">+P260-T260</f>
        <v>4299.0599999999995</v>
      </c>
      <c r="Y260" s="1"/>
      <c r="Z260" s="5">
        <f t="shared" ref="Z260:Z262" si="128">IF(T260=0,0,X260/T260)</f>
        <v>121.88999149418774</v>
      </c>
    </row>
    <row r="261" spans="1:26" s="23" customFormat="1" hidden="1" outlineLevel="2" x14ac:dyDescent="0.25">
      <c r="A261" s="25"/>
      <c r="B261" s="10" t="str">
        <f>CONCATENATE("          ", "6258", " - ", "MEMBERSHIP DUES")</f>
        <v xml:space="preserve">          6258 - MEMBERSHIP DUES</v>
      </c>
      <c r="C261" s="10"/>
      <c r="D261" s="6">
        <v>232.79</v>
      </c>
      <c r="E261" s="2"/>
      <c r="F261" s="7">
        <f t="shared" si="121"/>
        <v>3.7976773562553676E-4</v>
      </c>
      <c r="G261" s="2"/>
      <c r="H261" s="6">
        <v>616.54</v>
      </c>
      <c r="I261" s="2"/>
      <c r="J261" s="7">
        <f t="shared" si="122"/>
        <v>1.7801397225183306E-3</v>
      </c>
      <c r="K261" s="2"/>
      <c r="L261" s="6">
        <f t="shared" si="123"/>
        <v>-383.75</v>
      </c>
      <c r="M261" s="2"/>
      <c r="N261" s="7">
        <f t="shared" si="124"/>
        <v>-0.62242514678690763</v>
      </c>
      <c r="O261" s="10"/>
      <c r="P261" s="6">
        <v>2106.52</v>
      </c>
      <c r="Q261" s="2"/>
      <c r="R261" s="7">
        <f t="shared" si="125"/>
        <v>3.3523402670503479E-4</v>
      </c>
      <c r="S261" s="2"/>
      <c r="T261" s="6">
        <v>-830.09</v>
      </c>
      <c r="U261" s="2"/>
      <c r="V261" s="7">
        <f t="shared" si="126"/>
        <v>-7.8040750394292458E-5</v>
      </c>
      <c r="W261" s="2"/>
      <c r="X261" s="6">
        <f t="shared" si="127"/>
        <v>2936.61</v>
      </c>
      <c r="Y261" s="2"/>
      <c r="Z261" s="7">
        <f t="shared" si="128"/>
        <v>-3.5377007312460096</v>
      </c>
    </row>
    <row r="262" spans="1:26" s="23" customFormat="1" hidden="1" outlineLevel="2" x14ac:dyDescent="0.25">
      <c r="A262" s="25"/>
      <c r="B262" s="10" t="str">
        <f>CONCATENATE("          ", "6275", " - ", "SUBSCRIPTIONS")</f>
        <v xml:space="preserve">          6275 - SUBSCRIPTIONS</v>
      </c>
      <c r="C262" s="10"/>
      <c r="D262" s="6">
        <v>75</v>
      </c>
      <c r="E262" s="2"/>
      <c r="F262" s="7">
        <f t="shared" si="121"/>
        <v>1.2235310868987181E-4</v>
      </c>
      <c r="G262" s="2"/>
      <c r="H262" s="6"/>
      <c r="I262" s="2"/>
      <c r="J262" s="7">
        <f t="shared" si="122"/>
        <v>0</v>
      </c>
      <c r="K262" s="2"/>
      <c r="L262" s="6">
        <f t="shared" si="123"/>
        <v>75</v>
      </c>
      <c r="M262" s="2"/>
      <c r="N262" s="7">
        <f t="shared" si="124"/>
        <v>0</v>
      </c>
      <c r="O262" s="10"/>
      <c r="P262" s="6">
        <v>2227.81</v>
      </c>
      <c r="Q262" s="2"/>
      <c r="R262" s="7">
        <f t="shared" si="125"/>
        <v>3.545362574453333E-4</v>
      </c>
      <c r="S262" s="2"/>
      <c r="T262" s="6">
        <v>865.36</v>
      </c>
      <c r="U262" s="2"/>
      <c r="V262" s="7">
        <f t="shared" si="126"/>
        <v>8.1356652605386071E-5</v>
      </c>
      <c r="W262" s="2"/>
      <c r="X262" s="6">
        <f t="shared" si="127"/>
        <v>1362.4499999999998</v>
      </c>
      <c r="Y262" s="2"/>
      <c r="Z262" s="7">
        <f t="shared" si="128"/>
        <v>1.5744314504945915</v>
      </c>
    </row>
    <row r="263" spans="1:26" s="26" customFormat="1" outlineLevel="1" collapsed="1" x14ac:dyDescent="0.25">
      <c r="A263" s="27"/>
      <c r="B263" s="12" t="str">
        <f>CONCATENATE("     ","Supplies                                          ")</f>
        <v xml:space="preserve">     Supplies                                          </v>
      </c>
      <c r="C263" s="12"/>
      <c r="D263" s="1">
        <f>SUM(OSRRefD22_20x_0)</f>
        <v>5831.1500000000005</v>
      </c>
      <c r="E263" s="1"/>
      <c r="F263" s="5">
        <f t="shared" ref="F263:F270" si="129">IF(D$12=0,0,D263/D$12)</f>
        <v>9.5127910631592795E-3</v>
      </c>
      <c r="G263" s="1"/>
      <c r="H263" s="1">
        <f>SUM(OSRRefH22_20x_0)</f>
        <v>11929.24</v>
      </c>
      <c r="I263" s="1"/>
      <c r="J263" s="5">
        <f t="shared" ref="J263:J270" si="130">IF(H$12=0,0,H263/H$12)</f>
        <v>3.4443367800069048E-2</v>
      </c>
      <c r="K263" s="1"/>
      <c r="L263" s="1">
        <f t="shared" ref="L263:L270" si="131">+D263-H263</f>
        <v>-6098.0899999999992</v>
      </c>
      <c r="M263" s="1"/>
      <c r="N263" s="5">
        <f t="shared" ref="N263:N270" si="132">IF(H263=0,0,L263/H263)</f>
        <v>-0.51118847470584872</v>
      </c>
      <c r="O263" s="12"/>
      <c r="P263" s="1">
        <f>SUM(OSRRefP22_20x_0)</f>
        <v>106816.36</v>
      </c>
      <c r="Q263" s="1"/>
      <c r="R263" s="5">
        <f t="shared" ref="R263:R270" si="133">IF(P$12=0,0,P263/P$12)</f>
        <v>1.6998878947636201E-2</v>
      </c>
      <c r="S263" s="1"/>
      <c r="T263" s="1">
        <f>SUM(OSRRefT22_20x_0)</f>
        <v>86281.63</v>
      </c>
      <c r="U263" s="1"/>
      <c r="V263" s="5">
        <f t="shared" ref="V263:V270" si="134">IF(T$12=0,0,T263/T$12)</f>
        <v>8.1117507143113349E-3</v>
      </c>
      <c r="W263" s="1"/>
      <c r="X263" s="1">
        <f t="shared" ref="X263:X270" si="135">+P263-T263</f>
        <v>20534.729999999996</v>
      </c>
      <c r="Y263" s="1"/>
      <c r="Z263" s="5">
        <f t="shared" ref="Z263:Z270" si="136">IF(T263=0,0,X263/T263)</f>
        <v>0.23799654688952904</v>
      </c>
    </row>
    <row r="264" spans="1:26" s="23" customFormat="1" hidden="1" outlineLevel="2" x14ac:dyDescent="0.25">
      <c r="A264" s="25"/>
      <c r="B264" s="10" t="str">
        <f>CONCATENATE("          ", "6234", " - ", "EXPENDABLE SUPPLIES &amp; EQUIPMEN")</f>
        <v xml:space="preserve">          6234 - EXPENDABLE SUPPLIES &amp; EQUIPMEN</v>
      </c>
      <c r="C264" s="10"/>
      <c r="D264" s="6">
        <v>1733.49</v>
      </c>
      <c r="E264" s="2"/>
      <c r="F264" s="7">
        <f t="shared" si="129"/>
        <v>2.8279718717707449E-3</v>
      </c>
      <c r="G264" s="2"/>
      <c r="H264" s="6">
        <v>140.75</v>
      </c>
      <c r="I264" s="2"/>
      <c r="J264" s="7">
        <f t="shared" si="130"/>
        <v>4.0638833805504114E-4</v>
      </c>
      <c r="K264" s="2"/>
      <c r="L264" s="6">
        <f t="shared" si="131"/>
        <v>1592.74</v>
      </c>
      <c r="M264" s="2"/>
      <c r="N264" s="7">
        <f t="shared" si="132"/>
        <v>11.316092362344582</v>
      </c>
      <c r="O264" s="10"/>
      <c r="P264" s="6">
        <v>1680.65</v>
      </c>
      <c r="Q264" s="2"/>
      <c r="R264" s="7">
        <f t="shared" si="133"/>
        <v>2.6746058284840248E-4</v>
      </c>
      <c r="S264" s="2"/>
      <c r="T264" s="6">
        <v>3301.7</v>
      </c>
      <c r="U264" s="2"/>
      <c r="V264" s="7">
        <f t="shared" si="134"/>
        <v>3.1040868529537202E-4</v>
      </c>
      <c r="W264" s="2"/>
      <c r="X264" s="6">
        <f t="shared" si="135"/>
        <v>-1621.0499999999997</v>
      </c>
      <c r="Y264" s="2"/>
      <c r="Z264" s="7">
        <f t="shared" si="136"/>
        <v>-0.49097434654874755</v>
      </c>
    </row>
    <row r="265" spans="1:26" s="23" customFormat="1" hidden="1" outlineLevel="2" x14ac:dyDescent="0.25">
      <c r="A265" s="25"/>
      <c r="B265" s="10" t="str">
        <f>CONCATENATE("          ", "6235", " - ", "COVID-19 EXPENSES")</f>
        <v xml:space="preserve">          6235 - COVID-19 EXPENSES</v>
      </c>
      <c r="C265" s="10"/>
      <c r="D265" s="6">
        <v>370.83</v>
      </c>
      <c r="E265" s="2"/>
      <c r="F265" s="7">
        <f t="shared" si="129"/>
        <v>6.0496271060620215E-4</v>
      </c>
      <c r="G265" s="2"/>
      <c r="H265" s="6"/>
      <c r="I265" s="2"/>
      <c r="J265" s="7">
        <f t="shared" si="130"/>
        <v>0</v>
      </c>
      <c r="K265" s="2"/>
      <c r="L265" s="6">
        <f t="shared" si="131"/>
        <v>370.83</v>
      </c>
      <c r="M265" s="2"/>
      <c r="N265" s="7">
        <f t="shared" si="132"/>
        <v>0</v>
      </c>
      <c r="O265" s="10"/>
      <c r="P265" s="6">
        <v>38330.120000000003</v>
      </c>
      <c r="Q265" s="2"/>
      <c r="R265" s="7">
        <f t="shared" si="133"/>
        <v>6.0998995839997667E-3</v>
      </c>
      <c r="S265" s="2"/>
      <c r="T265" s="6"/>
      <c r="U265" s="2"/>
      <c r="V265" s="7">
        <f t="shared" si="134"/>
        <v>0</v>
      </c>
      <c r="W265" s="2"/>
      <c r="X265" s="6">
        <f t="shared" si="135"/>
        <v>38330.120000000003</v>
      </c>
      <c r="Y265" s="2"/>
      <c r="Z265" s="7">
        <f t="shared" si="136"/>
        <v>0</v>
      </c>
    </row>
    <row r="266" spans="1:26" s="23" customFormat="1" hidden="1" outlineLevel="2" x14ac:dyDescent="0.25">
      <c r="A266" s="25"/>
      <c r="B266" s="10" t="str">
        <f>CONCATENATE("          ", "6237", " - ", "JANITORIAL SUPPLIES")</f>
        <v xml:space="preserve">          6237 - JANITORIAL SUPPLIES</v>
      </c>
      <c r="C266" s="10"/>
      <c r="D266" s="6">
        <v>637.59</v>
      </c>
      <c r="E266" s="2"/>
      <c r="F266" s="7">
        <f t="shared" si="129"/>
        <v>1.0401482475943381E-3</v>
      </c>
      <c r="G266" s="2"/>
      <c r="H266" s="6">
        <v>470.52</v>
      </c>
      <c r="I266" s="2"/>
      <c r="J266" s="7">
        <f t="shared" si="130"/>
        <v>1.3585352811485466E-3</v>
      </c>
      <c r="K266" s="2"/>
      <c r="L266" s="6">
        <f t="shared" si="131"/>
        <v>167.07000000000005</v>
      </c>
      <c r="M266" s="2"/>
      <c r="N266" s="7">
        <f t="shared" si="132"/>
        <v>0.35507523590920698</v>
      </c>
      <c r="O266" s="10"/>
      <c r="P266" s="6">
        <v>2901.24</v>
      </c>
      <c r="Q266" s="2"/>
      <c r="R266" s="7">
        <f t="shared" si="133"/>
        <v>4.6170668573652994E-4</v>
      </c>
      <c r="S266" s="2"/>
      <c r="T266" s="6">
        <v>4822.6499999999996</v>
      </c>
      <c r="U266" s="2"/>
      <c r="V266" s="7">
        <f t="shared" si="134"/>
        <v>4.5340050463086467E-4</v>
      </c>
      <c r="W266" s="2"/>
      <c r="X266" s="6">
        <f t="shared" si="135"/>
        <v>-1921.4099999999999</v>
      </c>
      <c r="Y266" s="2"/>
      <c r="Z266" s="7">
        <f t="shared" si="136"/>
        <v>-0.39841373518708595</v>
      </c>
    </row>
    <row r="267" spans="1:26" s="23" customFormat="1" hidden="1" outlineLevel="2" x14ac:dyDescent="0.25">
      <c r="A267" s="25"/>
      <c r="B267" s="10" t="str">
        <f>CONCATENATE("          ", "6241", " - ", "OFFICE EXPENSE")</f>
        <v xml:space="preserve">          6241 - OFFICE EXPENSE</v>
      </c>
      <c r="C267" s="10"/>
      <c r="D267" s="6">
        <v>496.61</v>
      </c>
      <c r="E267" s="2"/>
      <c r="F267" s="7">
        <f t="shared" si="129"/>
        <v>8.1015703075302983E-4</v>
      </c>
      <c r="G267" s="2"/>
      <c r="H267" s="6">
        <v>730.26</v>
      </c>
      <c r="I267" s="2"/>
      <c r="J267" s="7">
        <f t="shared" si="130"/>
        <v>2.1084841758300128E-3</v>
      </c>
      <c r="K267" s="2"/>
      <c r="L267" s="6">
        <f t="shared" si="131"/>
        <v>-233.64999999999998</v>
      </c>
      <c r="M267" s="2"/>
      <c r="N267" s="7">
        <f t="shared" si="132"/>
        <v>-0.31995453674033902</v>
      </c>
      <c r="O267" s="10"/>
      <c r="P267" s="6">
        <v>11763.64</v>
      </c>
      <c r="Q267" s="2"/>
      <c r="R267" s="7">
        <f t="shared" si="133"/>
        <v>1.8720792614873893E-3</v>
      </c>
      <c r="S267" s="2"/>
      <c r="T267" s="6">
        <v>23531.73</v>
      </c>
      <c r="U267" s="2"/>
      <c r="V267" s="7">
        <f t="shared" si="134"/>
        <v>2.2123310331119317E-3</v>
      </c>
      <c r="W267" s="2"/>
      <c r="X267" s="6">
        <f t="shared" si="135"/>
        <v>-11768.09</v>
      </c>
      <c r="Y267" s="2"/>
      <c r="Z267" s="7">
        <f t="shared" si="136"/>
        <v>-0.50009455318414753</v>
      </c>
    </row>
    <row r="268" spans="1:26" s="23" customFormat="1" hidden="1" outlineLevel="2" x14ac:dyDescent="0.25">
      <c r="A268" s="25"/>
      <c r="B268" s="10" t="str">
        <f>CONCATENATE("          ", "6243", " - ", "PAPER SUPPLIES")</f>
        <v xml:space="preserve">          6243 - PAPER SUPPLIES</v>
      </c>
      <c r="C268" s="10"/>
      <c r="D268" s="6">
        <v>309.25</v>
      </c>
      <c r="E268" s="2"/>
      <c r="F268" s="7">
        <f t="shared" si="129"/>
        <v>5.0450265149790477E-4</v>
      </c>
      <c r="G268" s="2"/>
      <c r="H268" s="6">
        <v>5529.37</v>
      </c>
      <c r="I268" s="2"/>
      <c r="J268" s="7">
        <f t="shared" si="130"/>
        <v>1.5964983906155614E-2</v>
      </c>
      <c r="K268" s="2"/>
      <c r="L268" s="6">
        <f t="shared" si="131"/>
        <v>-5220.12</v>
      </c>
      <c r="M268" s="2"/>
      <c r="N268" s="7">
        <f t="shared" si="132"/>
        <v>-0.94407138607110752</v>
      </c>
      <c r="O268" s="10"/>
      <c r="P268" s="6">
        <v>6482.65</v>
      </c>
      <c r="Q268" s="2"/>
      <c r="R268" s="7">
        <f t="shared" si="133"/>
        <v>1.0316564111517543E-3</v>
      </c>
      <c r="S268" s="2"/>
      <c r="T268" s="6">
        <v>17096.919999999998</v>
      </c>
      <c r="U268" s="2"/>
      <c r="V268" s="7">
        <f t="shared" si="134"/>
        <v>1.6073636186813313E-3</v>
      </c>
      <c r="W268" s="2"/>
      <c r="X268" s="6">
        <f t="shared" si="135"/>
        <v>-10614.269999999999</v>
      </c>
      <c r="Y268" s="2"/>
      <c r="Z268" s="7">
        <f t="shared" si="136"/>
        <v>-0.62082936575710712</v>
      </c>
    </row>
    <row r="269" spans="1:26" s="23" customFormat="1" hidden="1" outlineLevel="2" x14ac:dyDescent="0.25">
      <c r="A269" s="25"/>
      <c r="B269" s="10" t="str">
        <f>CONCATENATE("          ", "6245", " - ", "PRINTING")</f>
        <v xml:space="preserve">          6245 - PRINTING</v>
      </c>
      <c r="C269" s="10"/>
      <c r="D269" s="6">
        <v>447.27</v>
      </c>
      <c r="E269" s="2"/>
      <c r="F269" s="7">
        <f t="shared" si="129"/>
        <v>7.2966499898291948E-4</v>
      </c>
      <c r="G269" s="2"/>
      <c r="H269" s="6">
        <v>289.75</v>
      </c>
      <c r="I269" s="2"/>
      <c r="J269" s="7">
        <f t="shared" si="130"/>
        <v>8.3659695169767791E-4</v>
      </c>
      <c r="K269" s="2"/>
      <c r="L269" s="6">
        <f t="shared" si="131"/>
        <v>157.51999999999998</v>
      </c>
      <c r="M269" s="2"/>
      <c r="N269" s="7">
        <f t="shared" si="132"/>
        <v>0.54364106988783423</v>
      </c>
      <c r="O269" s="10"/>
      <c r="P269" s="6">
        <v>1354.21</v>
      </c>
      <c r="Q269" s="2"/>
      <c r="R269" s="7">
        <f t="shared" si="133"/>
        <v>2.1551054407469437E-4</v>
      </c>
      <c r="S269" s="2"/>
      <c r="T269" s="6">
        <v>10076.35</v>
      </c>
      <c r="U269" s="2"/>
      <c r="V269" s="7">
        <f t="shared" si="134"/>
        <v>9.4732609143048196E-4</v>
      </c>
      <c r="W269" s="2"/>
      <c r="X269" s="6">
        <f t="shared" si="135"/>
        <v>-8722.14</v>
      </c>
      <c r="Y269" s="2"/>
      <c r="Z269" s="7">
        <f t="shared" si="136"/>
        <v>-0.86560510502314814</v>
      </c>
    </row>
    <row r="270" spans="1:26" s="23" customFormat="1" hidden="1" outlineLevel="2" x14ac:dyDescent="0.25">
      <c r="A270" s="25"/>
      <c r="B270" s="10" t="str">
        <f>CONCATENATE("          ", "6247", " - ", "STORE SUPPLIES")</f>
        <v xml:space="preserve">          6247 - STORE SUPPLIES</v>
      </c>
      <c r="C270" s="10"/>
      <c r="D270" s="6">
        <v>1836.11</v>
      </c>
      <c r="E270" s="2"/>
      <c r="F270" s="7">
        <f t="shared" si="129"/>
        <v>2.9953835519541398E-3</v>
      </c>
      <c r="G270" s="2"/>
      <c r="H270" s="6">
        <v>4768.59</v>
      </c>
      <c r="I270" s="2"/>
      <c r="J270" s="7">
        <f t="shared" si="130"/>
        <v>1.3768379147182156E-2</v>
      </c>
      <c r="K270" s="2"/>
      <c r="L270" s="6">
        <f t="shared" si="131"/>
        <v>-2932.4800000000005</v>
      </c>
      <c r="M270" s="2"/>
      <c r="N270" s="7">
        <f t="shared" si="132"/>
        <v>-0.61495746122019301</v>
      </c>
      <c r="O270" s="10"/>
      <c r="P270" s="6">
        <v>44303.85</v>
      </c>
      <c r="Q270" s="2"/>
      <c r="R270" s="7">
        <f t="shared" si="133"/>
        <v>7.0505658783376638E-3</v>
      </c>
      <c r="S270" s="2"/>
      <c r="T270" s="6">
        <v>27452.28</v>
      </c>
      <c r="U270" s="2"/>
      <c r="V270" s="7">
        <f t="shared" si="134"/>
        <v>2.5809207811613522E-3</v>
      </c>
      <c r="W270" s="2"/>
      <c r="X270" s="6">
        <f t="shared" si="135"/>
        <v>16851.57</v>
      </c>
      <c r="Y270" s="2"/>
      <c r="Z270" s="7">
        <f t="shared" si="136"/>
        <v>0.61384956003654345</v>
      </c>
    </row>
    <row r="271" spans="1:26" s="26" customFormat="1" outlineLevel="1" collapsed="1" x14ac:dyDescent="0.25">
      <c r="A271" s="27"/>
      <c r="B271" s="12" t="str">
        <f>CONCATENATE("     ","Telephone/Data Lines                              ")</f>
        <v xml:space="preserve">     Telephone/Data Lines                              </v>
      </c>
      <c r="C271" s="12"/>
      <c r="D271" s="1">
        <f>SUM(OSRRefD22_21x_0)</f>
        <v>1714.92</v>
      </c>
      <c r="E271" s="1"/>
      <c r="F271" s="5">
        <f t="shared" ref="F271:F273" si="137">IF(D$12=0,0,D271/D$12)</f>
        <v>2.7976772420591329E-3</v>
      </c>
      <c r="G271" s="1"/>
      <c r="H271" s="1">
        <f>SUM(OSRRefH22_21x_0)</f>
        <v>1359.61</v>
      </c>
      <c r="I271" s="1"/>
      <c r="J271" s="5">
        <f t="shared" ref="J271:J273" si="138">IF(H$12=0,0,H271/H$12)</f>
        <v>3.9256102898970833E-3</v>
      </c>
      <c r="K271" s="1"/>
      <c r="L271" s="1">
        <f t="shared" ref="L271:L273" si="139">+D271-H271</f>
        <v>355.31000000000017</v>
      </c>
      <c r="M271" s="1"/>
      <c r="N271" s="5">
        <f t="shared" ref="N271:N273" si="140">IF(H271=0,0,L271/H271)</f>
        <v>0.26133229381955136</v>
      </c>
      <c r="O271" s="12"/>
      <c r="P271" s="1">
        <f>SUM(OSRRefP22_21x_0)</f>
        <v>22474.92</v>
      </c>
      <c r="Q271" s="1"/>
      <c r="R271" s="5">
        <f t="shared" ref="R271:R273" si="141">IF(P$12=0,0,P271/P$12)</f>
        <v>3.5766847366621346E-3</v>
      </c>
      <c r="S271" s="1"/>
      <c r="T271" s="1">
        <f>SUM(OSRRefT22_21x_0)</f>
        <v>24868.66</v>
      </c>
      <c r="U271" s="1"/>
      <c r="V271" s="5">
        <f t="shared" ref="V271:V273" si="142">IF(T$12=0,0,T271/T$12)</f>
        <v>2.3380222478291812E-3</v>
      </c>
      <c r="W271" s="1"/>
      <c r="X271" s="1">
        <f t="shared" ref="X271:X273" si="143">+P271-T271</f>
        <v>-2393.7400000000016</v>
      </c>
      <c r="Y271" s="1"/>
      <c r="Z271" s="5">
        <f t="shared" ref="Z271:Z273" si="144">IF(T271=0,0,X271/T271)</f>
        <v>-9.6255286774599103E-2</v>
      </c>
    </row>
    <row r="272" spans="1:26" s="23" customFormat="1" hidden="1" outlineLevel="2" x14ac:dyDescent="0.25">
      <c r="A272" s="25"/>
      <c r="B272" s="10" t="str">
        <f>CONCATENATE("          ", "6303", " - ", "DATA PHONE LINES")</f>
        <v xml:space="preserve">          6303 - DATA PHONE LINES</v>
      </c>
      <c r="C272" s="10"/>
      <c r="D272" s="6"/>
      <c r="E272" s="2"/>
      <c r="F272" s="7">
        <f t="shared" si="137"/>
        <v>0</v>
      </c>
      <c r="G272" s="2"/>
      <c r="H272" s="6"/>
      <c r="I272" s="2"/>
      <c r="J272" s="7">
        <f t="shared" si="138"/>
        <v>0</v>
      </c>
      <c r="K272" s="2"/>
      <c r="L272" s="6">
        <f t="shared" si="139"/>
        <v>0</v>
      </c>
      <c r="M272" s="2"/>
      <c r="N272" s="7">
        <f t="shared" si="140"/>
        <v>0</v>
      </c>
      <c r="O272" s="10"/>
      <c r="P272" s="6">
        <v>2950</v>
      </c>
      <c r="Q272" s="2"/>
      <c r="R272" s="7">
        <f t="shared" si="141"/>
        <v>4.6946640847457066E-4</v>
      </c>
      <c r="S272" s="2"/>
      <c r="T272" s="6">
        <v>2360</v>
      </c>
      <c r="U272" s="2"/>
      <c r="V272" s="7">
        <f t="shared" si="142"/>
        <v>2.2187494239242755E-4</v>
      </c>
      <c r="W272" s="2"/>
      <c r="X272" s="6">
        <f t="shared" si="143"/>
        <v>590</v>
      </c>
      <c r="Y272" s="2"/>
      <c r="Z272" s="7">
        <f t="shared" si="144"/>
        <v>0.25</v>
      </c>
    </row>
    <row r="273" spans="1:26" s="23" customFormat="1" hidden="1" outlineLevel="2" x14ac:dyDescent="0.25">
      <c r="A273" s="25"/>
      <c r="B273" s="10" t="str">
        <f>CONCATENATE("          ", "6309", " - ", "TELEPHONE")</f>
        <v xml:space="preserve">          6309 - TELEPHONE</v>
      </c>
      <c r="C273" s="10"/>
      <c r="D273" s="6">
        <v>1714.92</v>
      </c>
      <c r="E273" s="2"/>
      <c r="F273" s="7">
        <f t="shared" si="137"/>
        <v>2.7976772420591329E-3</v>
      </c>
      <c r="G273" s="2"/>
      <c r="H273" s="6">
        <v>1359.61</v>
      </c>
      <c r="I273" s="2"/>
      <c r="J273" s="7">
        <f t="shared" si="138"/>
        <v>3.9256102898970833E-3</v>
      </c>
      <c r="K273" s="2"/>
      <c r="L273" s="6">
        <f t="shared" si="139"/>
        <v>355.31000000000017</v>
      </c>
      <c r="M273" s="2"/>
      <c r="N273" s="7">
        <f t="shared" si="140"/>
        <v>0.26133229381955136</v>
      </c>
      <c r="O273" s="10"/>
      <c r="P273" s="6">
        <v>19524.919999999998</v>
      </c>
      <c r="Q273" s="2"/>
      <c r="R273" s="7">
        <f t="shared" si="141"/>
        <v>3.1072183281875641E-3</v>
      </c>
      <c r="S273" s="2"/>
      <c r="T273" s="6">
        <v>22508.66</v>
      </c>
      <c r="U273" s="2"/>
      <c r="V273" s="7">
        <f t="shared" si="142"/>
        <v>2.1161473054367537E-3</v>
      </c>
      <c r="W273" s="2"/>
      <c r="X273" s="6">
        <f t="shared" si="143"/>
        <v>-2983.7400000000016</v>
      </c>
      <c r="Y273" s="2"/>
      <c r="Z273" s="7">
        <f t="shared" si="144"/>
        <v>-0.13255964593183253</v>
      </c>
    </row>
    <row r="274" spans="1:26" s="26" customFormat="1" outlineLevel="1" collapsed="1" x14ac:dyDescent="0.25">
      <c r="A274" s="27"/>
      <c r="B274" s="12" t="str">
        <f>CONCATENATE("     ","Training                                          ")</f>
        <v xml:space="preserve">     Training                                          </v>
      </c>
      <c r="C274" s="12"/>
      <c r="D274" s="1">
        <f>SUM(OSRRefD22_22x_0)</f>
        <v>0</v>
      </c>
      <c r="E274" s="1"/>
      <c r="F274" s="5">
        <f t="shared" ref="F274:F279" si="145">IF(D$12=0,0,D274/D$12)</f>
        <v>0</v>
      </c>
      <c r="G274" s="1"/>
      <c r="H274" s="1">
        <f>SUM(OSRRefH22_22x_0)</f>
        <v>5044.2</v>
      </c>
      <c r="I274" s="1"/>
      <c r="J274" s="5">
        <f t="shared" ref="J274:J279" si="146">IF(H$12=0,0,H274/H$12)</f>
        <v>1.4564149590175761E-2</v>
      </c>
      <c r="K274" s="1"/>
      <c r="L274" s="1">
        <f t="shared" ref="L274:L279" si="147">+D274-H274</f>
        <v>-5044.2</v>
      </c>
      <c r="M274" s="1"/>
      <c r="N274" s="5">
        <f t="shared" ref="N274:N279" si="148">IF(H274=0,0,L274/H274)</f>
        <v>-1</v>
      </c>
      <c r="O274" s="12"/>
      <c r="P274" s="1">
        <f>SUM(OSRRefP22_22x_0)</f>
        <v>995.63</v>
      </c>
      <c r="Q274" s="1"/>
      <c r="R274" s="5">
        <f t="shared" ref="R274:R279" si="149">IF(P$12=0,0,P274/P$12)</f>
        <v>1.5844570856594467E-4</v>
      </c>
      <c r="S274" s="1"/>
      <c r="T274" s="1">
        <f>SUM(OSRRefT22_22x_0)</f>
        <v>22242.63</v>
      </c>
      <c r="U274" s="1"/>
      <c r="V274" s="5">
        <f t="shared" ref="V274:V279" si="150">IF(T$12=0,0,T274/T$12)</f>
        <v>2.0911365465703735E-3</v>
      </c>
      <c r="W274" s="1"/>
      <c r="X274" s="1">
        <f t="shared" ref="X274:X279" si="151">+P274-T274</f>
        <v>-21247</v>
      </c>
      <c r="Y274" s="1"/>
      <c r="Z274" s="5">
        <f t="shared" ref="Z274:Z279" si="152">IF(T274=0,0,X274/T274)</f>
        <v>-0.95523775740548666</v>
      </c>
    </row>
    <row r="275" spans="1:26" s="23" customFormat="1" hidden="1" outlineLevel="2" x14ac:dyDescent="0.25">
      <c r="A275" s="25"/>
      <c r="B275" s="10" t="str">
        <f>CONCATENATE("          ", "6376", " - ", "TRAINING")</f>
        <v xml:space="preserve">          6376 - TRAINING</v>
      </c>
      <c r="C275" s="10"/>
      <c r="D275" s="6"/>
      <c r="E275" s="2"/>
      <c r="F275" s="7">
        <f t="shared" si="145"/>
        <v>0</v>
      </c>
      <c r="G275" s="2"/>
      <c r="H275" s="6">
        <v>5044.2</v>
      </c>
      <c r="I275" s="2"/>
      <c r="J275" s="7">
        <f t="shared" si="146"/>
        <v>1.4564149590175761E-2</v>
      </c>
      <c r="K275" s="2"/>
      <c r="L275" s="6">
        <f t="shared" si="147"/>
        <v>-5044.2</v>
      </c>
      <c r="M275" s="2"/>
      <c r="N275" s="7">
        <f t="shared" si="148"/>
        <v>-1</v>
      </c>
      <c r="O275" s="10"/>
      <c r="P275" s="6">
        <v>995.63</v>
      </c>
      <c r="Q275" s="2"/>
      <c r="R275" s="7">
        <f t="shared" si="149"/>
        <v>1.5844570856594467E-4</v>
      </c>
      <c r="S275" s="2"/>
      <c r="T275" s="6">
        <v>22242.63</v>
      </c>
      <c r="U275" s="2"/>
      <c r="V275" s="7">
        <f t="shared" si="150"/>
        <v>2.0911365465703735E-3</v>
      </c>
      <c r="W275" s="2"/>
      <c r="X275" s="6">
        <f t="shared" si="151"/>
        <v>-21247</v>
      </c>
      <c r="Y275" s="2"/>
      <c r="Z275" s="7">
        <f t="shared" si="152"/>
        <v>-0.95523775740548666</v>
      </c>
    </row>
    <row r="276" spans="1:26" s="26" customFormat="1" outlineLevel="1" collapsed="1" x14ac:dyDescent="0.25">
      <c r="A276" s="27"/>
      <c r="B276" s="12" t="str">
        <f>CONCATENATE("     ","Travel                                            ")</f>
        <v xml:space="preserve">     Travel                                            </v>
      </c>
      <c r="C276" s="12"/>
      <c r="D276" s="1">
        <f>SUM(OSRRefD22_23x_0)</f>
        <v>93.02</v>
      </c>
      <c r="E276" s="1"/>
      <c r="F276" s="5">
        <f t="shared" si="145"/>
        <v>1.5175048227109166E-4</v>
      </c>
      <c r="G276" s="1"/>
      <c r="H276" s="1">
        <f>SUM(OSRRefH22_23x_0)</f>
        <v>160.16999999999999</v>
      </c>
      <c r="I276" s="1"/>
      <c r="J276" s="5">
        <f t="shared" si="146"/>
        <v>4.6245982313517533E-4</v>
      </c>
      <c r="K276" s="1"/>
      <c r="L276" s="1">
        <f t="shared" si="147"/>
        <v>-67.149999999999991</v>
      </c>
      <c r="M276" s="1"/>
      <c r="N276" s="5">
        <f t="shared" si="148"/>
        <v>-0.41924205531622649</v>
      </c>
      <c r="O276" s="12"/>
      <c r="P276" s="1">
        <f>SUM(OSRRefP22_23x_0)</f>
        <v>903.33</v>
      </c>
      <c r="Q276" s="1"/>
      <c r="R276" s="5">
        <f t="shared" si="149"/>
        <v>1.4375697992113014E-4</v>
      </c>
      <c r="S276" s="1"/>
      <c r="T276" s="1">
        <f>SUM(OSRRefT22_23x_0)</f>
        <v>1054.28</v>
      </c>
      <c r="U276" s="1"/>
      <c r="V276" s="5">
        <f t="shared" si="150"/>
        <v>9.9117929773512081E-5</v>
      </c>
      <c r="W276" s="1"/>
      <c r="X276" s="1">
        <f t="shared" si="151"/>
        <v>-150.94999999999993</v>
      </c>
      <c r="Y276" s="1"/>
      <c r="Z276" s="5">
        <f t="shared" si="152"/>
        <v>-0.14317828280912084</v>
      </c>
    </row>
    <row r="277" spans="1:26" s="23" customFormat="1" hidden="1" outlineLevel="2" x14ac:dyDescent="0.25">
      <c r="A277" s="25"/>
      <c r="B277" s="10" t="str">
        <f>CONCATENATE("          ", "6292", " - ", "TRAVEL/CONFERENCE")</f>
        <v xml:space="preserve">          6292 - TRAVEL/CONFERENCE</v>
      </c>
      <c r="C277" s="10"/>
      <c r="D277" s="6"/>
      <c r="E277" s="2"/>
      <c r="F277" s="7">
        <f t="shared" si="145"/>
        <v>0</v>
      </c>
      <c r="G277" s="2"/>
      <c r="H277" s="6">
        <v>91.1</v>
      </c>
      <c r="I277" s="2"/>
      <c r="J277" s="7">
        <f t="shared" si="146"/>
        <v>2.6303358860969264E-4</v>
      </c>
      <c r="K277" s="2"/>
      <c r="L277" s="6">
        <f t="shared" si="147"/>
        <v>-91.1</v>
      </c>
      <c r="M277" s="2"/>
      <c r="N277" s="7">
        <f t="shared" si="148"/>
        <v>-1</v>
      </c>
      <c r="O277" s="10"/>
      <c r="P277" s="6">
        <v>299.16000000000003</v>
      </c>
      <c r="Q277" s="2"/>
      <c r="R277" s="7">
        <f t="shared" si="149"/>
        <v>4.760866805398392E-5</v>
      </c>
      <c r="S277" s="2"/>
      <c r="T277" s="6">
        <v>326.60000000000002</v>
      </c>
      <c r="U277" s="2"/>
      <c r="V277" s="7">
        <f t="shared" si="150"/>
        <v>3.0705235671765609E-5</v>
      </c>
      <c r="W277" s="2"/>
      <c r="X277" s="6">
        <f t="shared" si="151"/>
        <v>-27.439999999999998</v>
      </c>
      <c r="Y277" s="2"/>
      <c r="Z277" s="7">
        <f t="shared" si="152"/>
        <v>-8.4017146356399258E-2</v>
      </c>
    </row>
    <row r="278" spans="1:26" s="23" customFormat="1" hidden="1" outlineLevel="2" x14ac:dyDescent="0.25">
      <c r="A278" s="25"/>
      <c r="B278" s="10" t="str">
        <f>CONCATENATE("          ", "6294", " - ", "TRAVEL OPERATIONAL")</f>
        <v xml:space="preserve">          6294 - TRAVEL OPERATIONAL</v>
      </c>
      <c r="C278" s="10"/>
      <c r="D278" s="6">
        <v>93.02</v>
      </c>
      <c r="E278" s="2"/>
      <c r="F278" s="7">
        <f t="shared" si="145"/>
        <v>1.5175048227109166E-4</v>
      </c>
      <c r="G278" s="2"/>
      <c r="H278" s="6">
        <v>14.13</v>
      </c>
      <c r="I278" s="2"/>
      <c r="J278" s="7">
        <f t="shared" si="146"/>
        <v>4.079763564275475E-5</v>
      </c>
      <c r="K278" s="2"/>
      <c r="L278" s="6">
        <f t="shared" si="147"/>
        <v>78.89</v>
      </c>
      <c r="M278" s="2"/>
      <c r="N278" s="7">
        <f t="shared" si="148"/>
        <v>5.5831564048124553</v>
      </c>
      <c r="O278" s="10"/>
      <c r="P278" s="6">
        <v>544.28</v>
      </c>
      <c r="Q278" s="2"/>
      <c r="R278" s="7">
        <f t="shared" si="149"/>
        <v>8.6617348069335359E-5</v>
      </c>
      <c r="S278" s="2"/>
      <c r="T278" s="6">
        <v>361.61</v>
      </c>
      <c r="U278" s="2"/>
      <c r="V278" s="7">
        <f t="shared" si="150"/>
        <v>3.3996694033273612E-5</v>
      </c>
      <c r="W278" s="2"/>
      <c r="X278" s="6">
        <f t="shared" si="151"/>
        <v>182.66999999999996</v>
      </c>
      <c r="Y278" s="2"/>
      <c r="Z278" s="7">
        <f t="shared" si="152"/>
        <v>0.50515749011365818</v>
      </c>
    </row>
    <row r="279" spans="1:26" s="23" customFormat="1" hidden="1" outlineLevel="2" x14ac:dyDescent="0.25">
      <c r="A279" s="25"/>
      <c r="B279" s="10" t="str">
        <f>CONCATENATE("          ", "6298", " - ", "VEHICLE MILEAGE")</f>
        <v xml:space="preserve">          6298 - VEHICLE MILEAGE</v>
      </c>
      <c r="C279" s="10"/>
      <c r="D279" s="6"/>
      <c r="E279" s="2"/>
      <c r="F279" s="7">
        <f t="shared" si="145"/>
        <v>0</v>
      </c>
      <c r="G279" s="2"/>
      <c r="H279" s="6">
        <v>54.94</v>
      </c>
      <c r="I279" s="2"/>
      <c r="J279" s="7">
        <f t="shared" si="146"/>
        <v>1.5862859888272795E-4</v>
      </c>
      <c r="K279" s="2"/>
      <c r="L279" s="6">
        <f t="shared" si="147"/>
        <v>-54.94</v>
      </c>
      <c r="M279" s="2"/>
      <c r="N279" s="7">
        <f t="shared" si="148"/>
        <v>-1</v>
      </c>
      <c r="O279" s="10"/>
      <c r="P279" s="6">
        <v>59.89</v>
      </c>
      <c r="Q279" s="2"/>
      <c r="R279" s="7">
        <f t="shared" si="149"/>
        <v>9.530963797810861E-6</v>
      </c>
      <c r="S279" s="2"/>
      <c r="T279" s="6">
        <v>366.07</v>
      </c>
      <c r="U279" s="2"/>
      <c r="V279" s="7">
        <f t="shared" si="150"/>
        <v>3.441600006847286E-5</v>
      </c>
      <c r="W279" s="2"/>
      <c r="X279" s="6">
        <f t="shared" si="151"/>
        <v>-306.18</v>
      </c>
      <c r="Y279" s="2"/>
      <c r="Z279" s="7">
        <f t="shared" si="152"/>
        <v>-0.83639741033135739</v>
      </c>
    </row>
    <row r="280" spans="1:26" s="26" customFormat="1" outlineLevel="1" collapsed="1" x14ac:dyDescent="0.25">
      <c r="A280" s="27"/>
      <c r="B280" s="12" t="str">
        <f>CONCATENATE("     ","Utilities                                         ")</f>
        <v xml:space="preserve">     Utilities                                         </v>
      </c>
      <c r="C280" s="12"/>
      <c r="D280" s="1">
        <f>SUM(OSRRefD22_24x_0)</f>
        <v>3429.45</v>
      </c>
      <c r="E280" s="1"/>
      <c r="F280" s="5">
        <f t="shared" ref="F280:F281" si="153">IF(D$12=0,0,D280/D$12)</f>
        <v>5.5947182479530776E-3</v>
      </c>
      <c r="G280" s="1"/>
      <c r="H280" s="1">
        <f>SUM(OSRRefH22_24x_0)</f>
        <v>6145.51</v>
      </c>
      <c r="I280" s="1"/>
      <c r="J280" s="5">
        <f t="shared" ref="J280:J281" si="154">IF(H$12=0,0,H280/H$12)</f>
        <v>1.7743968706221212E-2</v>
      </c>
      <c r="K280" s="1"/>
      <c r="L280" s="1">
        <f t="shared" ref="L280:L281" si="155">+D280-H280</f>
        <v>-2716.0600000000004</v>
      </c>
      <c r="M280" s="1"/>
      <c r="N280" s="5">
        <f t="shared" ref="N280:N281" si="156">IF(H280=0,0,L280/H280)</f>
        <v>-0.44195843794900674</v>
      </c>
      <c r="O280" s="12"/>
      <c r="P280" s="1">
        <f>SUM(OSRRefP22_24x_0)</f>
        <v>52517.62</v>
      </c>
      <c r="Q280" s="1"/>
      <c r="R280" s="5">
        <f t="shared" ref="R280:R281" si="157">IF(P$12=0,0,P280/P$12)</f>
        <v>8.3577147264516215E-3</v>
      </c>
      <c r="S280" s="1"/>
      <c r="T280" s="1">
        <f>SUM(OSRRefT22_24x_0)</f>
        <v>53004.3</v>
      </c>
      <c r="U280" s="1"/>
      <c r="V280" s="5">
        <f t="shared" ref="V280:V281" si="158">IF(T$12=0,0,T280/T$12)</f>
        <v>4.9831889868859952E-3</v>
      </c>
      <c r="W280" s="1"/>
      <c r="X280" s="1">
        <f t="shared" ref="X280:X281" si="159">+P280-T280</f>
        <v>-486.68000000000029</v>
      </c>
      <c r="Y280" s="1"/>
      <c r="Z280" s="5">
        <f t="shared" ref="Z280:Z281" si="160">IF(T280=0,0,X280/T280)</f>
        <v>-9.1818965631090353E-3</v>
      </c>
    </row>
    <row r="281" spans="1:26" s="23" customFormat="1" hidden="1" outlineLevel="2" x14ac:dyDescent="0.25">
      <c r="A281" s="25"/>
      <c r="B281" s="10" t="str">
        <f>CONCATENATE("          ", "6274", " - ", "UTILITIES")</f>
        <v xml:space="preserve">          6274 - UTILITIES</v>
      </c>
      <c r="C281" s="10"/>
      <c r="D281" s="6">
        <v>3429.45</v>
      </c>
      <c r="E281" s="2"/>
      <c r="F281" s="7">
        <f t="shared" si="153"/>
        <v>5.5947182479530776E-3</v>
      </c>
      <c r="G281" s="2"/>
      <c r="H281" s="6">
        <v>6145.51</v>
      </c>
      <c r="I281" s="2"/>
      <c r="J281" s="7">
        <f t="shared" si="154"/>
        <v>1.7743968706221212E-2</v>
      </c>
      <c r="K281" s="2"/>
      <c r="L281" s="6">
        <f t="shared" si="155"/>
        <v>-2716.0600000000004</v>
      </c>
      <c r="M281" s="2"/>
      <c r="N281" s="7">
        <f t="shared" si="156"/>
        <v>-0.44195843794900674</v>
      </c>
      <c r="O281" s="10"/>
      <c r="P281" s="6">
        <v>52517.62</v>
      </c>
      <c r="Q281" s="2"/>
      <c r="R281" s="7">
        <f t="shared" si="157"/>
        <v>8.3577147264516215E-3</v>
      </c>
      <c r="S281" s="2"/>
      <c r="T281" s="6">
        <v>53004.3</v>
      </c>
      <c r="U281" s="2"/>
      <c r="V281" s="7">
        <f t="shared" si="158"/>
        <v>4.9831889868859952E-3</v>
      </c>
      <c r="W281" s="2"/>
      <c r="X281" s="6">
        <f t="shared" si="159"/>
        <v>-486.68000000000029</v>
      </c>
      <c r="Y281" s="2"/>
      <c r="Z281" s="7">
        <f t="shared" si="160"/>
        <v>-9.1818965631090353E-3</v>
      </c>
    </row>
    <row r="282" spans="1:26" s="60" customFormat="1" x14ac:dyDescent="0.25">
      <c r="A282" s="37"/>
      <c r="B282" s="37"/>
      <c r="C282" s="37"/>
      <c r="D282" s="1"/>
      <c r="E282" s="1"/>
      <c r="F282" s="5"/>
      <c r="G282" s="1"/>
      <c r="H282" s="1"/>
      <c r="I282" s="1"/>
      <c r="J282" s="5"/>
      <c r="K282" s="1"/>
      <c r="L282" s="1"/>
      <c r="M282" s="1"/>
      <c r="N282" s="5"/>
      <c r="O282" s="37"/>
      <c r="P282" s="1"/>
      <c r="Q282" s="1"/>
      <c r="R282" s="5"/>
      <c r="S282" s="1"/>
      <c r="T282" s="1"/>
      <c r="U282" s="1"/>
      <c r="V282" s="5"/>
      <c r="W282" s="1"/>
      <c r="X282" s="1"/>
      <c r="Y282" s="1"/>
      <c r="Z282" s="5"/>
    </row>
    <row r="283" spans="1:26" s="24" customFormat="1" collapsed="1" x14ac:dyDescent="0.25">
      <c r="A283" s="11"/>
      <c r="B283" s="28" t="s">
        <v>292</v>
      </c>
      <c r="C283" s="11"/>
      <c r="D283" s="4">
        <f>SUM(OSRRefD25x_0)</f>
        <v>214608.06</v>
      </c>
      <c r="E283" s="4"/>
      <c r="F283" s="13">
        <f t="shared" ref="F283:F295" si="161">IF(D$12=0,0,D283/D$12)</f>
        <v>0.35010617721203369</v>
      </c>
      <c r="G283" s="4"/>
      <c r="H283" s="4">
        <f>SUM(OSRRefH25x_0)</f>
        <v>32173.4</v>
      </c>
      <c r="I283" s="4"/>
      <c r="J283" s="13">
        <f t="shared" ref="J283:J295" si="162">IF(H$12=0,0,H283/H$12)</f>
        <v>9.2894455101812157E-2</v>
      </c>
      <c r="K283" s="4"/>
      <c r="L283" s="4">
        <f t="shared" ref="L283:L295" si="163">+D283-H283</f>
        <v>182434.66</v>
      </c>
      <c r="M283" s="4"/>
      <c r="N283" s="13">
        <f t="shared" ref="N283:N295" si="164">IF(H283=0,0,L283/H283)</f>
        <v>5.6703568786637408</v>
      </c>
      <c r="O283" s="11"/>
      <c r="P283" s="4">
        <f>SUM(OSRRefP25x_0)</f>
        <v>989142.1100000001</v>
      </c>
      <c r="Q283" s="4"/>
      <c r="R283" s="13">
        <f t="shared" ref="R283:R295" si="165">IF(P$12=0,0,P283/P$12)</f>
        <v>0.15741321825513857</v>
      </c>
      <c r="S283" s="4"/>
      <c r="T283" s="4">
        <f>SUM(OSRRefT25x_0)</f>
        <v>683610.02</v>
      </c>
      <c r="U283" s="4"/>
      <c r="V283" s="13">
        <f t="shared" ref="V283:V295" si="166">IF(T$12=0,0,T283/T$12)</f>
        <v>6.426946347728231E-2</v>
      </c>
      <c r="W283" s="4"/>
      <c r="X283" s="4">
        <f t="shared" ref="X283:X295" si="167">+P283-T283</f>
        <v>305532.09000000008</v>
      </c>
      <c r="Y283" s="4"/>
      <c r="Z283" s="13">
        <f t="shared" ref="Z283:Z295" si="168">IF(T283=0,0,X283/T283)</f>
        <v>0.44693916277002504</v>
      </c>
    </row>
    <row r="284" spans="1:26" s="23" customFormat="1" hidden="1" outlineLevel="1" x14ac:dyDescent="0.25">
      <c r="A284" s="44"/>
      <c r="B284" s="10" t="str">
        <f>CONCATENATE("          ", "4098", " - ", "TAXABLE SALES-GRAD RENTALS")</f>
        <v xml:space="preserve">          4098 - TAXABLE SALES-GRAD RENTALS</v>
      </c>
      <c r="C284" s="10"/>
      <c r="D284" s="2">
        <f>0</f>
        <v>0</v>
      </c>
      <c r="E284" s="2"/>
      <c r="F284" s="19">
        <f t="shared" si="161"/>
        <v>0</v>
      </c>
      <c r="G284" s="2"/>
      <c r="H284" s="2">
        <f>--42</f>
        <v>42</v>
      </c>
      <c r="I284" s="2"/>
      <c r="J284" s="19">
        <f t="shared" si="162"/>
        <v>1.2126685753685064E-4</v>
      </c>
      <c r="K284" s="2"/>
      <c r="L284" s="2">
        <f t="shared" si="163"/>
        <v>-42</v>
      </c>
      <c r="M284" s="2"/>
      <c r="N284" s="19">
        <f t="shared" si="164"/>
        <v>-1</v>
      </c>
      <c r="O284" s="10"/>
      <c r="P284" s="2">
        <f>0</f>
        <v>0</v>
      </c>
      <c r="Q284" s="2"/>
      <c r="R284" s="19">
        <f t="shared" si="165"/>
        <v>0</v>
      </c>
      <c r="S284" s="2"/>
      <c r="T284" s="2">
        <f>--2098.85</f>
        <v>2098.85</v>
      </c>
      <c r="U284" s="2"/>
      <c r="V284" s="19">
        <f t="shared" si="166"/>
        <v>1.9732297577980786E-4</v>
      </c>
      <c r="W284" s="2"/>
      <c r="X284" s="2">
        <f t="shared" si="167"/>
        <v>-2098.85</v>
      </c>
      <c r="Y284" s="2"/>
      <c r="Z284" s="19">
        <f t="shared" si="168"/>
        <v>-1</v>
      </c>
    </row>
    <row r="285" spans="1:26" s="23" customFormat="1" hidden="1" outlineLevel="1" x14ac:dyDescent="0.25">
      <c r="A285" s="44"/>
      <c r="B285" s="10" t="str">
        <f>CONCATENATE("          ", "4187", " - ", "NON-TAXABLE SALES-COMPUTER REP")</f>
        <v xml:space="preserve">          4187 - NON-TAXABLE SALES-COMPUTER REP</v>
      </c>
      <c r="C285" s="10"/>
      <c r="D285" s="2">
        <f>--160.46</f>
        <v>160.46</v>
      </c>
      <c r="E285" s="2"/>
      <c r="F285" s="19">
        <f t="shared" si="161"/>
        <v>2.6177039760502441E-4</v>
      </c>
      <c r="G285" s="2"/>
      <c r="H285" s="2">
        <f>-213.35</f>
        <v>-213.35</v>
      </c>
      <c r="I285" s="2"/>
      <c r="J285" s="19">
        <f t="shared" si="162"/>
        <v>-6.1600676322588288E-4</v>
      </c>
      <c r="K285" s="2"/>
      <c r="L285" s="2">
        <f t="shared" si="163"/>
        <v>373.81</v>
      </c>
      <c r="M285" s="2"/>
      <c r="N285" s="19">
        <f t="shared" si="164"/>
        <v>-1.7520974923834076</v>
      </c>
      <c r="O285" s="10"/>
      <c r="P285" s="2">
        <f>--1614.97</f>
        <v>1614.97</v>
      </c>
      <c r="Q285" s="2"/>
      <c r="R285" s="19">
        <f t="shared" si="165"/>
        <v>2.5700819176073812E-4</v>
      </c>
      <c r="S285" s="2"/>
      <c r="T285" s="2">
        <f>--15579.51</f>
        <v>15579.51</v>
      </c>
      <c r="U285" s="2"/>
      <c r="V285" s="19">
        <f t="shared" si="166"/>
        <v>1.4647046117594277E-3</v>
      </c>
      <c r="W285" s="2"/>
      <c r="X285" s="2">
        <f t="shared" si="167"/>
        <v>-13964.54</v>
      </c>
      <c r="Y285" s="2"/>
      <c r="Z285" s="19">
        <f t="shared" si="168"/>
        <v>-0.89634012879737557</v>
      </c>
    </row>
    <row r="286" spans="1:26" s="23" customFormat="1" hidden="1" outlineLevel="1" x14ac:dyDescent="0.25">
      <c r="A286" s="44"/>
      <c r="B286" s="10" t="str">
        <f>CONCATENATE("          ", "4197", " - ", "NON-TAXABLE SALES-RETURNED CHE")</f>
        <v xml:space="preserve">          4197 - NON-TAXABLE SALES-RETURNED CHE</v>
      </c>
      <c r="C286" s="10"/>
      <c r="D286" s="2">
        <f t="shared" ref="D286:D289" si="169">0</f>
        <v>0</v>
      </c>
      <c r="E286" s="2"/>
      <c r="F286" s="19">
        <f t="shared" si="161"/>
        <v>0</v>
      </c>
      <c r="G286" s="2"/>
      <c r="H286" s="2">
        <f t="shared" ref="H286:H288" si="170">0</f>
        <v>0</v>
      </c>
      <c r="I286" s="2"/>
      <c r="J286" s="19">
        <f t="shared" si="162"/>
        <v>0</v>
      </c>
      <c r="K286" s="2"/>
      <c r="L286" s="2">
        <f t="shared" si="163"/>
        <v>0</v>
      </c>
      <c r="M286" s="2"/>
      <c r="N286" s="19">
        <f t="shared" si="164"/>
        <v>0</v>
      </c>
      <c r="O286" s="10"/>
      <c r="P286" s="2">
        <f t="shared" ref="P286:P289" si="171">0</f>
        <v>0</v>
      </c>
      <c r="Q286" s="2"/>
      <c r="R286" s="19">
        <f t="shared" si="165"/>
        <v>0</v>
      </c>
      <c r="S286" s="2"/>
      <c r="T286" s="2">
        <f>--30</f>
        <v>30</v>
      </c>
      <c r="U286" s="2"/>
      <c r="V286" s="19">
        <f t="shared" si="166"/>
        <v>2.8204441829545876E-6</v>
      </c>
      <c r="W286" s="2"/>
      <c r="X286" s="2">
        <f t="shared" si="167"/>
        <v>-30</v>
      </c>
      <c r="Y286" s="2"/>
      <c r="Z286" s="19">
        <f t="shared" si="168"/>
        <v>-1</v>
      </c>
    </row>
    <row r="287" spans="1:26" s="23" customFormat="1" hidden="1" outlineLevel="1" x14ac:dyDescent="0.25">
      <c r="A287" s="44"/>
      <c r="B287" s="10" t="str">
        <f>CONCATENATE("          ", "4198", " - ", "NON-TAXABLE SALES-GRAD RENTALS")</f>
        <v xml:space="preserve">          4198 - NON-TAXABLE SALES-GRAD RENTALS</v>
      </c>
      <c r="C287" s="10"/>
      <c r="D287" s="2">
        <f t="shared" si="169"/>
        <v>0</v>
      </c>
      <c r="E287" s="2"/>
      <c r="F287" s="19">
        <f t="shared" si="161"/>
        <v>0</v>
      </c>
      <c r="G287" s="2"/>
      <c r="H287" s="2">
        <f t="shared" si="170"/>
        <v>0</v>
      </c>
      <c r="I287" s="2"/>
      <c r="J287" s="19">
        <f t="shared" si="162"/>
        <v>0</v>
      </c>
      <c r="K287" s="2"/>
      <c r="L287" s="2">
        <f t="shared" si="163"/>
        <v>0</v>
      </c>
      <c r="M287" s="2"/>
      <c r="N287" s="19">
        <f t="shared" si="164"/>
        <v>0</v>
      </c>
      <c r="O287" s="10"/>
      <c r="P287" s="2">
        <f t="shared" si="171"/>
        <v>0</v>
      </c>
      <c r="Q287" s="2"/>
      <c r="R287" s="19">
        <f t="shared" si="165"/>
        <v>0</v>
      </c>
      <c r="S287" s="2"/>
      <c r="T287" s="2">
        <f>--3732.1</f>
        <v>3732.1</v>
      </c>
      <c r="U287" s="2"/>
      <c r="V287" s="19">
        <f t="shared" si="166"/>
        <v>3.5087265784016056E-4</v>
      </c>
      <c r="W287" s="2"/>
      <c r="X287" s="2">
        <f t="shared" si="167"/>
        <v>-3732.1</v>
      </c>
      <c r="Y287" s="2"/>
      <c r="Z287" s="19">
        <f t="shared" si="168"/>
        <v>-1</v>
      </c>
    </row>
    <row r="288" spans="1:26" s="23" customFormat="1" hidden="1" outlineLevel="1" x14ac:dyDescent="0.25">
      <c r="A288" s="44"/>
      <c r="B288" s="10" t="str">
        <f>CONCATENATE("          ", "4387", " - ", "SALES RETURN NON TAXABLE-COMPU")</f>
        <v xml:space="preserve">          4387 - SALES RETURN NON TAXABLE-COMPU</v>
      </c>
      <c r="C288" s="10"/>
      <c r="D288" s="2">
        <f t="shared" si="169"/>
        <v>0</v>
      </c>
      <c r="E288" s="2"/>
      <c r="F288" s="19">
        <f t="shared" si="161"/>
        <v>0</v>
      </c>
      <c r="G288" s="2"/>
      <c r="H288" s="2">
        <f t="shared" si="170"/>
        <v>0</v>
      </c>
      <c r="I288" s="2"/>
      <c r="J288" s="19">
        <f t="shared" si="162"/>
        <v>0</v>
      </c>
      <c r="K288" s="2"/>
      <c r="L288" s="2">
        <f t="shared" si="163"/>
        <v>0</v>
      </c>
      <c r="M288" s="2"/>
      <c r="N288" s="19">
        <f t="shared" si="164"/>
        <v>0</v>
      </c>
      <c r="O288" s="10"/>
      <c r="P288" s="2">
        <f t="shared" si="171"/>
        <v>0</v>
      </c>
      <c r="Q288" s="2"/>
      <c r="R288" s="19">
        <f t="shared" si="165"/>
        <v>0</v>
      </c>
      <c r="S288" s="2"/>
      <c r="T288" s="2">
        <f>-7889</f>
        <v>-7889</v>
      </c>
      <c r="U288" s="2"/>
      <c r="V288" s="19">
        <f t="shared" si="166"/>
        <v>-7.4168280531095802E-4</v>
      </c>
      <c r="W288" s="2"/>
      <c r="X288" s="2">
        <f t="shared" si="167"/>
        <v>7889</v>
      </c>
      <c r="Y288" s="2"/>
      <c r="Z288" s="19">
        <f t="shared" si="168"/>
        <v>-1</v>
      </c>
    </row>
    <row r="289" spans="1:26" s="23" customFormat="1" hidden="1" outlineLevel="1" x14ac:dyDescent="0.25">
      <c r="A289" s="44"/>
      <c r="B289" s="10" t="str">
        <f>CONCATENATE("          ", "5087", " - ", "PURCHASES @ COST-COMPUTER REPA")</f>
        <v xml:space="preserve">          5087 - PURCHASES @ COST-COMPUTER REPA</v>
      </c>
      <c r="C289" s="10"/>
      <c r="D289" s="2">
        <f t="shared" si="169"/>
        <v>0</v>
      </c>
      <c r="E289" s="2"/>
      <c r="F289" s="19">
        <f t="shared" si="161"/>
        <v>0</v>
      </c>
      <c r="G289" s="2"/>
      <c r="H289" s="2">
        <f>-48.04</f>
        <v>-48.04</v>
      </c>
      <c r="I289" s="2"/>
      <c r="J289" s="19">
        <f t="shared" si="162"/>
        <v>-1.3870618657310248E-4</v>
      </c>
      <c r="K289" s="2"/>
      <c r="L289" s="2">
        <f t="shared" si="163"/>
        <v>48.04</v>
      </c>
      <c r="M289" s="2"/>
      <c r="N289" s="19">
        <f t="shared" si="164"/>
        <v>-1</v>
      </c>
      <c r="O289" s="10"/>
      <c r="P289" s="2">
        <f t="shared" si="171"/>
        <v>0</v>
      </c>
      <c r="Q289" s="2"/>
      <c r="R289" s="19">
        <f t="shared" si="165"/>
        <v>0</v>
      </c>
      <c r="S289" s="2"/>
      <c r="T289" s="2">
        <f>-104.76</f>
        <v>-104.76</v>
      </c>
      <c r="U289" s="2"/>
      <c r="V289" s="19">
        <f t="shared" si="166"/>
        <v>-9.8489910868774204E-6</v>
      </c>
      <c r="W289" s="2"/>
      <c r="X289" s="2">
        <f t="shared" si="167"/>
        <v>104.76</v>
      </c>
      <c r="Y289" s="2"/>
      <c r="Z289" s="19">
        <f t="shared" si="168"/>
        <v>-1</v>
      </c>
    </row>
    <row r="290" spans="1:26" s="23" customFormat="1" hidden="1" outlineLevel="1" x14ac:dyDescent="0.25">
      <c r="A290" s="44"/>
      <c r="B290" s="10" t="str">
        <f>CONCATENATE("          ", "9150", " - ", "MISC. INCOME")</f>
        <v xml:space="preserve">          9150 - MISC. INCOME</v>
      </c>
      <c r="C290" s="10"/>
      <c r="D290" s="2">
        <f>--41318.03</f>
        <v>41318.03</v>
      </c>
      <c r="E290" s="2"/>
      <c r="F290" s="19">
        <f t="shared" si="161"/>
        <v>6.7405192205885117E-2</v>
      </c>
      <c r="G290" s="2"/>
      <c r="H290" s="2">
        <f>--19077.75</f>
        <v>19077.75</v>
      </c>
      <c r="I290" s="2"/>
      <c r="J290" s="19">
        <f t="shared" si="162"/>
        <v>5.5083304556515528E-2</v>
      </c>
      <c r="K290" s="2"/>
      <c r="L290" s="2">
        <f t="shared" si="163"/>
        <v>22240.28</v>
      </c>
      <c r="M290" s="2"/>
      <c r="N290" s="19">
        <f t="shared" si="164"/>
        <v>1.1657705966374441</v>
      </c>
      <c r="O290" s="10"/>
      <c r="P290" s="2">
        <f>--341753.66</f>
        <v>341753.66</v>
      </c>
      <c r="Q290" s="2"/>
      <c r="R290" s="19">
        <f t="shared" si="165"/>
        <v>5.4387072319742213E-2</v>
      </c>
      <c r="S290" s="2"/>
      <c r="T290" s="2">
        <f>--388705.88</f>
        <v>388705.88</v>
      </c>
      <c r="U290" s="2"/>
      <c r="V290" s="19">
        <f t="shared" si="166"/>
        <v>3.6544107937541467E-2</v>
      </c>
      <c r="W290" s="2"/>
      <c r="X290" s="2">
        <f t="shared" si="167"/>
        <v>-46952.22000000003</v>
      </c>
      <c r="Y290" s="2"/>
      <c r="Z290" s="19">
        <f t="shared" si="168"/>
        <v>-0.12079112361253715</v>
      </c>
    </row>
    <row r="291" spans="1:26" s="23" customFormat="1" hidden="1" outlineLevel="1" x14ac:dyDescent="0.25">
      <c r="A291" s="44"/>
      <c r="B291" s="10" t="str">
        <f>CONCATENATE("          ", "9151", " - ", "MISC. INCOME")</f>
        <v xml:space="preserve">          9151 - MISC. INCOME</v>
      </c>
      <c r="C291" s="10"/>
      <c r="D291" s="2">
        <f>-2282.24</f>
        <v>-2282.2399999999998</v>
      </c>
      <c r="E291" s="2"/>
      <c r="F291" s="19">
        <f t="shared" si="161"/>
        <v>-3.7231887836849734E-3</v>
      </c>
      <c r="G291" s="2"/>
      <c r="H291" s="2">
        <f>--13315.04</f>
        <v>13315.04</v>
      </c>
      <c r="I291" s="2"/>
      <c r="J291" s="19">
        <f t="shared" si="162"/>
        <v>3.844459663755876E-2</v>
      </c>
      <c r="K291" s="2"/>
      <c r="L291" s="2">
        <f t="shared" si="163"/>
        <v>-15597.28</v>
      </c>
      <c r="M291" s="2"/>
      <c r="N291" s="19">
        <f t="shared" si="164"/>
        <v>-1.1714031651425756</v>
      </c>
      <c r="O291" s="10"/>
      <c r="P291" s="2">
        <f>--295628.46</f>
        <v>295628.46000000002</v>
      </c>
      <c r="Q291" s="2"/>
      <c r="R291" s="19">
        <f t="shared" si="165"/>
        <v>4.704665469798925E-2</v>
      </c>
      <c r="S291" s="2"/>
      <c r="T291" s="2">
        <f>--169392.7</f>
        <v>169392.7</v>
      </c>
      <c r="U291" s="2"/>
      <c r="V291" s="19">
        <f t="shared" si="166"/>
        <v>1.5925421844999052E-2</v>
      </c>
      <c r="W291" s="2"/>
      <c r="X291" s="2">
        <f t="shared" si="167"/>
        <v>126235.76000000001</v>
      </c>
      <c r="Y291" s="2"/>
      <c r="Z291" s="19">
        <f t="shared" si="168"/>
        <v>0.7452255026338207</v>
      </c>
    </row>
    <row r="292" spans="1:26" s="23" customFormat="1" hidden="1" outlineLevel="1" x14ac:dyDescent="0.25">
      <c r="A292" s="44"/>
      <c r="B292" s="10" t="str">
        <f>CONCATENATE("          ", "9152", " - ", "MISC. INCOME")</f>
        <v xml:space="preserve">          9152 - MISC. INCOME</v>
      </c>
      <c r="C292" s="10"/>
      <c r="D292" s="2">
        <f>--397.11</f>
        <v>397.11</v>
      </c>
      <c r="E292" s="2"/>
      <c r="F292" s="19">
        <f t="shared" si="161"/>
        <v>6.4783523989113325E-4</v>
      </c>
      <c r="G292" s="2"/>
      <c r="H292" s="2">
        <f t="shared" ref="H292:H295" si="172">0</f>
        <v>0</v>
      </c>
      <c r="I292" s="2"/>
      <c r="J292" s="19">
        <f t="shared" si="162"/>
        <v>0</v>
      </c>
      <c r="K292" s="2"/>
      <c r="L292" s="2">
        <f t="shared" si="163"/>
        <v>397.11</v>
      </c>
      <c r="M292" s="2"/>
      <c r="N292" s="19">
        <f t="shared" si="164"/>
        <v>0</v>
      </c>
      <c r="O292" s="10"/>
      <c r="P292" s="2">
        <f>--3710.56</f>
        <v>3710.56</v>
      </c>
      <c r="Q292" s="2"/>
      <c r="R292" s="19">
        <f t="shared" si="165"/>
        <v>5.9050280563708571E-4</v>
      </c>
      <c r="S292" s="2"/>
      <c r="T292" s="2">
        <f>--4699.86</f>
        <v>4699.8599999999997</v>
      </c>
      <c r="U292" s="2"/>
      <c r="V292" s="19">
        <f t="shared" si="166"/>
        <v>4.4185642659003155E-4</v>
      </c>
      <c r="W292" s="2"/>
      <c r="X292" s="2">
        <f t="shared" si="167"/>
        <v>-989.29999999999973</v>
      </c>
      <c r="Y292" s="2"/>
      <c r="Z292" s="19">
        <f t="shared" si="168"/>
        <v>-0.21049563178477654</v>
      </c>
    </row>
    <row r="293" spans="1:26" s="23" customFormat="1" hidden="1" outlineLevel="1" x14ac:dyDescent="0.25">
      <c r="A293" s="44"/>
      <c r="B293" s="10" t="str">
        <f>CONCATENATE("          ", "9153", " - ", "MISC. INCOME")</f>
        <v xml:space="preserve">          9153 - MISC. INCOME</v>
      </c>
      <c r="C293" s="10"/>
      <c r="D293" s="2">
        <f t="shared" ref="D293:D294" si="173">0</f>
        <v>0</v>
      </c>
      <c r="E293" s="2"/>
      <c r="F293" s="19">
        <f t="shared" si="161"/>
        <v>0</v>
      </c>
      <c r="G293" s="2"/>
      <c r="H293" s="2">
        <f t="shared" si="172"/>
        <v>0</v>
      </c>
      <c r="I293" s="2"/>
      <c r="J293" s="19">
        <f t="shared" si="162"/>
        <v>0</v>
      </c>
      <c r="K293" s="2"/>
      <c r="L293" s="2">
        <f t="shared" si="163"/>
        <v>0</v>
      </c>
      <c r="M293" s="2"/>
      <c r="N293" s="19">
        <f t="shared" si="164"/>
        <v>0</v>
      </c>
      <c r="O293" s="10"/>
      <c r="P293" s="2">
        <f t="shared" ref="P293:P294" si="174">0</f>
        <v>0</v>
      </c>
      <c r="Q293" s="2"/>
      <c r="R293" s="19">
        <f t="shared" si="165"/>
        <v>0</v>
      </c>
      <c r="S293" s="2"/>
      <c r="T293" s="2">
        <f>--450</f>
        <v>450</v>
      </c>
      <c r="U293" s="2"/>
      <c r="V293" s="19">
        <f t="shared" si="166"/>
        <v>4.2306662744318814E-5</v>
      </c>
      <c r="W293" s="2"/>
      <c r="X293" s="2">
        <f t="shared" si="167"/>
        <v>-450</v>
      </c>
      <c r="Y293" s="2"/>
      <c r="Z293" s="19">
        <f t="shared" si="168"/>
        <v>-1</v>
      </c>
    </row>
    <row r="294" spans="1:26" s="23" customFormat="1" hidden="1" outlineLevel="1" x14ac:dyDescent="0.25">
      <c r="A294" s="44"/>
      <c r="B294" s="10" t="str">
        <f>CONCATENATE("          ", "9160", " - ", "MISC. INCOME")</f>
        <v xml:space="preserve">          9160 - MISC. INCOME</v>
      </c>
      <c r="C294" s="10"/>
      <c r="D294" s="2">
        <f t="shared" si="173"/>
        <v>0</v>
      </c>
      <c r="E294" s="2"/>
      <c r="F294" s="19">
        <f t="shared" si="161"/>
        <v>0</v>
      </c>
      <c r="G294" s="2"/>
      <c r="H294" s="2">
        <f t="shared" si="172"/>
        <v>0</v>
      </c>
      <c r="I294" s="2"/>
      <c r="J294" s="19">
        <f t="shared" si="162"/>
        <v>0</v>
      </c>
      <c r="K294" s="2"/>
      <c r="L294" s="2">
        <f t="shared" si="163"/>
        <v>0</v>
      </c>
      <c r="M294" s="2"/>
      <c r="N294" s="19">
        <f t="shared" si="164"/>
        <v>0</v>
      </c>
      <c r="O294" s="10"/>
      <c r="P294" s="2">
        <f t="shared" si="174"/>
        <v>0</v>
      </c>
      <c r="Q294" s="2"/>
      <c r="R294" s="19">
        <f t="shared" si="165"/>
        <v>0</v>
      </c>
      <c r="S294" s="2"/>
      <c r="T294" s="2">
        <f>--22475</f>
        <v>22475</v>
      </c>
      <c r="U294" s="2"/>
      <c r="V294" s="19">
        <f t="shared" si="166"/>
        <v>2.1129827670634785E-3</v>
      </c>
      <c r="W294" s="2"/>
      <c r="X294" s="2">
        <f t="shared" si="167"/>
        <v>-22475</v>
      </c>
      <c r="Y294" s="2"/>
      <c r="Z294" s="19">
        <f t="shared" si="168"/>
        <v>-1</v>
      </c>
    </row>
    <row r="295" spans="1:26" s="23" customFormat="1" hidden="1" outlineLevel="1" x14ac:dyDescent="0.25">
      <c r="A295" s="44"/>
      <c r="B295" s="10" t="str">
        <f>CONCATENATE("          ", "9163", " - ", "MISC. INCOME")</f>
        <v xml:space="preserve">          9163 - MISC. INCOME</v>
      </c>
      <c r="C295" s="10"/>
      <c r="D295" s="2">
        <f>--175014.7</f>
        <v>175014.7</v>
      </c>
      <c r="E295" s="2"/>
      <c r="F295" s="19">
        <f t="shared" si="161"/>
        <v>0.28551456815233744</v>
      </c>
      <c r="G295" s="2"/>
      <c r="H295" s="2">
        <f t="shared" si="172"/>
        <v>0</v>
      </c>
      <c r="I295" s="2"/>
      <c r="J295" s="19">
        <f t="shared" si="162"/>
        <v>0</v>
      </c>
      <c r="K295" s="2"/>
      <c r="L295" s="2">
        <f t="shared" si="163"/>
        <v>175014.7</v>
      </c>
      <c r="M295" s="2"/>
      <c r="N295" s="19">
        <f t="shared" si="164"/>
        <v>0</v>
      </c>
      <c r="O295" s="10"/>
      <c r="P295" s="2">
        <f>--346434.46</f>
        <v>346434.46</v>
      </c>
      <c r="Q295" s="2"/>
      <c r="R295" s="19">
        <f t="shared" si="165"/>
        <v>5.513198024000926E-2</v>
      </c>
      <c r="S295" s="2"/>
      <c r="T295" s="2">
        <f>--84439.88</f>
        <v>84439.88</v>
      </c>
      <c r="U295" s="2"/>
      <c r="V295" s="19">
        <f t="shared" si="166"/>
        <v>7.9385989451794484E-3</v>
      </c>
      <c r="W295" s="2"/>
      <c r="X295" s="2">
        <f t="shared" si="167"/>
        <v>261994.58000000002</v>
      </c>
      <c r="Y295" s="2"/>
      <c r="Z295" s="19">
        <f t="shared" si="168"/>
        <v>3.1027351057343995</v>
      </c>
    </row>
    <row r="296" spans="1:26" x14ac:dyDescent="0.25">
      <c r="A296" s="9"/>
      <c r="B296" s="11"/>
      <c r="C296" s="11"/>
      <c r="D296" s="3"/>
      <c r="E296" s="3"/>
      <c r="F296" s="8"/>
      <c r="G296" s="3"/>
      <c r="H296" s="3"/>
      <c r="I296" s="3"/>
      <c r="J296" s="8"/>
      <c r="K296" s="3"/>
      <c r="L296" s="3"/>
      <c r="M296" s="3"/>
      <c r="N296" s="8"/>
      <c r="O296" s="11"/>
      <c r="P296" s="3"/>
      <c r="Q296" s="3"/>
      <c r="R296" s="8"/>
      <c r="S296" s="3"/>
      <c r="T296" s="3"/>
      <c r="U296" s="3"/>
      <c r="V296" s="8"/>
      <c r="W296" s="3"/>
      <c r="X296" s="3"/>
      <c r="Y296" s="3"/>
      <c r="Z296" s="8"/>
    </row>
    <row r="297" spans="1:26" s="24" customFormat="1" x14ac:dyDescent="0.25">
      <c r="A297" s="11"/>
      <c r="B297" s="29" t="s">
        <v>276</v>
      </c>
      <c r="C297" s="29"/>
      <c r="D297" s="22">
        <f>+D189-D191+D283</f>
        <v>129482.25</v>
      </c>
      <c r="E297" s="14"/>
      <c r="F297" s="20">
        <f>IF(D$12=0,0,D297/D$12)</f>
        <v>0.21123407743545539</v>
      </c>
      <c r="G297" s="14"/>
      <c r="H297" s="22">
        <f>+H189-H191+H283</f>
        <v>-154381.33999999956</v>
      </c>
      <c r="I297" s="14"/>
      <c r="J297" s="20">
        <f>IF(H$12=0,0,H297/H$12)</f>
        <v>-0.44574618962209633</v>
      </c>
      <c r="K297" s="15"/>
      <c r="L297" s="22">
        <f>+D297-H297</f>
        <v>283863.58999999956</v>
      </c>
      <c r="M297" s="15"/>
      <c r="N297" s="20">
        <f>IF(H297=0,0,L297/H297)</f>
        <v>-1.8387169718827441</v>
      </c>
      <c r="O297" s="28"/>
      <c r="P297" s="22">
        <f>+P189-P191+P283</f>
        <v>180560.49000000092</v>
      </c>
      <c r="Q297" s="14"/>
      <c r="R297" s="20">
        <f>IF(P$12=0,0,P297/P$12)</f>
        <v>2.8734605000918328E-2</v>
      </c>
      <c r="S297" s="14"/>
      <c r="T297" s="22">
        <f>+T189-T191+T283</f>
        <v>961333.36000000034</v>
      </c>
      <c r="U297" s="14"/>
      <c r="V297" s="20">
        <f>IF(T$12=0,0,T297/T$12)</f>
        <v>9.0379569436406307E-2</v>
      </c>
      <c r="W297" s="15"/>
      <c r="X297" s="22">
        <f>+P297-T297</f>
        <v>-780772.86999999941</v>
      </c>
      <c r="Y297" s="15"/>
      <c r="Z297" s="20">
        <f>IF(T297=0,0,X297/T297)</f>
        <v>-0.8121770267079873</v>
      </c>
    </row>
    <row r="298" spans="1:26" x14ac:dyDescent="0.25">
      <c r="A298" s="9"/>
      <c r="B298" s="11"/>
      <c r="C298" s="9"/>
      <c r="D298" s="3"/>
      <c r="E298" s="3"/>
      <c r="F298" s="8"/>
      <c r="G298" s="3"/>
      <c r="H298" s="3"/>
      <c r="I298" s="3"/>
      <c r="J298" s="8"/>
      <c r="K298" s="3"/>
      <c r="L298" s="3"/>
      <c r="M298" s="3"/>
      <c r="N298" s="8"/>
      <c r="P298" s="3"/>
      <c r="Q298" s="3"/>
      <c r="R298" s="8"/>
      <c r="S298" s="3"/>
      <c r="T298" s="3"/>
      <c r="U298" s="3"/>
      <c r="V298" s="8"/>
      <c r="W298" s="3"/>
      <c r="X298" s="3"/>
      <c r="Y298" s="3"/>
      <c r="Z298" s="8"/>
    </row>
    <row r="299" spans="1:26" s="24" customFormat="1" x14ac:dyDescent="0.25">
      <c r="A299" s="51"/>
      <c r="B299" s="11" t="s">
        <v>127</v>
      </c>
      <c r="C299" s="11"/>
      <c r="D299" s="4">
        <v>172012.05</v>
      </c>
      <c r="E299" s="4"/>
      <c r="F299" s="13">
        <f>IF(D$12=0,0,D299/D$12)</f>
        <v>0.28061612066156882</v>
      </c>
      <c r="G299" s="4"/>
      <c r="H299" s="4">
        <v>90956.97</v>
      </c>
      <c r="I299" s="4"/>
      <c r="J299" s="13">
        <f>IF(H$12=0,0,H299/H$12)</f>
        <v>0.26262061721365709</v>
      </c>
      <c r="K299" s="4"/>
      <c r="L299" s="4">
        <f>+D299-H299</f>
        <v>81055.079999999987</v>
      </c>
      <c r="M299" s="4"/>
      <c r="N299" s="13">
        <f>IF(H299=0,0,L299/H299)</f>
        <v>0.89113654511578366</v>
      </c>
      <c r="O299" s="11"/>
      <c r="P299" s="4">
        <v>1295023.33</v>
      </c>
      <c r="Q299" s="4"/>
      <c r="R299" s="13">
        <f>IF(P$12=0,0,P299/P$12)</f>
        <v>0.20609150902572163</v>
      </c>
      <c r="S299" s="4"/>
      <c r="T299" s="4">
        <v>1139739.8799999999</v>
      </c>
      <c r="U299" s="4"/>
      <c r="V299" s="13">
        <f>IF(T$12=0,0,T299/T$12)</f>
        <v>0.10715242382091197</v>
      </c>
      <c r="W299" s="4"/>
      <c r="X299" s="4">
        <f>+P299-T299</f>
        <v>155283.45000000019</v>
      </c>
      <c r="Y299" s="4"/>
      <c r="Z299" s="13">
        <f>IF(T299=0,0,X299/T299)</f>
        <v>0.13624464031213876</v>
      </c>
    </row>
    <row r="300" spans="1:26" x14ac:dyDescent="0.25">
      <c r="A300" s="9"/>
      <c r="B300" s="11"/>
      <c r="C300" s="11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O300" s="11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s="24" customFormat="1" ht="15.75" thickBot="1" x14ac:dyDescent="0.3">
      <c r="A301" s="11"/>
      <c r="B301" s="29" t="s">
        <v>125</v>
      </c>
      <c r="C301" s="29"/>
      <c r="D301" s="30">
        <f>+D297-D299</f>
        <v>-42529.799999999988</v>
      </c>
      <c r="E301" s="14"/>
      <c r="F301" s="36">
        <f>IF(D$12=0,0,D301/D$12)</f>
        <v>-6.9382043226113438E-2</v>
      </c>
      <c r="G301" s="14"/>
      <c r="H301" s="30">
        <f>+H297-H299</f>
        <v>-245338.30999999956</v>
      </c>
      <c r="I301" s="14"/>
      <c r="J301" s="36">
        <f>IF(H$12=0,0,H301/H$12)</f>
        <v>-0.70836680683575348</v>
      </c>
      <c r="K301" s="15"/>
      <c r="L301" s="30">
        <f>D301-H301</f>
        <v>202808.50999999957</v>
      </c>
      <c r="M301" s="15"/>
      <c r="N301" s="36">
        <f>IF(H301=0,0,L301/H301)</f>
        <v>-0.82664835345119947</v>
      </c>
      <c r="O301" s="28"/>
      <c r="P301" s="30">
        <f>+P297-P299</f>
        <v>-1114462.8399999992</v>
      </c>
      <c r="Q301" s="14"/>
      <c r="R301" s="36">
        <f>IF(P$12=0,0,P301/P$12)</f>
        <v>-0.17735690402480328</v>
      </c>
      <c r="S301" s="14"/>
      <c r="T301" s="30">
        <f>+T297-T299</f>
        <v>-178406.51999999955</v>
      </c>
      <c r="U301" s="14"/>
      <c r="V301" s="36">
        <f>IF(T$12=0,0,T301/T$12)</f>
        <v>-1.6772854384505667E-2</v>
      </c>
      <c r="W301" s="15"/>
      <c r="X301" s="30">
        <f>P301-T301</f>
        <v>-936056.3199999996</v>
      </c>
      <c r="Y301" s="15"/>
      <c r="Z301" s="36">
        <f>IF(T301=0,0,X301/T301)</f>
        <v>5.2467607125569291</v>
      </c>
    </row>
    <row r="302" spans="1:26" ht="15.75" thickTop="1" x14ac:dyDescent="0.25">
      <c r="A302" s="9"/>
      <c r="B302" s="9"/>
      <c r="C302" s="9"/>
      <c r="D302" s="3"/>
      <c r="E302" s="3"/>
      <c r="F302" s="8"/>
      <c r="G302" s="3"/>
      <c r="H302" s="3"/>
      <c r="I302" s="3"/>
      <c r="J302" s="8"/>
      <c r="K302" s="3"/>
      <c r="L302" s="3"/>
      <c r="M302" s="3"/>
      <c r="N302" s="8"/>
      <c r="P302" s="3"/>
      <c r="Q302" s="3"/>
      <c r="R302" s="8"/>
      <c r="S302" s="3"/>
      <c r="T302" s="3"/>
      <c r="U302" s="3"/>
      <c r="V302" s="8"/>
      <c r="W302" s="3"/>
      <c r="X302" s="3"/>
      <c r="Y302" s="3"/>
      <c r="Z302" s="8"/>
    </row>
    <row r="303" spans="1:26" x14ac:dyDescent="0.25">
      <c r="A303" s="9"/>
      <c r="B303" s="9"/>
      <c r="C303" s="9"/>
      <c r="D303" s="3"/>
      <c r="E303" s="3"/>
      <c r="F303" s="8"/>
      <c r="G303" s="3"/>
      <c r="H303" s="3"/>
      <c r="I303" s="3"/>
      <c r="J303" s="8"/>
      <c r="K303" s="3"/>
      <c r="L303" s="3"/>
      <c r="M303" s="3"/>
      <c r="N303" s="8"/>
      <c r="P303" s="3"/>
      <c r="Q303" s="3"/>
      <c r="R303" s="8"/>
      <c r="S303" s="3"/>
      <c r="T303" s="3"/>
      <c r="U303" s="3"/>
      <c r="V303" s="8"/>
      <c r="W303" s="3"/>
      <c r="X303" s="3"/>
      <c r="Y303" s="3"/>
      <c r="Z303" s="8"/>
    </row>
    <row r="304" spans="1:26" s="24" customFormat="1" ht="15.75" thickBot="1" x14ac:dyDescent="0.3">
      <c r="A304" s="11"/>
      <c r="B304" s="29" t="s">
        <v>293</v>
      </c>
      <c r="C304" s="29"/>
      <c r="D304" s="35">
        <f>SUM(D301:D303)</f>
        <v>-42529.799999999988</v>
      </c>
      <c r="E304" s="14"/>
      <c r="F304" s="34">
        <f>IF(D$12=0,0,D304/D$12)</f>
        <v>-6.9382043226113438E-2</v>
      </c>
      <c r="G304" s="14"/>
      <c r="H304" s="35">
        <f>SUM(H301:H303)</f>
        <v>-245338.30999999956</v>
      </c>
      <c r="I304" s="14"/>
      <c r="J304" s="34">
        <f>IF(H$12=0,0,H304/H$12)</f>
        <v>-0.70836680683575348</v>
      </c>
      <c r="K304" s="15"/>
      <c r="L304" s="35">
        <f>+D304-H304</f>
        <v>202808.50999999957</v>
      </c>
      <c r="M304" s="15"/>
      <c r="N304" s="34">
        <f>IF(H304=0,0,L304/H304)</f>
        <v>-0.82664835345119947</v>
      </c>
      <c r="O304" s="28"/>
      <c r="P304" s="35">
        <f>SUM(P301:P303)</f>
        <v>-1114462.8399999992</v>
      </c>
      <c r="Q304" s="14"/>
      <c r="R304" s="34">
        <f>IF(P$12=0,0,P304/P$12)</f>
        <v>-0.17735690402480328</v>
      </c>
      <c r="S304" s="14"/>
      <c r="T304" s="35">
        <f>SUM(T301:T303)</f>
        <v>-178406.51999999955</v>
      </c>
      <c r="U304" s="14"/>
      <c r="V304" s="34">
        <f>IF(T$12=0,0,T304/T$12)</f>
        <v>-1.6772854384505667E-2</v>
      </c>
      <c r="W304" s="15"/>
      <c r="X304" s="35">
        <f>+P304-T304</f>
        <v>-936056.3199999996</v>
      </c>
      <c r="Y304" s="15"/>
      <c r="Z304" s="34">
        <f>IF(T304=0,0,X304/T304)</f>
        <v>5.2467607125569291</v>
      </c>
    </row>
    <row r="305" spans="1:24" ht="15.75" thickTop="1" x14ac:dyDescent="0.25">
      <c r="A305" s="9"/>
      <c r="C305" s="9"/>
      <c r="D305" s="18"/>
      <c r="E305" s="18"/>
      <c r="G305" s="18"/>
      <c r="H305" s="18"/>
      <c r="I305" s="18"/>
      <c r="J305" s="43"/>
      <c r="K305" s="18"/>
      <c r="L305" s="18"/>
      <c r="M305" s="18"/>
      <c r="P305" s="18"/>
      <c r="Q305" s="18"/>
      <c r="R305" s="43"/>
      <c r="S305" s="18"/>
      <c r="T305" s="18"/>
      <c r="U305" s="18"/>
      <c r="V305" s="43"/>
      <c r="W305" s="18"/>
      <c r="X305" s="18"/>
    </row>
    <row r="306" spans="1:24" x14ac:dyDescent="0.25">
      <c r="A306" s="9"/>
      <c r="B306" s="54">
        <v>44295.963221724538</v>
      </c>
      <c r="D306" s="18"/>
      <c r="E306" s="18"/>
      <c r="G306" s="18"/>
      <c r="H306" s="18"/>
      <c r="I306" s="18"/>
      <c r="J306" s="43"/>
      <c r="K306" s="18"/>
      <c r="L306" s="18"/>
      <c r="M306" s="18"/>
      <c r="P306" s="18"/>
      <c r="Q306" s="18"/>
      <c r="R306" s="43"/>
      <c r="S306" s="18"/>
      <c r="T306" s="18"/>
      <c r="U306" s="18"/>
      <c r="V306" s="43"/>
      <c r="W306" s="18"/>
      <c r="X306" s="18"/>
    </row>
    <row r="307" spans="1:24" x14ac:dyDescent="0.25">
      <c r="A307" s="9"/>
      <c r="B307" s="58" t="s">
        <v>56</v>
      </c>
      <c r="D307" s="18"/>
      <c r="E307" s="18"/>
      <c r="G307" s="18"/>
      <c r="H307" s="18"/>
      <c r="I307" s="18"/>
      <c r="J307" s="43"/>
      <c r="K307" s="18"/>
      <c r="L307" s="18"/>
      <c r="M307" s="18"/>
      <c r="P307" s="18"/>
      <c r="Q307" s="18"/>
      <c r="R307" s="43"/>
      <c r="S307" s="18"/>
      <c r="T307" s="18"/>
      <c r="U307" s="18"/>
      <c r="V307" s="43"/>
      <c r="W307" s="18"/>
      <c r="X307" s="18"/>
    </row>
    <row r="308" spans="1:24" x14ac:dyDescent="0.25">
      <c r="A308" s="9"/>
      <c r="B308" s="62"/>
      <c r="D308" s="18"/>
      <c r="E308" s="18"/>
      <c r="G308" s="18"/>
      <c r="H308" s="18"/>
      <c r="I308" s="18"/>
      <c r="J308" s="43"/>
      <c r="K308" s="18"/>
      <c r="L308" s="18"/>
      <c r="M308" s="18"/>
      <c r="P308" s="18"/>
      <c r="Q308" s="18"/>
      <c r="R308" s="43"/>
      <c r="S308" s="18"/>
      <c r="T308" s="18"/>
      <c r="U308" s="18"/>
      <c r="V308" s="43"/>
      <c r="W308" s="18"/>
      <c r="X308" s="18"/>
    </row>
    <row r="309" spans="1:24" x14ac:dyDescent="0.25">
      <c r="D309" s="18"/>
      <c r="E309" s="18"/>
      <c r="G309" s="18"/>
      <c r="H309" s="18"/>
      <c r="I309" s="18"/>
      <c r="J309" s="43"/>
      <c r="K309" s="18"/>
      <c r="L309" s="18"/>
      <c r="M309" s="18"/>
      <c r="P309" s="18"/>
      <c r="Q309" s="18"/>
      <c r="R309" s="43"/>
      <c r="S309" s="18"/>
      <c r="T309" s="18"/>
      <c r="U309" s="18"/>
      <c r="V309" s="43"/>
      <c r="W309" s="18"/>
      <c r="X309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","301", " - ", "Bookstore Operations")</f>
        <v>Department 301 - Bookstore Operations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95870.02</v>
      </c>
      <c r="E18" s="21"/>
      <c r="F18" s="31">
        <f t="shared" ref="F18:F29" si="0">IF(D$12=0,0,D18/D$12)</f>
        <v>0</v>
      </c>
      <c r="G18" s="21"/>
      <c r="H18" s="21">
        <f>SUM(OSRRefH22x_0)</f>
        <v>72545.560000000012</v>
      </c>
      <c r="I18" s="21"/>
      <c r="J18" s="31">
        <f t="shared" ref="J18:J29" si="1">IF(H$12=0,0,H18/H$12)</f>
        <v>0</v>
      </c>
      <c r="K18" s="4"/>
      <c r="L18" s="21">
        <f t="shared" ref="L18:L29" si="2">+D18-H18</f>
        <v>23324.459999999992</v>
      </c>
      <c r="M18" s="4"/>
      <c r="N18" s="31">
        <f t="shared" ref="N18:N29" si="3">IF(H18=0,0,L18/H18)</f>
        <v>0.32151464541730723</v>
      </c>
      <c r="O18" s="11"/>
      <c r="P18" s="21">
        <f>SUM(OSRRefP22x_0)</f>
        <v>1095415.9200000004</v>
      </c>
      <c r="Q18" s="21"/>
      <c r="R18" s="31">
        <f t="shared" ref="R18:R29" si="4">IF(P$12=0,0,P18/P$12)</f>
        <v>0</v>
      </c>
      <c r="S18" s="21"/>
      <c r="T18" s="21">
        <f>SUM(OSRRefT22x_0)</f>
        <v>1096636.8199999998</v>
      </c>
      <c r="U18" s="21"/>
      <c r="V18" s="31">
        <f t="shared" ref="V18:V29" si="5">IF(T$12=0,0,T18/T$12)</f>
        <v>0</v>
      </c>
      <c r="W18" s="4"/>
      <c r="X18" s="21">
        <f t="shared" ref="X18:X29" si="6">+P18-T18</f>
        <v>-1220.8999999994412</v>
      </c>
      <c r="Y18" s="4"/>
      <c r="Z18" s="31">
        <f t="shared" ref="Z18:Z29" si="7">IF(T18=0,0,X18/T18)</f>
        <v>-1.113312974480869E-3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11134.78</v>
      </c>
      <c r="E19" s="1"/>
      <c r="F19" s="5">
        <f t="shared" si="0"/>
        <v>0</v>
      </c>
      <c r="G19" s="1"/>
      <c r="H19" s="1">
        <f>SUM(OSRRefH22_0x_0)</f>
        <v>-9184.32</v>
      </c>
      <c r="I19" s="1"/>
      <c r="J19" s="5">
        <f t="shared" si="1"/>
        <v>0</v>
      </c>
      <c r="K19" s="1"/>
      <c r="L19" s="1">
        <f t="shared" si="2"/>
        <v>20319.099999999999</v>
      </c>
      <c r="M19" s="1"/>
      <c r="N19" s="5">
        <f t="shared" si="3"/>
        <v>-2.2123684714818297</v>
      </c>
      <c r="O19" s="12"/>
      <c r="P19" s="1">
        <f>SUM(OSRRefP22_0x_0)</f>
        <v>85303.580000000016</v>
      </c>
      <c r="Q19" s="1"/>
      <c r="R19" s="5">
        <f t="shared" si="4"/>
        <v>0</v>
      </c>
      <c r="S19" s="1"/>
      <c r="T19" s="1">
        <f>SUM(OSRRefT22_0x_0)</f>
        <v>91373.330000000016</v>
      </c>
      <c r="U19" s="1"/>
      <c r="V19" s="5">
        <f t="shared" si="5"/>
        <v>0</v>
      </c>
      <c r="W19" s="1"/>
      <c r="X19" s="1">
        <f t="shared" si="6"/>
        <v>-6069.75</v>
      </c>
      <c r="Y19" s="1"/>
      <c r="Z19" s="5">
        <f t="shared" si="7"/>
        <v>-6.6428026646287261E-2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1737.13</v>
      </c>
      <c r="E20" s="2"/>
      <c r="F20" s="7">
        <f t="shared" si="0"/>
        <v>0</v>
      </c>
      <c r="G20" s="2"/>
      <c r="H20" s="6">
        <v>3512.51</v>
      </c>
      <c r="I20" s="2"/>
      <c r="J20" s="7">
        <f t="shared" si="1"/>
        <v>0</v>
      </c>
      <c r="K20" s="2"/>
      <c r="L20" s="6">
        <f t="shared" si="2"/>
        <v>-1775.38</v>
      </c>
      <c r="M20" s="2"/>
      <c r="N20" s="7">
        <f t="shared" si="3"/>
        <v>-0.50544482435637195</v>
      </c>
      <c r="O20" s="10"/>
      <c r="P20" s="6">
        <v>20879.46</v>
      </c>
      <c r="Q20" s="2"/>
      <c r="R20" s="7">
        <f t="shared" si="4"/>
        <v>0</v>
      </c>
      <c r="S20" s="2"/>
      <c r="T20" s="6">
        <v>23922.68</v>
      </c>
      <c r="U20" s="2"/>
      <c r="V20" s="7">
        <f t="shared" si="5"/>
        <v>0</v>
      </c>
      <c r="W20" s="2"/>
      <c r="X20" s="6">
        <f t="shared" si="6"/>
        <v>-3043.2200000000012</v>
      </c>
      <c r="Y20" s="2"/>
      <c r="Z20" s="7">
        <f t="shared" si="7"/>
        <v>-0.12721066368818215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555.75</v>
      </c>
      <c r="E21" s="2"/>
      <c r="F21" s="7">
        <f t="shared" si="0"/>
        <v>0</v>
      </c>
      <c r="G21" s="2"/>
      <c r="H21" s="6">
        <v>1047.4000000000001</v>
      </c>
      <c r="I21" s="2"/>
      <c r="J21" s="7">
        <f t="shared" si="1"/>
        <v>0</v>
      </c>
      <c r="K21" s="2"/>
      <c r="L21" s="6">
        <f t="shared" si="2"/>
        <v>-491.65000000000009</v>
      </c>
      <c r="M21" s="2"/>
      <c r="N21" s="7">
        <f t="shared" si="3"/>
        <v>-0.46940042008783661</v>
      </c>
      <c r="O21" s="10"/>
      <c r="P21" s="6">
        <v>6414.38</v>
      </c>
      <c r="Q21" s="2"/>
      <c r="R21" s="7">
        <f t="shared" si="4"/>
        <v>0</v>
      </c>
      <c r="S21" s="2"/>
      <c r="T21" s="6">
        <v>6220.26</v>
      </c>
      <c r="U21" s="2"/>
      <c r="V21" s="7">
        <f t="shared" si="5"/>
        <v>0</v>
      </c>
      <c r="W21" s="2"/>
      <c r="X21" s="6">
        <f t="shared" si="6"/>
        <v>194.11999999999989</v>
      </c>
      <c r="Y21" s="2"/>
      <c r="Z21" s="7">
        <f t="shared" si="7"/>
        <v>3.1207698713558579E-2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5096.28</v>
      </c>
      <c r="E22" s="2"/>
      <c r="F22" s="7">
        <f t="shared" si="0"/>
        <v>0</v>
      </c>
      <c r="G22" s="2"/>
      <c r="H22" s="6">
        <v>3163.55</v>
      </c>
      <c r="I22" s="2"/>
      <c r="J22" s="7">
        <f t="shared" si="1"/>
        <v>0</v>
      </c>
      <c r="K22" s="2"/>
      <c r="L22" s="6">
        <f t="shared" si="2"/>
        <v>1932.7299999999996</v>
      </c>
      <c r="M22" s="2"/>
      <c r="N22" s="7">
        <f t="shared" si="3"/>
        <v>0.61093708017891279</v>
      </c>
      <c r="O22" s="10"/>
      <c r="P22" s="6">
        <v>25140.57</v>
      </c>
      <c r="Q22" s="2"/>
      <c r="R22" s="7">
        <f t="shared" si="4"/>
        <v>0</v>
      </c>
      <c r="S22" s="2"/>
      <c r="T22" s="6">
        <v>36979.1</v>
      </c>
      <c r="U22" s="2"/>
      <c r="V22" s="7">
        <f t="shared" si="5"/>
        <v>0</v>
      </c>
      <c r="W22" s="2"/>
      <c r="X22" s="6">
        <f t="shared" si="6"/>
        <v>-11838.529999999999</v>
      </c>
      <c r="Y22" s="2"/>
      <c r="Z22" s="7">
        <f t="shared" si="7"/>
        <v>-0.32014110673326285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87.01</v>
      </c>
      <c r="E23" s="2"/>
      <c r="F23" s="7">
        <f t="shared" si="0"/>
        <v>0</v>
      </c>
      <c r="G23" s="2"/>
      <c r="H23" s="6">
        <v>160.76</v>
      </c>
      <c r="I23" s="2"/>
      <c r="J23" s="7">
        <f t="shared" si="1"/>
        <v>0</v>
      </c>
      <c r="K23" s="2"/>
      <c r="L23" s="6">
        <f t="shared" si="2"/>
        <v>-73.749999999999986</v>
      </c>
      <c r="M23" s="2"/>
      <c r="N23" s="7">
        <f t="shared" si="3"/>
        <v>-0.45875839761134607</v>
      </c>
      <c r="O23" s="10"/>
      <c r="P23" s="6">
        <v>1004.4</v>
      </c>
      <c r="Q23" s="2"/>
      <c r="R23" s="7">
        <f t="shared" si="4"/>
        <v>0</v>
      </c>
      <c r="S23" s="2"/>
      <c r="T23" s="6">
        <v>1292.3</v>
      </c>
      <c r="U23" s="2"/>
      <c r="V23" s="7">
        <f t="shared" si="5"/>
        <v>0</v>
      </c>
      <c r="W23" s="2"/>
      <c r="X23" s="6">
        <f t="shared" si="6"/>
        <v>-287.89999999999998</v>
      </c>
      <c r="Y23" s="2"/>
      <c r="Z23" s="7">
        <f t="shared" si="7"/>
        <v>-0.22278108798266655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1040.94</v>
      </c>
      <c r="E24" s="2"/>
      <c r="F24" s="7">
        <f t="shared" si="0"/>
        <v>0</v>
      </c>
      <c r="G24" s="2"/>
      <c r="H24" s="6">
        <v>3933.42</v>
      </c>
      <c r="I24" s="2"/>
      <c r="J24" s="7">
        <f t="shared" si="1"/>
        <v>0</v>
      </c>
      <c r="K24" s="2"/>
      <c r="L24" s="6">
        <f t="shared" si="2"/>
        <v>-2892.48</v>
      </c>
      <c r="M24" s="2"/>
      <c r="N24" s="7">
        <f t="shared" si="3"/>
        <v>-0.73536006833747725</v>
      </c>
      <c r="O24" s="10"/>
      <c r="P24" s="6">
        <v>11550.77</v>
      </c>
      <c r="Q24" s="2"/>
      <c r="R24" s="7">
        <f t="shared" si="4"/>
        <v>0</v>
      </c>
      <c r="S24" s="2"/>
      <c r="T24" s="6">
        <v>20069.63</v>
      </c>
      <c r="U24" s="2"/>
      <c r="V24" s="7">
        <f t="shared" si="5"/>
        <v>0</v>
      </c>
      <c r="W24" s="2"/>
      <c r="X24" s="6">
        <f t="shared" si="6"/>
        <v>-8518.86</v>
      </c>
      <c r="Y24" s="2"/>
      <c r="Z24" s="7">
        <f t="shared" si="7"/>
        <v>-0.42446522432152461</v>
      </c>
    </row>
    <row r="25" spans="1:26" s="23" customFormat="1" hidden="1" outlineLevel="2" x14ac:dyDescent="0.25">
      <c r="A25" s="25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>
        <v>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401.9</v>
      </c>
      <c r="Y25" s="2"/>
      <c r="Z25" s="7">
        <f t="shared" si="7"/>
        <v>0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>
        <v>282.24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282.24</v>
      </c>
      <c r="M26" s="2"/>
      <c r="N26" s="7">
        <f t="shared" si="3"/>
        <v>0</v>
      </c>
      <c r="O26" s="10"/>
      <c r="P26" s="6">
        <v>891.68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891.68</v>
      </c>
      <c r="Y26" s="2"/>
      <c r="Z26" s="7">
        <f t="shared" si="7"/>
        <v>0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1261.27</v>
      </c>
      <c r="E27" s="2"/>
      <c r="F27" s="7">
        <f t="shared" si="0"/>
        <v>0</v>
      </c>
      <c r="G27" s="2"/>
      <c r="H27" s="6">
        <v>1959.72</v>
      </c>
      <c r="I27" s="2"/>
      <c r="J27" s="7">
        <f t="shared" si="1"/>
        <v>0</v>
      </c>
      <c r="K27" s="2"/>
      <c r="L27" s="6">
        <f t="shared" si="2"/>
        <v>-698.45</v>
      </c>
      <c r="M27" s="2"/>
      <c r="N27" s="7">
        <f t="shared" si="3"/>
        <v>-0.3564029555242586</v>
      </c>
      <c r="O27" s="10"/>
      <c r="P27" s="6">
        <v>10333.040000000001</v>
      </c>
      <c r="Q27" s="2"/>
      <c r="R27" s="7">
        <f t="shared" si="4"/>
        <v>0</v>
      </c>
      <c r="S27" s="2"/>
      <c r="T27" s="6">
        <v>14886.73</v>
      </c>
      <c r="U27" s="2"/>
      <c r="V27" s="7">
        <f t="shared" si="5"/>
        <v>0</v>
      </c>
      <c r="W27" s="2"/>
      <c r="X27" s="6">
        <f t="shared" si="6"/>
        <v>-4553.6899999999987</v>
      </c>
      <c r="Y27" s="2"/>
      <c r="Z27" s="7">
        <f t="shared" si="7"/>
        <v>-0.30588920468094732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832.35</v>
      </c>
      <c r="E28" s="2"/>
      <c r="F28" s="7">
        <f t="shared" si="0"/>
        <v>0</v>
      </c>
      <c r="G28" s="2"/>
      <c r="H28" s="6">
        <v>-23036.67</v>
      </c>
      <c r="I28" s="2"/>
      <c r="J28" s="7">
        <f t="shared" si="1"/>
        <v>0</v>
      </c>
      <c r="K28" s="2"/>
      <c r="L28" s="6">
        <f t="shared" si="2"/>
        <v>23869.019999999997</v>
      </c>
      <c r="M28" s="2"/>
      <c r="N28" s="7">
        <f t="shared" si="3"/>
        <v>-1.0361315242176929</v>
      </c>
      <c r="O28" s="10"/>
      <c r="P28" s="6">
        <v>6935.08</v>
      </c>
      <c r="Q28" s="2"/>
      <c r="R28" s="7">
        <f t="shared" si="4"/>
        <v>0</v>
      </c>
      <c r="S28" s="2"/>
      <c r="T28" s="6">
        <v>-14989.98</v>
      </c>
      <c r="U28" s="2"/>
      <c r="V28" s="7">
        <f t="shared" si="5"/>
        <v>0</v>
      </c>
      <c r="W28" s="2"/>
      <c r="X28" s="6">
        <f t="shared" si="6"/>
        <v>21925.059999999998</v>
      </c>
      <c r="Y28" s="2"/>
      <c r="Z28" s="7">
        <f t="shared" si="7"/>
        <v>-1.462647715340514</v>
      </c>
    </row>
    <row r="29" spans="1:26" s="23" customFormat="1" hidden="1" outlineLevel="2" x14ac:dyDescent="0.25">
      <c r="A29" s="25"/>
      <c r="B29" s="10" t="str">
        <f>CONCATENATE("          ", "6156", " - ", "EMPLOYEE MEALS")</f>
        <v xml:space="preserve">          6156 - EMPLOYEE MEALS</v>
      </c>
      <c r="C29" s="10"/>
      <c r="D29" s="6">
        <v>241.81</v>
      </c>
      <c r="E29" s="2"/>
      <c r="F29" s="7">
        <f t="shared" si="0"/>
        <v>0</v>
      </c>
      <c r="G29" s="2"/>
      <c r="H29" s="6">
        <v>74.989999999999995</v>
      </c>
      <c r="I29" s="2"/>
      <c r="J29" s="7">
        <f t="shared" si="1"/>
        <v>0</v>
      </c>
      <c r="K29" s="2"/>
      <c r="L29" s="6">
        <f t="shared" si="2"/>
        <v>166.82</v>
      </c>
      <c r="M29" s="2"/>
      <c r="N29" s="7">
        <f t="shared" si="3"/>
        <v>2.2245632751033471</v>
      </c>
      <c r="O29" s="10"/>
      <c r="P29" s="6">
        <v>1752.3</v>
      </c>
      <c r="Q29" s="2"/>
      <c r="R29" s="7">
        <f t="shared" si="4"/>
        <v>0</v>
      </c>
      <c r="S29" s="2"/>
      <c r="T29" s="6">
        <v>2992.61</v>
      </c>
      <c r="U29" s="2"/>
      <c r="V29" s="7">
        <f t="shared" si="5"/>
        <v>0</v>
      </c>
      <c r="W29" s="2"/>
      <c r="X29" s="6">
        <f t="shared" si="6"/>
        <v>-1240.3100000000002</v>
      </c>
      <c r="Y29" s="2"/>
      <c r="Z29" s="7">
        <f t="shared" si="7"/>
        <v>-0.4144576139222953</v>
      </c>
    </row>
    <row r="30" spans="1:26" s="26" customFormat="1" outlineLevel="1" collapsed="1" x14ac:dyDescent="0.25">
      <c r="A30" s="27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34369.06</v>
      </c>
      <c r="E30" s="1"/>
      <c r="F30" s="5">
        <f t="shared" ref="F30:F37" si="8">IF(D$12=0,0,D30/D$12)</f>
        <v>0</v>
      </c>
      <c r="G30" s="1"/>
      <c r="H30" s="1">
        <f>SUM(OSRRefH22_1x_0)</f>
        <v>26378.02</v>
      </c>
      <c r="I30" s="1"/>
      <c r="J30" s="5">
        <f t="shared" ref="J30:J37" si="9">IF(H$12=0,0,H30/H$12)</f>
        <v>0</v>
      </c>
      <c r="K30" s="1"/>
      <c r="L30" s="1">
        <f t="shared" ref="L30:L37" si="10">+D30-H30</f>
        <v>7991.0399999999972</v>
      </c>
      <c r="M30" s="1"/>
      <c r="N30" s="5">
        <f t="shared" ref="N30:N37" si="11">IF(H30=0,0,L30/H30)</f>
        <v>0.30294313219870167</v>
      </c>
      <c r="O30" s="12"/>
      <c r="P30" s="1">
        <f>SUM(OSRRefP22_1x_0)</f>
        <v>377972.62</v>
      </c>
      <c r="Q30" s="1"/>
      <c r="R30" s="5">
        <f t="shared" ref="R30:R37" si="12">IF(P$12=0,0,P30/P$12)</f>
        <v>0</v>
      </c>
      <c r="S30" s="1"/>
      <c r="T30" s="1">
        <f>SUM(OSRRefT22_1x_0)</f>
        <v>382151.7</v>
      </c>
      <c r="U30" s="1"/>
      <c r="V30" s="5">
        <f t="shared" ref="V30:V37" si="13">IF(T$12=0,0,T30/T$12)</f>
        <v>0</v>
      </c>
      <c r="W30" s="1"/>
      <c r="X30" s="1">
        <f t="shared" ref="X30:X37" si="14">+P30-T30</f>
        <v>-4179.0800000000163</v>
      </c>
      <c r="Y30" s="1"/>
      <c r="Z30" s="5">
        <f t="shared" ref="Z30:Z37" si="15">IF(T30=0,0,X30/T30)</f>
        <v>-1.0935657227221588E-2</v>
      </c>
    </row>
    <row r="31" spans="1:26" s="23" customFormat="1" hidden="1" outlineLevel="2" x14ac:dyDescent="0.25">
      <c r="A31" s="25"/>
      <c r="B31" s="10" t="str">
        <f>CONCATENATE("          ", "6001", " - ", "ADMINISTRATIVE SALARIES")</f>
        <v xml:space="preserve">          6001 - ADMINISTRATIVE SALARIES</v>
      </c>
      <c r="C31" s="10"/>
      <c r="D31" s="6">
        <v>4279.74</v>
      </c>
      <c r="E31" s="2"/>
      <c r="F31" s="7">
        <f t="shared" si="8"/>
        <v>0</v>
      </c>
      <c r="G31" s="2"/>
      <c r="H31" s="6">
        <v>4822.2</v>
      </c>
      <c r="I31" s="2"/>
      <c r="J31" s="7">
        <f t="shared" si="9"/>
        <v>0</v>
      </c>
      <c r="K31" s="2"/>
      <c r="L31" s="6">
        <f t="shared" si="10"/>
        <v>-542.46</v>
      </c>
      <c r="M31" s="2"/>
      <c r="N31" s="7">
        <f t="shared" si="11"/>
        <v>-0.1124922234664676</v>
      </c>
      <c r="O31" s="10"/>
      <c r="P31" s="6">
        <v>39087.65</v>
      </c>
      <c r="Q31" s="2"/>
      <c r="R31" s="7">
        <f t="shared" si="12"/>
        <v>0</v>
      </c>
      <c r="S31" s="2"/>
      <c r="T31" s="6">
        <v>93238.31</v>
      </c>
      <c r="U31" s="2"/>
      <c r="V31" s="7">
        <f t="shared" si="13"/>
        <v>0</v>
      </c>
      <c r="W31" s="2"/>
      <c r="X31" s="6">
        <f t="shared" si="14"/>
        <v>-54150.659999999996</v>
      </c>
      <c r="Y31" s="2"/>
      <c r="Z31" s="7">
        <f t="shared" si="15"/>
        <v>-0.5807769360040953</v>
      </c>
    </row>
    <row r="32" spans="1:26" s="23" customFormat="1" hidden="1" outlineLevel="2" x14ac:dyDescent="0.25">
      <c r="A32" s="25"/>
      <c r="B32" s="10" t="str">
        <f>CONCATENATE("          ", "6002", " - ", "STAFF SALARIES")</f>
        <v xml:space="preserve">          6002 - STAFF SALARIES</v>
      </c>
      <c r="C32" s="10"/>
      <c r="D32" s="6">
        <v>9584.6299999999992</v>
      </c>
      <c r="E32" s="2"/>
      <c r="F32" s="7">
        <f t="shared" si="8"/>
        <v>0</v>
      </c>
      <c r="G32" s="2"/>
      <c r="H32" s="6">
        <v>4358.87</v>
      </c>
      <c r="I32" s="2"/>
      <c r="J32" s="7">
        <f t="shared" si="9"/>
        <v>0</v>
      </c>
      <c r="K32" s="2"/>
      <c r="L32" s="6">
        <f t="shared" si="10"/>
        <v>5225.7599999999993</v>
      </c>
      <c r="M32" s="2"/>
      <c r="N32" s="7">
        <f t="shared" si="11"/>
        <v>1.1988795261157132</v>
      </c>
      <c r="O32" s="10"/>
      <c r="P32" s="6">
        <v>82663.990000000005</v>
      </c>
      <c r="Q32" s="2"/>
      <c r="R32" s="7">
        <f t="shared" si="12"/>
        <v>0</v>
      </c>
      <c r="S32" s="2"/>
      <c r="T32" s="6">
        <v>57186.95</v>
      </c>
      <c r="U32" s="2"/>
      <c r="V32" s="7">
        <f t="shared" si="13"/>
        <v>0</v>
      </c>
      <c r="W32" s="2"/>
      <c r="X32" s="6">
        <f t="shared" si="14"/>
        <v>25477.040000000008</v>
      </c>
      <c r="Y32" s="2"/>
      <c r="Z32" s="7">
        <f t="shared" si="15"/>
        <v>0.44550443763830749</v>
      </c>
    </row>
    <row r="33" spans="1:26" s="23" customFormat="1" hidden="1" outlineLevel="2" x14ac:dyDescent="0.25">
      <c r="A33" s="25"/>
      <c r="B33" s="10" t="str">
        <f>CONCATENATE("          ", "6004", " - ", "STAFF HOURLY")</f>
        <v xml:space="preserve">          6004 - STAFF HOURLY</v>
      </c>
      <c r="C33" s="10"/>
      <c r="D33" s="6">
        <v>2986.56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2986.56</v>
      </c>
      <c r="M33" s="2"/>
      <c r="N33" s="7">
        <f t="shared" si="11"/>
        <v>0</v>
      </c>
      <c r="O33" s="10"/>
      <c r="P33" s="6">
        <v>25362.65</v>
      </c>
      <c r="Q33" s="2"/>
      <c r="R33" s="7">
        <f t="shared" si="12"/>
        <v>0</v>
      </c>
      <c r="S33" s="2"/>
      <c r="T33" s="6">
        <v>-1647.01</v>
      </c>
      <c r="U33" s="2"/>
      <c r="V33" s="7">
        <f t="shared" si="13"/>
        <v>0</v>
      </c>
      <c r="W33" s="2"/>
      <c r="X33" s="6">
        <f t="shared" si="14"/>
        <v>27009.66</v>
      </c>
      <c r="Y33" s="2"/>
      <c r="Z33" s="7">
        <f t="shared" si="15"/>
        <v>-16.399208262244915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>
        <v>4979.6000000000004</v>
      </c>
      <c r="E34" s="2"/>
      <c r="F34" s="7">
        <f t="shared" si="8"/>
        <v>0</v>
      </c>
      <c r="G34" s="2"/>
      <c r="H34" s="6">
        <v>6820.27</v>
      </c>
      <c r="I34" s="2"/>
      <c r="J34" s="7">
        <f t="shared" si="9"/>
        <v>0</v>
      </c>
      <c r="K34" s="2"/>
      <c r="L34" s="6">
        <f t="shared" si="10"/>
        <v>-1840.67</v>
      </c>
      <c r="M34" s="2"/>
      <c r="N34" s="7">
        <f t="shared" si="11"/>
        <v>-0.26988227738784532</v>
      </c>
      <c r="O34" s="10"/>
      <c r="P34" s="6">
        <v>65306.79</v>
      </c>
      <c r="Q34" s="2"/>
      <c r="R34" s="7">
        <f t="shared" si="12"/>
        <v>0</v>
      </c>
      <c r="S34" s="2"/>
      <c r="T34" s="6">
        <v>59852.88</v>
      </c>
      <c r="U34" s="2"/>
      <c r="V34" s="7">
        <f t="shared" si="13"/>
        <v>0</v>
      </c>
      <c r="W34" s="2"/>
      <c r="X34" s="6">
        <f t="shared" si="14"/>
        <v>5453.9100000000035</v>
      </c>
      <c r="Y34" s="2"/>
      <c r="Z34" s="7">
        <f t="shared" si="15"/>
        <v>9.1121930974750145E-2</v>
      </c>
    </row>
    <row r="35" spans="1:26" s="23" customFormat="1" hidden="1" outlineLevel="2" x14ac:dyDescent="0.25">
      <c r="A35" s="25"/>
      <c r="B35" s="10" t="str">
        <f>CONCATENATE("          ", "6006", " - ", "TEMPORARY PART TIME")</f>
        <v xml:space="preserve">          6006 - TEMPORARY PART TIME</v>
      </c>
      <c r="C35" s="10"/>
      <c r="D35" s="6">
        <v>546.70000000000005</v>
      </c>
      <c r="E35" s="2"/>
      <c r="F35" s="7">
        <f t="shared" si="8"/>
        <v>0</v>
      </c>
      <c r="G35" s="2"/>
      <c r="H35" s="6">
        <v>650</v>
      </c>
      <c r="I35" s="2"/>
      <c r="J35" s="7">
        <f t="shared" si="9"/>
        <v>0</v>
      </c>
      <c r="K35" s="2"/>
      <c r="L35" s="6">
        <f t="shared" si="10"/>
        <v>-103.29999999999995</v>
      </c>
      <c r="M35" s="2"/>
      <c r="N35" s="7">
        <f t="shared" si="11"/>
        <v>-0.15892307692307686</v>
      </c>
      <c r="O35" s="10"/>
      <c r="P35" s="6">
        <v>10780.39</v>
      </c>
      <c r="Q35" s="2"/>
      <c r="R35" s="7">
        <f t="shared" si="12"/>
        <v>0</v>
      </c>
      <c r="S35" s="2"/>
      <c r="T35" s="6">
        <v>11923.01</v>
      </c>
      <c r="U35" s="2"/>
      <c r="V35" s="7">
        <f t="shared" si="13"/>
        <v>0</v>
      </c>
      <c r="W35" s="2"/>
      <c r="X35" s="6">
        <f t="shared" si="14"/>
        <v>-1142.6200000000008</v>
      </c>
      <c r="Y35" s="2"/>
      <c r="Z35" s="7">
        <f t="shared" si="15"/>
        <v>-9.583318306367275E-2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>
        <v>11991.83</v>
      </c>
      <c r="E36" s="2"/>
      <c r="F36" s="7">
        <f t="shared" si="8"/>
        <v>0</v>
      </c>
      <c r="G36" s="2"/>
      <c r="H36" s="6">
        <v>9726.68</v>
      </c>
      <c r="I36" s="2"/>
      <c r="J36" s="7">
        <f t="shared" si="9"/>
        <v>0</v>
      </c>
      <c r="K36" s="2"/>
      <c r="L36" s="6">
        <f t="shared" si="10"/>
        <v>2265.1499999999996</v>
      </c>
      <c r="M36" s="2"/>
      <c r="N36" s="7">
        <f t="shared" si="11"/>
        <v>0.23288007830009824</v>
      </c>
      <c r="O36" s="10"/>
      <c r="P36" s="6">
        <v>154771.15</v>
      </c>
      <c r="Q36" s="2"/>
      <c r="R36" s="7">
        <f t="shared" si="12"/>
        <v>0</v>
      </c>
      <c r="S36" s="2"/>
      <c r="T36" s="6">
        <v>159329.82</v>
      </c>
      <c r="U36" s="2"/>
      <c r="V36" s="7">
        <f t="shared" si="13"/>
        <v>0</v>
      </c>
      <c r="W36" s="2"/>
      <c r="X36" s="6">
        <f t="shared" si="14"/>
        <v>-4558.6700000000128</v>
      </c>
      <c r="Y36" s="2"/>
      <c r="Z36" s="7">
        <f t="shared" si="15"/>
        <v>-2.8611530471822615E-2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0"/>
      <c r="P37" s="6"/>
      <c r="Q37" s="2"/>
      <c r="R37" s="7">
        <f t="shared" si="12"/>
        <v>0</v>
      </c>
      <c r="S37" s="2"/>
      <c r="T37" s="6">
        <v>2267.7399999999998</v>
      </c>
      <c r="U37" s="2"/>
      <c r="V37" s="7">
        <f t="shared" si="13"/>
        <v>0</v>
      </c>
      <c r="W37" s="2"/>
      <c r="X37" s="6">
        <f t="shared" si="14"/>
        <v>-2267.7399999999998</v>
      </c>
      <c r="Y37" s="2"/>
      <c r="Z37" s="7">
        <f t="shared" si="15"/>
        <v>-1</v>
      </c>
    </row>
    <row r="38" spans="1:26" s="26" customFormat="1" outlineLevel="1" collapsed="1" x14ac:dyDescent="0.25">
      <c r="A38" s="27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42" si="16">IF(D$12=0,0,D38/D$12)</f>
        <v>0</v>
      </c>
      <c r="G38" s="1"/>
      <c r="H38" s="1">
        <f>SUM(OSRRefH22_2x_0)</f>
        <v>25</v>
      </c>
      <c r="I38" s="1"/>
      <c r="J38" s="5">
        <f t="shared" ref="J38:J42" si="17">IF(H$12=0,0,H38/H$12)</f>
        <v>0</v>
      </c>
      <c r="K38" s="1"/>
      <c r="L38" s="1">
        <f t="shared" ref="L38:L42" si="18">+D38-H38</f>
        <v>-25</v>
      </c>
      <c r="M38" s="1"/>
      <c r="N38" s="5">
        <f t="shared" ref="N38:N42" si="19">IF(H38=0,0,L38/H38)</f>
        <v>-1</v>
      </c>
      <c r="O38" s="12"/>
      <c r="P38" s="1">
        <f>SUM(OSRRefP22_2x_0)</f>
        <v>225</v>
      </c>
      <c r="Q38" s="1"/>
      <c r="R38" s="5">
        <f t="shared" ref="R38:R42" si="20">IF(P$12=0,0,P38/P$12)</f>
        <v>0</v>
      </c>
      <c r="S38" s="1"/>
      <c r="T38" s="1">
        <f>SUM(OSRRefT22_2x_0)</f>
        <v>14215.07</v>
      </c>
      <c r="U38" s="1"/>
      <c r="V38" s="5">
        <f t="shared" ref="V38:V42" si="21">IF(T$12=0,0,T38/T$12)</f>
        <v>0</v>
      </c>
      <c r="W38" s="1"/>
      <c r="X38" s="1">
        <f t="shared" ref="X38:X42" si="22">+P38-T38</f>
        <v>-13990.07</v>
      </c>
      <c r="Y38" s="1"/>
      <c r="Z38" s="5">
        <f t="shared" ref="Z38:Z42" si="23">IF(T38=0,0,X38/T38)</f>
        <v>-0.98417172761020522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16"/>
        <v>0</v>
      </c>
      <c r="G39" s="2"/>
      <c r="H39" s="6">
        <v>25</v>
      </c>
      <c r="I39" s="2"/>
      <c r="J39" s="7">
        <f t="shared" si="17"/>
        <v>0</v>
      </c>
      <c r="K39" s="2"/>
      <c r="L39" s="6">
        <f t="shared" si="18"/>
        <v>-25</v>
      </c>
      <c r="M39" s="2"/>
      <c r="N39" s="7">
        <f t="shared" si="19"/>
        <v>-1</v>
      </c>
      <c r="O39" s="10"/>
      <c r="P39" s="6">
        <v>225</v>
      </c>
      <c r="Q39" s="2"/>
      <c r="R39" s="7">
        <f t="shared" si="20"/>
        <v>0</v>
      </c>
      <c r="S39" s="2"/>
      <c r="T39" s="6">
        <v>14215.07</v>
      </c>
      <c r="U39" s="2"/>
      <c r="V39" s="7">
        <f t="shared" si="21"/>
        <v>0</v>
      </c>
      <c r="W39" s="2"/>
      <c r="X39" s="6">
        <f t="shared" si="22"/>
        <v>-13990.07</v>
      </c>
      <c r="Y39" s="2"/>
      <c r="Z39" s="7">
        <f t="shared" si="23"/>
        <v>-0.98417172761020522</v>
      </c>
    </row>
    <row r="40" spans="1:26" s="26" customFormat="1" outlineLevel="1" collapsed="1" x14ac:dyDescent="0.25">
      <c r="A40" s="27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3.9</v>
      </c>
      <c r="E40" s="1"/>
      <c r="F40" s="5">
        <f t="shared" si="16"/>
        <v>0</v>
      </c>
      <c r="G40" s="1"/>
      <c r="H40" s="1">
        <f>SUM(OSRRefH22_3x_0)</f>
        <v>-50.18</v>
      </c>
      <c r="I40" s="1"/>
      <c r="J40" s="5">
        <f t="shared" si="17"/>
        <v>0</v>
      </c>
      <c r="K40" s="1"/>
      <c r="L40" s="1">
        <f t="shared" si="18"/>
        <v>54.08</v>
      </c>
      <c r="M40" s="1"/>
      <c r="N40" s="5">
        <f t="shared" si="19"/>
        <v>-1.0777202072538861</v>
      </c>
      <c r="O40" s="12"/>
      <c r="P40" s="1">
        <f>SUM(OSRRefP22_3x_0)</f>
        <v>5206.21</v>
      </c>
      <c r="Q40" s="1"/>
      <c r="R40" s="5">
        <f t="shared" si="20"/>
        <v>0</v>
      </c>
      <c r="S40" s="1"/>
      <c r="T40" s="1">
        <f>SUM(OSRRefT22_3x_0)</f>
        <v>-19.63000000000001</v>
      </c>
      <c r="U40" s="1"/>
      <c r="V40" s="5">
        <f t="shared" si="21"/>
        <v>0</v>
      </c>
      <c r="W40" s="1"/>
      <c r="X40" s="1">
        <f t="shared" si="22"/>
        <v>5225.84</v>
      </c>
      <c r="Y40" s="1"/>
      <c r="Z40" s="5">
        <f t="shared" si="23"/>
        <v>-266.21701477330606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>
        <v>3.9</v>
      </c>
      <c r="E41" s="2"/>
      <c r="F41" s="7">
        <f t="shared" si="16"/>
        <v>0</v>
      </c>
      <c r="G41" s="2"/>
      <c r="H41" s="6">
        <v>-50.18</v>
      </c>
      <c r="I41" s="2"/>
      <c r="J41" s="7">
        <f t="shared" si="17"/>
        <v>0</v>
      </c>
      <c r="K41" s="2"/>
      <c r="L41" s="6">
        <f t="shared" si="18"/>
        <v>54.08</v>
      </c>
      <c r="M41" s="2"/>
      <c r="N41" s="7">
        <f t="shared" si="19"/>
        <v>-1.0777202072538861</v>
      </c>
      <c r="O41" s="10"/>
      <c r="P41" s="6">
        <v>-143.21</v>
      </c>
      <c r="Q41" s="2"/>
      <c r="R41" s="7">
        <f t="shared" si="20"/>
        <v>0</v>
      </c>
      <c r="S41" s="2"/>
      <c r="T41" s="6">
        <v>-64.430000000000007</v>
      </c>
      <c r="U41" s="2"/>
      <c r="V41" s="7">
        <f t="shared" si="21"/>
        <v>0</v>
      </c>
      <c r="W41" s="2"/>
      <c r="X41" s="6">
        <f t="shared" si="22"/>
        <v>-78.78</v>
      </c>
      <c r="Y41" s="2"/>
      <c r="Z41" s="7">
        <f t="shared" si="23"/>
        <v>1.2227223343163123</v>
      </c>
    </row>
    <row r="42" spans="1:26" s="23" customFormat="1" hidden="1" outlineLevel="2" x14ac:dyDescent="0.25">
      <c r="A42" s="25"/>
      <c r="B42" s="10" t="str">
        <f>CONCATENATE("          ", "6342", " - ", "BAD DEBT")</f>
        <v xml:space="preserve">          6342 - BAD DEBT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>
        <v>5349.42</v>
      </c>
      <c r="Q42" s="2"/>
      <c r="R42" s="7">
        <f t="shared" si="20"/>
        <v>0</v>
      </c>
      <c r="S42" s="2"/>
      <c r="T42" s="6">
        <v>44.8</v>
      </c>
      <c r="U42" s="2"/>
      <c r="V42" s="7">
        <f t="shared" si="21"/>
        <v>0</v>
      </c>
      <c r="W42" s="2"/>
      <c r="X42" s="6">
        <f t="shared" si="22"/>
        <v>5304.62</v>
      </c>
      <c r="Y42" s="2"/>
      <c r="Z42" s="7">
        <f t="shared" si="23"/>
        <v>118.40669642857144</v>
      </c>
    </row>
    <row r="43" spans="1:26" s="26" customFormat="1" outlineLevel="1" collapsed="1" x14ac:dyDescent="0.25">
      <c r="A43" s="27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3353.76</v>
      </c>
      <c r="E43" s="1"/>
      <c r="F43" s="5">
        <f t="shared" ref="F43:F48" si="24">IF(D$12=0,0,D43/D$12)</f>
        <v>0</v>
      </c>
      <c r="G43" s="1"/>
      <c r="H43" s="1">
        <f>SUM(OSRRefH22_4x_0)</f>
        <v>5564.8</v>
      </c>
      <c r="I43" s="1"/>
      <c r="J43" s="5">
        <f t="shared" ref="J43:J48" si="25">IF(H$12=0,0,H43/H$12)</f>
        <v>0</v>
      </c>
      <c r="K43" s="1"/>
      <c r="L43" s="1">
        <f t="shared" ref="L43:L48" si="26">+D43-H43</f>
        <v>-2211.04</v>
      </c>
      <c r="M43" s="1"/>
      <c r="N43" s="5">
        <f t="shared" ref="N43:N48" si="27">IF(H43=0,0,L43/H43)</f>
        <v>-0.39732604945370903</v>
      </c>
      <c r="O43" s="12"/>
      <c r="P43" s="1">
        <f>SUM(OSRRefP22_4x_0)</f>
        <v>65987.11</v>
      </c>
      <c r="Q43" s="1"/>
      <c r="R43" s="5">
        <f t="shared" ref="R43:R48" si="28">IF(P$12=0,0,P43/P$12)</f>
        <v>0</v>
      </c>
      <c r="S43" s="1"/>
      <c r="T43" s="1">
        <f>SUM(OSRRefT22_4x_0)</f>
        <v>131000.03</v>
      </c>
      <c r="U43" s="1"/>
      <c r="V43" s="5">
        <f t="shared" ref="V43:V48" si="29">IF(T$12=0,0,T43/T$12)</f>
        <v>0</v>
      </c>
      <c r="W43" s="1"/>
      <c r="X43" s="1">
        <f t="shared" ref="X43:X48" si="30">+P43-T43</f>
        <v>-65012.92</v>
      </c>
      <c r="Y43" s="1"/>
      <c r="Z43" s="5">
        <f t="shared" ref="Z43:Z48" si="31">IF(T43=0,0,X43/T43)</f>
        <v>-0.49628171840876678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>
        <v>3353.76</v>
      </c>
      <c r="E44" s="2"/>
      <c r="F44" s="7">
        <f t="shared" si="24"/>
        <v>0</v>
      </c>
      <c r="G44" s="2"/>
      <c r="H44" s="6">
        <v>5564.8</v>
      </c>
      <c r="I44" s="2"/>
      <c r="J44" s="7">
        <f t="shared" si="25"/>
        <v>0</v>
      </c>
      <c r="K44" s="2"/>
      <c r="L44" s="6">
        <f t="shared" si="26"/>
        <v>-2211.04</v>
      </c>
      <c r="M44" s="2"/>
      <c r="N44" s="7">
        <f t="shared" si="27"/>
        <v>-0.39732604945370903</v>
      </c>
      <c r="O44" s="10"/>
      <c r="P44" s="6">
        <v>65987.11</v>
      </c>
      <c r="Q44" s="2"/>
      <c r="R44" s="7">
        <f t="shared" si="28"/>
        <v>0</v>
      </c>
      <c r="S44" s="2"/>
      <c r="T44" s="6">
        <v>131000.03</v>
      </c>
      <c r="U44" s="2"/>
      <c r="V44" s="7">
        <f t="shared" si="29"/>
        <v>0</v>
      </c>
      <c r="W44" s="2"/>
      <c r="X44" s="6">
        <f t="shared" si="30"/>
        <v>-65012.92</v>
      </c>
      <c r="Y44" s="2"/>
      <c r="Z44" s="7">
        <f t="shared" si="31"/>
        <v>-0.49628171840876678</v>
      </c>
    </row>
    <row r="45" spans="1:26" s="26" customFormat="1" outlineLevel="1" collapsed="1" x14ac:dyDescent="0.25">
      <c r="A45" s="27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30565.97</v>
      </c>
      <c r="E45" s="1"/>
      <c r="F45" s="5">
        <f t="shared" si="24"/>
        <v>0</v>
      </c>
      <c r="G45" s="1"/>
      <c r="H45" s="1">
        <f>SUM(OSRRefH22_5x_0)</f>
        <v>30273.599999999999</v>
      </c>
      <c r="I45" s="1"/>
      <c r="J45" s="5">
        <f t="shared" si="25"/>
        <v>0</v>
      </c>
      <c r="K45" s="1"/>
      <c r="L45" s="1">
        <f t="shared" si="26"/>
        <v>292.37000000000262</v>
      </c>
      <c r="M45" s="1"/>
      <c r="N45" s="5">
        <f t="shared" si="27"/>
        <v>9.6575894508747762E-3</v>
      </c>
      <c r="O45" s="12"/>
      <c r="P45" s="1">
        <f>SUM(OSRRefP22_5x_0)</f>
        <v>275389.21999999997</v>
      </c>
      <c r="Q45" s="1"/>
      <c r="R45" s="5">
        <f t="shared" si="28"/>
        <v>0</v>
      </c>
      <c r="S45" s="1"/>
      <c r="T45" s="1">
        <f>SUM(OSRRefT22_5x_0)</f>
        <v>267653.94</v>
      </c>
      <c r="U45" s="1"/>
      <c r="V45" s="5">
        <f t="shared" si="29"/>
        <v>0</v>
      </c>
      <c r="W45" s="1"/>
      <c r="X45" s="1">
        <f t="shared" si="30"/>
        <v>7735.2799999999697</v>
      </c>
      <c r="Y45" s="1"/>
      <c r="Z45" s="5">
        <f t="shared" si="31"/>
        <v>2.8900303130228421E-2</v>
      </c>
    </row>
    <row r="46" spans="1:26" s="23" customFormat="1" hidden="1" outlineLevel="2" x14ac:dyDescent="0.25">
      <c r="A46" s="25"/>
      <c r="B46" s="10" t="str">
        <f>CONCATENATE("          ", "6321", " - ", "BUILDING DEPRECIATION")</f>
        <v xml:space="preserve">          6321 - BUILDING DEPRECIATION</v>
      </c>
      <c r="C46" s="10"/>
      <c r="D46" s="6">
        <v>16396.52</v>
      </c>
      <c r="E46" s="2"/>
      <c r="F46" s="7">
        <f t="shared" si="24"/>
        <v>0</v>
      </c>
      <c r="G46" s="2"/>
      <c r="H46" s="6">
        <v>16396.52</v>
      </c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0"/>
      <c r="P46" s="6">
        <v>147568.68</v>
      </c>
      <c r="Q46" s="2"/>
      <c r="R46" s="7">
        <f t="shared" si="28"/>
        <v>0</v>
      </c>
      <c r="S46" s="2"/>
      <c r="T46" s="6">
        <v>147568.68</v>
      </c>
      <c r="U46" s="2"/>
      <c r="V46" s="7">
        <f t="shared" si="29"/>
        <v>0</v>
      </c>
      <c r="W46" s="2"/>
      <c r="X46" s="6">
        <f t="shared" si="30"/>
        <v>0</v>
      </c>
      <c r="Y46" s="2"/>
      <c r="Z46" s="7">
        <f t="shared" si="31"/>
        <v>0</v>
      </c>
    </row>
    <row r="47" spans="1:26" s="23" customFormat="1" hidden="1" outlineLevel="2" x14ac:dyDescent="0.25">
      <c r="A47" s="25"/>
      <c r="B47" s="10" t="str">
        <f>CONCATENATE("          ", "6322", " - ", "EQUIPMENT DEPRECIATION EXPENSE")</f>
        <v xml:space="preserve">          6322 - EQUIPMENT DEPRECIATION EXPENSE</v>
      </c>
      <c r="C47" s="10"/>
      <c r="D47" s="6">
        <v>14169.45</v>
      </c>
      <c r="E47" s="2"/>
      <c r="F47" s="7">
        <f t="shared" si="24"/>
        <v>0</v>
      </c>
      <c r="G47" s="2"/>
      <c r="H47" s="6">
        <v>13877.08</v>
      </c>
      <c r="I47" s="2"/>
      <c r="J47" s="7">
        <f t="shared" si="25"/>
        <v>0</v>
      </c>
      <c r="K47" s="2"/>
      <c r="L47" s="6">
        <f t="shared" si="26"/>
        <v>292.3700000000008</v>
      </c>
      <c r="M47" s="2"/>
      <c r="N47" s="7">
        <f t="shared" si="27"/>
        <v>2.106855332678062E-2</v>
      </c>
      <c r="O47" s="10"/>
      <c r="P47" s="6">
        <v>127820.54</v>
      </c>
      <c r="Q47" s="2"/>
      <c r="R47" s="7">
        <f t="shared" si="28"/>
        <v>0</v>
      </c>
      <c r="S47" s="2"/>
      <c r="T47" s="6">
        <v>120085.26</v>
      </c>
      <c r="U47" s="2"/>
      <c r="V47" s="7">
        <f t="shared" si="29"/>
        <v>0</v>
      </c>
      <c r="W47" s="2"/>
      <c r="X47" s="6">
        <f t="shared" si="30"/>
        <v>7735.2799999999988</v>
      </c>
      <c r="Y47" s="2"/>
      <c r="Z47" s="7">
        <f t="shared" si="31"/>
        <v>6.4414899880301704E-2</v>
      </c>
    </row>
    <row r="48" spans="1:26" s="23" customFormat="1" hidden="1" outlineLevel="2" x14ac:dyDescent="0.25">
      <c r="A48" s="25"/>
      <c r="B48" s="10" t="str">
        <f>CONCATENATE("          ", "6324", " - ", "FURNITURE + FIXT DEPRECIATION")</f>
        <v xml:space="preserve">          6324 - FURNITURE + FIXT DEPRECIATION</v>
      </c>
      <c r="C48" s="10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0"/>
      <c r="P48" s="6"/>
      <c r="Q48" s="2"/>
      <c r="R48" s="7">
        <f t="shared" si="28"/>
        <v>0</v>
      </c>
      <c r="S48" s="2"/>
      <c r="T48" s="6">
        <v>0</v>
      </c>
      <c r="U48" s="2"/>
      <c r="V48" s="7">
        <f t="shared" si="29"/>
        <v>0</v>
      </c>
      <c r="W48" s="2"/>
      <c r="X48" s="6">
        <f t="shared" si="30"/>
        <v>0</v>
      </c>
      <c r="Y48" s="2"/>
      <c r="Z48" s="7">
        <f t="shared" si="31"/>
        <v>0</v>
      </c>
    </row>
    <row r="49" spans="1:26" s="26" customFormat="1" outlineLevel="1" collapsed="1" x14ac:dyDescent="0.25">
      <c r="A49" s="27"/>
      <c r="B49" s="12" t="str">
        <f>CONCATENATE("     ","Discounts and Markdowns                           ")</f>
        <v xml:space="preserve">     Discounts and Markdowns                           </v>
      </c>
      <c r="C49" s="12"/>
      <c r="D49" s="1">
        <f>SUM(OSRRefD22_6x_0)</f>
        <v>0</v>
      </c>
      <c r="E49" s="1"/>
      <c r="F49" s="5">
        <f t="shared" ref="F49:F51" si="32">IF(D$12=0,0,D49/D$12)</f>
        <v>0</v>
      </c>
      <c r="G49" s="1"/>
      <c r="H49" s="1">
        <f>SUM(OSRRefH22_6x_0)</f>
        <v>-127.71000000000001</v>
      </c>
      <c r="I49" s="1"/>
      <c r="J49" s="5">
        <f t="shared" ref="J49:J51" si="33">IF(H$12=0,0,H49/H$12)</f>
        <v>0</v>
      </c>
      <c r="K49" s="1"/>
      <c r="L49" s="1">
        <f t="shared" ref="L49:L51" si="34">+D49-H49</f>
        <v>127.71000000000001</v>
      </c>
      <c r="M49" s="1"/>
      <c r="N49" s="5">
        <f t="shared" ref="N49:N51" si="35">IF(H49=0,0,L49/H49)</f>
        <v>-1</v>
      </c>
      <c r="O49" s="12"/>
      <c r="P49" s="1">
        <f>SUM(OSRRefP22_6x_0)</f>
        <v>0</v>
      </c>
      <c r="Q49" s="1"/>
      <c r="R49" s="5">
        <f t="shared" ref="R49:R51" si="36">IF(P$12=0,0,P49/P$12)</f>
        <v>0</v>
      </c>
      <c r="S49" s="1"/>
      <c r="T49" s="1">
        <f>SUM(OSRRefT22_6x_0)</f>
        <v>-2406.42</v>
      </c>
      <c r="U49" s="1"/>
      <c r="V49" s="5">
        <f t="shared" ref="V49:V51" si="37">IF(T$12=0,0,T49/T$12)</f>
        <v>0</v>
      </c>
      <c r="W49" s="1"/>
      <c r="X49" s="1">
        <f t="shared" ref="X49:X51" si="38">+P49-T49</f>
        <v>2406.42</v>
      </c>
      <c r="Y49" s="1"/>
      <c r="Z49" s="5">
        <f t="shared" ref="Z49:Z51" si="39">IF(T49=0,0,X49/T49)</f>
        <v>-1</v>
      </c>
    </row>
    <row r="50" spans="1:26" s="23" customFormat="1" hidden="1" outlineLevel="2" x14ac:dyDescent="0.25">
      <c r="A50" s="25"/>
      <c r="B50" s="10" t="str">
        <f>CONCATENATE("          ", "6382", " - ", "DISCOUNTS/MARK DOWNS")</f>
        <v xml:space="preserve">          6382 - DISCOUNTS/MARK DOWNS</v>
      </c>
      <c r="C50" s="10"/>
      <c r="D50" s="6"/>
      <c r="E50" s="2"/>
      <c r="F50" s="7">
        <f t="shared" si="32"/>
        <v>0</v>
      </c>
      <c r="G50" s="2"/>
      <c r="H50" s="6">
        <v>8</v>
      </c>
      <c r="I50" s="2"/>
      <c r="J50" s="7">
        <f t="shared" si="33"/>
        <v>0</v>
      </c>
      <c r="K50" s="2"/>
      <c r="L50" s="6">
        <f t="shared" si="34"/>
        <v>-8</v>
      </c>
      <c r="M50" s="2"/>
      <c r="N50" s="7">
        <f t="shared" si="35"/>
        <v>-1</v>
      </c>
      <c r="O50" s="10"/>
      <c r="P50" s="6"/>
      <c r="Q50" s="2"/>
      <c r="R50" s="7">
        <f t="shared" si="36"/>
        <v>0</v>
      </c>
      <c r="S50" s="2"/>
      <c r="T50" s="6">
        <v>353.4</v>
      </c>
      <c r="U50" s="2"/>
      <c r="V50" s="7">
        <f t="shared" si="37"/>
        <v>0</v>
      </c>
      <c r="W50" s="2"/>
      <c r="X50" s="6">
        <f t="shared" si="38"/>
        <v>-353.4</v>
      </c>
      <c r="Y50" s="2"/>
      <c r="Z50" s="7">
        <f t="shared" si="39"/>
        <v>-1</v>
      </c>
    </row>
    <row r="51" spans="1:26" s="23" customFormat="1" hidden="1" outlineLevel="2" x14ac:dyDescent="0.25">
      <c r="A51" s="25"/>
      <c r="B51" s="10" t="str">
        <f>CONCATENATE("          ", "9175", " - ", "EARNED DISCOUNTS")</f>
        <v xml:space="preserve">          9175 - EARNED DISCOUNTS</v>
      </c>
      <c r="C51" s="10"/>
      <c r="D51" s="6"/>
      <c r="E51" s="2"/>
      <c r="F51" s="7">
        <f t="shared" si="32"/>
        <v>0</v>
      </c>
      <c r="G51" s="2"/>
      <c r="H51" s="6">
        <v>-135.71</v>
      </c>
      <c r="I51" s="2"/>
      <c r="J51" s="7">
        <f t="shared" si="33"/>
        <v>0</v>
      </c>
      <c r="K51" s="2"/>
      <c r="L51" s="6">
        <f t="shared" si="34"/>
        <v>135.71</v>
      </c>
      <c r="M51" s="2"/>
      <c r="N51" s="7">
        <f t="shared" si="35"/>
        <v>-1</v>
      </c>
      <c r="O51" s="10"/>
      <c r="P51" s="6"/>
      <c r="Q51" s="2"/>
      <c r="R51" s="7">
        <f t="shared" si="36"/>
        <v>0</v>
      </c>
      <c r="S51" s="2"/>
      <c r="T51" s="6">
        <v>-2759.82</v>
      </c>
      <c r="U51" s="2"/>
      <c r="V51" s="7">
        <f t="shared" si="37"/>
        <v>0</v>
      </c>
      <c r="W51" s="2"/>
      <c r="X51" s="6">
        <f t="shared" si="38"/>
        <v>2759.82</v>
      </c>
      <c r="Y51" s="2"/>
      <c r="Z51" s="7">
        <f t="shared" si="39"/>
        <v>-1</v>
      </c>
    </row>
    <row r="52" spans="1:26" s="26" customFormat="1" outlineLevel="1" collapsed="1" x14ac:dyDescent="0.25">
      <c r="A52" s="27"/>
      <c r="B52" s="12" t="str">
        <f>CONCATENATE("     ","Donations                                         ")</f>
        <v xml:space="preserve">     Donations                                         </v>
      </c>
      <c r="C52" s="12"/>
      <c r="D52" s="1">
        <f>SUM(OSRRefD22_7x_0)</f>
        <v>0</v>
      </c>
      <c r="E52" s="1"/>
      <c r="F52" s="5">
        <f t="shared" ref="F52:F72" si="40">IF(D$12=0,0,D52/D$12)</f>
        <v>0</v>
      </c>
      <c r="G52" s="1"/>
      <c r="H52" s="1">
        <f>SUM(OSRRefH22_7x_0)</f>
        <v>769.23</v>
      </c>
      <c r="I52" s="1"/>
      <c r="J52" s="5">
        <f t="shared" ref="J52:J72" si="41">IF(H$12=0,0,H52/H$12)</f>
        <v>0</v>
      </c>
      <c r="K52" s="1"/>
      <c r="L52" s="1">
        <f t="shared" ref="L52:L72" si="42">+D52-H52</f>
        <v>-769.23</v>
      </c>
      <c r="M52" s="1"/>
      <c r="N52" s="5">
        <f t="shared" ref="N52:N72" si="43">IF(H52=0,0,L52/H52)</f>
        <v>-1</v>
      </c>
      <c r="O52" s="12"/>
      <c r="P52" s="1">
        <f>SUM(OSRRefP22_7x_0)</f>
        <v>0</v>
      </c>
      <c r="Q52" s="1"/>
      <c r="R52" s="5">
        <f t="shared" ref="R52:R72" si="44">IF(P$12=0,0,P52/P$12)</f>
        <v>0</v>
      </c>
      <c r="S52" s="1"/>
      <c r="T52" s="1">
        <f>SUM(OSRRefT22_7x_0)</f>
        <v>12371.45</v>
      </c>
      <c r="U52" s="1"/>
      <c r="V52" s="5">
        <f t="shared" ref="V52:V72" si="45">IF(T$12=0,0,T52/T$12)</f>
        <v>0</v>
      </c>
      <c r="W52" s="1"/>
      <c r="X52" s="1">
        <f t="shared" ref="X52:X72" si="46">+P52-T52</f>
        <v>-12371.45</v>
      </c>
      <c r="Y52" s="1"/>
      <c r="Z52" s="5">
        <f t="shared" ref="Z52:Z72" si="47">IF(T52=0,0,X52/T52)</f>
        <v>-1</v>
      </c>
    </row>
    <row r="53" spans="1:26" s="23" customFormat="1" hidden="1" outlineLevel="2" x14ac:dyDescent="0.25">
      <c r="A53" s="25"/>
      <c r="B53" s="10" t="str">
        <f>CONCATENATE("          ", "6399", " - ", "DONATION-ON CAMPUS")</f>
        <v xml:space="preserve">          6399 - DONATION-ON CAMPUS</v>
      </c>
      <c r="C53" s="10"/>
      <c r="D53" s="6"/>
      <c r="E53" s="2"/>
      <c r="F53" s="7">
        <f t="shared" si="40"/>
        <v>0</v>
      </c>
      <c r="G53" s="2"/>
      <c r="H53" s="6">
        <v>769.23</v>
      </c>
      <c r="I53" s="2"/>
      <c r="J53" s="7">
        <f t="shared" si="41"/>
        <v>0</v>
      </c>
      <c r="K53" s="2"/>
      <c r="L53" s="6">
        <f t="shared" si="42"/>
        <v>-769.23</v>
      </c>
      <c r="M53" s="2"/>
      <c r="N53" s="7">
        <f t="shared" si="43"/>
        <v>-1</v>
      </c>
      <c r="O53" s="10"/>
      <c r="P53" s="6"/>
      <c r="Q53" s="2"/>
      <c r="R53" s="7">
        <f t="shared" si="44"/>
        <v>0</v>
      </c>
      <c r="S53" s="2"/>
      <c r="T53" s="6">
        <v>12371.45</v>
      </c>
      <c r="U53" s="2"/>
      <c r="V53" s="7">
        <f t="shared" si="45"/>
        <v>0</v>
      </c>
      <c r="W53" s="2"/>
      <c r="X53" s="6">
        <f t="shared" si="46"/>
        <v>-12371.45</v>
      </c>
      <c r="Y53" s="2"/>
      <c r="Z53" s="7">
        <f t="shared" si="47"/>
        <v>-1</v>
      </c>
    </row>
    <row r="54" spans="1:26" s="26" customFormat="1" outlineLevel="1" collapsed="1" x14ac:dyDescent="0.25">
      <c r="A54" s="27"/>
      <c r="B54" s="12" t="str">
        <f>CONCATENATE("     ","Employees' Appreciation                           ")</f>
        <v xml:space="preserve">     Employees' Appreciation                           </v>
      </c>
      <c r="C54" s="12"/>
      <c r="D54" s="1">
        <f>SUM(OSRRefD22_8x_0)</f>
        <v>0</v>
      </c>
      <c r="E54" s="1"/>
      <c r="F54" s="5">
        <f t="shared" si="40"/>
        <v>0</v>
      </c>
      <c r="G54" s="1"/>
      <c r="H54" s="1">
        <f>SUM(OSRRefH22_8x_0)</f>
        <v>157.24</v>
      </c>
      <c r="I54" s="1"/>
      <c r="J54" s="5">
        <f t="shared" si="41"/>
        <v>0</v>
      </c>
      <c r="K54" s="1"/>
      <c r="L54" s="1">
        <f t="shared" si="42"/>
        <v>-157.24</v>
      </c>
      <c r="M54" s="1"/>
      <c r="N54" s="5">
        <f t="shared" si="43"/>
        <v>-1</v>
      </c>
      <c r="O54" s="12"/>
      <c r="P54" s="1">
        <f>SUM(OSRRefP22_8x_0)</f>
        <v>78.33</v>
      </c>
      <c r="Q54" s="1"/>
      <c r="R54" s="5">
        <f t="shared" si="44"/>
        <v>0</v>
      </c>
      <c r="S54" s="1"/>
      <c r="T54" s="1">
        <f>SUM(OSRRefT22_8x_0)</f>
        <v>1027.57</v>
      </c>
      <c r="U54" s="1"/>
      <c r="V54" s="5">
        <f t="shared" si="45"/>
        <v>0</v>
      </c>
      <c r="W54" s="1"/>
      <c r="X54" s="1">
        <f t="shared" si="46"/>
        <v>-949.2399999999999</v>
      </c>
      <c r="Y54" s="1"/>
      <c r="Z54" s="5">
        <f t="shared" si="47"/>
        <v>-0.92377161653220696</v>
      </c>
    </row>
    <row r="55" spans="1:26" s="23" customFormat="1" hidden="1" outlineLevel="2" x14ac:dyDescent="0.25">
      <c r="A55" s="25"/>
      <c r="B55" s="10" t="str">
        <f>CONCATENATE("          ", "6277", " - ", "EMPLOYEE APPRECIATION")</f>
        <v xml:space="preserve">          6277 - EMPLOYEE APPRECIATION</v>
      </c>
      <c r="C55" s="10"/>
      <c r="D55" s="6"/>
      <c r="E55" s="2"/>
      <c r="F55" s="7">
        <f t="shared" si="40"/>
        <v>0</v>
      </c>
      <c r="G55" s="2"/>
      <c r="H55" s="6">
        <v>157.24</v>
      </c>
      <c r="I55" s="2"/>
      <c r="J55" s="7">
        <f t="shared" si="41"/>
        <v>0</v>
      </c>
      <c r="K55" s="2"/>
      <c r="L55" s="6">
        <f t="shared" si="42"/>
        <v>-157.24</v>
      </c>
      <c r="M55" s="2"/>
      <c r="N55" s="7">
        <f t="shared" si="43"/>
        <v>-1</v>
      </c>
      <c r="O55" s="10"/>
      <c r="P55" s="6">
        <v>78.33</v>
      </c>
      <c r="Q55" s="2"/>
      <c r="R55" s="7">
        <f t="shared" si="44"/>
        <v>0</v>
      </c>
      <c r="S55" s="2"/>
      <c r="T55" s="6">
        <v>1027.57</v>
      </c>
      <c r="U55" s="2"/>
      <c r="V55" s="7">
        <f t="shared" si="45"/>
        <v>0</v>
      </c>
      <c r="W55" s="2"/>
      <c r="X55" s="6">
        <f t="shared" si="46"/>
        <v>-949.2399999999999</v>
      </c>
      <c r="Y55" s="2"/>
      <c r="Z55" s="7">
        <f t="shared" si="47"/>
        <v>-0.92377161653220696</v>
      </c>
    </row>
    <row r="56" spans="1:26" s="26" customFormat="1" outlineLevel="1" collapsed="1" x14ac:dyDescent="0.25">
      <c r="A56" s="27"/>
      <c r="B56" s="12" t="str">
        <f>CONCATENATE("     ","Equipment Rental                                  ")</f>
        <v xml:space="preserve">     Equipment Rental                                  </v>
      </c>
      <c r="C56" s="12"/>
      <c r="D56" s="1">
        <f>SUM(OSRRefD22_9x_0)</f>
        <v>0</v>
      </c>
      <c r="E56" s="1"/>
      <c r="F56" s="5">
        <f t="shared" si="40"/>
        <v>0</v>
      </c>
      <c r="G56" s="1"/>
      <c r="H56" s="1">
        <f>SUM(OSRRefH22_9x_0)</f>
        <v>0</v>
      </c>
      <c r="I56" s="1"/>
      <c r="J56" s="5">
        <f t="shared" si="41"/>
        <v>0</v>
      </c>
      <c r="K56" s="1"/>
      <c r="L56" s="1">
        <f t="shared" si="42"/>
        <v>0</v>
      </c>
      <c r="M56" s="1"/>
      <c r="N56" s="5">
        <f t="shared" si="43"/>
        <v>0</v>
      </c>
      <c r="O56" s="12"/>
      <c r="P56" s="1">
        <f>SUM(OSRRefP22_9x_0)</f>
        <v>1773.91</v>
      </c>
      <c r="Q56" s="1"/>
      <c r="R56" s="5">
        <f t="shared" si="44"/>
        <v>0</v>
      </c>
      <c r="S56" s="1"/>
      <c r="T56" s="1">
        <f>SUM(OSRRefT22_9x_0)</f>
        <v>0</v>
      </c>
      <c r="U56" s="1"/>
      <c r="V56" s="5">
        <f t="shared" si="45"/>
        <v>0</v>
      </c>
      <c r="W56" s="1"/>
      <c r="X56" s="1">
        <f t="shared" si="46"/>
        <v>1773.91</v>
      </c>
      <c r="Y56" s="1"/>
      <c r="Z56" s="5">
        <f t="shared" si="47"/>
        <v>0</v>
      </c>
    </row>
    <row r="57" spans="1:26" s="23" customFormat="1" hidden="1" outlineLevel="2" x14ac:dyDescent="0.25">
      <c r="A57" s="25"/>
      <c r="B57" s="10" t="str">
        <f>CONCATENATE("          ", "6351", " - ", "EQUIPMENT RENTAL")</f>
        <v xml:space="preserve">          6351 - EQUIPMENT RENTAL</v>
      </c>
      <c r="C57" s="10"/>
      <c r="D57" s="6"/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0</v>
      </c>
      <c r="M57" s="2"/>
      <c r="N57" s="7">
        <f t="shared" si="43"/>
        <v>0</v>
      </c>
      <c r="O57" s="10"/>
      <c r="P57" s="6">
        <v>1773.91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1773.91</v>
      </c>
      <c r="Y57" s="2"/>
      <c r="Z57" s="7">
        <f t="shared" si="47"/>
        <v>0</v>
      </c>
    </row>
    <row r="58" spans="1:26" s="26" customFormat="1" outlineLevel="1" collapsed="1" x14ac:dyDescent="0.25">
      <c r="A58" s="27"/>
      <c r="B58" s="12" t="str">
        <f>CONCATENATE("     ","Freight out/Postage                               ")</f>
        <v xml:space="preserve">     Freight out/Postage                               </v>
      </c>
      <c r="C58" s="12"/>
      <c r="D58" s="1">
        <f>SUM(OSRRefD22_10x_0)</f>
        <v>15.95</v>
      </c>
      <c r="E58" s="1"/>
      <c r="F58" s="5">
        <f t="shared" si="40"/>
        <v>0</v>
      </c>
      <c r="G58" s="1"/>
      <c r="H58" s="1">
        <f>SUM(OSRRefH22_10x_0)</f>
        <v>14.61</v>
      </c>
      <c r="I58" s="1"/>
      <c r="J58" s="5">
        <f t="shared" si="41"/>
        <v>0</v>
      </c>
      <c r="K58" s="1"/>
      <c r="L58" s="1">
        <f t="shared" si="42"/>
        <v>1.3399999999999999</v>
      </c>
      <c r="M58" s="1"/>
      <c r="N58" s="5">
        <f t="shared" si="43"/>
        <v>9.1718001368925384E-2</v>
      </c>
      <c r="O58" s="12"/>
      <c r="P58" s="1">
        <f>SUM(OSRRefP22_10x_0)</f>
        <v>2033.6</v>
      </c>
      <c r="Q58" s="1"/>
      <c r="R58" s="5">
        <f t="shared" si="44"/>
        <v>0</v>
      </c>
      <c r="S58" s="1"/>
      <c r="T58" s="1">
        <f>SUM(OSRRefT22_10x_0)</f>
        <v>29</v>
      </c>
      <c r="U58" s="1"/>
      <c r="V58" s="5">
        <f t="shared" si="45"/>
        <v>0</v>
      </c>
      <c r="W58" s="1"/>
      <c r="X58" s="1">
        <f t="shared" si="46"/>
        <v>2004.6</v>
      </c>
      <c r="Y58" s="1"/>
      <c r="Z58" s="5">
        <f t="shared" si="47"/>
        <v>69.124137931034483</v>
      </c>
    </row>
    <row r="59" spans="1:26" s="23" customFormat="1" hidden="1" outlineLevel="2" x14ac:dyDescent="0.25">
      <c r="A59" s="25"/>
      <c r="B59" s="10" t="str">
        <f>CONCATENATE("          ", "6307", " - ", "POSTAGE")</f>
        <v xml:space="preserve">          6307 - POSTAGE</v>
      </c>
      <c r="C59" s="10"/>
      <c r="D59" s="6">
        <v>15.95</v>
      </c>
      <c r="E59" s="2"/>
      <c r="F59" s="7">
        <f t="shared" si="40"/>
        <v>0</v>
      </c>
      <c r="G59" s="2"/>
      <c r="H59" s="6">
        <v>14.61</v>
      </c>
      <c r="I59" s="2"/>
      <c r="J59" s="7">
        <f t="shared" si="41"/>
        <v>0</v>
      </c>
      <c r="K59" s="2"/>
      <c r="L59" s="6">
        <f t="shared" si="42"/>
        <v>1.3399999999999999</v>
      </c>
      <c r="M59" s="2"/>
      <c r="N59" s="7">
        <f t="shared" si="43"/>
        <v>9.1718001368925384E-2</v>
      </c>
      <c r="O59" s="10"/>
      <c r="P59" s="6">
        <v>2033.6</v>
      </c>
      <c r="Q59" s="2"/>
      <c r="R59" s="7">
        <f t="shared" si="44"/>
        <v>0</v>
      </c>
      <c r="S59" s="2"/>
      <c r="T59" s="6">
        <v>29</v>
      </c>
      <c r="U59" s="2"/>
      <c r="V59" s="7">
        <f t="shared" si="45"/>
        <v>0</v>
      </c>
      <c r="W59" s="2"/>
      <c r="X59" s="6">
        <f t="shared" si="46"/>
        <v>2004.6</v>
      </c>
      <c r="Y59" s="2"/>
      <c r="Z59" s="7">
        <f t="shared" si="47"/>
        <v>69.124137931034483</v>
      </c>
    </row>
    <row r="60" spans="1:26" s="26" customFormat="1" outlineLevel="1" collapsed="1" x14ac:dyDescent="0.25">
      <c r="A60" s="27"/>
      <c r="B60" s="12" t="str">
        <f>CONCATENATE("     ","General                                           ")</f>
        <v xml:space="preserve">     General                                           </v>
      </c>
      <c r="C60" s="12"/>
      <c r="D60" s="1">
        <f>SUM(OSRRefD22_11x_0)</f>
        <v>0</v>
      </c>
      <c r="E60" s="1"/>
      <c r="F60" s="5">
        <f t="shared" si="40"/>
        <v>0</v>
      </c>
      <c r="G60" s="1"/>
      <c r="H60" s="1">
        <f>SUM(OSRRefH22_11x_0)</f>
        <v>0</v>
      </c>
      <c r="I60" s="1"/>
      <c r="J60" s="5">
        <f t="shared" si="41"/>
        <v>0</v>
      </c>
      <c r="K60" s="1"/>
      <c r="L60" s="1">
        <f t="shared" si="42"/>
        <v>0</v>
      </c>
      <c r="M60" s="1"/>
      <c r="N60" s="5">
        <f t="shared" si="43"/>
        <v>0</v>
      </c>
      <c r="O60" s="12"/>
      <c r="P60" s="1">
        <f>SUM(OSRRefP22_11x_0)</f>
        <v>1386.81</v>
      </c>
      <c r="Q60" s="1"/>
      <c r="R60" s="5">
        <f t="shared" si="44"/>
        <v>0</v>
      </c>
      <c r="S60" s="1"/>
      <c r="T60" s="1">
        <f>SUM(OSRRefT22_11x_0)</f>
        <v>-11754.76</v>
      </c>
      <c r="U60" s="1"/>
      <c r="V60" s="5">
        <f t="shared" si="45"/>
        <v>0</v>
      </c>
      <c r="W60" s="1"/>
      <c r="X60" s="1">
        <f t="shared" si="46"/>
        <v>13141.57</v>
      </c>
      <c r="Y60" s="1"/>
      <c r="Z60" s="5">
        <f t="shared" si="47"/>
        <v>-1.1179785890992244</v>
      </c>
    </row>
    <row r="61" spans="1:26" s="23" customFormat="1" hidden="1" outlineLevel="2" x14ac:dyDescent="0.25">
      <c r="A61" s="25"/>
      <c r="B61" s="10" t="str">
        <f>CONCATENATE("          ", "6279", " - ", "GENERAL EXPENSE")</f>
        <v xml:space="preserve">          6279 - GENERAL EXPENSE</v>
      </c>
      <c r="C61" s="10"/>
      <c r="D61" s="6"/>
      <c r="E61" s="2"/>
      <c r="F61" s="7">
        <f t="shared" si="40"/>
        <v>0</v>
      </c>
      <c r="G61" s="2"/>
      <c r="H61" s="6"/>
      <c r="I61" s="2"/>
      <c r="J61" s="7">
        <f t="shared" si="41"/>
        <v>0</v>
      </c>
      <c r="K61" s="2"/>
      <c r="L61" s="6">
        <f t="shared" si="42"/>
        <v>0</v>
      </c>
      <c r="M61" s="2"/>
      <c r="N61" s="7">
        <f t="shared" si="43"/>
        <v>0</v>
      </c>
      <c r="O61" s="10"/>
      <c r="P61" s="6">
        <v>1386.81</v>
      </c>
      <c r="Q61" s="2"/>
      <c r="R61" s="7">
        <f t="shared" si="44"/>
        <v>0</v>
      </c>
      <c r="S61" s="2"/>
      <c r="T61" s="6">
        <v>-11754.76</v>
      </c>
      <c r="U61" s="2"/>
      <c r="V61" s="7">
        <f t="shared" si="45"/>
        <v>0</v>
      </c>
      <c r="W61" s="2"/>
      <c r="X61" s="6">
        <f t="shared" si="46"/>
        <v>13141.57</v>
      </c>
      <c r="Y61" s="2"/>
      <c r="Z61" s="7">
        <f t="shared" si="47"/>
        <v>-1.1179785890992244</v>
      </c>
    </row>
    <row r="62" spans="1:26" s="26" customFormat="1" outlineLevel="1" collapsed="1" x14ac:dyDescent="0.25">
      <c r="A62" s="27"/>
      <c r="B62" s="12" t="str">
        <f>CONCATENATE("     ","Insurance                                         ")</f>
        <v xml:space="preserve">     Insurance                                         </v>
      </c>
      <c r="C62" s="12"/>
      <c r="D62" s="1">
        <f>SUM(OSRRefD22_12x_0)</f>
        <v>3883.56</v>
      </c>
      <c r="E62" s="1"/>
      <c r="F62" s="5">
        <f t="shared" si="40"/>
        <v>0</v>
      </c>
      <c r="G62" s="1"/>
      <c r="H62" s="1">
        <f>SUM(OSRRefH22_12x_0)</f>
        <v>3883.56</v>
      </c>
      <c r="I62" s="1"/>
      <c r="J62" s="5">
        <f t="shared" si="41"/>
        <v>0</v>
      </c>
      <c r="K62" s="1"/>
      <c r="L62" s="1">
        <f t="shared" si="42"/>
        <v>0</v>
      </c>
      <c r="M62" s="1"/>
      <c r="N62" s="5">
        <f t="shared" si="43"/>
        <v>0</v>
      </c>
      <c r="O62" s="12"/>
      <c r="P62" s="1">
        <f>SUM(OSRRefP22_12x_0)</f>
        <v>34952.04</v>
      </c>
      <c r="Q62" s="1"/>
      <c r="R62" s="5">
        <f t="shared" si="44"/>
        <v>0</v>
      </c>
      <c r="S62" s="1"/>
      <c r="T62" s="1">
        <f>SUM(OSRRefT22_12x_0)</f>
        <v>34952.04</v>
      </c>
      <c r="U62" s="1"/>
      <c r="V62" s="5">
        <f t="shared" si="45"/>
        <v>0</v>
      </c>
      <c r="W62" s="1"/>
      <c r="X62" s="1">
        <f t="shared" si="46"/>
        <v>0</v>
      </c>
      <c r="Y62" s="1"/>
      <c r="Z62" s="5">
        <f t="shared" si="47"/>
        <v>0</v>
      </c>
    </row>
    <row r="63" spans="1:26" s="23" customFormat="1" hidden="1" outlineLevel="2" x14ac:dyDescent="0.25">
      <c r="A63" s="25"/>
      <c r="B63" s="10" t="str">
        <f>CONCATENATE("          ", "6314", " - ", "LIABILITY INSURANCE")</f>
        <v xml:space="preserve">          6314 - LIABILITY INSURANCE</v>
      </c>
      <c r="C63" s="10"/>
      <c r="D63" s="6">
        <v>3883.56</v>
      </c>
      <c r="E63" s="2"/>
      <c r="F63" s="7">
        <f t="shared" si="40"/>
        <v>0</v>
      </c>
      <c r="G63" s="2"/>
      <c r="H63" s="6">
        <v>3883.56</v>
      </c>
      <c r="I63" s="2"/>
      <c r="J63" s="7">
        <f t="shared" si="41"/>
        <v>0</v>
      </c>
      <c r="K63" s="2"/>
      <c r="L63" s="6">
        <f t="shared" si="42"/>
        <v>0</v>
      </c>
      <c r="M63" s="2"/>
      <c r="N63" s="7">
        <f t="shared" si="43"/>
        <v>0</v>
      </c>
      <c r="O63" s="10"/>
      <c r="P63" s="6">
        <v>34952.04</v>
      </c>
      <c r="Q63" s="2"/>
      <c r="R63" s="7">
        <f t="shared" si="44"/>
        <v>0</v>
      </c>
      <c r="S63" s="2"/>
      <c r="T63" s="6">
        <v>34952.04</v>
      </c>
      <c r="U63" s="2"/>
      <c r="V63" s="7">
        <f t="shared" si="45"/>
        <v>0</v>
      </c>
      <c r="W63" s="2"/>
      <c r="X63" s="6">
        <f t="shared" si="46"/>
        <v>0</v>
      </c>
      <c r="Y63" s="2"/>
      <c r="Z63" s="7">
        <f t="shared" si="47"/>
        <v>0</v>
      </c>
    </row>
    <row r="64" spans="1:26" s="26" customFormat="1" outlineLevel="1" collapsed="1" x14ac:dyDescent="0.25">
      <c r="A64" s="27"/>
      <c r="B64" s="12" t="str">
        <f>CONCATENATE("     ","Professional Services                             ")</f>
        <v xml:space="preserve">     Professional Services                             </v>
      </c>
      <c r="C64" s="12"/>
      <c r="D64" s="1">
        <f>SUM(OSRRefD22_13x_0)</f>
        <v>0</v>
      </c>
      <c r="E64" s="1"/>
      <c r="F64" s="5">
        <f t="shared" si="40"/>
        <v>0</v>
      </c>
      <c r="G64" s="1"/>
      <c r="H64" s="1">
        <f>SUM(OSRRefH22_13x_0)</f>
        <v>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2"/>
      <c r="P64" s="1">
        <f>SUM(OSRRefP22_13x_0)</f>
        <v>0</v>
      </c>
      <c r="Q64" s="1"/>
      <c r="R64" s="5">
        <f t="shared" si="44"/>
        <v>0</v>
      </c>
      <c r="S64" s="1"/>
      <c r="T64" s="1">
        <f>SUM(OSRRefT22_13x_0)</f>
        <v>4658.41</v>
      </c>
      <c r="U64" s="1"/>
      <c r="V64" s="5">
        <f t="shared" si="45"/>
        <v>0</v>
      </c>
      <c r="W64" s="1"/>
      <c r="X64" s="1">
        <f t="shared" si="46"/>
        <v>-4658.41</v>
      </c>
      <c r="Y64" s="1"/>
      <c r="Z64" s="5">
        <f t="shared" si="47"/>
        <v>-1</v>
      </c>
    </row>
    <row r="65" spans="1:26" s="23" customFormat="1" hidden="1" outlineLevel="2" x14ac:dyDescent="0.25">
      <c r="A65" s="25"/>
      <c r="B65" s="10" t="str">
        <f>CONCATENATE("          ", "6336", " - ", "PROFESSIONAL SERVICES")</f>
        <v xml:space="preserve">          6336 - PROFESSIONAL SERVICES</v>
      </c>
      <c r="C65" s="10"/>
      <c r="D65" s="6"/>
      <c r="E65" s="2"/>
      <c r="F65" s="7">
        <f t="shared" si="40"/>
        <v>0</v>
      </c>
      <c r="G65" s="2"/>
      <c r="H65" s="6"/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0"/>
      <c r="P65" s="6"/>
      <c r="Q65" s="2"/>
      <c r="R65" s="7">
        <f t="shared" si="44"/>
        <v>0</v>
      </c>
      <c r="S65" s="2"/>
      <c r="T65" s="6">
        <v>4658.41</v>
      </c>
      <c r="U65" s="2"/>
      <c r="V65" s="7">
        <f t="shared" si="45"/>
        <v>0</v>
      </c>
      <c r="W65" s="2"/>
      <c r="X65" s="6">
        <f t="shared" si="46"/>
        <v>-4658.41</v>
      </c>
      <c r="Y65" s="2"/>
      <c r="Z65" s="7">
        <f t="shared" si="47"/>
        <v>-1</v>
      </c>
    </row>
    <row r="66" spans="1:26" s="26" customFormat="1" outlineLevel="1" collapsed="1" x14ac:dyDescent="0.25">
      <c r="A66" s="27"/>
      <c r="B66" s="12" t="str">
        <f>CONCATENATE("     ","Rent                                              ")</f>
        <v xml:space="preserve">     Rent                                              </v>
      </c>
      <c r="C66" s="12"/>
      <c r="D66" s="1">
        <f>SUM(OSRRefD22_14x_0)</f>
        <v>-800</v>
      </c>
      <c r="E66" s="1"/>
      <c r="F66" s="5">
        <f t="shared" si="40"/>
        <v>0</v>
      </c>
      <c r="G66" s="1"/>
      <c r="H66" s="1">
        <f>SUM(OSRRefH22_14x_0)</f>
        <v>-800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2"/>
      <c r="P66" s="1">
        <f>SUM(OSRRefP22_14x_0)</f>
        <v>-7200</v>
      </c>
      <c r="Q66" s="1"/>
      <c r="R66" s="5">
        <f t="shared" si="44"/>
        <v>0</v>
      </c>
      <c r="S66" s="1"/>
      <c r="T66" s="1">
        <f>SUM(OSRRefT22_14x_0)</f>
        <v>-5600</v>
      </c>
      <c r="U66" s="1"/>
      <c r="V66" s="5">
        <f t="shared" si="45"/>
        <v>0</v>
      </c>
      <c r="W66" s="1"/>
      <c r="X66" s="1">
        <f t="shared" si="46"/>
        <v>-1600</v>
      </c>
      <c r="Y66" s="1"/>
      <c r="Z66" s="5">
        <f t="shared" si="47"/>
        <v>0.2857142857142857</v>
      </c>
    </row>
    <row r="67" spans="1:26" s="23" customFormat="1" hidden="1" outlineLevel="2" x14ac:dyDescent="0.25">
      <c r="A67" s="25"/>
      <c r="B67" s="10" t="str">
        <f>CONCATENATE("          ", "6273", " - ", "RENT")</f>
        <v xml:space="preserve">          6273 - RENT</v>
      </c>
      <c r="C67" s="10"/>
      <c r="D67" s="6">
        <v>-800</v>
      </c>
      <c r="E67" s="2"/>
      <c r="F67" s="7">
        <f t="shared" si="40"/>
        <v>0</v>
      </c>
      <c r="G67" s="2"/>
      <c r="H67" s="6">
        <v>-800</v>
      </c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0"/>
      <c r="P67" s="6">
        <v>-7200</v>
      </c>
      <c r="Q67" s="2"/>
      <c r="R67" s="7">
        <f t="shared" si="44"/>
        <v>0</v>
      </c>
      <c r="S67" s="2"/>
      <c r="T67" s="6">
        <v>-5600</v>
      </c>
      <c r="U67" s="2"/>
      <c r="V67" s="7">
        <f t="shared" si="45"/>
        <v>0</v>
      </c>
      <c r="W67" s="2"/>
      <c r="X67" s="6">
        <f t="shared" si="46"/>
        <v>-1600</v>
      </c>
      <c r="Y67" s="2"/>
      <c r="Z67" s="7">
        <f t="shared" si="47"/>
        <v>0.2857142857142857</v>
      </c>
    </row>
    <row r="68" spans="1:26" s="26" customFormat="1" outlineLevel="1" collapsed="1" x14ac:dyDescent="0.25">
      <c r="A68" s="27"/>
      <c r="B68" s="12" t="str">
        <f>CONCATENATE("     ","Repair and Maintenance                            ")</f>
        <v xml:space="preserve">     Repair and Maintenance                            </v>
      </c>
      <c r="C68" s="12"/>
      <c r="D68" s="1">
        <f>SUM(OSRRefD22_15x_0)</f>
        <v>1088.31</v>
      </c>
      <c r="E68" s="1"/>
      <c r="F68" s="5">
        <f t="shared" si="40"/>
        <v>0</v>
      </c>
      <c r="G68" s="1"/>
      <c r="H68" s="1">
        <f>SUM(OSRRefH22_15x_0)</f>
        <v>2107.09</v>
      </c>
      <c r="I68" s="1"/>
      <c r="J68" s="5">
        <f t="shared" si="41"/>
        <v>0</v>
      </c>
      <c r="K68" s="1"/>
      <c r="L68" s="1">
        <f t="shared" si="42"/>
        <v>-1018.7800000000002</v>
      </c>
      <c r="M68" s="1"/>
      <c r="N68" s="5">
        <f t="shared" si="43"/>
        <v>-0.48350094205752964</v>
      </c>
      <c r="O68" s="12"/>
      <c r="P68" s="1">
        <f>SUM(OSRRefP22_15x_0)</f>
        <v>98659.56</v>
      </c>
      <c r="Q68" s="1"/>
      <c r="R68" s="5">
        <f t="shared" si="44"/>
        <v>0</v>
      </c>
      <c r="S68" s="1"/>
      <c r="T68" s="1">
        <f>SUM(OSRRefT22_15x_0)</f>
        <v>58782.879999999997</v>
      </c>
      <c r="U68" s="1"/>
      <c r="V68" s="5">
        <f t="shared" si="45"/>
        <v>0</v>
      </c>
      <c r="W68" s="1"/>
      <c r="X68" s="1">
        <f t="shared" si="46"/>
        <v>39876.68</v>
      </c>
      <c r="Y68" s="1"/>
      <c r="Z68" s="5">
        <f t="shared" si="47"/>
        <v>0.67837234242350841</v>
      </c>
    </row>
    <row r="69" spans="1:26" s="23" customFormat="1" hidden="1" outlineLevel="2" x14ac:dyDescent="0.25">
      <c r="A69" s="25"/>
      <c r="B69" s="10" t="str">
        <f>CONCATENATE("          ", "6371", " - ", "COMPUTER SOFTWARE MAINTENANCE")</f>
        <v xml:space="preserve">          6371 - COMPUTER SOFTWARE MAINTENANCE</v>
      </c>
      <c r="C69" s="10"/>
      <c r="D69" s="6"/>
      <c r="E69" s="2"/>
      <c r="F69" s="7">
        <f t="shared" si="40"/>
        <v>0</v>
      </c>
      <c r="G69" s="2"/>
      <c r="H69" s="6">
        <v>631.04999999999995</v>
      </c>
      <c r="I69" s="2"/>
      <c r="J69" s="7">
        <f t="shared" si="41"/>
        <v>0</v>
      </c>
      <c r="K69" s="2"/>
      <c r="L69" s="6">
        <f t="shared" si="42"/>
        <v>-631.04999999999995</v>
      </c>
      <c r="M69" s="2"/>
      <c r="N69" s="7">
        <f t="shared" si="43"/>
        <v>-1</v>
      </c>
      <c r="O69" s="10"/>
      <c r="P69" s="6">
        <v>59760.03</v>
      </c>
      <c r="Q69" s="2"/>
      <c r="R69" s="7">
        <f t="shared" si="44"/>
        <v>0</v>
      </c>
      <c r="S69" s="2"/>
      <c r="T69" s="6">
        <v>15786.45</v>
      </c>
      <c r="U69" s="2"/>
      <c r="V69" s="7">
        <f t="shared" si="45"/>
        <v>0</v>
      </c>
      <c r="W69" s="2"/>
      <c r="X69" s="6">
        <f t="shared" si="46"/>
        <v>43973.58</v>
      </c>
      <c r="Y69" s="2"/>
      <c r="Z69" s="7">
        <f t="shared" si="47"/>
        <v>2.7855268283876362</v>
      </c>
    </row>
    <row r="70" spans="1:26" s="23" customFormat="1" hidden="1" outlineLevel="2" x14ac:dyDescent="0.25">
      <c r="A70" s="25"/>
      <c r="B70" s="10" t="str">
        <f>CONCATENATE("          ", "6372", " - ", "COMPUTER HARDWARE MAINTENANCE")</f>
        <v xml:space="preserve">          6372 - COMPUTER HARDWARE MAINTENANCE</v>
      </c>
      <c r="C70" s="10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0"/>
      <c r="P70" s="6">
        <v>-0.63</v>
      </c>
      <c r="Q70" s="2"/>
      <c r="R70" s="7">
        <f t="shared" si="44"/>
        <v>0</v>
      </c>
      <c r="S70" s="2"/>
      <c r="T70" s="6">
        <v>52.32</v>
      </c>
      <c r="U70" s="2"/>
      <c r="V70" s="7">
        <f t="shared" si="45"/>
        <v>0</v>
      </c>
      <c r="W70" s="2"/>
      <c r="X70" s="6">
        <f t="shared" si="46"/>
        <v>-52.95</v>
      </c>
      <c r="Y70" s="2"/>
      <c r="Z70" s="7">
        <f t="shared" si="47"/>
        <v>-1.0120412844036697</v>
      </c>
    </row>
    <row r="71" spans="1:26" s="23" customFormat="1" hidden="1" outlineLevel="2" x14ac:dyDescent="0.25">
      <c r="A71" s="25"/>
      <c r="B71" s="10" t="str">
        <f>CONCATENATE("          ", "6373", " - ", "MAINTENANCE CONTRACTS")</f>
        <v xml:space="preserve">          6373 - MAINTENANCE CONTRACTS</v>
      </c>
      <c r="C71" s="10"/>
      <c r="D71" s="6">
        <v>1043.31</v>
      </c>
      <c r="E71" s="2"/>
      <c r="F71" s="7">
        <f t="shared" si="40"/>
        <v>0</v>
      </c>
      <c r="G71" s="2"/>
      <c r="H71" s="6">
        <v>1357.68</v>
      </c>
      <c r="I71" s="2"/>
      <c r="J71" s="7">
        <f t="shared" si="41"/>
        <v>0</v>
      </c>
      <c r="K71" s="2"/>
      <c r="L71" s="6">
        <f t="shared" si="42"/>
        <v>-314.37000000000012</v>
      </c>
      <c r="M71" s="2"/>
      <c r="N71" s="7">
        <f t="shared" si="43"/>
        <v>-0.23154940781332869</v>
      </c>
      <c r="O71" s="10"/>
      <c r="P71" s="6">
        <v>13117.12</v>
      </c>
      <c r="Q71" s="2"/>
      <c r="R71" s="7">
        <f t="shared" si="44"/>
        <v>0</v>
      </c>
      <c r="S71" s="2"/>
      <c r="T71" s="6">
        <v>8602.0499999999993</v>
      </c>
      <c r="U71" s="2"/>
      <c r="V71" s="7">
        <f t="shared" si="45"/>
        <v>0</v>
      </c>
      <c r="W71" s="2"/>
      <c r="X71" s="6">
        <f t="shared" si="46"/>
        <v>4515.0700000000015</v>
      </c>
      <c r="Y71" s="2"/>
      <c r="Z71" s="7">
        <f t="shared" si="47"/>
        <v>0.52488302207032067</v>
      </c>
    </row>
    <row r="72" spans="1:26" s="23" customFormat="1" hidden="1" outlineLevel="2" x14ac:dyDescent="0.25">
      <c r="A72" s="25"/>
      <c r="B72" s="10" t="str">
        <f>CONCATENATE("          ", "6375", " - ", "OUTSIDE REPAIRS &amp; MAINTENANCE")</f>
        <v xml:space="preserve">          6375 - OUTSIDE REPAIRS &amp; MAINTENANCE</v>
      </c>
      <c r="C72" s="10"/>
      <c r="D72" s="6">
        <v>45</v>
      </c>
      <c r="E72" s="2"/>
      <c r="F72" s="7">
        <f t="shared" si="40"/>
        <v>0</v>
      </c>
      <c r="G72" s="2"/>
      <c r="H72" s="6">
        <v>118.36</v>
      </c>
      <c r="I72" s="2"/>
      <c r="J72" s="7">
        <f t="shared" si="41"/>
        <v>0</v>
      </c>
      <c r="K72" s="2"/>
      <c r="L72" s="6">
        <f t="shared" si="42"/>
        <v>-73.36</v>
      </c>
      <c r="M72" s="2"/>
      <c r="N72" s="7">
        <f t="shared" si="43"/>
        <v>-0.61980398783372759</v>
      </c>
      <c r="O72" s="10"/>
      <c r="P72" s="6">
        <v>25783.040000000001</v>
      </c>
      <c r="Q72" s="2"/>
      <c r="R72" s="7">
        <f t="shared" si="44"/>
        <v>0</v>
      </c>
      <c r="S72" s="2"/>
      <c r="T72" s="6">
        <v>34342.06</v>
      </c>
      <c r="U72" s="2"/>
      <c r="V72" s="7">
        <f t="shared" si="45"/>
        <v>0</v>
      </c>
      <c r="W72" s="2"/>
      <c r="X72" s="6">
        <f t="shared" si="46"/>
        <v>-8559.0199999999968</v>
      </c>
      <c r="Y72" s="2"/>
      <c r="Z72" s="7">
        <f t="shared" si="47"/>
        <v>-0.24922849706744432</v>
      </c>
    </row>
    <row r="73" spans="1:26" s="26" customFormat="1" outlineLevel="1" collapsed="1" x14ac:dyDescent="0.25">
      <c r="A73" s="27"/>
      <c r="B73" s="12" t="str">
        <f>CONCATENATE("     ","Services                                          ")</f>
        <v xml:space="preserve">     Services                                          </v>
      </c>
      <c r="C73" s="12"/>
      <c r="D73" s="1">
        <f>SUM(OSRRefD22_16x_0)</f>
        <v>7224.93</v>
      </c>
      <c r="E73" s="1"/>
      <c r="F73" s="5">
        <f t="shared" ref="F73:F76" si="48">IF(D$12=0,0,D73/D$12)</f>
        <v>0</v>
      </c>
      <c r="G73" s="1"/>
      <c r="H73" s="1">
        <f>SUM(OSRRefH22_16x_0)</f>
        <v>4330.68</v>
      </c>
      <c r="I73" s="1"/>
      <c r="J73" s="5">
        <f t="shared" ref="J73:J76" si="49">IF(H$12=0,0,H73/H$12)</f>
        <v>0</v>
      </c>
      <c r="K73" s="1"/>
      <c r="L73" s="1">
        <f t="shared" ref="L73:L76" si="50">+D73-H73</f>
        <v>2894.25</v>
      </c>
      <c r="M73" s="1"/>
      <c r="N73" s="5">
        <f t="shared" ref="N73:N76" si="51">IF(H73=0,0,L73/H73)</f>
        <v>0.66831305938097474</v>
      </c>
      <c r="O73" s="12"/>
      <c r="P73" s="1">
        <f>SUM(OSRRefP22_16x_0)</f>
        <v>35511.82</v>
      </c>
      <c r="Q73" s="1"/>
      <c r="R73" s="5">
        <f t="shared" ref="R73:R76" si="52">IF(P$12=0,0,P73/P$12)</f>
        <v>0</v>
      </c>
      <c r="S73" s="1"/>
      <c r="T73" s="1">
        <f>SUM(OSRRefT22_16x_0)</f>
        <v>37150.950000000004</v>
      </c>
      <c r="U73" s="1"/>
      <c r="V73" s="5">
        <f t="shared" ref="V73:V76" si="53">IF(T$12=0,0,T73/T$12)</f>
        <v>0</v>
      </c>
      <c r="W73" s="1"/>
      <c r="X73" s="1">
        <f t="shared" ref="X73:X76" si="54">+P73-T73</f>
        <v>-1639.1300000000047</v>
      </c>
      <c r="Y73" s="1"/>
      <c r="Z73" s="5">
        <f t="shared" ref="Z73:Z76" si="55">IF(T73=0,0,X73/T73)</f>
        <v>-4.4120809831242662E-2</v>
      </c>
    </row>
    <row r="74" spans="1:26" s="23" customFormat="1" hidden="1" outlineLevel="2" x14ac:dyDescent="0.25">
      <c r="A74" s="25"/>
      <c r="B74" s="10" t="str">
        <f>CONCATENATE("          ", "6282", " - ", "JANITORIAL/EXTERMINATOR EXPENS")</f>
        <v xml:space="preserve">          6282 - JANITORIAL/EXTERMINATOR EXPENS</v>
      </c>
      <c r="C74" s="10"/>
      <c r="D74" s="6">
        <v>453</v>
      </c>
      <c r="E74" s="2"/>
      <c r="F74" s="7">
        <f t="shared" si="48"/>
        <v>0</v>
      </c>
      <c r="G74" s="2"/>
      <c r="H74" s="6">
        <v>222.5</v>
      </c>
      <c r="I74" s="2"/>
      <c r="J74" s="7">
        <f t="shared" si="49"/>
        <v>0</v>
      </c>
      <c r="K74" s="2"/>
      <c r="L74" s="6">
        <f t="shared" si="50"/>
        <v>230.5</v>
      </c>
      <c r="M74" s="2"/>
      <c r="N74" s="7">
        <f t="shared" si="51"/>
        <v>1.0359550561797752</v>
      </c>
      <c r="O74" s="10"/>
      <c r="P74" s="6">
        <v>7230.12</v>
      </c>
      <c r="Q74" s="2"/>
      <c r="R74" s="7">
        <f t="shared" si="52"/>
        <v>0</v>
      </c>
      <c r="S74" s="2"/>
      <c r="T74" s="6">
        <v>2002.5</v>
      </c>
      <c r="U74" s="2"/>
      <c r="V74" s="7">
        <f t="shared" si="53"/>
        <v>0</v>
      </c>
      <c r="W74" s="2"/>
      <c r="X74" s="6">
        <f t="shared" si="54"/>
        <v>5227.62</v>
      </c>
      <c r="Y74" s="2"/>
      <c r="Z74" s="7">
        <f t="shared" si="55"/>
        <v>2.6105468164794008</v>
      </c>
    </row>
    <row r="75" spans="1:26" s="23" customFormat="1" hidden="1" outlineLevel="2" x14ac:dyDescent="0.25">
      <c r="A75" s="25"/>
      <c r="B75" s="10" t="str">
        <f>CONCATENATE("          ", "6283", " - ", "PLANT SERVICE")</f>
        <v xml:space="preserve">          6283 - PLANT SERVICE</v>
      </c>
      <c r="C75" s="10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0"/>
      <c r="P75" s="6">
        <v>130</v>
      </c>
      <c r="Q75" s="2"/>
      <c r="R75" s="7">
        <f t="shared" si="52"/>
        <v>0</v>
      </c>
      <c r="S75" s="2"/>
      <c r="T75" s="6">
        <v>363.33</v>
      </c>
      <c r="U75" s="2"/>
      <c r="V75" s="7">
        <f t="shared" si="53"/>
        <v>0</v>
      </c>
      <c r="W75" s="2"/>
      <c r="X75" s="6">
        <f t="shared" si="54"/>
        <v>-233.32999999999998</v>
      </c>
      <c r="Y75" s="2"/>
      <c r="Z75" s="7">
        <f t="shared" si="55"/>
        <v>-0.6421985522802961</v>
      </c>
    </row>
    <row r="76" spans="1:26" s="23" customFormat="1" hidden="1" outlineLevel="2" x14ac:dyDescent="0.25">
      <c r="A76" s="25"/>
      <c r="B76" s="10" t="str">
        <f>CONCATENATE("          ", "6285", " - ", "JANITORIAL SERVICES")</f>
        <v xml:space="preserve">          6285 - JANITORIAL SERVICES</v>
      </c>
      <c r="C76" s="10"/>
      <c r="D76" s="6">
        <v>6771.93</v>
      </c>
      <c r="E76" s="2"/>
      <c r="F76" s="7">
        <f t="shared" si="48"/>
        <v>0</v>
      </c>
      <c r="G76" s="2"/>
      <c r="H76" s="6">
        <v>4108.18</v>
      </c>
      <c r="I76" s="2"/>
      <c r="J76" s="7">
        <f t="shared" si="49"/>
        <v>0</v>
      </c>
      <c r="K76" s="2"/>
      <c r="L76" s="6">
        <f t="shared" si="50"/>
        <v>2663.75</v>
      </c>
      <c r="M76" s="2"/>
      <c r="N76" s="7">
        <f t="shared" si="51"/>
        <v>0.64840148192143476</v>
      </c>
      <c r="O76" s="10"/>
      <c r="P76" s="6">
        <v>28151.7</v>
      </c>
      <c r="Q76" s="2"/>
      <c r="R76" s="7">
        <f t="shared" si="52"/>
        <v>0</v>
      </c>
      <c r="S76" s="2"/>
      <c r="T76" s="6">
        <v>34785.120000000003</v>
      </c>
      <c r="U76" s="2"/>
      <c r="V76" s="7">
        <f t="shared" si="53"/>
        <v>0</v>
      </c>
      <c r="W76" s="2"/>
      <c r="X76" s="6">
        <f t="shared" si="54"/>
        <v>-6633.4200000000019</v>
      </c>
      <c r="Y76" s="2"/>
      <c r="Z76" s="7">
        <f t="shared" si="55"/>
        <v>-0.19069705667250827</v>
      </c>
    </row>
    <row r="77" spans="1:26" s="26" customFormat="1" outlineLevel="1" collapsed="1" x14ac:dyDescent="0.25">
      <c r="A77" s="27"/>
      <c r="B77" s="12" t="str">
        <f>CONCATENATE("     ","Subscriptions &amp; Dues                              ")</f>
        <v xml:space="preserve">     Subscriptions &amp; Dues                              </v>
      </c>
      <c r="C77" s="12"/>
      <c r="D77" s="1">
        <f>SUM(OSRRefD22_17x_0)</f>
        <v>0</v>
      </c>
      <c r="E77" s="1"/>
      <c r="F77" s="5">
        <f t="shared" ref="F77:F79" si="56">IF(D$12=0,0,D77/D$12)</f>
        <v>0</v>
      </c>
      <c r="G77" s="1"/>
      <c r="H77" s="1">
        <f>SUM(OSRRefH22_17x_0)</f>
        <v>0</v>
      </c>
      <c r="I77" s="1"/>
      <c r="J77" s="5">
        <f t="shared" ref="J77:J79" si="57">IF(H$12=0,0,H77/H$12)</f>
        <v>0</v>
      </c>
      <c r="K77" s="1"/>
      <c r="L77" s="1">
        <f t="shared" ref="L77:L79" si="58">+D77-H77</f>
        <v>0</v>
      </c>
      <c r="M77" s="1"/>
      <c r="N77" s="5">
        <f t="shared" ref="N77:N79" si="59">IF(H77=0,0,L77/H77)</f>
        <v>0</v>
      </c>
      <c r="O77" s="12"/>
      <c r="P77" s="1">
        <f>SUM(OSRRefP22_17x_0)</f>
        <v>0</v>
      </c>
      <c r="Q77" s="1"/>
      <c r="R77" s="5">
        <f t="shared" ref="R77:R79" si="60">IF(P$12=0,0,P77/P$12)</f>
        <v>0</v>
      </c>
      <c r="S77" s="1"/>
      <c r="T77" s="1">
        <f>SUM(OSRRefT22_17x_0)</f>
        <v>1280.3</v>
      </c>
      <c r="U77" s="1"/>
      <c r="V77" s="5">
        <f t="shared" ref="V77:V79" si="61">IF(T$12=0,0,T77/T$12)</f>
        <v>0</v>
      </c>
      <c r="W77" s="1"/>
      <c r="X77" s="1">
        <f t="shared" ref="X77:X79" si="62">+P77-T77</f>
        <v>-1280.3</v>
      </c>
      <c r="Y77" s="1"/>
      <c r="Z77" s="5">
        <f t="shared" ref="Z77:Z79" si="63">IF(T77=0,0,X77/T77)</f>
        <v>-1</v>
      </c>
    </row>
    <row r="78" spans="1:26" s="23" customFormat="1" hidden="1" outlineLevel="2" x14ac:dyDescent="0.25">
      <c r="A78" s="25"/>
      <c r="B78" s="10" t="str">
        <f>CONCATENATE("          ", "6258", " - ", "MEMBERSHIP DUES")</f>
        <v xml:space="preserve">          6258 - MEMBERSHIP DUES</v>
      </c>
      <c r="C78" s="10"/>
      <c r="D78" s="6"/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0</v>
      </c>
      <c r="M78" s="2"/>
      <c r="N78" s="7">
        <f t="shared" si="59"/>
        <v>0</v>
      </c>
      <c r="O78" s="10"/>
      <c r="P78" s="6"/>
      <c r="Q78" s="2"/>
      <c r="R78" s="7">
        <f t="shared" si="60"/>
        <v>0</v>
      </c>
      <c r="S78" s="2"/>
      <c r="T78" s="6">
        <v>875</v>
      </c>
      <c r="U78" s="2"/>
      <c r="V78" s="7">
        <f t="shared" si="61"/>
        <v>0</v>
      </c>
      <c r="W78" s="2"/>
      <c r="X78" s="6">
        <f t="shared" si="62"/>
        <v>-875</v>
      </c>
      <c r="Y78" s="2"/>
      <c r="Z78" s="7">
        <f t="shared" si="63"/>
        <v>-1</v>
      </c>
    </row>
    <row r="79" spans="1:26" s="23" customFormat="1" hidden="1" outlineLevel="2" x14ac:dyDescent="0.25">
      <c r="A79" s="25"/>
      <c r="B79" s="10" t="str">
        <f>CONCATENATE("          ", "6275", " - ", "SUBSCRIPTIONS")</f>
        <v xml:space="preserve">          6275 - SUBSCRIPTIONS</v>
      </c>
      <c r="C79" s="10"/>
      <c r="D79" s="6"/>
      <c r="E79" s="2"/>
      <c r="F79" s="7">
        <f t="shared" si="56"/>
        <v>0</v>
      </c>
      <c r="G79" s="2"/>
      <c r="H79" s="6"/>
      <c r="I79" s="2"/>
      <c r="J79" s="7">
        <f t="shared" si="57"/>
        <v>0</v>
      </c>
      <c r="K79" s="2"/>
      <c r="L79" s="6">
        <f t="shared" si="58"/>
        <v>0</v>
      </c>
      <c r="M79" s="2"/>
      <c r="N79" s="7">
        <f t="shared" si="59"/>
        <v>0</v>
      </c>
      <c r="O79" s="10"/>
      <c r="P79" s="6"/>
      <c r="Q79" s="2"/>
      <c r="R79" s="7">
        <f t="shared" si="60"/>
        <v>0</v>
      </c>
      <c r="S79" s="2"/>
      <c r="T79" s="6">
        <v>405.3</v>
      </c>
      <c r="U79" s="2"/>
      <c r="V79" s="7">
        <f t="shared" si="61"/>
        <v>0</v>
      </c>
      <c r="W79" s="2"/>
      <c r="X79" s="6">
        <f t="shared" si="62"/>
        <v>-405.3</v>
      </c>
      <c r="Y79" s="2"/>
      <c r="Z79" s="7">
        <f t="shared" si="63"/>
        <v>-1</v>
      </c>
    </row>
    <row r="80" spans="1:26" s="26" customFormat="1" outlineLevel="1" collapsed="1" x14ac:dyDescent="0.25">
      <c r="A80" s="27"/>
      <c r="B80" s="12" t="str">
        <f>CONCATENATE("     ","Supplies                                          ")</f>
        <v xml:space="preserve">     Supplies                                          </v>
      </c>
      <c r="C80" s="12"/>
      <c r="D80" s="1">
        <f>SUM(OSRRefD22_18x_0)</f>
        <v>1071.1300000000001</v>
      </c>
      <c r="E80" s="1"/>
      <c r="F80" s="5">
        <f t="shared" ref="F80:F86" si="64">IF(D$12=0,0,D80/D$12)</f>
        <v>0</v>
      </c>
      <c r="G80" s="1"/>
      <c r="H80" s="1">
        <f>SUM(OSRRefH22_18x_0)</f>
        <v>425.90000000000003</v>
      </c>
      <c r="I80" s="1"/>
      <c r="J80" s="5">
        <f t="shared" ref="J80:J86" si="65">IF(H$12=0,0,H80/H$12)</f>
        <v>0</v>
      </c>
      <c r="K80" s="1"/>
      <c r="L80" s="1">
        <f t="shared" ref="L80:L86" si="66">+D80-H80</f>
        <v>645.23</v>
      </c>
      <c r="M80" s="1"/>
      <c r="N80" s="5">
        <f t="shared" ref="N80:N86" si="67">IF(H80=0,0,L80/H80)</f>
        <v>1.5149800422634421</v>
      </c>
      <c r="O80" s="12"/>
      <c r="P80" s="1">
        <f>SUM(OSRRefP22_18x_0)</f>
        <v>59399.05000000001</v>
      </c>
      <c r="Q80" s="1"/>
      <c r="R80" s="5">
        <f t="shared" ref="R80:R86" si="68">IF(P$12=0,0,P80/P$12)</f>
        <v>0</v>
      </c>
      <c r="S80" s="1"/>
      <c r="T80" s="1">
        <f>SUM(OSRRefT22_18x_0)</f>
        <v>13547.24</v>
      </c>
      <c r="U80" s="1"/>
      <c r="V80" s="5">
        <f t="shared" ref="V80:V86" si="69">IF(T$12=0,0,T80/T$12)</f>
        <v>0</v>
      </c>
      <c r="W80" s="1"/>
      <c r="X80" s="1">
        <f t="shared" ref="X80:X86" si="70">+P80-T80</f>
        <v>45851.810000000012</v>
      </c>
      <c r="Y80" s="1"/>
      <c r="Z80" s="5">
        <f t="shared" ref="Z80:Z86" si="71">IF(T80=0,0,X80/T80)</f>
        <v>3.3845868235891601</v>
      </c>
    </row>
    <row r="81" spans="1:26" s="23" customFormat="1" hidden="1" outlineLevel="2" x14ac:dyDescent="0.25">
      <c r="A81" s="25"/>
      <c r="B81" s="10" t="str">
        <f>CONCATENATE("          ", "6234", " - ", "EXPENDABLE SUPPLIES &amp; EQUIPMEN")</f>
        <v xml:space="preserve">          6234 - EXPENDABLE SUPPLIES &amp; EQUIPMEN</v>
      </c>
      <c r="C81" s="10"/>
      <c r="D81" s="6"/>
      <c r="E81" s="2"/>
      <c r="F81" s="7">
        <f t="shared" si="64"/>
        <v>0</v>
      </c>
      <c r="G81" s="2"/>
      <c r="H81" s="6">
        <v>140.75</v>
      </c>
      <c r="I81" s="2"/>
      <c r="J81" s="7">
        <f t="shared" si="65"/>
        <v>0</v>
      </c>
      <c r="K81" s="2"/>
      <c r="L81" s="6">
        <f t="shared" si="66"/>
        <v>-140.75</v>
      </c>
      <c r="M81" s="2"/>
      <c r="N81" s="7">
        <f t="shared" si="67"/>
        <v>-1</v>
      </c>
      <c r="O81" s="10"/>
      <c r="P81" s="6">
        <v>-449.34</v>
      </c>
      <c r="Q81" s="2"/>
      <c r="R81" s="7">
        <f t="shared" si="68"/>
        <v>0</v>
      </c>
      <c r="S81" s="2"/>
      <c r="T81" s="6">
        <v>1448.29</v>
      </c>
      <c r="U81" s="2"/>
      <c r="V81" s="7">
        <f t="shared" si="69"/>
        <v>0</v>
      </c>
      <c r="W81" s="2"/>
      <c r="X81" s="6">
        <f t="shared" si="70"/>
        <v>-1897.6299999999999</v>
      </c>
      <c r="Y81" s="2"/>
      <c r="Z81" s="7">
        <f t="shared" si="71"/>
        <v>-1.3102555427435112</v>
      </c>
    </row>
    <row r="82" spans="1:26" s="23" customFormat="1" hidden="1" outlineLevel="2" x14ac:dyDescent="0.25">
      <c r="A82" s="25"/>
      <c r="B82" s="10" t="str">
        <f>CONCATENATE("          ", "6235", " - ", "COVID-19 EXPENSES")</f>
        <v xml:space="preserve">          6235 - COVID-19 EXPENSES</v>
      </c>
      <c r="C82" s="10"/>
      <c r="D82" s="6">
        <v>370.83</v>
      </c>
      <c r="E82" s="2"/>
      <c r="F82" s="7">
        <f t="shared" si="64"/>
        <v>0</v>
      </c>
      <c r="G82" s="2"/>
      <c r="H82" s="6"/>
      <c r="I82" s="2"/>
      <c r="J82" s="7">
        <f t="shared" si="65"/>
        <v>0</v>
      </c>
      <c r="K82" s="2"/>
      <c r="L82" s="6">
        <f t="shared" si="66"/>
        <v>370.83</v>
      </c>
      <c r="M82" s="2"/>
      <c r="N82" s="7">
        <f t="shared" si="67"/>
        <v>0</v>
      </c>
      <c r="O82" s="10"/>
      <c r="P82" s="6">
        <v>35614.660000000003</v>
      </c>
      <c r="Q82" s="2"/>
      <c r="R82" s="7">
        <f t="shared" si="68"/>
        <v>0</v>
      </c>
      <c r="S82" s="2"/>
      <c r="T82" s="6"/>
      <c r="U82" s="2"/>
      <c r="V82" s="7">
        <f t="shared" si="69"/>
        <v>0</v>
      </c>
      <c r="W82" s="2"/>
      <c r="X82" s="6">
        <f t="shared" si="70"/>
        <v>35614.660000000003</v>
      </c>
      <c r="Y82" s="2"/>
      <c r="Z82" s="7">
        <f t="shared" si="71"/>
        <v>0</v>
      </c>
    </row>
    <row r="83" spans="1:26" s="23" customFormat="1" hidden="1" outlineLevel="2" x14ac:dyDescent="0.25">
      <c r="A83" s="25"/>
      <c r="B83" s="10" t="str">
        <f>CONCATENATE("          ", "6237", " - ", "JANITORIAL SUPPLIES")</f>
        <v xml:space="preserve">          6237 - JANITORIAL SUPPLIES</v>
      </c>
      <c r="C83" s="10"/>
      <c r="D83" s="6">
        <v>637.59</v>
      </c>
      <c r="E83" s="2"/>
      <c r="F83" s="7">
        <f t="shared" si="64"/>
        <v>0</v>
      </c>
      <c r="G83" s="2"/>
      <c r="H83" s="6">
        <v>87.82</v>
      </c>
      <c r="I83" s="2"/>
      <c r="J83" s="7">
        <f t="shared" si="65"/>
        <v>0</v>
      </c>
      <c r="K83" s="2"/>
      <c r="L83" s="6">
        <f t="shared" si="66"/>
        <v>549.77</v>
      </c>
      <c r="M83" s="2"/>
      <c r="N83" s="7">
        <f t="shared" si="67"/>
        <v>6.2601913003871559</v>
      </c>
      <c r="O83" s="10"/>
      <c r="P83" s="6">
        <v>2709.5</v>
      </c>
      <c r="Q83" s="2"/>
      <c r="R83" s="7">
        <f t="shared" si="68"/>
        <v>0</v>
      </c>
      <c r="S83" s="2"/>
      <c r="T83" s="6">
        <v>3925.28</v>
      </c>
      <c r="U83" s="2"/>
      <c r="V83" s="7">
        <f t="shared" si="69"/>
        <v>0</v>
      </c>
      <c r="W83" s="2"/>
      <c r="X83" s="6">
        <f t="shared" si="70"/>
        <v>-1215.7800000000002</v>
      </c>
      <c r="Y83" s="2"/>
      <c r="Z83" s="7">
        <f t="shared" si="71"/>
        <v>-0.3097307707985163</v>
      </c>
    </row>
    <row r="84" spans="1:26" s="23" customFormat="1" hidden="1" outlineLevel="2" x14ac:dyDescent="0.25">
      <c r="A84" s="25"/>
      <c r="B84" s="10" t="str">
        <f>CONCATENATE("          ", "6241", " - ", "OFFICE EXPENSE")</f>
        <v xml:space="preserve">          6241 - OFFICE EXPENSE</v>
      </c>
      <c r="C84" s="10"/>
      <c r="D84" s="6">
        <v>22.91</v>
      </c>
      <c r="E84" s="2"/>
      <c r="F84" s="7">
        <f t="shared" si="64"/>
        <v>0</v>
      </c>
      <c r="G84" s="2"/>
      <c r="H84" s="6">
        <v>189.86</v>
      </c>
      <c r="I84" s="2"/>
      <c r="J84" s="7">
        <f t="shared" si="65"/>
        <v>0</v>
      </c>
      <c r="K84" s="2"/>
      <c r="L84" s="6">
        <f t="shared" si="66"/>
        <v>-166.95000000000002</v>
      </c>
      <c r="M84" s="2"/>
      <c r="N84" s="7">
        <f t="shared" si="67"/>
        <v>-0.87933213947118938</v>
      </c>
      <c r="O84" s="10"/>
      <c r="P84" s="6">
        <v>2862.89</v>
      </c>
      <c r="Q84" s="2"/>
      <c r="R84" s="7">
        <f t="shared" si="68"/>
        <v>0</v>
      </c>
      <c r="S84" s="2"/>
      <c r="T84" s="6">
        <v>8607.59</v>
      </c>
      <c r="U84" s="2"/>
      <c r="V84" s="7">
        <f t="shared" si="69"/>
        <v>0</v>
      </c>
      <c r="W84" s="2"/>
      <c r="X84" s="6">
        <f t="shared" si="70"/>
        <v>-5744.7000000000007</v>
      </c>
      <c r="Y84" s="2"/>
      <c r="Z84" s="7">
        <f t="shared" si="71"/>
        <v>-0.66739935336139389</v>
      </c>
    </row>
    <row r="85" spans="1:26" s="23" customFormat="1" hidden="1" outlineLevel="2" x14ac:dyDescent="0.25">
      <c r="A85" s="25"/>
      <c r="B85" s="10" t="str">
        <f>CONCATENATE("          ", "6245", " - ", "PRINTING")</f>
        <v xml:space="preserve">          6245 - PRINTING</v>
      </c>
      <c r="C85" s="10"/>
      <c r="D85" s="6"/>
      <c r="E85" s="2"/>
      <c r="F85" s="7">
        <f t="shared" si="64"/>
        <v>0</v>
      </c>
      <c r="G85" s="2"/>
      <c r="H85" s="6"/>
      <c r="I85" s="2"/>
      <c r="J85" s="7">
        <f t="shared" si="65"/>
        <v>0</v>
      </c>
      <c r="K85" s="2"/>
      <c r="L85" s="6">
        <f t="shared" si="66"/>
        <v>0</v>
      </c>
      <c r="M85" s="2"/>
      <c r="N85" s="7">
        <f t="shared" si="67"/>
        <v>0</v>
      </c>
      <c r="O85" s="10"/>
      <c r="P85" s="6">
        <v>68.66</v>
      </c>
      <c r="Q85" s="2"/>
      <c r="R85" s="7">
        <f t="shared" si="68"/>
        <v>0</v>
      </c>
      <c r="S85" s="2"/>
      <c r="T85" s="6">
        <v>19.73</v>
      </c>
      <c r="U85" s="2"/>
      <c r="V85" s="7">
        <f t="shared" si="69"/>
        <v>0</v>
      </c>
      <c r="W85" s="2"/>
      <c r="X85" s="6">
        <f t="shared" si="70"/>
        <v>48.929999999999993</v>
      </c>
      <c r="Y85" s="2"/>
      <c r="Z85" s="7">
        <f t="shared" si="71"/>
        <v>2.4799797263051189</v>
      </c>
    </row>
    <row r="86" spans="1:26" s="23" customFormat="1" hidden="1" outlineLevel="2" x14ac:dyDescent="0.25">
      <c r="A86" s="25"/>
      <c r="B86" s="10" t="str">
        <f>CONCATENATE("          ", "6247", " - ", "STORE SUPPLIES")</f>
        <v xml:space="preserve">          6247 - STORE SUPPLIES</v>
      </c>
      <c r="C86" s="10"/>
      <c r="D86" s="6">
        <v>39.799999999999997</v>
      </c>
      <c r="E86" s="2"/>
      <c r="F86" s="7">
        <f t="shared" si="64"/>
        <v>0</v>
      </c>
      <c r="G86" s="2"/>
      <c r="H86" s="6">
        <v>7.47</v>
      </c>
      <c r="I86" s="2"/>
      <c r="J86" s="7">
        <f t="shared" si="65"/>
        <v>0</v>
      </c>
      <c r="K86" s="2"/>
      <c r="L86" s="6">
        <f t="shared" si="66"/>
        <v>32.33</v>
      </c>
      <c r="M86" s="2"/>
      <c r="N86" s="7">
        <f t="shared" si="67"/>
        <v>4.3279785809906288</v>
      </c>
      <c r="O86" s="10"/>
      <c r="P86" s="6">
        <v>18592.68</v>
      </c>
      <c r="Q86" s="2"/>
      <c r="R86" s="7">
        <f t="shared" si="68"/>
        <v>0</v>
      </c>
      <c r="S86" s="2"/>
      <c r="T86" s="6">
        <v>-453.65</v>
      </c>
      <c r="U86" s="2"/>
      <c r="V86" s="7">
        <f t="shared" si="69"/>
        <v>0</v>
      </c>
      <c r="W86" s="2"/>
      <c r="X86" s="6">
        <f t="shared" si="70"/>
        <v>19046.330000000002</v>
      </c>
      <c r="Y86" s="2"/>
      <c r="Z86" s="7">
        <f t="shared" si="71"/>
        <v>-41.984635732392817</v>
      </c>
    </row>
    <row r="87" spans="1:26" s="26" customFormat="1" outlineLevel="1" collapsed="1" x14ac:dyDescent="0.25">
      <c r="A87" s="27"/>
      <c r="B87" s="12" t="str">
        <f>CONCATENATE("     ","Telephone/Data Lines                              ")</f>
        <v xml:space="preserve">     Telephone/Data Lines                              </v>
      </c>
      <c r="C87" s="12"/>
      <c r="D87" s="1">
        <f>SUM(OSRRefD22_19x_0)</f>
        <v>559.66999999999996</v>
      </c>
      <c r="E87" s="1"/>
      <c r="F87" s="5">
        <f t="shared" ref="F87:F94" si="72">IF(D$12=0,0,D87/D$12)</f>
        <v>0</v>
      </c>
      <c r="G87" s="1"/>
      <c r="H87" s="1">
        <f>SUM(OSRRefH22_19x_0)</f>
        <v>481.2</v>
      </c>
      <c r="I87" s="1"/>
      <c r="J87" s="5">
        <f t="shared" ref="J87:J94" si="73">IF(H$12=0,0,H87/H$12)</f>
        <v>0</v>
      </c>
      <c r="K87" s="1"/>
      <c r="L87" s="1">
        <f t="shared" ref="L87:L94" si="74">+D87-H87</f>
        <v>78.46999999999997</v>
      </c>
      <c r="M87" s="1"/>
      <c r="N87" s="5">
        <f t="shared" ref="N87:N94" si="75">IF(H87=0,0,L87/H87)</f>
        <v>0.1630714879467996</v>
      </c>
      <c r="O87" s="12"/>
      <c r="P87" s="1">
        <f>SUM(OSRRefP22_19x_0)</f>
        <v>5229.54</v>
      </c>
      <c r="Q87" s="1"/>
      <c r="R87" s="5">
        <f t="shared" ref="R87:R94" si="76">IF(P$12=0,0,P87/P$12)</f>
        <v>0</v>
      </c>
      <c r="S87" s="1"/>
      <c r="T87" s="1">
        <f>SUM(OSRRefT22_19x_0)</f>
        <v>4774.6000000000004</v>
      </c>
      <c r="U87" s="1"/>
      <c r="V87" s="5">
        <f t="shared" ref="V87:V94" si="77">IF(T$12=0,0,T87/T$12)</f>
        <v>0</v>
      </c>
      <c r="W87" s="1"/>
      <c r="X87" s="1">
        <f t="shared" ref="X87:X94" si="78">+P87-T87</f>
        <v>454.9399999999996</v>
      </c>
      <c r="Y87" s="1"/>
      <c r="Z87" s="5">
        <f t="shared" ref="Z87:Z94" si="79">IF(T87=0,0,X87/T87)</f>
        <v>9.5283374523520203E-2</v>
      </c>
    </row>
    <row r="88" spans="1:26" s="23" customFormat="1" hidden="1" outlineLevel="2" x14ac:dyDescent="0.25">
      <c r="A88" s="25"/>
      <c r="B88" s="10" t="str">
        <f>CONCATENATE("          ", "6309", " - ", "TELEPHONE")</f>
        <v xml:space="preserve">          6309 - TELEPHONE</v>
      </c>
      <c r="C88" s="10"/>
      <c r="D88" s="6">
        <v>559.66999999999996</v>
      </c>
      <c r="E88" s="2"/>
      <c r="F88" s="7">
        <f t="shared" si="72"/>
        <v>0</v>
      </c>
      <c r="G88" s="2"/>
      <c r="H88" s="6">
        <v>481.2</v>
      </c>
      <c r="I88" s="2"/>
      <c r="J88" s="7">
        <f t="shared" si="73"/>
        <v>0</v>
      </c>
      <c r="K88" s="2"/>
      <c r="L88" s="6">
        <f t="shared" si="74"/>
        <v>78.46999999999997</v>
      </c>
      <c r="M88" s="2"/>
      <c r="N88" s="7">
        <f t="shared" si="75"/>
        <v>0.1630714879467996</v>
      </c>
      <c r="O88" s="10"/>
      <c r="P88" s="6">
        <v>5229.54</v>
      </c>
      <c r="Q88" s="2"/>
      <c r="R88" s="7">
        <f t="shared" si="76"/>
        <v>0</v>
      </c>
      <c r="S88" s="2"/>
      <c r="T88" s="6">
        <v>4774.6000000000004</v>
      </c>
      <c r="U88" s="2"/>
      <c r="V88" s="7">
        <f t="shared" si="77"/>
        <v>0</v>
      </c>
      <c r="W88" s="2"/>
      <c r="X88" s="6">
        <f t="shared" si="78"/>
        <v>454.9399999999996</v>
      </c>
      <c r="Y88" s="2"/>
      <c r="Z88" s="7">
        <f t="shared" si="79"/>
        <v>9.5283374523520203E-2</v>
      </c>
    </row>
    <row r="89" spans="1:26" s="26" customFormat="1" outlineLevel="1" collapsed="1" x14ac:dyDescent="0.25">
      <c r="A89" s="27"/>
      <c r="B89" s="12" t="str">
        <f>CONCATENATE("     ","Training                                          ")</f>
        <v xml:space="preserve">     Training                                          </v>
      </c>
      <c r="C89" s="12"/>
      <c r="D89" s="1">
        <f>SUM(OSRRefD22_20x_0)</f>
        <v>0</v>
      </c>
      <c r="E89" s="1"/>
      <c r="F89" s="5">
        <f t="shared" si="72"/>
        <v>0</v>
      </c>
      <c r="G89" s="1"/>
      <c r="H89" s="1">
        <f>SUM(OSRRefH22_20x_0)</f>
        <v>2017.8</v>
      </c>
      <c r="I89" s="1"/>
      <c r="J89" s="5">
        <f t="shared" si="73"/>
        <v>0</v>
      </c>
      <c r="K89" s="1"/>
      <c r="L89" s="1">
        <f t="shared" si="74"/>
        <v>-2017.8</v>
      </c>
      <c r="M89" s="1"/>
      <c r="N89" s="5">
        <f t="shared" si="75"/>
        <v>-1</v>
      </c>
      <c r="O89" s="12"/>
      <c r="P89" s="1">
        <f>SUM(OSRRefP22_20x_0)</f>
        <v>881.63</v>
      </c>
      <c r="Q89" s="1"/>
      <c r="R89" s="5">
        <f t="shared" si="76"/>
        <v>0</v>
      </c>
      <c r="S89" s="1"/>
      <c r="T89" s="1">
        <f>SUM(OSRRefT22_20x_0)</f>
        <v>10452.68</v>
      </c>
      <c r="U89" s="1"/>
      <c r="V89" s="5">
        <f t="shared" si="77"/>
        <v>0</v>
      </c>
      <c r="W89" s="1"/>
      <c r="X89" s="1">
        <f t="shared" si="78"/>
        <v>-9571.0500000000011</v>
      </c>
      <c r="Y89" s="1"/>
      <c r="Z89" s="5">
        <f t="shared" si="79"/>
        <v>-0.9156551238534042</v>
      </c>
    </row>
    <row r="90" spans="1:26" s="23" customFormat="1" hidden="1" outlineLevel="2" x14ac:dyDescent="0.25">
      <c r="A90" s="25"/>
      <c r="B90" s="10" t="str">
        <f>CONCATENATE("          ", "6376", " - ", "TRAINING")</f>
        <v xml:space="preserve">          6376 - TRAINING</v>
      </c>
      <c r="C90" s="10"/>
      <c r="D90" s="6"/>
      <c r="E90" s="2"/>
      <c r="F90" s="7">
        <f t="shared" si="72"/>
        <v>0</v>
      </c>
      <c r="G90" s="2"/>
      <c r="H90" s="6">
        <v>2017.8</v>
      </c>
      <c r="I90" s="2"/>
      <c r="J90" s="7">
        <f t="shared" si="73"/>
        <v>0</v>
      </c>
      <c r="K90" s="2"/>
      <c r="L90" s="6">
        <f t="shared" si="74"/>
        <v>-2017.8</v>
      </c>
      <c r="M90" s="2"/>
      <c r="N90" s="7">
        <f t="shared" si="75"/>
        <v>-1</v>
      </c>
      <c r="O90" s="10"/>
      <c r="P90" s="6">
        <v>881.63</v>
      </c>
      <c r="Q90" s="2"/>
      <c r="R90" s="7">
        <f t="shared" si="76"/>
        <v>0</v>
      </c>
      <c r="S90" s="2"/>
      <c r="T90" s="6">
        <v>10452.68</v>
      </c>
      <c r="U90" s="2"/>
      <c r="V90" s="7">
        <f t="shared" si="77"/>
        <v>0</v>
      </c>
      <c r="W90" s="2"/>
      <c r="X90" s="6">
        <f t="shared" si="78"/>
        <v>-9571.0500000000011</v>
      </c>
      <c r="Y90" s="2"/>
      <c r="Z90" s="7">
        <f t="shared" si="79"/>
        <v>-0.9156551238534042</v>
      </c>
    </row>
    <row r="91" spans="1:26" s="26" customFormat="1" outlineLevel="1" collapsed="1" x14ac:dyDescent="0.25">
      <c r="A91" s="27"/>
      <c r="B91" s="12" t="str">
        <f>CONCATENATE("     ","Travel                                            ")</f>
        <v xml:space="preserve">     Travel                                            </v>
      </c>
      <c r="C91" s="12"/>
      <c r="D91" s="1">
        <f>SUM(OSRRefD22_21x_0)</f>
        <v>0</v>
      </c>
      <c r="E91" s="1"/>
      <c r="F91" s="5">
        <f t="shared" si="72"/>
        <v>0</v>
      </c>
      <c r="G91" s="1"/>
      <c r="H91" s="1">
        <f>SUM(OSRRefH22_21x_0)</f>
        <v>146.04</v>
      </c>
      <c r="I91" s="1"/>
      <c r="J91" s="5">
        <f t="shared" si="73"/>
        <v>0</v>
      </c>
      <c r="K91" s="1"/>
      <c r="L91" s="1">
        <f t="shared" si="74"/>
        <v>-146.04</v>
      </c>
      <c r="M91" s="1"/>
      <c r="N91" s="5">
        <f t="shared" si="75"/>
        <v>-1</v>
      </c>
      <c r="O91" s="12"/>
      <c r="P91" s="1">
        <f>SUM(OSRRefP22_21x_0)</f>
        <v>358.89</v>
      </c>
      <c r="Q91" s="1"/>
      <c r="R91" s="5">
        <f t="shared" si="76"/>
        <v>0</v>
      </c>
      <c r="S91" s="1"/>
      <c r="T91" s="1">
        <f>SUM(OSRRefT22_21x_0)</f>
        <v>858.44</v>
      </c>
      <c r="U91" s="1"/>
      <c r="V91" s="5">
        <f t="shared" si="77"/>
        <v>0</v>
      </c>
      <c r="W91" s="1"/>
      <c r="X91" s="1">
        <f t="shared" si="78"/>
        <v>-499.55000000000007</v>
      </c>
      <c r="Y91" s="1"/>
      <c r="Z91" s="5">
        <f t="shared" si="79"/>
        <v>-0.58192768277340301</v>
      </c>
    </row>
    <row r="92" spans="1:26" s="23" customFormat="1" hidden="1" outlineLevel="2" x14ac:dyDescent="0.25">
      <c r="A92" s="25"/>
      <c r="B92" s="10" t="str">
        <f>CONCATENATE("          ", "6292", " - ", "TRAVEL/CONFERENCE")</f>
        <v xml:space="preserve">          6292 - TRAVEL/CONFERENCE</v>
      </c>
      <c r="C92" s="10"/>
      <c r="D92" s="6"/>
      <c r="E92" s="2"/>
      <c r="F92" s="7">
        <f t="shared" si="72"/>
        <v>0</v>
      </c>
      <c r="G92" s="2"/>
      <c r="H92" s="6">
        <v>91.1</v>
      </c>
      <c r="I92" s="2"/>
      <c r="J92" s="7">
        <f t="shared" si="73"/>
        <v>0</v>
      </c>
      <c r="K92" s="2"/>
      <c r="L92" s="6">
        <f t="shared" si="74"/>
        <v>-91.1</v>
      </c>
      <c r="M92" s="2"/>
      <c r="N92" s="7">
        <f t="shared" si="75"/>
        <v>-1</v>
      </c>
      <c r="O92" s="10"/>
      <c r="P92" s="6">
        <v>299</v>
      </c>
      <c r="Q92" s="2"/>
      <c r="R92" s="7">
        <f t="shared" si="76"/>
        <v>0</v>
      </c>
      <c r="S92" s="2"/>
      <c r="T92" s="6">
        <v>636.70000000000005</v>
      </c>
      <c r="U92" s="2"/>
      <c r="V92" s="7">
        <f t="shared" si="77"/>
        <v>0</v>
      </c>
      <c r="W92" s="2"/>
      <c r="X92" s="6">
        <f t="shared" si="78"/>
        <v>-337.70000000000005</v>
      </c>
      <c r="Y92" s="2"/>
      <c r="Z92" s="7">
        <f t="shared" si="79"/>
        <v>-0.5303910790010995</v>
      </c>
    </row>
    <row r="93" spans="1:26" s="23" customFormat="1" hidden="1" outlineLevel="2" x14ac:dyDescent="0.25">
      <c r="A93" s="25"/>
      <c r="B93" s="10" t="str">
        <f>CONCATENATE("          ", "6294", " - ", "TRAVEL OPERATIONAL")</f>
        <v xml:space="preserve">          6294 - TRAVEL OPERATIONAL</v>
      </c>
      <c r="C93" s="10"/>
      <c r="D93" s="6"/>
      <c r="E93" s="2"/>
      <c r="F93" s="7">
        <f t="shared" si="72"/>
        <v>0</v>
      </c>
      <c r="G93" s="2"/>
      <c r="H93" s="6"/>
      <c r="I93" s="2"/>
      <c r="J93" s="7">
        <f t="shared" si="73"/>
        <v>0</v>
      </c>
      <c r="K93" s="2"/>
      <c r="L93" s="6">
        <f t="shared" si="74"/>
        <v>0</v>
      </c>
      <c r="M93" s="2"/>
      <c r="N93" s="7">
        <f t="shared" si="75"/>
        <v>0</v>
      </c>
      <c r="O93" s="10"/>
      <c r="P93" s="6"/>
      <c r="Q93" s="2"/>
      <c r="R93" s="7">
        <f t="shared" si="76"/>
        <v>0</v>
      </c>
      <c r="S93" s="2"/>
      <c r="T93" s="6">
        <v>-144.33000000000001</v>
      </c>
      <c r="U93" s="2"/>
      <c r="V93" s="7">
        <f t="shared" si="77"/>
        <v>0</v>
      </c>
      <c r="W93" s="2"/>
      <c r="X93" s="6">
        <f t="shared" si="78"/>
        <v>144.33000000000001</v>
      </c>
      <c r="Y93" s="2"/>
      <c r="Z93" s="7">
        <f t="shared" si="79"/>
        <v>-1</v>
      </c>
    </row>
    <row r="94" spans="1:26" s="23" customFormat="1" hidden="1" outlineLevel="2" x14ac:dyDescent="0.25">
      <c r="A94" s="25"/>
      <c r="B94" s="10" t="str">
        <f>CONCATENATE("          ", "6298", " - ", "VEHICLE MILEAGE")</f>
        <v xml:space="preserve">          6298 - VEHICLE MILEAGE</v>
      </c>
      <c r="C94" s="10"/>
      <c r="D94" s="6"/>
      <c r="E94" s="2"/>
      <c r="F94" s="7">
        <f t="shared" si="72"/>
        <v>0</v>
      </c>
      <c r="G94" s="2"/>
      <c r="H94" s="6">
        <v>54.94</v>
      </c>
      <c r="I94" s="2"/>
      <c r="J94" s="7">
        <f t="shared" si="73"/>
        <v>0</v>
      </c>
      <c r="K94" s="2"/>
      <c r="L94" s="6">
        <f t="shared" si="74"/>
        <v>-54.94</v>
      </c>
      <c r="M94" s="2"/>
      <c r="N94" s="7">
        <f t="shared" si="75"/>
        <v>-1</v>
      </c>
      <c r="O94" s="10"/>
      <c r="P94" s="6">
        <v>59.89</v>
      </c>
      <c r="Q94" s="2"/>
      <c r="R94" s="7">
        <f t="shared" si="76"/>
        <v>0</v>
      </c>
      <c r="S94" s="2"/>
      <c r="T94" s="6">
        <v>366.07</v>
      </c>
      <c r="U94" s="2"/>
      <c r="V94" s="7">
        <f t="shared" si="77"/>
        <v>0</v>
      </c>
      <c r="W94" s="2"/>
      <c r="X94" s="6">
        <f t="shared" si="78"/>
        <v>-306.18</v>
      </c>
      <c r="Y94" s="2"/>
      <c r="Z94" s="7">
        <f t="shared" si="79"/>
        <v>-0.83639741033135739</v>
      </c>
    </row>
    <row r="95" spans="1:26" s="26" customFormat="1" outlineLevel="1" collapsed="1" x14ac:dyDescent="0.25">
      <c r="A95" s="27"/>
      <c r="B95" s="12" t="str">
        <f>CONCATENATE("     ","Utilities                                         ")</f>
        <v xml:space="preserve">     Utilities                                         </v>
      </c>
      <c r="C95" s="12"/>
      <c r="D95" s="1">
        <f>SUM(OSRRefD22_22x_0)</f>
        <v>3399</v>
      </c>
      <c r="E95" s="1"/>
      <c r="F95" s="5">
        <f t="shared" ref="F95:F96" si="80">IF(D$12=0,0,D95/D$12)</f>
        <v>0</v>
      </c>
      <c r="G95" s="1"/>
      <c r="H95" s="1">
        <f>SUM(OSRRefH22_22x_0)</f>
        <v>6133</v>
      </c>
      <c r="I95" s="1"/>
      <c r="J95" s="5">
        <f t="shared" ref="J95:J96" si="81">IF(H$12=0,0,H95/H$12)</f>
        <v>0</v>
      </c>
      <c r="K95" s="1"/>
      <c r="L95" s="1">
        <f t="shared" ref="L95:L96" si="82">+D95-H95</f>
        <v>-2734</v>
      </c>
      <c r="M95" s="1"/>
      <c r="N95" s="5">
        <f t="shared" ref="N95:N96" si="83">IF(H95=0,0,L95/H95)</f>
        <v>-0.44578509701614216</v>
      </c>
      <c r="O95" s="12"/>
      <c r="P95" s="1">
        <f>SUM(OSRRefP22_22x_0)</f>
        <v>52267</v>
      </c>
      <c r="Q95" s="1"/>
      <c r="R95" s="5">
        <f t="shared" ref="R95:R96" si="84">IF(P$12=0,0,P95/P$12)</f>
        <v>0</v>
      </c>
      <c r="S95" s="1"/>
      <c r="T95" s="1">
        <f>SUM(OSRRefT22_22x_0)</f>
        <v>50138</v>
      </c>
      <c r="U95" s="1"/>
      <c r="V95" s="5">
        <f t="shared" ref="V95:V96" si="85">IF(T$12=0,0,T95/T$12)</f>
        <v>0</v>
      </c>
      <c r="W95" s="1"/>
      <c r="X95" s="1">
        <f t="shared" ref="X95:X96" si="86">+P95-T95</f>
        <v>2129</v>
      </c>
      <c r="Y95" s="1"/>
      <c r="Z95" s="5">
        <f t="shared" ref="Z95:Z96" si="87">IF(T95=0,0,X95/T95)</f>
        <v>4.2462802664645576E-2</v>
      </c>
    </row>
    <row r="96" spans="1:26" s="23" customFormat="1" hidden="1" outlineLevel="2" x14ac:dyDescent="0.25">
      <c r="A96" s="25"/>
      <c r="B96" s="10" t="str">
        <f>CONCATENATE("          ", "6274", " - ", "UTILITIES")</f>
        <v xml:space="preserve">          6274 - UTILITIES</v>
      </c>
      <c r="C96" s="10"/>
      <c r="D96" s="6">
        <v>3399</v>
      </c>
      <c r="E96" s="2"/>
      <c r="F96" s="7">
        <f t="shared" si="80"/>
        <v>0</v>
      </c>
      <c r="G96" s="2"/>
      <c r="H96" s="6">
        <v>6133</v>
      </c>
      <c r="I96" s="2"/>
      <c r="J96" s="7">
        <f t="shared" si="81"/>
        <v>0</v>
      </c>
      <c r="K96" s="2"/>
      <c r="L96" s="6">
        <f t="shared" si="82"/>
        <v>-2734</v>
      </c>
      <c r="M96" s="2"/>
      <c r="N96" s="7">
        <f t="shared" si="83"/>
        <v>-0.44578509701614216</v>
      </c>
      <c r="O96" s="10"/>
      <c r="P96" s="6">
        <v>52267</v>
      </c>
      <c r="Q96" s="2"/>
      <c r="R96" s="7">
        <f t="shared" si="84"/>
        <v>0</v>
      </c>
      <c r="S96" s="2"/>
      <c r="T96" s="6">
        <v>50138</v>
      </c>
      <c r="U96" s="2"/>
      <c r="V96" s="7">
        <f t="shared" si="85"/>
        <v>0</v>
      </c>
      <c r="W96" s="2"/>
      <c r="X96" s="6">
        <f t="shared" si="86"/>
        <v>2129</v>
      </c>
      <c r="Y96" s="2"/>
      <c r="Z96" s="7">
        <f t="shared" si="87"/>
        <v>4.2462802664645576E-2</v>
      </c>
    </row>
    <row r="97" spans="1:26" s="60" customFormat="1" x14ac:dyDescent="0.25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4" customFormat="1" collapsed="1" x14ac:dyDescent="0.25">
      <c r="A98" s="11"/>
      <c r="B98" s="28" t="s">
        <v>292</v>
      </c>
      <c r="C98" s="11"/>
      <c r="D98" s="4">
        <f>SUM(OSRRefD25x_0)</f>
        <v>2385.89</v>
      </c>
      <c r="E98" s="4"/>
      <c r="F98" s="13">
        <f t="shared" ref="F98:F101" si="88">IF(D$12=0,0,D98/D$12)</f>
        <v>0</v>
      </c>
      <c r="G98" s="4"/>
      <c r="H98" s="4">
        <f>SUM(OSRRefH25x_0)</f>
        <v>17656.7</v>
      </c>
      <c r="I98" s="4"/>
      <c r="J98" s="13">
        <f t="shared" ref="J98:J101" si="89">IF(H$12=0,0,H98/H$12)</f>
        <v>0</v>
      </c>
      <c r="K98" s="4"/>
      <c r="L98" s="4">
        <f t="shared" ref="L98:L101" si="90">+D98-H98</f>
        <v>-15270.810000000001</v>
      </c>
      <c r="M98" s="4"/>
      <c r="N98" s="13">
        <f t="shared" ref="N98:N101" si="91">IF(H98=0,0,L98/H98)</f>
        <v>-0.8648733908374725</v>
      </c>
      <c r="O98" s="11"/>
      <c r="P98" s="4">
        <f>SUM(OSRRefP25x_0)</f>
        <v>177654.33</v>
      </c>
      <c r="Q98" s="4"/>
      <c r="R98" s="13">
        <f t="shared" ref="R98:R101" si="92">IF(P$12=0,0,P98/P$12)</f>
        <v>0</v>
      </c>
      <c r="S98" s="4"/>
      <c r="T98" s="4">
        <f>SUM(OSRRefT25x_0)</f>
        <v>208877.41999999998</v>
      </c>
      <c r="U98" s="4"/>
      <c r="V98" s="13">
        <f t="shared" ref="V98:V101" si="93">IF(T$12=0,0,T98/T$12)</f>
        <v>0</v>
      </c>
      <c r="W98" s="4"/>
      <c r="X98" s="4">
        <f t="shared" ref="X98:X101" si="94">+P98-T98</f>
        <v>-31223.089999999997</v>
      </c>
      <c r="Y98" s="4"/>
      <c r="Z98" s="13">
        <f t="shared" ref="Z98:Z101" si="95">IF(T98=0,0,X98/T98)</f>
        <v>-0.14948044647430056</v>
      </c>
    </row>
    <row r="99" spans="1:26" s="23" customFormat="1" hidden="1" outlineLevel="1" x14ac:dyDescent="0.25">
      <c r="A99" s="44"/>
      <c r="B99" s="10" t="str">
        <f>CONCATENATE("          ", "9150", " - ", "MISC. INCOME")</f>
        <v xml:space="preserve">          9150 - MISC. INCOME</v>
      </c>
      <c r="C99" s="10"/>
      <c r="D99" s="2">
        <f>--2385.89</f>
        <v>2385.89</v>
      </c>
      <c r="E99" s="2"/>
      <c r="F99" s="19">
        <f t="shared" si="88"/>
        <v>0</v>
      </c>
      <c r="G99" s="2"/>
      <c r="H99" s="2">
        <f>--4341.66</f>
        <v>4341.66</v>
      </c>
      <c r="I99" s="2"/>
      <c r="J99" s="19">
        <f t="shared" si="89"/>
        <v>0</v>
      </c>
      <c r="K99" s="2"/>
      <c r="L99" s="2">
        <f t="shared" si="90"/>
        <v>-1955.77</v>
      </c>
      <c r="M99" s="2"/>
      <c r="N99" s="19">
        <f t="shared" si="91"/>
        <v>-0.45046595081144081</v>
      </c>
      <c r="O99" s="10"/>
      <c r="P99" s="2">
        <f>--177654.33</f>
        <v>177654.33</v>
      </c>
      <c r="Q99" s="2"/>
      <c r="R99" s="19">
        <f t="shared" si="92"/>
        <v>0</v>
      </c>
      <c r="S99" s="2"/>
      <c r="T99" s="2">
        <f>--201779.02</f>
        <v>201779.02</v>
      </c>
      <c r="U99" s="2"/>
      <c r="V99" s="19">
        <f t="shared" si="93"/>
        <v>0</v>
      </c>
      <c r="W99" s="2"/>
      <c r="X99" s="2">
        <f t="shared" si="94"/>
        <v>-24124.690000000002</v>
      </c>
      <c r="Y99" s="2"/>
      <c r="Z99" s="19">
        <f t="shared" si="95"/>
        <v>-0.11955995226857581</v>
      </c>
    </row>
    <row r="100" spans="1:26" s="23" customFormat="1" hidden="1" outlineLevel="1" x14ac:dyDescent="0.25">
      <c r="A100" s="44"/>
      <c r="B100" s="10" t="str">
        <f>CONCATENATE("          ", "9151", " - ", "MISC. INCOME")</f>
        <v xml:space="preserve">          9151 - MISC. INCOME</v>
      </c>
      <c r="C100" s="10"/>
      <c r="D100" s="2">
        <f t="shared" ref="D100:D101" si="96">0</f>
        <v>0</v>
      </c>
      <c r="E100" s="2"/>
      <c r="F100" s="19">
        <f t="shared" si="88"/>
        <v>0</v>
      </c>
      <c r="G100" s="2"/>
      <c r="H100" s="2">
        <f>--13315.04</f>
        <v>13315.04</v>
      </c>
      <c r="I100" s="2"/>
      <c r="J100" s="19">
        <f t="shared" si="89"/>
        <v>0</v>
      </c>
      <c r="K100" s="2"/>
      <c r="L100" s="2">
        <f t="shared" si="90"/>
        <v>-13315.04</v>
      </c>
      <c r="M100" s="2"/>
      <c r="N100" s="19">
        <f t="shared" si="91"/>
        <v>-1</v>
      </c>
      <c r="O100" s="10"/>
      <c r="P100" s="2">
        <f t="shared" ref="P100:P101" si="97">0</f>
        <v>0</v>
      </c>
      <c r="Q100" s="2"/>
      <c r="R100" s="19">
        <f t="shared" si="92"/>
        <v>0</v>
      </c>
      <c r="S100" s="2"/>
      <c r="T100" s="2">
        <f>--6648.4</f>
        <v>6648.4</v>
      </c>
      <c r="U100" s="2"/>
      <c r="V100" s="19">
        <f t="shared" si="93"/>
        <v>0</v>
      </c>
      <c r="W100" s="2"/>
      <c r="X100" s="2">
        <f t="shared" si="94"/>
        <v>-6648.4</v>
      </c>
      <c r="Y100" s="2"/>
      <c r="Z100" s="19">
        <f t="shared" si="95"/>
        <v>-1</v>
      </c>
    </row>
    <row r="101" spans="1:26" s="23" customFormat="1" hidden="1" outlineLevel="1" x14ac:dyDescent="0.25">
      <c r="A101" s="44"/>
      <c r="B101" s="10" t="str">
        <f>CONCATENATE("          ", "9153", " - ", "MISC. INCOME")</f>
        <v xml:space="preserve">          9153 - MISC. INCOME</v>
      </c>
      <c r="C101" s="10"/>
      <c r="D101" s="2">
        <f t="shared" si="96"/>
        <v>0</v>
      </c>
      <c r="E101" s="2"/>
      <c r="F101" s="19">
        <f t="shared" si="88"/>
        <v>0</v>
      </c>
      <c r="G101" s="2"/>
      <c r="H101" s="2">
        <f>0</f>
        <v>0</v>
      </c>
      <c r="I101" s="2"/>
      <c r="J101" s="19">
        <f t="shared" si="89"/>
        <v>0</v>
      </c>
      <c r="K101" s="2"/>
      <c r="L101" s="2">
        <f t="shared" si="90"/>
        <v>0</v>
      </c>
      <c r="M101" s="2"/>
      <c r="N101" s="19">
        <f t="shared" si="91"/>
        <v>0</v>
      </c>
      <c r="O101" s="10"/>
      <c r="P101" s="2">
        <f t="shared" si="97"/>
        <v>0</v>
      </c>
      <c r="Q101" s="2"/>
      <c r="R101" s="19">
        <f t="shared" si="92"/>
        <v>0</v>
      </c>
      <c r="S101" s="2"/>
      <c r="T101" s="2">
        <f>--450</f>
        <v>450</v>
      </c>
      <c r="U101" s="2"/>
      <c r="V101" s="19">
        <f t="shared" si="93"/>
        <v>0</v>
      </c>
      <c r="W101" s="2"/>
      <c r="X101" s="2">
        <f t="shared" si="94"/>
        <v>-450</v>
      </c>
      <c r="Y101" s="2"/>
      <c r="Z101" s="19">
        <f t="shared" si="95"/>
        <v>-1</v>
      </c>
    </row>
    <row r="102" spans="1:26" x14ac:dyDescent="0.25">
      <c r="A102" s="9"/>
      <c r="B102" s="11"/>
      <c r="C102" s="11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1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4" customFormat="1" x14ac:dyDescent="0.25">
      <c r="A103" s="11"/>
      <c r="B103" s="29" t="s">
        <v>276</v>
      </c>
      <c r="C103" s="29"/>
      <c r="D103" s="22">
        <f>+D16-D18+D98</f>
        <v>-93484.13</v>
      </c>
      <c r="E103" s="14"/>
      <c r="F103" s="20">
        <f>IF(D$12=0,0,D103/D$12)</f>
        <v>0</v>
      </c>
      <c r="G103" s="14"/>
      <c r="H103" s="22">
        <f>+H16-H18+H98</f>
        <v>-54888.860000000015</v>
      </c>
      <c r="I103" s="14"/>
      <c r="J103" s="20">
        <f>IF(H$12=0,0,H103/H$12)</f>
        <v>0</v>
      </c>
      <c r="K103" s="15"/>
      <c r="L103" s="22">
        <f>+D103-H103</f>
        <v>-38595.26999999999</v>
      </c>
      <c r="M103" s="15"/>
      <c r="N103" s="20">
        <f>IF(H103=0,0,L103/H103)</f>
        <v>0.70315306238825104</v>
      </c>
      <c r="O103" s="28"/>
      <c r="P103" s="22">
        <f>+P16-P18+P98</f>
        <v>-917761.59000000043</v>
      </c>
      <c r="Q103" s="14"/>
      <c r="R103" s="20">
        <f>IF(P$12=0,0,P103/P$12)</f>
        <v>0</v>
      </c>
      <c r="S103" s="14"/>
      <c r="T103" s="22">
        <f>+T16-T18+T98</f>
        <v>-887759.39999999991</v>
      </c>
      <c r="U103" s="14"/>
      <c r="V103" s="20">
        <f>IF(T$12=0,0,T103/T$12)</f>
        <v>0</v>
      </c>
      <c r="W103" s="15"/>
      <c r="X103" s="22">
        <f>+P103-T103</f>
        <v>-30002.190000000526</v>
      </c>
      <c r="Y103" s="15"/>
      <c r="Z103" s="20">
        <f>IF(T103=0,0,X103/T103)</f>
        <v>3.3795406728445263E-2</v>
      </c>
    </row>
    <row r="104" spans="1:26" x14ac:dyDescent="0.25">
      <c r="A104" s="9"/>
      <c r="B104" s="11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4" customFormat="1" x14ac:dyDescent="0.25">
      <c r="A105" s="51"/>
      <c r="B105" s="11" t="s">
        <v>127</v>
      </c>
      <c r="C105" s="11"/>
      <c r="D105" s="4"/>
      <c r="E105" s="4"/>
      <c r="F105" s="13">
        <f>IF(D$12=0,0,D105/D$12)</f>
        <v>0</v>
      </c>
      <c r="G105" s="4"/>
      <c r="H105" s="4"/>
      <c r="I105" s="4"/>
      <c r="J105" s="13">
        <f>IF(H$12=0,0,H105/H$12)</f>
        <v>0</v>
      </c>
      <c r="K105" s="4"/>
      <c r="L105" s="4">
        <f>+D105-H105</f>
        <v>0</v>
      </c>
      <c r="M105" s="4"/>
      <c r="N105" s="13">
        <f>IF(H105=0,0,L105/H105)</f>
        <v>0</v>
      </c>
      <c r="O105" s="11"/>
      <c r="P105" s="4"/>
      <c r="Q105" s="4"/>
      <c r="R105" s="13">
        <f>IF(P$12=0,0,P105/P$12)</f>
        <v>0</v>
      </c>
      <c r="S105" s="4"/>
      <c r="T105" s="4"/>
      <c r="U105" s="4"/>
      <c r="V105" s="13">
        <f>IF(T$12=0,0,T105/T$12)</f>
        <v>0</v>
      </c>
      <c r="W105" s="4"/>
      <c r="X105" s="4">
        <f>+P105-T105</f>
        <v>0</v>
      </c>
      <c r="Y105" s="4"/>
      <c r="Z105" s="13">
        <f>IF(T105=0,0,X105/T105)</f>
        <v>0</v>
      </c>
    </row>
    <row r="106" spans="1:26" x14ac:dyDescent="0.25">
      <c r="A106" s="9"/>
      <c r="B106" s="11"/>
      <c r="C106" s="11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1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4" customFormat="1" ht="15.75" thickBot="1" x14ac:dyDescent="0.3">
      <c r="A107" s="11"/>
      <c r="B107" s="29" t="s">
        <v>125</v>
      </c>
      <c r="C107" s="29"/>
      <c r="D107" s="30">
        <f>+D103-D105</f>
        <v>-93484.13</v>
      </c>
      <c r="E107" s="14"/>
      <c r="F107" s="36">
        <f>IF(D$12=0,0,D107/D$12)</f>
        <v>0</v>
      </c>
      <c r="G107" s="14"/>
      <c r="H107" s="30">
        <f>+H103-H105</f>
        <v>-54888.860000000015</v>
      </c>
      <c r="I107" s="14"/>
      <c r="J107" s="36">
        <f>IF(H$12=0,0,H107/H$12)</f>
        <v>0</v>
      </c>
      <c r="K107" s="15"/>
      <c r="L107" s="30">
        <f>D107-H107</f>
        <v>-38595.26999999999</v>
      </c>
      <c r="M107" s="15"/>
      <c r="N107" s="36">
        <f>IF(H107=0,0,L107/H107)</f>
        <v>0.70315306238825104</v>
      </c>
      <c r="O107" s="28"/>
      <c r="P107" s="30">
        <f>+P103-P105</f>
        <v>-917761.59000000043</v>
      </c>
      <c r="Q107" s="14"/>
      <c r="R107" s="36">
        <f>IF(P$12=0,0,P107/P$12)</f>
        <v>0</v>
      </c>
      <c r="S107" s="14"/>
      <c r="T107" s="30">
        <f>+T103-T105</f>
        <v>-887759.39999999991</v>
      </c>
      <c r="U107" s="14"/>
      <c r="V107" s="36">
        <f>IF(T$12=0,0,T107/T$12)</f>
        <v>0</v>
      </c>
      <c r="W107" s="15"/>
      <c r="X107" s="30">
        <f>P107-T107</f>
        <v>-30002.190000000526</v>
      </c>
      <c r="Y107" s="15"/>
      <c r="Z107" s="36">
        <f>IF(T107=0,0,X107/T107)</f>
        <v>3.3795406728445263E-2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4" customFormat="1" ht="15.75" thickBot="1" x14ac:dyDescent="0.3">
      <c r="A110" s="11"/>
      <c r="B110" s="29" t="s">
        <v>293</v>
      </c>
      <c r="C110" s="29"/>
      <c r="D110" s="35">
        <f>SUM(D107:D109)</f>
        <v>-93484.13</v>
      </c>
      <c r="E110" s="14"/>
      <c r="F110" s="34">
        <f>IF(D$12=0,0,D110/D$12)</f>
        <v>0</v>
      </c>
      <c r="G110" s="14"/>
      <c r="H110" s="35">
        <f>SUM(H107:H109)</f>
        <v>-54888.860000000015</v>
      </c>
      <c r="I110" s="14"/>
      <c r="J110" s="34">
        <f>IF(H$12=0,0,H110/H$12)</f>
        <v>0</v>
      </c>
      <c r="K110" s="15"/>
      <c r="L110" s="35">
        <f>+D110-H110</f>
        <v>-38595.26999999999</v>
      </c>
      <c r="M110" s="15"/>
      <c r="N110" s="34">
        <f>IF(H110=0,0,L110/H110)</f>
        <v>0.70315306238825104</v>
      </c>
      <c r="O110" s="28"/>
      <c r="P110" s="35">
        <f>SUM(P107:P109)</f>
        <v>-917761.59000000043</v>
      </c>
      <c r="Q110" s="14"/>
      <c r="R110" s="34">
        <f>IF(P$12=0,0,P110/P$12)</f>
        <v>0</v>
      </c>
      <c r="S110" s="14"/>
      <c r="T110" s="35">
        <f>SUM(T107:T109)</f>
        <v>-887759.39999999991</v>
      </c>
      <c r="U110" s="14"/>
      <c r="V110" s="34">
        <f>IF(T$12=0,0,T110/T$12)</f>
        <v>0</v>
      </c>
      <c r="W110" s="15"/>
      <c r="X110" s="35">
        <f>+P110-T110</f>
        <v>-30002.190000000526</v>
      </c>
      <c r="Y110" s="15"/>
      <c r="Z110" s="34">
        <f>IF(T110=0,0,X110/T110)</f>
        <v>3.3795406728445263E-2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4">
        <v>44295.963243634258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8" t="s">
        <v>56</v>
      </c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62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0"/>
  <sheetViews>
    <sheetView zoomScale="80" workbookViewId="0">
      <pane xSplit="3" ySplit="10" topLeftCell="D55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","306", " - ", "Warehouse")</f>
        <v>Department 306 - Warehouse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0</v>
      </c>
      <c r="E18" s="21"/>
      <c r="F18" s="31">
        <f t="shared" ref="F18:F28" si="0">IF(D$12=0,0,D18/D$12)</f>
        <v>0</v>
      </c>
      <c r="G18" s="21"/>
      <c r="H18" s="21">
        <f>SUM(OSRRefH22x_0)</f>
        <v>46126.94999999999</v>
      </c>
      <c r="I18" s="21"/>
      <c r="J18" s="31">
        <f t="shared" ref="J18:J28" si="1">IF(H$12=0,0,H18/H$12)</f>
        <v>0</v>
      </c>
      <c r="K18" s="4"/>
      <c r="L18" s="21">
        <f t="shared" ref="L18:L28" si="2">+D18-H18</f>
        <v>-46126.94999999999</v>
      </c>
      <c r="M18" s="4"/>
      <c r="N18" s="31">
        <f t="shared" ref="N18:N28" si="3">IF(H18=0,0,L18/H18)</f>
        <v>-1</v>
      </c>
      <c r="O18" s="11"/>
      <c r="P18" s="21">
        <f>SUM(OSRRefP22x_0)</f>
        <v>0.37000000000004318</v>
      </c>
      <c r="Q18" s="21"/>
      <c r="R18" s="31">
        <f t="shared" ref="R18:R28" si="4">IF(P$12=0,0,P18/P$12)</f>
        <v>0</v>
      </c>
      <c r="S18" s="21"/>
      <c r="T18" s="21">
        <f>SUM(OSRRefT22x_0)</f>
        <v>423383.16000000003</v>
      </c>
      <c r="U18" s="21"/>
      <c r="V18" s="31">
        <f t="shared" ref="V18:V28" si="5">IF(T$12=0,0,T18/T$12)</f>
        <v>0</v>
      </c>
      <c r="W18" s="4"/>
      <c r="X18" s="21">
        <f t="shared" ref="X18:X28" si="6">+P18-T18</f>
        <v>-423382.79000000004</v>
      </c>
      <c r="Y18" s="4"/>
      <c r="Z18" s="31">
        <f t="shared" ref="Z18:Z28" si="7">IF(T18=0,0,X18/T18)</f>
        <v>-0.99999912608711217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6031.2299999999987</v>
      </c>
      <c r="I19" s="1"/>
      <c r="J19" s="5">
        <f t="shared" si="1"/>
        <v>0</v>
      </c>
      <c r="K19" s="1"/>
      <c r="L19" s="1">
        <f t="shared" si="2"/>
        <v>-6031.2299999999987</v>
      </c>
      <c r="M19" s="1"/>
      <c r="N19" s="5">
        <f t="shared" si="3"/>
        <v>-1</v>
      </c>
      <c r="O19" s="12"/>
      <c r="P19" s="1">
        <f>SUM(OSRRefP22_0x_0)</f>
        <v>0.1400000000000432</v>
      </c>
      <c r="Q19" s="1"/>
      <c r="R19" s="5">
        <f t="shared" si="4"/>
        <v>0</v>
      </c>
      <c r="S19" s="1"/>
      <c r="T19" s="1">
        <f>SUM(OSRRefT22_0x_0)</f>
        <v>55620.28</v>
      </c>
      <c r="U19" s="1"/>
      <c r="V19" s="5">
        <f t="shared" si="5"/>
        <v>0</v>
      </c>
      <c r="W19" s="1"/>
      <c r="X19" s="1">
        <f t="shared" si="6"/>
        <v>-55620.14</v>
      </c>
      <c r="Y19" s="1"/>
      <c r="Z19" s="5">
        <f t="shared" si="7"/>
        <v>-0.99999748293248436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/>
      <c r="E20" s="2"/>
      <c r="F20" s="7">
        <f t="shared" si="0"/>
        <v>0</v>
      </c>
      <c r="G20" s="2"/>
      <c r="H20" s="6">
        <v>1494.88</v>
      </c>
      <c r="I20" s="2"/>
      <c r="J20" s="7">
        <f t="shared" si="1"/>
        <v>0</v>
      </c>
      <c r="K20" s="2"/>
      <c r="L20" s="6">
        <f t="shared" si="2"/>
        <v>-1494.88</v>
      </c>
      <c r="M20" s="2"/>
      <c r="N20" s="7">
        <f t="shared" si="3"/>
        <v>-1</v>
      </c>
      <c r="O20" s="10"/>
      <c r="P20" s="6">
        <v>402.04</v>
      </c>
      <c r="Q20" s="2"/>
      <c r="R20" s="7">
        <f t="shared" si="4"/>
        <v>0</v>
      </c>
      <c r="S20" s="2"/>
      <c r="T20" s="6">
        <v>13329.1</v>
      </c>
      <c r="U20" s="2"/>
      <c r="V20" s="7">
        <f t="shared" si="5"/>
        <v>0</v>
      </c>
      <c r="W20" s="2"/>
      <c r="X20" s="6">
        <f t="shared" si="6"/>
        <v>-12927.06</v>
      </c>
      <c r="Y20" s="2"/>
      <c r="Z20" s="7">
        <f t="shared" si="7"/>
        <v>-0.96983742338192369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/>
      <c r="E21" s="2"/>
      <c r="F21" s="7">
        <f t="shared" si="0"/>
        <v>0</v>
      </c>
      <c r="G21" s="2"/>
      <c r="H21" s="6">
        <v>785.15</v>
      </c>
      <c r="I21" s="2"/>
      <c r="J21" s="7">
        <f t="shared" si="1"/>
        <v>0</v>
      </c>
      <c r="K21" s="2"/>
      <c r="L21" s="6">
        <f t="shared" si="2"/>
        <v>-785.15</v>
      </c>
      <c r="M21" s="2"/>
      <c r="N21" s="7">
        <f t="shared" si="3"/>
        <v>-1</v>
      </c>
      <c r="O21" s="10"/>
      <c r="P21" s="6"/>
      <c r="Q21" s="2"/>
      <c r="R21" s="7">
        <f t="shared" si="4"/>
        <v>0</v>
      </c>
      <c r="S21" s="2"/>
      <c r="T21" s="6">
        <v>6296.7</v>
      </c>
      <c r="U21" s="2"/>
      <c r="V21" s="7">
        <f t="shared" si="5"/>
        <v>0</v>
      </c>
      <c r="W21" s="2"/>
      <c r="X21" s="6">
        <f t="shared" si="6"/>
        <v>-6296.7</v>
      </c>
      <c r="Y21" s="2"/>
      <c r="Z21" s="7">
        <f t="shared" si="7"/>
        <v>-1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/>
      <c r="E22" s="2"/>
      <c r="F22" s="7">
        <f t="shared" si="0"/>
        <v>0</v>
      </c>
      <c r="G22" s="2"/>
      <c r="H22" s="6">
        <v>2064.35</v>
      </c>
      <c r="I22" s="2"/>
      <c r="J22" s="7">
        <f t="shared" si="1"/>
        <v>0</v>
      </c>
      <c r="K22" s="2"/>
      <c r="L22" s="6">
        <f t="shared" si="2"/>
        <v>-2064.35</v>
      </c>
      <c r="M22" s="2"/>
      <c r="N22" s="7">
        <f t="shared" si="3"/>
        <v>-1</v>
      </c>
      <c r="O22" s="10"/>
      <c r="P22" s="6">
        <v>0</v>
      </c>
      <c r="Q22" s="2"/>
      <c r="R22" s="7">
        <f t="shared" si="4"/>
        <v>0</v>
      </c>
      <c r="S22" s="2"/>
      <c r="T22" s="6">
        <v>17888.669999999998</v>
      </c>
      <c r="U22" s="2"/>
      <c r="V22" s="7">
        <f t="shared" si="5"/>
        <v>0</v>
      </c>
      <c r="W22" s="2"/>
      <c r="X22" s="6">
        <f t="shared" si="6"/>
        <v>-17888.669999999998</v>
      </c>
      <c r="Y22" s="2"/>
      <c r="Z22" s="7">
        <f t="shared" si="7"/>
        <v>-1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/>
      <c r="E23" s="2"/>
      <c r="F23" s="7">
        <f t="shared" si="0"/>
        <v>0</v>
      </c>
      <c r="G23" s="2"/>
      <c r="H23" s="6">
        <v>107.44</v>
      </c>
      <c r="I23" s="2"/>
      <c r="J23" s="7">
        <f t="shared" si="1"/>
        <v>0</v>
      </c>
      <c r="K23" s="2"/>
      <c r="L23" s="6">
        <f t="shared" si="2"/>
        <v>-107.44</v>
      </c>
      <c r="M23" s="2"/>
      <c r="N23" s="7">
        <f t="shared" si="3"/>
        <v>-1</v>
      </c>
      <c r="O23" s="10"/>
      <c r="P23" s="6"/>
      <c r="Q23" s="2"/>
      <c r="R23" s="7">
        <f t="shared" si="4"/>
        <v>0</v>
      </c>
      <c r="S23" s="2"/>
      <c r="T23" s="6">
        <v>955.15</v>
      </c>
      <c r="U23" s="2"/>
      <c r="V23" s="7">
        <f t="shared" si="5"/>
        <v>0</v>
      </c>
      <c r="W23" s="2"/>
      <c r="X23" s="6">
        <f t="shared" si="6"/>
        <v>-955.15</v>
      </c>
      <c r="Y23" s="2"/>
      <c r="Z23" s="7">
        <f t="shared" si="7"/>
        <v>-1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/>
      <c r="E24" s="2"/>
      <c r="F24" s="7">
        <f t="shared" si="0"/>
        <v>0</v>
      </c>
      <c r="G24" s="2"/>
      <c r="H24" s="6">
        <v>656.7</v>
      </c>
      <c r="I24" s="2"/>
      <c r="J24" s="7">
        <f t="shared" si="1"/>
        <v>0</v>
      </c>
      <c r="K24" s="2"/>
      <c r="L24" s="6">
        <f t="shared" si="2"/>
        <v>-656.7</v>
      </c>
      <c r="M24" s="2"/>
      <c r="N24" s="7">
        <f t="shared" si="3"/>
        <v>-1</v>
      </c>
      <c r="O24" s="10"/>
      <c r="P24" s="6">
        <v>0</v>
      </c>
      <c r="Q24" s="2"/>
      <c r="R24" s="7">
        <f t="shared" si="4"/>
        <v>0</v>
      </c>
      <c r="S24" s="2"/>
      <c r="T24" s="6">
        <v>6878.77</v>
      </c>
      <c r="U24" s="2"/>
      <c r="V24" s="7">
        <f t="shared" si="5"/>
        <v>0</v>
      </c>
      <c r="W24" s="2"/>
      <c r="X24" s="6">
        <f t="shared" si="6"/>
        <v>-6878.77</v>
      </c>
      <c r="Y24" s="2"/>
      <c r="Z24" s="7">
        <f t="shared" si="7"/>
        <v>-1</v>
      </c>
    </row>
    <row r="25" spans="1:26" s="23" customFormat="1" hidden="1" outlineLevel="2" x14ac:dyDescent="0.25">
      <c r="A25" s="25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>
        <v>-401.9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-401.9</v>
      </c>
      <c r="Y25" s="2"/>
      <c r="Z25" s="7">
        <f t="shared" si="7"/>
        <v>0</v>
      </c>
    </row>
    <row r="26" spans="1:26" s="23" customFormat="1" hidden="1" outlineLevel="2" x14ac:dyDescent="0.25">
      <c r="A26" s="25"/>
      <c r="B26" s="10" t="str">
        <f>CONCATENATE("          ", "6118", " - ", "VACATION")</f>
        <v xml:space="preserve">          6118 - VACATION</v>
      </c>
      <c r="C26" s="10"/>
      <c r="D26" s="6"/>
      <c r="E26" s="2"/>
      <c r="F26" s="7">
        <f t="shared" si="0"/>
        <v>0</v>
      </c>
      <c r="G26" s="2"/>
      <c r="H26" s="6">
        <v>303.94</v>
      </c>
      <c r="I26" s="2"/>
      <c r="J26" s="7">
        <f t="shared" si="1"/>
        <v>0</v>
      </c>
      <c r="K26" s="2"/>
      <c r="L26" s="6">
        <f t="shared" si="2"/>
        <v>-303.94</v>
      </c>
      <c r="M26" s="2"/>
      <c r="N26" s="7">
        <f t="shared" si="3"/>
        <v>-1</v>
      </c>
      <c r="O26" s="10"/>
      <c r="P26" s="6"/>
      <c r="Q26" s="2"/>
      <c r="R26" s="7">
        <f t="shared" si="4"/>
        <v>0</v>
      </c>
      <c r="S26" s="2"/>
      <c r="T26" s="6">
        <v>2986.33</v>
      </c>
      <c r="U26" s="2"/>
      <c r="V26" s="7">
        <f t="shared" si="5"/>
        <v>0</v>
      </c>
      <c r="W26" s="2"/>
      <c r="X26" s="6">
        <f t="shared" si="6"/>
        <v>-2986.33</v>
      </c>
      <c r="Y26" s="2"/>
      <c r="Z26" s="7">
        <f t="shared" si="7"/>
        <v>-1</v>
      </c>
    </row>
    <row r="27" spans="1:26" s="23" customFormat="1" hidden="1" outlineLevel="2" x14ac:dyDescent="0.25">
      <c r="A27" s="25"/>
      <c r="B27" s="10" t="str">
        <f>CONCATENATE("          ", "6119", " - ", "SICK LEAVE")</f>
        <v xml:space="preserve">          6119 - SICK LEAVE</v>
      </c>
      <c r="C27" s="10"/>
      <c r="D27" s="6"/>
      <c r="E27" s="2"/>
      <c r="F27" s="7">
        <f t="shared" si="0"/>
        <v>0</v>
      </c>
      <c r="G27" s="2"/>
      <c r="H27" s="6">
        <v>389.2</v>
      </c>
      <c r="I27" s="2"/>
      <c r="J27" s="7">
        <f t="shared" si="1"/>
        <v>0</v>
      </c>
      <c r="K27" s="2"/>
      <c r="L27" s="6">
        <f t="shared" si="2"/>
        <v>-389.2</v>
      </c>
      <c r="M27" s="2"/>
      <c r="N27" s="7">
        <f t="shared" si="3"/>
        <v>-1</v>
      </c>
      <c r="O27" s="10"/>
      <c r="P27" s="6"/>
      <c r="Q27" s="2"/>
      <c r="R27" s="7">
        <f t="shared" si="4"/>
        <v>0</v>
      </c>
      <c r="S27" s="2"/>
      <c r="T27" s="6">
        <v>4480.09</v>
      </c>
      <c r="U27" s="2"/>
      <c r="V27" s="7">
        <f t="shared" si="5"/>
        <v>0</v>
      </c>
      <c r="W27" s="2"/>
      <c r="X27" s="6">
        <f t="shared" si="6"/>
        <v>-4480.09</v>
      </c>
      <c r="Y27" s="2"/>
      <c r="Z27" s="7">
        <f t="shared" si="7"/>
        <v>-1</v>
      </c>
    </row>
    <row r="28" spans="1:26" s="23" customFormat="1" hidden="1" outlineLevel="2" x14ac:dyDescent="0.25">
      <c r="A28" s="25"/>
      <c r="B28" s="10" t="str">
        <f>CONCATENATE("          ", "6156", " - ", "EMPLOYEE MEALS")</f>
        <v xml:space="preserve">          6156 - EMPLOYEE MEALS</v>
      </c>
      <c r="C28" s="10"/>
      <c r="D28" s="6"/>
      <c r="E28" s="2"/>
      <c r="F28" s="7">
        <f t="shared" si="0"/>
        <v>0</v>
      </c>
      <c r="G28" s="2"/>
      <c r="H28" s="6">
        <v>229.57</v>
      </c>
      <c r="I28" s="2"/>
      <c r="J28" s="7">
        <f t="shared" si="1"/>
        <v>0</v>
      </c>
      <c r="K28" s="2"/>
      <c r="L28" s="6">
        <f t="shared" si="2"/>
        <v>-229.57</v>
      </c>
      <c r="M28" s="2"/>
      <c r="N28" s="7">
        <f t="shared" si="3"/>
        <v>-1</v>
      </c>
      <c r="O28" s="10"/>
      <c r="P28" s="6"/>
      <c r="Q28" s="2"/>
      <c r="R28" s="7">
        <f t="shared" si="4"/>
        <v>0</v>
      </c>
      <c r="S28" s="2"/>
      <c r="T28" s="6">
        <v>2805.47</v>
      </c>
      <c r="U28" s="2"/>
      <c r="V28" s="7">
        <f t="shared" si="5"/>
        <v>0</v>
      </c>
      <c r="W28" s="2"/>
      <c r="X28" s="6">
        <f t="shared" si="6"/>
        <v>-2805.47</v>
      </c>
      <c r="Y28" s="2"/>
      <c r="Z28" s="7">
        <f t="shared" si="7"/>
        <v>-1</v>
      </c>
    </row>
    <row r="29" spans="1:26" s="26" customFormat="1" outlineLevel="1" collapsed="1" x14ac:dyDescent="0.25">
      <c r="A29" s="27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38404.979999999996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-38404.979999999996</v>
      </c>
      <c r="M29" s="1"/>
      <c r="N29" s="5">
        <f t="shared" ref="N29:N35" si="11">IF(H29=0,0,L29/H29)</f>
        <v>-1</v>
      </c>
      <c r="O29" s="12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357705.22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-357704.99</v>
      </c>
      <c r="Y29" s="1"/>
      <c r="Z29" s="5">
        <f t="shared" ref="Z29:Z35" si="15">IF(T29=0,0,X29/T29)</f>
        <v>-0.99999935701245857</v>
      </c>
    </row>
    <row r="30" spans="1:26" s="23" customFormat="1" hidden="1" outlineLevel="2" x14ac:dyDescent="0.25">
      <c r="A30" s="25"/>
      <c r="B30" s="10" t="str">
        <f>CONCATENATE("          ", "6002", " - ", "STAFF SALARIES")</f>
        <v xml:space="preserve">          6002 - STAFF SALARIES</v>
      </c>
      <c r="C30" s="10"/>
      <c r="D30" s="6"/>
      <c r="E30" s="2"/>
      <c r="F30" s="7">
        <f t="shared" si="8"/>
        <v>0</v>
      </c>
      <c r="G30" s="2"/>
      <c r="H30" s="6">
        <v>13633.86</v>
      </c>
      <c r="I30" s="2"/>
      <c r="J30" s="7">
        <f t="shared" si="9"/>
        <v>0</v>
      </c>
      <c r="K30" s="2"/>
      <c r="L30" s="6">
        <f t="shared" si="10"/>
        <v>-13633.86</v>
      </c>
      <c r="M30" s="2"/>
      <c r="N30" s="7">
        <f t="shared" si="11"/>
        <v>-1</v>
      </c>
      <c r="O30" s="10"/>
      <c r="P30" s="6"/>
      <c r="Q30" s="2"/>
      <c r="R30" s="7">
        <f t="shared" si="12"/>
        <v>0</v>
      </c>
      <c r="S30" s="2"/>
      <c r="T30" s="6">
        <v>82462.100000000006</v>
      </c>
      <c r="U30" s="2"/>
      <c r="V30" s="7">
        <f t="shared" si="13"/>
        <v>0</v>
      </c>
      <c r="W30" s="2"/>
      <c r="X30" s="6">
        <f t="shared" si="14"/>
        <v>-82462.100000000006</v>
      </c>
      <c r="Y30" s="2"/>
      <c r="Z30" s="7">
        <f t="shared" si="15"/>
        <v>-1</v>
      </c>
    </row>
    <row r="31" spans="1:26" s="23" customFormat="1" hidden="1" outlineLevel="2" x14ac:dyDescent="0.25">
      <c r="A31" s="25"/>
      <c r="B31" s="10" t="str">
        <f>CONCATENATE("          ", "6004", " - ", "STAFF HOURLY")</f>
        <v xml:space="preserve">          6004 - STAFF HOURLY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0.23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0.23</v>
      </c>
      <c r="Y31" s="2"/>
      <c r="Z31" s="7">
        <f t="shared" si="15"/>
        <v>0</v>
      </c>
    </row>
    <row r="32" spans="1:26" s="23" customFormat="1" hidden="1" outlineLevel="2" x14ac:dyDescent="0.25">
      <c r="A32" s="25"/>
      <c r="B32" s="10" t="str">
        <f>CONCATENATE("          ", "6005", " - ", "TEMPORARY WAGES-HOURLY")</f>
        <v xml:space="preserve">          6005 - TEMPORARY WAGES-HOURLY</v>
      </c>
      <c r="C32" s="10"/>
      <c r="D32" s="6"/>
      <c r="E32" s="2"/>
      <c r="F32" s="7">
        <f t="shared" si="8"/>
        <v>0</v>
      </c>
      <c r="G32" s="2"/>
      <c r="H32" s="6">
        <v>1448.75</v>
      </c>
      <c r="I32" s="2"/>
      <c r="J32" s="7">
        <f t="shared" si="9"/>
        <v>0</v>
      </c>
      <c r="K32" s="2"/>
      <c r="L32" s="6">
        <f t="shared" si="10"/>
        <v>-1448.75</v>
      </c>
      <c r="M32" s="2"/>
      <c r="N32" s="7">
        <f t="shared" si="11"/>
        <v>-1</v>
      </c>
      <c r="O32" s="10"/>
      <c r="P32" s="6">
        <v>0</v>
      </c>
      <c r="Q32" s="2"/>
      <c r="R32" s="7">
        <f t="shared" si="12"/>
        <v>0</v>
      </c>
      <c r="S32" s="2"/>
      <c r="T32" s="6">
        <v>17822.89</v>
      </c>
      <c r="U32" s="2"/>
      <c r="V32" s="7">
        <f t="shared" si="13"/>
        <v>0</v>
      </c>
      <c r="W32" s="2"/>
      <c r="X32" s="6">
        <f t="shared" si="14"/>
        <v>-17822.89</v>
      </c>
      <c r="Y32" s="2"/>
      <c r="Z32" s="7">
        <f t="shared" si="15"/>
        <v>-1</v>
      </c>
    </row>
    <row r="33" spans="1:26" s="23" customFormat="1" hidden="1" outlineLevel="2" x14ac:dyDescent="0.25">
      <c r="A33" s="25"/>
      <c r="B33" s="10" t="str">
        <f>CONCATENATE("          ", "6006", " - ", "TEMPORARY PART TIME")</f>
        <v xml:space="preserve">          6006 - TEMPORARY PART TIME</v>
      </c>
      <c r="C33" s="10"/>
      <c r="D33" s="6"/>
      <c r="E33" s="2"/>
      <c r="F33" s="7">
        <f t="shared" si="8"/>
        <v>0</v>
      </c>
      <c r="G33" s="2"/>
      <c r="H33" s="6">
        <v>944.75</v>
      </c>
      <c r="I33" s="2"/>
      <c r="J33" s="7">
        <f t="shared" si="9"/>
        <v>0</v>
      </c>
      <c r="K33" s="2"/>
      <c r="L33" s="6">
        <f t="shared" si="10"/>
        <v>-944.75</v>
      </c>
      <c r="M33" s="2"/>
      <c r="N33" s="7">
        <f t="shared" si="11"/>
        <v>-1</v>
      </c>
      <c r="O33" s="10"/>
      <c r="P33" s="6"/>
      <c r="Q33" s="2"/>
      <c r="R33" s="7">
        <f t="shared" si="12"/>
        <v>0</v>
      </c>
      <c r="S33" s="2"/>
      <c r="T33" s="6">
        <v>11789.97</v>
      </c>
      <c r="U33" s="2"/>
      <c r="V33" s="7">
        <f t="shared" si="13"/>
        <v>0</v>
      </c>
      <c r="W33" s="2"/>
      <c r="X33" s="6">
        <f t="shared" si="14"/>
        <v>-11789.97</v>
      </c>
      <c r="Y33" s="2"/>
      <c r="Z33" s="7">
        <f t="shared" si="15"/>
        <v>-1</v>
      </c>
    </row>
    <row r="34" spans="1:26" s="23" customFormat="1" hidden="1" outlineLevel="2" x14ac:dyDescent="0.25">
      <c r="A34" s="25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8"/>
        <v>0</v>
      </c>
      <c r="G34" s="2"/>
      <c r="H34" s="6">
        <v>20641.28</v>
      </c>
      <c r="I34" s="2"/>
      <c r="J34" s="7">
        <f t="shared" si="9"/>
        <v>0</v>
      </c>
      <c r="K34" s="2"/>
      <c r="L34" s="6">
        <f t="shared" si="10"/>
        <v>-20641.28</v>
      </c>
      <c r="M34" s="2"/>
      <c r="N34" s="7">
        <f t="shared" si="11"/>
        <v>-1</v>
      </c>
      <c r="O34" s="10"/>
      <c r="P34" s="6"/>
      <c r="Q34" s="2"/>
      <c r="R34" s="7">
        <f t="shared" si="12"/>
        <v>0</v>
      </c>
      <c r="S34" s="2"/>
      <c r="T34" s="6">
        <v>232769.08</v>
      </c>
      <c r="U34" s="2"/>
      <c r="V34" s="7">
        <f t="shared" si="13"/>
        <v>0</v>
      </c>
      <c r="W34" s="2"/>
      <c r="X34" s="6">
        <f t="shared" si="14"/>
        <v>-232769.08</v>
      </c>
      <c r="Y34" s="2"/>
      <c r="Z34" s="7">
        <f t="shared" si="15"/>
        <v>-1</v>
      </c>
    </row>
    <row r="35" spans="1:26" s="23" customFormat="1" hidden="1" outlineLevel="2" x14ac:dyDescent="0.25">
      <c r="A35" s="25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8"/>
        <v>0</v>
      </c>
      <c r="G35" s="2"/>
      <c r="H35" s="6">
        <v>1736.34</v>
      </c>
      <c r="I35" s="2"/>
      <c r="J35" s="7">
        <f t="shared" si="9"/>
        <v>0</v>
      </c>
      <c r="K35" s="2"/>
      <c r="L35" s="6">
        <f t="shared" si="10"/>
        <v>-1736.34</v>
      </c>
      <c r="M35" s="2"/>
      <c r="N35" s="7">
        <f t="shared" si="11"/>
        <v>-1</v>
      </c>
      <c r="O35" s="10"/>
      <c r="P35" s="6"/>
      <c r="Q35" s="2"/>
      <c r="R35" s="7">
        <f t="shared" si="12"/>
        <v>0</v>
      </c>
      <c r="S35" s="2"/>
      <c r="T35" s="6">
        <v>12861.18</v>
      </c>
      <c r="U35" s="2"/>
      <c r="V35" s="7">
        <f t="shared" si="13"/>
        <v>0</v>
      </c>
      <c r="W35" s="2"/>
      <c r="X35" s="6">
        <f t="shared" si="14"/>
        <v>-12861.18</v>
      </c>
      <c r="Y35" s="2"/>
      <c r="Z35" s="7">
        <f t="shared" si="15"/>
        <v>-1</v>
      </c>
    </row>
    <row r="36" spans="1:26" s="26" customFormat="1" outlineLevel="1" collapsed="1" x14ac:dyDescent="0.25">
      <c r="A36" s="27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6" si="16">IF(D$12=0,0,D36/D$12)</f>
        <v>0</v>
      </c>
      <c r="G36" s="1"/>
      <c r="H36" s="1">
        <f>SUM(OSRRefH22_2x_0)</f>
        <v>0</v>
      </c>
      <c r="I36" s="1"/>
      <c r="J36" s="5">
        <f t="shared" ref="J36:J46" si="17">IF(H$12=0,0,H36/H$12)</f>
        <v>0</v>
      </c>
      <c r="K36" s="1"/>
      <c r="L36" s="1">
        <f t="shared" ref="L36:L46" si="18">+D36-H36</f>
        <v>0</v>
      </c>
      <c r="M36" s="1"/>
      <c r="N36" s="5">
        <f t="shared" ref="N36:N46" si="19">IF(H36=0,0,L36/H36)</f>
        <v>0</v>
      </c>
      <c r="O36" s="12"/>
      <c r="P36" s="1">
        <f>SUM(OSRRefP22_2x_0)</f>
        <v>0</v>
      </c>
      <c r="Q36" s="1"/>
      <c r="R36" s="5">
        <f t="shared" ref="R36:R46" si="20">IF(P$12=0,0,P36/P$12)</f>
        <v>0</v>
      </c>
      <c r="S36" s="1"/>
      <c r="T36" s="1">
        <f>SUM(OSRRefT22_2x_0)</f>
        <v>360</v>
      </c>
      <c r="U36" s="1"/>
      <c r="V36" s="5">
        <f t="shared" ref="V36:V46" si="21">IF(T$12=0,0,T36/T$12)</f>
        <v>0</v>
      </c>
      <c r="W36" s="1"/>
      <c r="X36" s="1">
        <f t="shared" ref="X36:X46" si="22">+P36-T36</f>
        <v>-360</v>
      </c>
      <c r="Y36" s="1"/>
      <c r="Z36" s="5">
        <f t="shared" ref="Z36:Z46" si="23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360</v>
      </c>
      <c r="U37" s="2"/>
      <c r="V37" s="7">
        <f t="shared" si="21"/>
        <v>0</v>
      </c>
      <c r="W37" s="2"/>
      <c r="X37" s="6">
        <f t="shared" si="22"/>
        <v>-360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2" t="str">
        <f>CONCATENATE("     ","Equipment Rental                                  ")</f>
        <v xml:space="preserve">     Equipment Rental                                  </v>
      </c>
      <c r="C38" s="12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91.26</v>
      </c>
      <c r="I38" s="1"/>
      <c r="J38" s="5">
        <f t="shared" si="17"/>
        <v>0</v>
      </c>
      <c r="K38" s="1"/>
      <c r="L38" s="1">
        <f t="shared" si="18"/>
        <v>-91.26</v>
      </c>
      <c r="M38" s="1"/>
      <c r="N38" s="5">
        <f t="shared" si="19"/>
        <v>-1</v>
      </c>
      <c r="O38" s="12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884.2</v>
      </c>
      <c r="U38" s="1"/>
      <c r="V38" s="5">
        <f t="shared" si="21"/>
        <v>0</v>
      </c>
      <c r="W38" s="1"/>
      <c r="X38" s="1">
        <f t="shared" si="22"/>
        <v>-884.2</v>
      </c>
      <c r="Y38" s="1"/>
      <c r="Z38" s="5">
        <f t="shared" si="23"/>
        <v>-1</v>
      </c>
    </row>
    <row r="39" spans="1:26" s="23" customFormat="1" hidden="1" outlineLevel="2" x14ac:dyDescent="0.25">
      <c r="A39" s="25"/>
      <c r="B39" s="10" t="str">
        <f>CONCATENATE("          ", "6351", " - ", "EQUIPMENT RENTAL")</f>
        <v xml:space="preserve">          6351 - EQUIPMENT RENTAL</v>
      </c>
      <c r="C39" s="10"/>
      <c r="D39" s="6"/>
      <c r="E39" s="2"/>
      <c r="F39" s="7">
        <f t="shared" si="16"/>
        <v>0</v>
      </c>
      <c r="G39" s="2"/>
      <c r="H39" s="6">
        <v>91.26</v>
      </c>
      <c r="I39" s="2"/>
      <c r="J39" s="7">
        <f t="shared" si="17"/>
        <v>0</v>
      </c>
      <c r="K39" s="2"/>
      <c r="L39" s="6">
        <f t="shared" si="18"/>
        <v>-91.26</v>
      </c>
      <c r="M39" s="2"/>
      <c r="N39" s="7">
        <f t="shared" si="19"/>
        <v>-1</v>
      </c>
      <c r="O39" s="10"/>
      <c r="P39" s="6">
        <v>0</v>
      </c>
      <c r="Q39" s="2"/>
      <c r="R39" s="7">
        <f t="shared" si="20"/>
        <v>0</v>
      </c>
      <c r="S39" s="2"/>
      <c r="T39" s="6">
        <v>884.2</v>
      </c>
      <c r="U39" s="2"/>
      <c r="V39" s="7">
        <f t="shared" si="21"/>
        <v>0</v>
      </c>
      <c r="W39" s="2"/>
      <c r="X39" s="6">
        <f t="shared" si="22"/>
        <v>-884.2</v>
      </c>
      <c r="Y39" s="2"/>
      <c r="Z39" s="7">
        <f t="shared" si="23"/>
        <v>-1</v>
      </c>
    </row>
    <row r="40" spans="1:26" s="26" customFormat="1" outlineLevel="1" collapsed="1" x14ac:dyDescent="0.25">
      <c r="A40" s="27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715.95</v>
      </c>
      <c r="I40" s="1"/>
      <c r="J40" s="5">
        <f t="shared" si="17"/>
        <v>0</v>
      </c>
      <c r="K40" s="1"/>
      <c r="L40" s="1">
        <f t="shared" si="18"/>
        <v>-715.95</v>
      </c>
      <c r="M40" s="1"/>
      <c r="N40" s="5">
        <f t="shared" si="19"/>
        <v>-1</v>
      </c>
      <c r="O40" s="12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3797.85</v>
      </c>
      <c r="U40" s="1"/>
      <c r="V40" s="5">
        <f t="shared" si="21"/>
        <v>0</v>
      </c>
      <c r="W40" s="1"/>
      <c r="X40" s="1">
        <f t="shared" si="22"/>
        <v>-3797.85</v>
      </c>
      <c r="Y40" s="1"/>
      <c r="Z40" s="5">
        <f t="shared" si="23"/>
        <v>-1</v>
      </c>
    </row>
    <row r="41" spans="1:26" s="23" customFormat="1" hidden="1" outlineLevel="2" x14ac:dyDescent="0.25">
      <c r="A41" s="25"/>
      <c r="B41" s="10" t="str">
        <f>CONCATENATE("          ", "6307", " - ", "POSTAGE")</f>
        <v xml:space="preserve">          6307 - POSTAGE</v>
      </c>
      <c r="C41" s="10"/>
      <c r="D41" s="6"/>
      <c r="E41" s="2"/>
      <c r="F41" s="7">
        <f t="shared" si="16"/>
        <v>0</v>
      </c>
      <c r="G41" s="2"/>
      <c r="H41" s="6">
        <v>715.95</v>
      </c>
      <c r="I41" s="2"/>
      <c r="J41" s="7">
        <f t="shared" si="17"/>
        <v>0</v>
      </c>
      <c r="K41" s="2"/>
      <c r="L41" s="6">
        <f t="shared" si="18"/>
        <v>-715.95</v>
      </c>
      <c r="M41" s="2"/>
      <c r="N41" s="7">
        <f t="shared" si="19"/>
        <v>-1</v>
      </c>
      <c r="O41" s="10"/>
      <c r="P41" s="6">
        <v>0</v>
      </c>
      <c r="Q41" s="2"/>
      <c r="R41" s="7">
        <f t="shared" si="20"/>
        <v>0</v>
      </c>
      <c r="S41" s="2"/>
      <c r="T41" s="6">
        <v>3797.85</v>
      </c>
      <c r="U41" s="2"/>
      <c r="V41" s="7">
        <f t="shared" si="21"/>
        <v>0</v>
      </c>
      <c r="W41" s="2"/>
      <c r="X41" s="6">
        <f t="shared" si="22"/>
        <v>-3797.85</v>
      </c>
      <c r="Y41" s="2"/>
      <c r="Z41" s="7">
        <f t="shared" si="23"/>
        <v>-1</v>
      </c>
    </row>
    <row r="42" spans="1:26" s="26" customFormat="1" outlineLevel="1" collapsed="1" x14ac:dyDescent="0.25">
      <c r="A42" s="27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89.45</v>
      </c>
      <c r="U42" s="1"/>
      <c r="V42" s="5">
        <f t="shared" si="21"/>
        <v>0</v>
      </c>
      <c r="W42" s="1"/>
      <c r="X42" s="1">
        <f t="shared" si="22"/>
        <v>-89.45</v>
      </c>
      <c r="Y42" s="1"/>
      <c r="Z42" s="5">
        <f t="shared" si="23"/>
        <v>-1</v>
      </c>
    </row>
    <row r="43" spans="1:26" s="23" customFormat="1" hidden="1" outlineLevel="2" x14ac:dyDescent="0.25">
      <c r="A43" s="25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89.45</v>
      </c>
      <c r="U43" s="2"/>
      <c r="V43" s="7">
        <f t="shared" si="21"/>
        <v>0</v>
      </c>
      <c r="W43" s="2"/>
      <c r="X43" s="6">
        <f t="shared" si="22"/>
        <v>-89.45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127.47</v>
      </c>
      <c r="I44" s="1"/>
      <c r="J44" s="5">
        <f t="shared" si="17"/>
        <v>0</v>
      </c>
      <c r="K44" s="1"/>
      <c r="L44" s="1">
        <f t="shared" si="18"/>
        <v>-127.47</v>
      </c>
      <c r="M44" s="1"/>
      <c r="N44" s="5">
        <f t="shared" si="19"/>
        <v>-1</v>
      </c>
      <c r="O44" s="12"/>
      <c r="P44" s="1">
        <f>SUM(OSRRefP22_6x_0)</f>
        <v>0</v>
      </c>
      <c r="Q44" s="1"/>
      <c r="R44" s="5">
        <f t="shared" si="20"/>
        <v>0</v>
      </c>
      <c r="S44" s="1"/>
      <c r="T44" s="1">
        <f>SUM(OSRRefT22_6x_0)</f>
        <v>469.2</v>
      </c>
      <c r="U44" s="1"/>
      <c r="V44" s="5">
        <f t="shared" si="21"/>
        <v>0</v>
      </c>
      <c r="W44" s="1"/>
      <c r="X44" s="1">
        <f t="shared" si="22"/>
        <v>-469.2</v>
      </c>
      <c r="Y44" s="1"/>
      <c r="Z44" s="5">
        <f t="shared" si="23"/>
        <v>-1</v>
      </c>
    </row>
    <row r="45" spans="1:26" s="23" customFormat="1" hidden="1" outlineLevel="2" x14ac:dyDescent="0.25">
      <c r="A45" s="25"/>
      <c r="B45" s="10" t="str">
        <f>CONCATENATE("          ", "6373", " - ", "MAINTENANCE CONTRACTS")</f>
        <v xml:space="preserve">          6373 - MAINTENANCE CONTRACTS</v>
      </c>
      <c r="C45" s="10"/>
      <c r="D45" s="6"/>
      <c r="E45" s="2"/>
      <c r="F45" s="7">
        <f t="shared" si="16"/>
        <v>0</v>
      </c>
      <c r="G45" s="2"/>
      <c r="H45" s="6">
        <v>7.47</v>
      </c>
      <c r="I45" s="2"/>
      <c r="J45" s="7">
        <f t="shared" si="17"/>
        <v>0</v>
      </c>
      <c r="K45" s="2"/>
      <c r="L45" s="6">
        <f t="shared" si="18"/>
        <v>-7.47</v>
      </c>
      <c r="M45" s="2"/>
      <c r="N45" s="7">
        <f t="shared" si="19"/>
        <v>-1</v>
      </c>
      <c r="O45" s="10"/>
      <c r="P45" s="6">
        <v>0</v>
      </c>
      <c r="Q45" s="2"/>
      <c r="R45" s="7">
        <f t="shared" si="20"/>
        <v>0</v>
      </c>
      <c r="S45" s="2"/>
      <c r="T45" s="6">
        <v>156.87</v>
      </c>
      <c r="U45" s="2"/>
      <c r="V45" s="7">
        <f t="shared" si="21"/>
        <v>0</v>
      </c>
      <c r="W45" s="2"/>
      <c r="X45" s="6">
        <f t="shared" si="22"/>
        <v>-156.87</v>
      </c>
      <c r="Y45" s="2"/>
      <c r="Z45" s="7">
        <f t="shared" si="23"/>
        <v>-1</v>
      </c>
    </row>
    <row r="46" spans="1:26" s="23" customFormat="1" hidden="1" outlineLevel="2" x14ac:dyDescent="0.25">
      <c r="A46" s="25"/>
      <c r="B46" s="10" t="str">
        <f>CONCATENATE("          ", "6375", " - ", "OUTSIDE REPAIRS &amp; MAINTENANCE")</f>
        <v xml:space="preserve">          6375 - OUTSIDE REPAIRS &amp; MAINTENANCE</v>
      </c>
      <c r="C46" s="10"/>
      <c r="D46" s="6"/>
      <c r="E46" s="2"/>
      <c r="F46" s="7">
        <f t="shared" si="16"/>
        <v>0</v>
      </c>
      <c r="G46" s="2"/>
      <c r="H46" s="6">
        <v>120</v>
      </c>
      <c r="I46" s="2"/>
      <c r="J46" s="7">
        <f t="shared" si="17"/>
        <v>0</v>
      </c>
      <c r="K46" s="2"/>
      <c r="L46" s="6">
        <f t="shared" si="18"/>
        <v>-120</v>
      </c>
      <c r="M46" s="2"/>
      <c r="N46" s="7">
        <f t="shared" si="19"/>
        <v>-1</v>
      </c>
      <c r="O46" s="10"/>
      <c r="P46" s="6"/>
      <c r="Q46" s="2"/>
      <c r="R46" s="7">
        <f t="shared" si="20"/>
        <v>0</v>
      </c>
      <c r="S46" s="2"/>
      <c r="T46" s="6">
        <v>312.33</v>
      </c>
      <c r="U46" s="2"/>
      <c r="V46" s="7">
        <f t="shared" si="21"/>
        <v>0</v>
      </c>
      <c r="W46" s="2"/>
      <c r="X46" s="6">
        <f t="shared" si="22"/>
        <v>-312.33</v>
      </c>
      <c r="Y46" s="2"/>
      <c r="Z46" s="7">
        <f t="shared" si="23"/>
        <v>-1</v>
      </c>
    </row>
    <row r="47" spans="1:26" s="26" customFormat="1" outlineLevel="1" collapsed="1" x14ac:dyDescent="0.25">
      <c r="A47" s="27"/>
      <c r="B47" s="12" t="str">
        <f>CONCATENATE("     ","Supplies                                          ")</f>
        <v xml:space="preserve">     Supplies                                          </v>
      </c>
      <c r="C47" s="12"/>
      <c r="D47" s="1">
        <f>SUM(OSRRefD22_7x_0)</f>
        <v>0</v>
      </c>
      <c r="E47" s="1"/>
      <c r="F47" s="5">
        <f t="shared" ref="F47:F50" si="24">IF(D$12=0,0,D47/D$12)</f>
        <v>0</v>
      </c>
      <c r="G47" s="1"/>
      <c r="H47" s="1">
        <f>SUM(OSRRefH22_7x_0)</f>
        <v>583.71</v>
      </c>
      <c r="I47" s="1"/>
      <c r="J47" s="5">
        <f t="shared" ref="J47:J50" si="25">IF(H$12=0,0,H47/H$12)</f>
        <v>0</v>
      </c>
      <c r="K47" s="1"/>
      <c r="L47" s="1">
        <f t="shared" ref="L47:L50" si="26">+D47-H47</f>
        <v>-583.71</v>
      </c>
      <c r="M47" s="1"/>
      <c r="N47" s="5">
        <f t="shared" ref="N47:N50" si="27">IF(H47=0,0,L47/H47)</f>
        <v>-1</v>
      </c>
      <c r="O47" s="12"/>
      <c r="P47" s="1">
        <f>SUM(OSRRefP22_7x_0)</f>
        <v>0</v>
      </c>
      <c r="Q47" s="1"/>
      <c r="R47" s="5">
        <f t="shared" ref="R47:R50" si="28">IF(P$12=0,0,P47/P$12)</f>
        <v>0</v>
      </c>
      <c r="S47" s="1"/>
      <c r="T47" s="1">
        <f>SUM(OSRRefT22_7x_0)</f>
        <v>2978.46</v>
      </c>
      <c r="U47" s="1"/>
      <c r="V47" s="5">
        <f t="shared" ref="V47:V50" si="29">IF(T$12=0,0,T47/T$12)</f>
        <v>0</v>
      </c>
      <c r="W47" s="1"/>
      <c r="X47" s="1">
        <f t="shared" ref="X47:X50" si="30">+P47-T47</f>
        <v>-2978.46</v>
      </c>
      <c r="Y47" s="1"/>
      <c r="Z47" s="5">
        <f t="shared" ref="Z47:Z50" si="31">IF(T47=0,0,X47/T47)</f>
        <v>-1</v>
      </c>
    </row>
    <row r="48" spans="1:26" s="23" customFormat="1" hidden="1" outlineLevel="2" x14ac:dyDescent="0.25">
      <c r="A48" s="25"/>
      <c r="B48" s="10" t="str">
        <f>CONCATENATE("          ", "6237", " - ", "JANITORIAL SUPPLIES")</f>
        <v xml:space="preserve">          6237 - JANITORIAL SUPPLIES</v>
      </c>
      <c r="C48" s="10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0"/>
      <c r="P48" s="6"/>
      <c r="Q48" s="2"/>
      <c r="R48" s="7">
        <f t="shared" si="28"/>
        <v>0</v>
      </c>
      <c r="S48" s="2"/>
      <c r="T48" s="6">
        <v>226.95</v>
      </c>
      <c r="U48" s="2"/>
      <c r="V48" s="7">
        <f t="shared" si="29"/>
        <v>0</v>
      </c>
      <c r="W48" s="2"/>
      <c r="X48" s="6">
        <f t="shared" si="30"/>
        <v>-226.95</v>
      </c>
      <c r="Y48" s="2"/>
      <c r="Z48" s="7">
        <f t="shared" si="31"/>
        <v>-1</v>
      </c>
    </row>
    <row r="49" spans="1:26" s="23" customFormat="1" hidden="1" outlineLevel="2" x14ac:dyDescent="0.25">
      <c r="A49" s="25"/>
      <c r="B49" s="10" t="str">
        <f>CONCATENATE("          ", "6241", " - ", "OFFICE EXPENSE")</f>
        <v xml:space="preserve">          6241 - OFFICE EXPENSE</v>
      </c>
      <c r="C49" s="10"/>
      <c r="D49" s="6"/>
      <c r="E49" s="2"/>
      <c r="F49" s="7">
        <f t="shared" si="24"/>
        <v>0</v>
      </c>
      <c r="G49" s="2"/>
      <c r="H49" s="6">
        <v>72</v>
      </c>
      <c r="I49" s="2"/>
      <c r="J49" s="7">
        <f t="shared" si="25"/>
        <v>0</v>
      </c>
      <c r="K49" s="2"/>
      <c r="L49" s="6">
        <f t="shared" si="26"/>
        <v>-72</v>
      </c>
      <c r="M49" s="2"/>
      <c r="N49" s="7">
        <f t="shared" si="27"/>
        <v>-1</v>
      </c>
      <c r="O49" s="10"/>
      <c r="P49" s="6"/>
      <c r="Q49" s="2"/>
      <c r="R49" s="7">
        <f t="shared" si="28"/>
        <v>0</v>
      </c>
      <c r="S49" s="2"/>
      <c r="T49" s="6">
        <v>1605.07</v>
      </c>
      <c r="U49" s="2"/>
      <c r="V49" s="7">
        <f t="shared" si="29"/>
        <v>0</v>
      </c>
      <c r="W49" s="2"/>
      <c r="X49" s="6">
        <f t="shared" si="30"/>
        <v>-1605.07</v>
      </c>
      <c r="Y49" s="2"/>
      <c r="Z49" s="7">
        <f t="shared" si="31"/>
        <v>-1</v>
      </c>
    </row>
    <row r="50" spans="1:26" s="23" customFormat="1" hidden="1" outlineLevel="2" x14ac:dyDescent="0.25">
      <c r="A50" s="25"/>
      <c r="B50" s="10" t="str">
        <f>CONCATENATE("          ", "6247", " - ", "STORE SUPPLIES")</f>
        <v xml:space="preserve">          6247 - STORE SUPPLIES</v>
      </c>
      <c r="C50" s="10"/>
      <c r="D50" s="6"/>
      <c r="E50" s="2"/>
      <c r="F50" s="7">
        <f t="shared" si="24"/>
        <v>0</v>
      </c>
      <c r="G50" s="2"/>
      <c r="H50" s="6">
        <v>511.71</v>
      </c>
      <c r="I50" s="2"/>
      <c r="J50" s="7">
        <f t="shared" si="25"/>
        <v>0</v>
      </c>
      <c r="K50" s="2"/>
      <c r="L50" s="6">
        <f t="shared" si="26"/>
        <v>-511.71</v>
      </c>
      <c r="M50" s="2"/>
      <c r="N50" s="7">
        <f t="shared" si="27"/>
        <v>-1</v>
      </c>
      <c r="O50" s="10"/>
      <c r="P50" s="6"/>
      <c r="Q50" s="2"/>
      <c r="R50" s="7">
        <f t="shared" si="28"/>
        <v>0</v>
      </c>
      <c r="S50" s="2"/>
      <c r="T50" s="6">
        <v>1146.44</v>
      </c>
      <c r="U50" s="2"/>
      <c r="V50" s="7">
        <f t="shared" si="29"/>
        <v>0</v>
      </c>
      <c r="W50" s="2"/>
      <c r="X50" s="6">
        <f t="shared" si="30"/>
        <v>-1146.44</v>
      </c>
      <c r="Y50" s="2"/>
      <c r="Z50" s="7">
        <f t="shared" si="31"/>
        <v>-1</v>
      </c>
    </row>
    <row r="51" spans="1:26" s="26" customFormat="1" outlineLevel="1" collapsed="1" x14ac:dyDescent="0.25">
      <c r="A51" s="27"/>
      <c r="B51" s="12" t="str">
        <f>CONCATENATE("     ","Telephone/Data Lines                              ")</f>
        <v xml:space="preserve">     Telephone/Data Lines                              </v>
      </c>
      <c r="C51" s="12"/>
      <c r="D51" s="1">
        <f>SUM(OSRRefD22_8x_0)</f>
        <v>0</v>
      </c>
      <c r="E51" s="1"/>
      <c r="F51" s="5">
        <f t="shared" ref="F51:F54" si="32">IF(D$12=0,0,D51/D$12)</f>
        <v>0</v>
      </c>
      <c r="G51" s="1"/>
      <c r="H51" s="1">
        <f>SUM(OSRRefH22_8x_0)</f>
        <v>172.35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-172.35</v>
      </c>
      <c r="M51" s="1"/>
      <c r="N51" s="5">
        <f t="shared" ref="N51:N54" si="35">IF(H51=0,0,L51/H51)</f>
        <v>-1</v>
      </c>
      <c r="O51" s="12"/>
      <c r="P51" s="1">
        <f>SUM(OSRRefP22_8x_0)</f>
        <v>0</v>
      </c>
      <c r="Q51" s="1"/>
      <c r="R51" s="5">
        <f t="shared" ref="R51:R54" si="36">IF(P$12=0,0,P51/P$12)</f>
        <v>0</v>
      </c>
      <c r="S51" s="1"/>
      <c r="T51" s="1">
        <f>SUM(OSRRefT22_8x_0)</f>
        <v>1398.5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-1398.5</v>
      </c>
      <c r="Y51" s="1"/>
      <c r="Z51" s="5">
        <f t="shared" ref="Z51:Z54" si="39">IF(T51=0,0,X51/T51)</f>
        <v>-1</v>
      </c>
    </row>
    <row r="52" spans="1:26" s="23" customFormat="1" hidden="1" outlineLevel="2" x14ac:dyDescent="0.25">
      <c r="A52" s="25"/>
      <c r="B52" s="10" t="str">
        <f>CONCATENATE("          ", "6309", " - ", "TELEPHONE")</f>
        <v xml:space="preserve">          6309 - TELEPHONE</v>
      </c>
      <c r="C52" s="10"/>
      <c r="D52" s="6"/>
      <c r="E52" s="2"/>
      <c r="F52" s="7">
        <f t="shared" si="32"/>
        <v>0</v>
      </c>
      <c r="G52" s="2"/>
      <c r="H52" s="6">
        <v>172.35</v>
      </c>
      <c r="I52" s="2"/>
      <c r="J52" s="7">
        <f t="shared" si="33"/>
        <v>0</v>
      </c>
      <c r="K52" s="2"/>
      <c r="L52" s="6">
        <f t="shared" si="34"/>
        <v>-172.35</v>
      </c>
      <c r="M52" s="2"/>
      <c r="N52" s="7">
        <f t="shared" si="35"/>
        <v>-1</v>
      </c>
      <c r="O52" s="10"/>
      <c r="P52" s="6">
        <v>0</v>
      </c>
      <c r="Q52" s="2"/>
      <c r="R52" s="7">
        <f t="shared" si="36"/>
        <v>0</v>
      </c>
      <c r="S52" s="2"/>
      <c r="T52" s="6">
        <v>1398.5</v>
      </c>
      <c r="U52" s="2"/>
      <c r="V52" s="7">
        <f t="shared" si="37"/>
        <v>0</v>
      </c>
      <c r="W52" s="2"/>
      <c r="X52" s="6">
        <f t="shared" si="38"/>
        <v>-1398.5</v>
      </c>
      <c r="Y52" s="2"/>
      <c r="Z52" s="7">
        <f t="shared" si="39"/>
        <v>-1</v>
      </c>
    </row>
    <row r="53" spans="1:26" s="26" customFormat="1" outlineLevel="1" collapsed="1" x14ac:dyDescent="0.25">
      <c r="A53" s="27"/>
      <c r="B53" s="12" t="str">
        <f>CONCATENATE("     ","Training                                          ")</f>
        <v xml:space="preserve">     Training                                          </v>
      </c>
      <c r="C53" s="12"/>
      <c r="D53" s="1">
        <f>SUM(OSRRefD22_9x_0)</f>
        <v>0</v>
      </c>
      <c r="E53" s="1"/>
      <c r="F53" s="5">
        <f t="shared" si="32"/>
        <v>0</v>
      </c>
      <c r="G53" s="1"/>
      <c r="H53" s="1">
        <f>SUM(OSRRefH22_9x_0)</f>
        <v>0</v>
      </c>
      <c r="I53" s="1"/>
      <c r="J53" s="5">
        <f t="shared" si="33"/>
        <v>0</v>
      </c>
      <c r="K53" s="1"/>
      <c r="L53" s="1">
        <f t="shared" si="34"/>
        <v>0</v>
      </c>
      <c r="M53" s="1"/>
      <c r="N53" s="5">
        <f t="shared" si="35"/>
        <v>0</v>
      </c>
      <c r="O53" s="12"/>
      <c r="P53" s="1">
        <f>SUM(OSRRefP22_9x_0)</f>
        <v>0</v>
      </c>
      <c r="Q53" s="1"/>
      <c r="R53" s="5">
        <f t="shared" si="36"/>
        <v>0</v>
      </c>
      <c r="S53" s="1"/>
      <c r="T53" s="1">
        <f>SUM(OSRRefT22_9x_0)</f>
        <v>80</v>
      </c>
      <c r="U53" s="1"/>
      <c r="V53" s="5">
        <f t="shared" si="37"/>
        <v>0</v>
      </c>
      <c r="W53" s="1"/>
      <c r="X53" s="1">
        <f t="shared" si="38"/>
        <v>-80</v>
      </c>
      <c r="Y53" s="1"/>
      <c r="Z53" s="5">
        <f t="shared" si="39"/>
        <v>-1</v>
      </c>
    </row>
    <row r="54" spans="1:26" s="23" customFormat="1" hidden="1" outlineLevel="2" x14ac:dyDescent="0.25">
      <c r="A54" s="25"/>
      <c r="B54" s="10" t="str">
        <f>CONCATENATE("          ", "6376", " - ", "TRAINING")</f>
        <v xml:space="preserve">          6376 - TRAINING</v>
      </c>
      <c r="C54" s="10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0"/>
      <c r="P54" s="6"/>
      <c r="Q54" s="2"/>
      <c r="R54" s="7">
        <f t="shared" si="36"/>
        <v>0</v>
      </c>
      <c r="S54" s="2"/>
      <c r="T54" s="6">
        <v>80</v>
      </c>
      <c r="U54" s="2"/>
      <c r="V54" s="7">
        <f t="shared" si="37"/>
        <v>0</v>
      </c>
      <c r="W54" s="2"/>
      <c r="X54" s="6">
        <f t="shared" si="38"/>
        <v>-80</v>
      </c>
      <c r="Y54" s="2"/>
      <c r="Z54" s="7">
        <f t="shared" si="39"/>
        <v>-1</v>
      </c>
    </row>
    <row r="55" spans="1:26" s="60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4" customFormat="1" x14ac:dyDescent="0.25">
      <c r="A56" s="11"/>
      <c r="B56" s="28" t="s">
        <v>292</v>
      </c>
      <c r="C56" s="11"/>
      <c r="D56" s="4">
        <f>SUM(0)</f>
        <v>0</v>
      </c>
      <c r="E56" s="4"/>
      <c r="F56" s="13">
        <f>IF(D$12=0,0,D56/D$12)</f>
        <v>0</v>
      </c>
      <c r="G56" s="4"/>
      <c r="H56" s="4">
        <f>SUM(0)</f>
        <v>0</v>
      </c>
      <c r="I56" s="4"/>
      <c r="J56" s="13">
        <f>IF(H$12=0,0,H56/H$12)</f>
        <v>0</v>
      </c>
      <c r="K56" s="4"/>
      <c r="L56" s="4">
        <f>+D56-H56</f>
        <v>0</v>
      </c>
      <c r="M56" s="4"/>
      <c r="N56" s="13">
        <f>IF(H56=0,0,L56/H56)</f>
        <v>0</v>
      </c>
      <c r="O56" s="11"/>
      <c r="P56" s="4">
        <f>SUM(0)</f>
        <v>0</v>
      </c>
      <c r="Q56" s="4"/>
      <c r="R56" s="13">
        <f>IF(P$12=0,0,P56/P$12)</f>
        <v>0</v>
      </c>
      <c r="S56" s="4"/>
      <c r="T56" s="4">
        <f>SUM(0)</f>
        <v>0</v>
      </c>
      <c r="U56" s="4"/>
      <c r="V56" s="13">
        <f>IF(T$12=0,0,T56/T$12)</f>
        <v>0</v>
      </c>
      <c r="W56" s="4"/>
      <c r="X56" s="4">
        <f>+P56-T56</f>
        <v>0</v>
      </c>
      <c r="Y56" s="4"/>
      <c r="Z56" s="13">
        <f>IF(T56=0,0,X56/T56)</f>
        <v>0</v>
      </c>
    </row>
    <row r="57" spans="1:26" x14ac:dyDescent="0.25">
      <c r="A57" s="9"/>
      <c r="B57" s="11"/>
      <c r="C57" s="11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1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x14ac:dyDescent="0.25">
      <c r="A58" s="11"/>
      <c r="B58" s="29" t="s">
        <v>276</v>
      </c>
      <c r="C58" s="29"/>
      <c r="D58" s="22">
        <f>+D16-D18+D56</f>
        <v>0</v>
      </c>
      <c r="E58" s="14"/>
      <c r="F58" s="20">
        <f>IF(D$12=0,0,D58/D$12)</f>
        <v>0</v>
      </c>
      <c r="G58" s="14"/>
      <c r="H58" s="22">
        <f>+H16-H18+H56</f>
        <v>-46126.94999999999</v>
      </c>
      <c r="I58" s="14"/>
      <c r="J58" s="20">
        <f>IF(H$12=0,0,H58/H$12)</f>
        <v>0</v>
      </c>
      <c r="K58" s="15"/>
      <c r="L58" s="22">
        <f>+D58-H58</f>
        <v>46126.94999999999</v>
      </c>
      <c r="M58" s="15"/>
      <c r="N58" s="20">
        <f>IF(H58=0,0,L58/H58)</f>
        <v>-1</v>
      </c>
      <c r="O58" s="28"/>
      <c r="P58" s="22">
        <f>+P16-P18+P56</f>
        <v>-0.37000000000004318</v>
      </c>
      <c r="Q58" s="14"/>
      <c r="R58" s="20">
        <f>IF(P$12=0,0,P58/P$12)</f>
        <v>0</v>
      </c>
      <c r="S58" s="14"/>
      <c r="T58" s="22">
        <f>+T16-T18+T56</f>
        <v>-423383.16000000003</v>
      </c>
      <c r="U58" s="14"/>
      <c r="V58" s="20">
        <f>IF(T$12=0,0,T58/T$12)</f>
        <v>0</v>
      </c>
      <c r="W58" s="15"/>
      <c r="X58" s="22">
        <f>+P58-T58</f>
        <v>423382.79000000004</v>
      </c>
      <c r="Y58" s="15"/>
      <c r="Z58" s="20">
        <f>IF(T58=0,0,X58/T58)</f>
        <v>-0.99999912608711217</v>
      </c>
    </row>
    <row r="59" spans="1:26" x14ac:dyDescent="0.25">
      <c r="A59" s="9"/>
      <c r="B59" s="11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4" customFormat="1" x14ac:dyDescent="0.25">
      <c r="A60" s="51"/>
      <c r="B60" s="11" t="s">
        <v>127</v>
      </c>
      <c r="C60" s="11"/>
      <c r="D60" s="4"/>
      <c r="E60" s="4"/>
      <c r="F60" s="13">
        <f>IF(D$12=0,0,D60/D$12)</f>
        <v>0</v>
      </c>
      <c r="G60" s="4"/>
      <c r="H60" s="4"/>
      <c r="I60" s="4"/>
      <c r="J60" s="13">
        <f>IF(H$12=0,0,H60/H$12)</f>
        <v>0</v>
      </c>
      <c r="K60" s="4"/>
      <c r="L60" s="4">
        <f>+D60-H60</f>
        <v>0</v>
      </c>
      <c r="M60" s="4"/>
      <c r="N60" s="13">
        <f>IF(H60=0,0,L60/H60)</f>
        <v>0</v>
      </c>
      <c r="O60" s="11"/>
      <c r="P60" s="4"/>
      <c r="Q60" s="4"/>
      <c r="R60" s="13">
        <f>IF(P$12=0,0,P60/P$12)</f>
        <v>0</v>
      </c>
      <c r="S60" s="4"/>
      <c r="T60" s="4"/>
      <c r="U60" s="4"/>
      <c r="V60" s="13">
        <f>IF(T$12=0,0,T60/T$12)</f>
        <v>0</v>
      </c>
      <c r="W60" s="4"/>
      <c r="X60" s="4">
        <f>+P60-T60</f>
        <v>0</v>
      </c>
      <c r="Y60" s="4"/>
      <c r="Z60" s="13">
        <f>IF(T60=0,0,X60/T60)</f>
        <v>0</v>
      </c>
    </row>
    <row r="61" spans="1:26" x14ac:dyDescent="0.25">
      <c r="A61" s="9"/>
      <c r="B61" s="11"/>
      <c r="C61" s="11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1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4" customFormat="1" ht="15.75" thickBot="1" x14ac:dyDescent="0.3">
      <c r="A62" s="11"/>
      <c r="B62" s="29" t="s">
        <v>125</v>
      </c>
      <c r="C62" s="29"/>
      <c r="D62" s="30">
        <f>+D58-D60</f>
        <v>0</v>
      </c>
      <c r="E62" s="14"/>
      <c r="F62" s="36">
        <f>IF(D$12=0,0,D62/D$12)</f>
        <v>0</v>
      </c>
      <c r="G62" s="14"/>
      <c r="H62" s="30">
        <f>+H58-H60</f>
        <v>-46126.94999999999</v>
      </c>
      <c r="I62" s="14"/>
      <c r="J62" s="36">
        <f>IF(H$12=0,0,H62/H$12)</f>
        <v>0</v>
      </c>
      <c r="K62" s="15"/>
      <c r="L62" s="30">
        <f>D62-H62</f>
        <v>46126.94999999999</v>
      </c>
      <c r="M62" s="15"/>
      <c r="N62" s="36">
        <f>IF(H62=0,0,L62/H62)</f>
        <v>-1</v>
      </c>
      <c r="O62" s="28"/>
      <c r="P62" s="30">
        <f>+P58-P60</f>
        <v>-0.37000000000004318</v>
      </c>
      <c r="Q62" s="14"/>
      <c r="R62" s="36">
        <f>IF(P$12=0,0,P62/P$12)</f>
        <v>0</v>
      </c>
      <c r="S62" s="14"/>
      <c r="T62" s="30">
        <f>+T58-T60</f>
        <v>-423383.16000000003</v>
      </c>
      <c r="U62" s="14"/>
      <c r="V62" s="36">
        <f>IF(T$12=0,0,T62/T$12)</f>
        <v>0</v>
      </c>
      <c r="W62" s="15"/>
      <c r="X62" s="30">
        <f>P62-T62</f>
        <v>423382.79000000004</v>
      </c>
      <c r="Y62" s="15"/>
      <c r="Z62" s="36">
        <f>IF(T62=0,0,X62/T62)</f>
        <v>-0.99999912608711217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ht="15.75" thickBot="1" x14ac:dyDescent="0.3">
      <c r="A65" s="11"/>
      <c r="B65" s="29" t="s">
        <v>293</v>
      </c>
      <c r="C65" s="29"/>
      <c r="D65" s="35">
        <f>SUM(D62:D64)</f>
        <v>0</v>
      </c>
      <c r="E65" s="14"/>
      <c r="F65" s="34">
        <f>IF(D$12=0,0,D65/D$12)</f>
        <v>0</v>
      </c>
      <c r="G65" s="14"/>
      <c r="H65" s="35">
        <f>SUM(H62:H64)</f>
        <v>-46126.94999999999</v>
      </c>
      <c r="I65" s="14"/>
      <c r="J65" s="34">
        <f>IF(H$12=0,0,H65/H$12)</f>
        <v>0</v>
      </c>
      <c r="K65" s="15"/>
      <c r="L65" s="35">
        <f>+D65-H65</f>
        <v>46126.94999999999</v>
      </c>
      <c r="M65" s="15"/>
      <c r="N65" s="34">
        <f>IF(H65=0,0,L65/H65)</f>
        <v>-1</v>
      </c>
      <c r="O65" s="28"/>
      <c r="P65" s="35">
        <f>SUM(P62:P64)</f>
        <v>-0.37000000000004318</v>
      </c>
      <c r="Q65" s="14"/>
      <c r="R65" s="34">
        <f>IF(P$12=0,0,P65/P$12)</f>
        <v>0</v>
      </c>
      <c r="S65" s="14"/>
      <c r="T65" s="35">
        <f>SUM(T62:T64)</f>
        <v>-423383.16000000003</v>
      </c>
      <c r="U65" s="14"/>
      <c r="V65" s="34">
        <f>IF(T$12=0,0,T65/T$12)</f>
        <v>0</v>
      </c>
      <c r="W65" s="15"/>
      <c r="X65" s="35">
        <f>+P65-T65</f>
        <v>423382.79000000004</v>
      </c>
      <c r="Y65" s="15"/>
      <c r="Z65" s="34">
        <f>IF(T65=0,0,X65/T65)</f>
        <v>-0.99999912608711217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54">
        <v>44295.963243634258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8" t="s">
        <v>56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62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80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40837.089999999997</v>
      </c>
      <c r="I12" s="4"/>
      <c r="J12" s="13"/>
      <c r="K12" s="4"/>
      <c r="L12" s="4">
        <f t="shared" ref="L12:L53" si="0">+D12-H12</f>
        <v>-40837.089999999997</v>
      </c>
      <c r="M12" s="4"/>
      <c r="N12" s="13">
        <f t="shared" ref="N12:N53" si="1">IF(H12=0,0,L12/H12)</f>
        <v>-1</v>
      </c>
      <c r="O12" s="11"/>
      <c r="P12" s="4">
        <f>SUM(OSRRefP13x_0)</f>
        <v>21311.919999999998</v>
      </c>
      <c r="Q12" s="4"/>
      <c r="R12" s="13"/>
      <c r="S12" s="4"/>
      <c r="T12" s="4">
        <f>SUM(OSRRefT13x_0)</f>
        <v>811540.20000000007</v>
      </c>
      <c r="U12" s="4"/>
      <c r="V12" s="13"/>
      <c r="W12" s="4"/>
      <c r="X12" s="4">
        <f t="shared" ref="X12:X53" si="2">+P12-T12</f>
        <v>-790228.28</v>
      </c>
      <c r="Y12" s="4"/>
      <c r="Z12" s="13">
        <f t="shared" ref="Z12:Z53" si="3">IF(T12=0,0,X12/T12)</f>
        <v>-0.97373892260666806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 t="shared" ref="D13:D53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"4017", " - ", "TAXABLE SALES-DORM/HOUSEWARES")</f>
        <v xml:space="preserve">          4017 - TAXABLE SALES-DORM/HOUSEWARES</v>
      </c>
      <c r="C14" s="10"/>
      <c r="D14" s="2">
        <f t="shared" si="4"/>
        <v>0</v>
      </c>
      <c r="E14" s="2"/>
      <c r="F14" s="19"/>
      <c r="G14" s="2"/>
      <c r="H14" s="2">
        <f>--10.98</f>
        <v>10.98</v>
      </c>
      <c r="I14" s="2"/>
      <c r="J14" s="19"/>
      <c r="K14" s="2"/>
      <c r="L14" s="2">
        <f t="shared" si="0"/>
        <v>-10.98</v>
      </c>
      <c r="M14" s="2"/>
      <c r="N14" s="19">
        <f t="shared" si="1"/>
        <v>-1</v>
      </c>
      <c r="O14" s="10"/>
      <c r="P14" s="2">
        <f t="shared" ref="P14:P16" si="5">0</f>
        <v>0</v>
      </c>
      <c r="Q14" s="2"/>
      <c r="R14" s="19"/>
      <c r="S14" s="2"/>
      <c r="T14" s="2">
        <f>--282.57</f>
        <v>282.57</v>
      </c>
      <c r="U14" s="2"/>
      <c r="V14" s="19"/>
      <c r="W14" s="2"/>
      <c r="X14" s="2">
        <f t="shared" si="2"/>
        <v>-282.57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"4019", " - ", "TAXABLE SALES-BOOK RELATED")</f>
        <v xml:space="preserve">          4019 - TAXABLE SALES-BOOK RELATED</v>
      </c>
      <c r="C15" s="10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5"/>
        <v>0</v>
      </c>
      <c r="Q15" s="2"/>
      <c r="R15" s="19"/>
      <c r="S15" s="2"/>
      <c r="T15" s="2">
        <f>--42.85</f>
        <v>42.85</v>
      </c>
      <c r="U15" s="2"/>
      <c r="V15" s="19"/>
      <c r="W15" s="2"/>
      <c r="X15" s="2">
        <f t="shared" si="2"/>
        <v>-42.85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"4025", " - ", "TAXABLE SALES-TEST FORMS")</f>
        <v xml:space="preserve">          4025 - TAXABLE SALES-TEST FORMS</v>
      </c>
      <c r="C16" s="10"/>
      <c r="D16" s="2">
        <f t="shared" si="4"/>
        <v>0</v>
      </c>
      <c r="E16" s="2"/>
      <c r="F16" s="19"/>
      <c r="G16" s="2"/>
      <c r="H16" s="2">
        <f>--2919.17</f>
        <v>2919.17</v>
      </c>
      <c r="I16" s="2"/>
      <c r="J16" s="19"/>
      <c r="K16" s="2"/>
      <c r="L16" s="2">
        <f t="shared" si="0"/>
        <v>-2919.17</v>
      </c>
      <c r="M16" s="2"/>
      <c r="N16" s="19">
        <f t="shared" si="1"/>
        <v>-1</v>
      </c>
      <c r="O16" s="10"/>
      <c r="P16" s="2">
        <f t="shared" si="5"/>
        <v>0</v>
      </c>
      <c r="Q16" s="2"/>
      <c r="R16" s="19"/>
      <c r="S16" s="2"/>
      <c r="T16" s="2">
        <f>--54689.24</f>
        <v>54689.24</v>
      </c>
      <c r="U16" s="2"/>
      <c r="V16" s="19"/>
      <c r="W16" s="2"/>
      <c r="X16" s="2">
        <f t="shared" si="2"/>
        <v>-54689.24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"4026", " - ", "TAXABLE SALES-WRITING INSTRUME")</f>
        <v xml:space="preserve">          4026 - TAXABLE SALES-WRITING INSTRUME</v>
      </c>
      <c r="C17" s="10"/>
      <c r="D17" s="2">
        <f t="shared" si="4"/>
        <v>0</v>
      </c>
      <c r="E17" s="2"/>
      <c r="F17" s="19"/>
      <c r="G17" s="2"/>
      <c r="H17" s="2">
        <f>--4389.42</f>
        <v>4389.42</v>
      </c>
      <c r="I17" s="2"/>
      <c r="J17" s="19"/>
      <c r="K17" s="2"/>
      <c r="L17" s="2">
        <f t="shared" si="0"/>
        <v>-4389.42</v>
      </c>
      <c r="M17" s="2"/>
      <c r="N17" s="19">
        <f t="shared" si="1"/>
        <v>-1</v>
      </c>
      <c r="O17" s="10"/>
      <c r="P17" s="2">
        <f>--17.51</f>
        <v>17.510000000000002</v>
      </c>
      <c r="Q17" s="2"/>
      <c r="R17" s="19"/>
      <c r="S17" s="2"/>
      <c r="T17" s="2">
        <f>--79638.55</f>
        <v>79638.55</v>
      </c>
      <c r="U17" s="2"/>
      <c r="V17" s="19"/>
      <c r="W17" s="2"/>
      <c r="X17" s="2">
        <f t="shared" si="2"/>
        <v>-79621.040000000008</v>
      </c>
      <c r="Y17" s="2"/>
      <c r="Z17" s="19">
        <f t="shared" si="3"/>
        <v>-0.99978013160711743</v>
      </c>
    </row>
    <row r="18" spans="1:26" s="23" customFormat="1" hidden="1" outlineLevel="1" x14ac:dyDescent="0.25">
      <c r="A18" s="44"/>
      <c r="B18" s="10" t="str">
        <f>CONCATENATE("          ", "4027", " - ", "TAXABLE SALES-SCHOOL SUPPLIES")</f>
        <v xml:space="preserve">          4027 - TAXABLE SALES-SCHOOL SUPPLIES</v>
      </c>
      <c r="C18" s="10"/>
      <c r="D18" s="2">
        <f t="shared" si="4"/>
        <v>0</v>
      </c>
      <c r="E18" s="2"/>
      <c r="F18" s="19"/>
      <c r="G18" s="2"/>
      <c r="H18" s="2">
        <f>--8153.25</f>
        <v>8153.25</v>
      </c>
      <c r="I18" s="2"/>
      <c r="J18" s="19"/>
      <c r="K18" s="2"/>
      <c r="L18" s="2">
        <f t="shared" si="0"/>
        <v>-8153.25</v>
      </c>
      <c r="M18" s="2"/>
      <c r="N18" s="19">
        <f t="shared" si="1"/>
        <v>-1</v>
      </c>
      <c r="O18" s="10"/>
      <c r="P18" s="2">
        <f>--7990.32</f>
        <v>7990.32</v>
      </c>
      <c r="Q18" s="2"/>
      <c r="R18" s="19"/>
      <c r="S18" s="2"/>
      <c r="T18" s="2">
        <f>--269684.99</f>
        <v>269684.99</v>
      </c>
      <c r="U18" s="2"/>
      <c r="V18" s="19"/>
      <c r="W18" s="2"/>
      <c r="X18" s="2">
        <f t="shared" si="2"/>
        <v>-261694.66999999998</v>
      </c>
      <c r="Y18" s="2"/>
      <c r="Z18" s="19">
        <f t="shared" si="3"/>
        <v>-0.97037165472205178</v>
      </c>
    </row>
    <row r="19" spans="1:26" s="23" customFormat="1" hidden="1" outlineLevel="1" x14ac:dyDescent="0.25">
      <c r="A19" s="44"/>
      <c r="B19" s="10" t="str">
        <f>CONCATENATE("          ", "4028", " - ", "TAXABLE SALES-ART/TECH")</f>
        <v xml:space="preserve">          4028 - TAXABLE SALES-ART/TECH</v>
      </c>
      <c r="C19" s="10"/>
      <c r="D19" s="2">
        <f t="shared" si="4"/>
        <v>0</v>
      </c>
      <c r="E19" s="2"/>
      <c r="F19" s="19"/>
      <c r="G19" s="2"/>
      <c r="H19" s="2">
        <f>--17260.82</f>
        <v>17260.82</v>
      </c>
      <c r="I19" s="2"/>
      <c r="J19" s="19"/>
      <c r="K19" s="2"/>
      <c r="L19" s="2">
        <f t="shared" si="0"/>
        <v>-17260.82</v>
      </c>
      <c r="M19" s="2"/>
      <c r="N19" s="19">
        <f t="shared" si="1"/>
        <v>-1</v>
      </c>
      <c r="O19" s="10"/>
      <c r="P19" s="2">
        <f>--12479.05</f>
        <v>12479.05</v>
      </c>
      <c r="Q19" s="2"/>
      <c r="R19" s="19"/>
      <c r="S19" s="2"/>
      <c r="T19" s="2">
        <f>--292597.05</f>
        <v>292597.05</v>
      </c>
      <c r="U19" s="2"/>
      <c r="V19" s="19"/>
      <c r="W19" s="2"/>
      <c r="X19" s="2">
        <f t="shared" si="2"/>
        <v>-280118</v>
      </c>
      <c r="Y19" s="2"/>
      <c r="Z19" s="19">
        <f t="shared" si="3"/>
        <v>-0.95735073200498777</v>
      </c>
    </row>
    <row r="20" spans="1:26" s="23" customFormat="1" hidden="1" outlineLevel="1" x14ac:dyDescent="0.25">
      <c r="A20" s="44"/>
      <c r="B20" s="10" t="str">
        <f>CONCATENATE("          ", "4031", " - ", "TAXABLE SALES-FOOD")</f>
        <v xml:space="preserve">          4031 - TAXABLE SALES-FOOD</v>
      </c>
      <c r="C20" s="10"/>
      <c r="D20" s="2">
        <f t="shared" si="4"/>
        <v>0</v>
      </c>
      <c r="E20" s="2"/>
      <c r="F20" s="19"/>
      <c r="G20" s="2"/>
      <c r="H20" s="2">
        <f>--44.3</f>
        <v>44.3</v>
      </c>
      <c r="I20" s="2"/>
      <c r="J20" s="19"/>
      <c r="K20" s="2"/>
      <c r="L20" s="2">
        <f t="shared" si="0"/>
        <v>-44.3</v>
      </c>
      <c r="M20" s="2"/>
      <c r="N20" s="19">
        <f t="shared" si="1"/>
        <v>-1</v>
      </c>
      <c r="O20" s="10"/>
      <c r="P20" s="2">
        <f>--374.55</f>
        <v>374.55</v>
      </c>
      <c r="Q20" s="2"/>
      <c r="R20" s="19"/>
      <c r="S20" s="2"/>
      <c r="T20" s="2">
        <f>--486.34</f>
        <v>486.34</v>
      </c>
      <c r="U20" s="2"/>
      <c r="V20" s="19"/>
      <c r="W20" s="2"/>
      <c r="X20" s="2">
        <f t="shared" si="2"/>
        <v>-111.78999999999996</v>
      </c>
      <c r="Y20" s="2"/>
      <c r="Z20" s="19">
        <f t="shared" si="3"/>
        <v>-0.22985976888596449</v>
      </c>
    </row>
    <row r="21" spans="1:26" s="23" customFormat="1" hidden="1" outlineLevel="1" x14ac:dyDescent="0.25">
      <c r="A21" s="44"/>
      <c r="B21" s="10" t="str">
        <f>CONCATENATE("          ", "4032", " - ", "TAXABLE SALES-JUICE")</f>
        <v xml:space="preserve">          4032 - TAXABLE SALES-JUICE</v>
      </c>
      <c r="C21" s="10"/>
      <c r="D21" s="2">
        <f t="shared" si="4"/>
        <v>0</v>
      </c>
      <c r="E21" s="2"/>
      <c r="F21" s="19"/>
      <c r="G21" s="2"/>
      <c r="H21" s="2">
        <f>--240.81</f>
        <v>240.81</v>
      </c>
      <c r="I21" s="2"/>
      <c r="J21" s="19"/>
      <c r="K21" s="2"/>
      <c r="L21" s="2">
        <f t="shared" si="0"/>
        <v>-240.81</v>
      </c>
      <c r="M21" s="2"/>
      <c r="N21" s="19">
        <f t="shared" si="1"/>
        <v>-1</v>
      </c>
      <c r="O21" s="10"/>
      <c r="P21" s="2">
        <f t="shared" ref="P21:P28" si="6">0</f>
        <v>0</v>
      </c>
      <c r="Q21" s="2"/>
      <c r="R21" s="19"/>
      <c r="S21" s="2"/>
      <c r="T21" s="2">
        <f>--1905.06</f>
        <v>1905.06</v>
      </c>
      <c r="U21" s="2"/>
      <c r="V21" s="19"/>
      <c r="W21" s="2"/>
      <c r="X21" s="2">
        <f t="shared" si="2"/>
        <v>-1905.06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"4033", " - ", "TAXABLE SALES-CANDY")</f>
        <v xml:space="preserve">          4033 - TAXABLE SALES-CANDY</v>
      </c>
      <c r="C22" s="10"/>
      <c r="D22" s="2">
        <f t="shared" si="4"/>
        <v>0</v>
      </c>
      <c r="E22" s="2"/>
      <c r="F22" s="19"/>
      <c r="G22" s="2"/>
      <c r="H22" s="2">
        <f>--25.55</f>
        <v>25.55</v>
      </c>
      <c r="I22" s="2"/>
      <c r="J22" s="19"/>
      <c r="K22" s="2"/>
      <c r="L22" s="2">
        <f t="shared" si="0"/>
        <v>-25.55</v>
      </c>
      <c r="M22" s="2"/>
      <c r="N22" s="19">
        <f t="shared" si="1"/>
        <v>-1</v>
      </c>
      <c r="O22" s="10"/>
      <c r="P22" s="2">
        <f t="shared" si="6"/>
        <v>0</v>
      </c>
      <c r="Q22" s="2"/>
      <c r="R22" s="19"/>
      <c r="S22" s="2"/>
      <c r="T22" s="2">
        <f>--205.53</f>
        <v>205.53</v>
      </c>
      <c r="U22" s="2"/>
      <c r="V22" s="19"/>
      <c r="W22" s="2"/>
      <c r="X22" s="2">
        <f t="shared" si="2"/>
        <v>-205.53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"4034", " - ", "TAXABLE SALES-SODA")</f>
        <v xml:space="preserve">          4034 - TAXABLE SALES-SODA</v>
      </c>
      <c r="C23" s="10"/>
      <c r="D23" s="2">
        <f t="shared" si="4"/>
        <v>0</v>
      </c>
      <c r="E23" s="2"/>
      <c r="F23" s="19"/>
      <c r="G23" s="2"/>
      <c r="H23" s="2">
        <f>--600.08</f>
        <v>600.08000000000004</v>
      </c>
      <c r="I23" s="2"/>
      <c r="J23" s="19"/>
      <c r="K23" s="2"/>
      <c r="L23" s="2">
        <f t="shared" si="0"/>
        <v>-600.08000000000004</v>
      </c>
      <c r="M23" s="2"/>
      <c r="N23" s="19">
        <f t="shared" si="1"/>
        <v>-1</v>
      </c>
      <c r="O23" s="10"/>
      <c r="P23" s="2">
        <f t="shared" si="6"/>
        <v>0</v>
      </c>
      <c r="Q23" s="2"/>
      <c r="R23" s="19"/>
      <c r="S23" s="2"/>
      <c r="T23" s="2">
        <f>--7803.51</f>
        <v>7803.51</v>
      </c>
      <c r="U23" s="2"/>
      <c r="V23" s="19"/>
      <c r="W23" s="2"/>
      <c r="X23" s="2">
        <f t="shared" si="2"/>
        <v>-7803.51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"4035", " - ", "TAXABLE SALES-HEALTH &amp; BEAUTY")</f>
        <v xml:space="preserve">          4035 - TAXABLE SALES-HEALTH &amp; BEAUTY</v>
      </c>
      <c r="C24" s="10"/>
      <c r="D24" s="2">
        <f t="shared" si="4"/>
        <v>0</v>
      </c>
      <c r="E24" s="2"/>
      <c r="F24" s="19"/>
      <c r="G24" s="2"/>
      <c r="H24" s="2">
        <f>--101.32</f>
        <v>101.32</v>
      </c>
      <c r="I24" s="2"/>
      <c r="J24" s="19"/>
      <c r="K24" s="2"/>
      <c r="L24" s="2">
        <f t="shared" si="0"/>
        <v>-101.32</v>
      </c>
      <c r="M24" s="2"/>
      <c r="N24" s="19">
        <f t="shared" si="1"/>
        <v>-1</v>
      </c>
      <c r="O24" s="10"/>
      <c r="P24" s="2">
        <f t="shared" si="6"/>
        <v>0</v>
      </c>
      <c r="Q24" s="2"/>
      <c r="R24" s="19"/>
      <c r="S24" s="2"/>
      <c r="T24" s="2">
        <f>--1981.84</f>
        <v>1981.84</v>
      </c>
      <c r="U24" s="2"/>
      <c r="V24" s="19"/>
      <c r="W24" s="2"/>
      <c r="X24" s="2">
        <f t="shared" si="2"/>
        <v>-1981.84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"4037", " - ", "TAXABLE SALES-WATER")</f>
        <v xml:space="preserve">          4037 - TAXABLE SALES-WATER</v>
      </c>
      <c r="C25" s="10"/>
      <c r="D25" s="2">
        <f t="shared" si="4"/>
        <v>0</v>
      </c>
      <c r="E25" s="2"/>
      <c r="F25" s="19"/>
      <c r="G25" s="2"/>
      <c r="H25" s="2">
        <f>--24.8</f>
        <v>24.8</v>
      </c>
      <c r="I25" s="2"/>
      <c r="J25" s="19"/>
      <c r="K25" s="2"/>
      <c r="L25" s="2">
        <f t="shared" si="0"/>
        <v>-24.8</v>
      </c>
      <c r="M25" s="2"/>
      <c r="N25" s="19">
        <f t="shared" si="1"/>
        <v>-1</v>
      </c>
      <c r="O25" s="10"/>
      <c r="P25" s="2">
        <f t="shared" si="6"/>
        <v>0</v>
      </c>
      <c r="Q25" s="2"/>
      <c r="R25" s="19"/>
      <c r="S25" s="2"/>
      <c r="T25" s="2">
        <f>--513.51</f>
        <v>513.51</v>
      </c>
      <c r="U25" s="2"/>
      <c r="V25" s="19"/>
      <c r="W25" s="2"/>
      <c r="X25" s="2">
        <f t="shared" si="2"/>
        <v>-513.51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"4041", " - ", "TAXABLE SALES-LOGO GIFTS")</f>
        <v xml:space="preserve">          4041 - TAXABLE SALES-LOGO GIFTS</v>
      </c>
      <c r="C26" s="10"/>
      <c r="D26" s="2">
        <f t="shared" si="4"/>
        <v>0</v>
      </c>
      <c r="E26" s="2"/>
      <c r="F26" s="19"/>
      <c r="G26" s="2"/>
      <c r="H26" s="2">
        <f>--130.53</f>
        <v>130.53</v>
      </c>
      <c r="I26" s="2"/>
      <c r="J26" s="19"/>
      <c r="K26" s="2"/>
      <c r="L26" s="2">
        <f t="shared" si="0"/>
        <v>-130.53</v>
      </c>
      <c r="M26" s="2"/>
      <c r="N26" s="19">
        <f t="shared" si="1"/>
        <v>-1</v>
      </c>
      <c r="O26" s="10"/>
      <c r="P26" s="2">
        <f t="shared" si="6"/>
        <v>0</v>
      </c>
      <c r="Q26" s="2"/>
      <c r="R26" s="19"/>
      <c r="S26" s="2"/>
      <c r="T26" s="2">
        <f>--494.2</f>
        <v>494.2</v>
      </c>
      <c r="U26" s="2"/>
      <c r="V26" s="19"/>
      <c r="W26" s="2"/>
      <c r="X26" s="2">
        <f t="shared" si="2"/>
        <v>-494.2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"4042", " - ", "TAXABLE SALES-EVERYDAY GIFTS")</f>
        <v xml:space="preserve">          4042 - TAXABLE SALES-EVERYDAY GIFTS</v>
      </c>
      <c r="C27" s="10"/>
      <c r="D27" s="2">
        <f t="shared" si="4"/>
        <v>0</v>
      </c>
      <c r="E27" s="2"/>
      <c r="F27" s="19"/>
      <c r="G27" s="2"/>
      <c r="H27" s="2">
        <f>--155.99</f>
        <v>155.99</v>
      </c>
      <c r="I27" s="2"/>
      <c r="J27" s="19"/>
      <c r="K27" s="2"/>
      <c r="L27" s="2">
        <f t="shared" si="0"/>
        <v>-155.99</v>
      </c>
      <c r="M27" s="2"/>
      <c r="N27" s="19">
        <f t="shared" si="1"/>
        <v>-1</v>
      </c>
      <c r="O27" s="10"/>
      <c r="P27" s="2">
        <f t="shared" si="6"/>
        <v>0</v>
      </c>
      <c r="Q27" s="2"/>
      <c r="R27" s="19"/>
      <c r="S27" s="2"/>
      <c r="T27" s="2">
        <f>--583.7</f>
        <v>583.70000000000005</v>
      </c>
      <c r="U27" s="2"/>
      <c r="V27" s="19"/>
      <c r="W27" s="2"/>
      <c r="X27" s="2">
        <f t="shared" si="2"/>
        <v>-583.70000000000005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"4044", " - ", "TAXABLE SALES-ACCESSORIES")</f>
        <v xml:space="preserve">          4044 - TAXABLE SALES-ACCESSORIES</v>
      </c>
      <c r="C28" s="10"/>
      <c r="D28" s="2">
        <f t="shared" si="4"/>
        <v>0</v>
      </c>
      <c r="E28" s="2"/>
      <c r="F28" s="19"/>
      <c r="G28" s="2"/>
      <c r="H28" s="2">
        <f>--19.95</f>
        <v>19.95</v>
      </c>
      <c r="I28" s="2"/>
      <c r="J28" s="19"/>
      <c r="K28" s="2"/>
      <c r="L28" s="2">
        <f t="shared" si="0"/>
        <v>-19.95</v>
      </c>
      <c r="M28" s="2"/>
      <c r="N28" s="19">
        <f t="shared" si="1"/>
        <v>-1</v>
      </c>
      <c r="O28" s="10"/>
      <c r="P28" s="2">
        <f t="shared" si="6"/>
        <v>0</v>
      </c>
      <c r="Q28" s="2"/>
      <c r="R28" s="19"/>
      <c r="S28" s="2"/>
      <c r="T28" s="2">
        <f>--179.5</f>
        <v>179.5</v>
      </c>
      <c r="U28" s="2"/>
      <c r="V28" s="19"/>
      <c r="W28" s="2"/>
      <c r="X28" s="2">
        <f t="shared" si="2"/>
        <v>-179.5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"4081", " - ", "TAXABLE SALES-ELECTRONICS")</f>
        <v xml:space="preserve">          4081 - TAXABLE SALES-ELECTRONICS</v>
      </c>
      <c r="C29" s="10"/>
      <c r="D29" s="2">
        <f t="shared" si="4"/>
        <v>0</v>
      </c>
      <c r="E29" s="2"/>
      <c r="F29" s="19"/>
      <c r="G29" s="2"/>
      <c r="H29" s="2">
        <f>--64.95</f>
        <v>64.95</v>
      </c>
      <c r="I29" s="2"/>
      <c r="J29" s="19"/>
      <c r="K29" s="2"/>
      <c r="L29" s="2">
        <f t="shared" si="0"/>
        <v>-64.95</v>
      </c>
      <c r="M29" s="2"/>
      <c r="N29" s="19">
        <f t="shared" si="1"/>
        <v>-1</v>
      </c>
      <c r="O29" s="10"/>
      <c r="P29" s="2">
        <f>--71.95</f>
        <v>71.95</v>
      </c>
      <c r="Q29" s="2"/>
      <c r="R29" s="19"/>
      <c r="S29" s="2"/>
      <c r="T29" s="2">
        <f>--3174.93</f>
        <v>3174.93</v>
      </c>
      <c r="U29" s="2"/>
      <c r="V29" s="19"/>
      <c r="W29" s="2"/>
      <c r="X29" s="2">
        <f t="shared" si="2"/>
        <v>-3102.98</v>
      </c>
      <c r="Y29" s="2"/>
      <c r="Z29" s="19">
        <f t="shared" si="3"/>
        <v>-0.97733808304435066</v>
      </c>
    </row>
    <row r="30" spans="1:26" s="23" customFormat="1" hidden="1" outlineLevel="1" x14ac:dyDescent="0.25">
      <c r="A30" s="44"/>
      <c r="B30" s="10" t="str">
        <f>CONCATENATE("          ", "4082", " - ", "TAXABLE SALES-COMPUTER HARDWAR")</f>
        <v xml:space="preserve">          4082 - TAXABLE SALES-COMPUTER HARDWAR</v>
      </c>
      <c r="C30" s="10"/>
      <c r="D30" s="2">
        <f t="shared" si="4"/>
        <v>0</v>
      </c>
      <c r="E30" s="2"/>
      <c r="F30" s="19"/>
      <c r="G30" s="2"/>
      <c r="H30" s="2">
        <f>--67.96</f>
        <v>67.959999999999994</v>
      </c>
      <c r="I30" s="2"/>
      <c r="J30" s="19"/>
      <c r="K30" s="2"/>
      <c r="L30" s="2">
        <f t="shared" si="0"/>
        <v>-67.959999999999994</v>
      </c>
      <c r="M30" s="2"/>
      <c r="N30" s="19">
        <f t="shared" si="1"/>
        <v>-1</v>
      </c>
      <c r="O30" s="10"/>
      <c r="P30" s="2">
        <f>0</f>
        <v>0</v>
      </c>
      <c r="Q30" s="2"/>
      <c r="R30" s="19"/>
      <c r="S30" s="2"/>
      <c r="T30" s="2">
        <f>--363.94</f>
        <v>363.94</v>
      </c>
      <c r="U30" s="2"/>
      <c r="V30" s="19"/>
      <c r="W30" s="2"/>
      <c r="X30" s="2">
        <f t="shared" si="2"/>
        <v>-363.94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"4083", " - ", "TAXABLE SALES-COMPUTER EQUIPME")</f>
        <v xml:space="preserve">          4083 - TAXABLE SALES-COMPUTER EQUIPME</v>
      </c>
      <c r="C31" s="10"/>
      <c r="D31" s="2">
        <f t="shared" si="4"/>
        <v>0</v>
      </c>
      <c r="E31" s="2"/>
      <c r="F31" s="19"/>
      <c r="G31" s="2"/>
      <c r="H31" s="2">
        <f>--29.97</f>
        <v>29.97</v>
      </c>
      <c r="I31" s="2"/>
      <c r="J31" s="19"/>
      <c r="K31" s="2"/>
      <c r="L31" s="2">
        <f t="shared" si="0"/>
        <v>-29.97</v>
      </c>
      <c r="M31" s="2"/>
      <c r="N31" s="19">
        <f t="shared" si="1"/>
        <v>-1</v>
      </c>
      <c r="O31" s="10"/>
      <c r="P31" s="2">
        <f>--9.99</f>
        <v>9.99</v>
      </c>
      <c r="Q31" s="2"/>
      <c r="R31" s="19"/>
      <c r="S31" s="2"/>
      <c r="T31" s="2">
        <f>--914.33</f>
        <v>914.33</v>
      </c>
      <c r="U31" s="2"/>
      <c r="V31" s="19"/>
      <c r="W31" s="2"/>
      <c r="X31" s="2">
        <f t="shared" si="2"/>
        <v>-904.34</v>
      </c>
      <c r="Y31" s="2"/>
      <c r="Z31" s="19">
        <f t="shared" si="3"/>
        <v>-0.98907396672973646</v>
      </c>
    </row>
    <row r="32" spans="1:26" s="23" customFormat="1" hidden="1" outlineLevel="1" x14ac:dyDescent="0.25">
      <c r="A32" s="44"/>
      <c r="B32" s="10" t="str">
        <f>CONCATENATE("          ", "4086", " - ", "TAXABLE SALES-COMPUTER SUPPLIE")</f>
        <v xml:space="preserve">          4086 - TAXABLE SALES-COMPUTER SUPPLIE</v>
      </c>
      <c r="C32" s="10"/>
      <c r="D32" s="2">
        <f t="shared" si="4"/>
        <v>0</v>
      </c>
      <c r="E32" s="2"/>
      <c r="F32" s="19"/>
      <c r="G32" s="2"/>
      <c r="H32" s="2">
        <f>--9</f>
        <v>9</v>
      </c>
      <c r="I32" s="2"/>
      <c r="J32" s="19"/>
      <c r="K32" s="2"/>
      <c r="L32" s="2">
        <f t="shared" si="0"/>
        <v>-9</v>
      </c>
      <c r="M32" s="2"/>
      <c r="N32" s="19">
        <f t="shared" si="1"/>
        <v>-1</v>
      </c>
      <c r="O32" s="10"/>
      <c r="P32" s="2">
        <f t="shared" ref="P32:P36" si="7">0</f>
        <v>0</v>
      </c>
      <c r="Q32" s="2"/>
      <c r="R32" s="19"/>
      <c r="S32" s="2"/>
      <c r="T32" s="2">
        <f>--813.74</f>
        <v>813.74</v>
      </c>
      <c r="U32" s="2"/>
      <c r="V32" s="19"/>
      <c r="W32" s="2"/>
      <c r="X32" s="2">
        <f t="shared" si="2"/>
        <v>-813.74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"4125", " - ", "NON-TAXABLE SALES-TEST FORMS")</f>
        <v xml:space="preserve">          4125 - NON-TAXABLE SALES-TEST FORMS</v>
      </c>
      <c r="C33" s="10"/>
      <c r="D33" s="2">
        <f t="shared" si="4"/>
        <v>0</v>
      </c>
      <c r="E33" s="2"/>
      <c r="F33" s="19"/>
      <c r="G33" s="2"/>
      <c r="H33" s="2">
        <f>--4.54</f>
        <v>4.54</v>
      </c>
      <c r="I33" s="2"/>
      <c r="J33" s="19"/>
      <c r="K33" s="2"/>
      <c r="L33" s="2">
        <f t="shared" si="0"/>
        <v>-4.54</v>
      </c>
      <c r="M33" s="2"/>
      <c r="N33" s="19">
        <f t="shared" si="1"/>
        <v>-1</v>
      </c>
      <c r="O33" s="10"/>
      <c r="P33" s="2">
        <f t="shared" si="7"/>
        <v>0</v>
      </c>
      <c r="Q33" s="2"/>
      <c r="R33" s="19"/>
      <c r="S33" s="2"/>
      <c r="T33" s="2">
        <f>--267.61</f>
        <v>267.61</v>
      </c>
      <c r="U33" s="2"/>
      <c r="V33" s="19"/>
      <c r="W33" s="2"/>
      <c r="X33" s="2">
        <f t="shared" si="2"/>
        <v>-267.61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"4126", " - ", "NON-TAXABLE SALES-WRITING INST")</f>
        <v xml:space="preserve">          4126 - NON-TAXABLE SALES-WRITING INST</v>
      </c>
      <c r="C34" s="10"/>
      <c r="D34" s="2">
        <f t="shared" si="4"/>
        <v>0</v>
      </c>
      <c r="E34" s="2"/>
      <c r="F34" s="19"/>
      <c r="G34" s="2"/>
      <c r="H34" s="2">
        <f>--110.71</f>
        <v>110.71</v>
      </c>
      <c r="I34" s="2"/>
      <c r="J34" s="19"/>
      <c r="K34" s="2"/>
      <c r="L34" s="2">
        <f t="shared" si="0"/>
        <v>-110.71</v>
      </c>
      <c r="M34" s="2"/>
      <c r="N34" s="19">
        <f t="shared" si="1"/>
        <v>-1</v>
      </c>
      <c r="O34" s="10"/>
      <c r="P34" s="2">
        <f t="shared" si="7"/>
        <v>0</v>
      </c>
      <c r="Q34" s="2"/>
      <c r="R34" s="19"/>
      <c r="S34" s="2"/>
      <c r="T34" s="2">
        <f>--3017.29</f>
        <v>3017.29</v>
      </c>
      <c r="U34" s="2"/>
      <c r="V34" s="19"/>
      <c r="W34" s="2"/>
      <c r="X34" s="2">
        <f t="shared" si="2"/>
        <v>-3017.29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"4127", " - ", "NON-TAXABLE SALES-SCHOOL SUPPL")</f>
        <v xml:space="preserve">          4127 - NON-TAXABLE SALES-SCHOOL SUPPL</v>
      </c>
      <c r="C35" s="10"/>
      <c r="D35" s="2">
        <f t="shared" si="4"/>
        <v>0</v>
      </c>
      <c r="E35" s="2"/>
      <c r="F35" s="19"/>
      <c r="G35" s="2"/>
      <c r="H35" s="2">
        <f>--53.81</f>
        <v>53.81</v>
      </c>
      <c r="I35" s="2"/>
      <c r="J35" s="19"/>
      <c r="K35" s="2"/>
      <c r="L35" s="2">
        <f t="shared" si="0"/>
        <v>-53.81</v>
      </c>
      <c r="M35" s="2"/>
      <c r="N35" s="19">
        <f t="shared" si="1"/>
        <v>-1</v>
      </c>
      <c r="O35" s="10"/>
      <c r="P35" s="2">
        <f t="shared" si="7"/>
        <v>0</v>
      </c>
      <c r="Q35" s="2"/>
      <c r="R35" s="19"/>
      <c r="S35" s="2"/>
      <c r="T35" s="2">
        <f>--4716.22</f>
        <v>4716.22</v>
      </c>
      <c r="U35" s="2"/>
      <c r="V35" s="19"/>
      <c r="W35" s="2"/>
      <c r="X35" s="2">
        <f t="shared" si="2"/>
        <v>-4716.22</v>
      </c>
      <c r="Y35" s="2"/>
      <c r="Z35" s="19">
        <f t="shared" si="3"/>
        <v>-1</v>
      </c>
    </row>
    <row r="36" spans="1:26" s="23" customFormat="1" hidden="1" outlineLevel="1" x14ac:dyDescent="0.25">
      <c r="A36" s="44"/>
      <c r="B36" s="10" t="str">
        <f>CONCATENATE("          ", "4128", " - ", "NON-TAXABLE SALES-ART/TECH")</f>
        <v xml:space="preserve">          4128 - NON-TAXABLE SALES-ART/TECH</v>
      </c>
      <c r="C36" s="10"/>
      <c r="D36" s="2">
        <f t="shared" si="4"/>
        <v>0</v>
      </c>
      <c r="E36" s="2"/>
      <c r="F36" s="19"/>
      <c r="G36" s="2"/>
      <c r="H36" s="2">
        <f>--52.12</f>
        <v>52.12</v>
      </c>
      <c r="I36" s="2"/>
      <c r="J36" s="19"/>
      <c r="K36" s="2"/>
      <c r="L36" s="2">
        <f t="shared" si="0"/>
        <v>-52.12</v>
      </c>
      <c r="M36" s="2"/>
      <c r="N36" s="19">
        <f t="shared" si="1"/>
        <v>-1</v>
      </c>
      <c r="O36" s="10"/>
      <c r="P36" s="2">
        <f t="shared" si="7"/>
        <v>0</v>
      </c>
      <c r="Q36" s="2"/>
      <c r="R36" s="19"/>
      <c r="S36" s="2"/>
      <c r="T36" s="2">
        <f>--730.62</f>
        <v>730.62</v>
      </c>
      <c r="U36" s="2"/>
      <c r="V36" s="19"/>
      <c r="W36" s="2"/>
      <c r="X36" s="2">
        <f t="shared" si="2"/>
        <v>-730.62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"4131", " - ", "NON-TAXABLE SALES-FOOD")</f>
        <v xml:space="preserve">          4131 - NON-TAXABLE SALES-FOOD</v>
      </c>
      <c r="C37" s="10"/>
      <c r="D37" s="2">
        <f t="shared" si="4"/>
        <v>0</v>
      </c>
      <c r="E37" s="2"/>
      <c r="F37" s="19"/>
      <c r="G37" s="2"/>
      <c r="H37" s="2">
        <f>--4482.02</f>
        <v>4482.0200000000004</v>
      </c>
      <c r="I37" s="2"/>
      <c r="J37" s="19"/>
      <c r="K37" s="2"/>
      <c r="L37" s="2">
        <f t="shared" si="0"/>
        <v>-4482.0200000000004</v>
      </c>
      <c r="M37" s="2"/>
      <c r="N37" s="19">
        <f t="shared" si="1"/>
        <v>-1</v>
      </c>
      <c r="O37" s="10"/>
      <c r="P37" s="2">
        <f>--1847.16</f>
        <v>1847.16</v>
      </c>
      <c r="Q37" s="2"/>
      <c r="R37" s="19"/>
      <c r="S37" s="2"/>
      <c r="T37" s="2">
        <f>--57883.57</f>
        <v>57883.57</v>
      </c>
      <c r="U37" s="2"/>
      <c r="V37" s="19"/>
      <c r="W37" s="2"/>
      <c r="X37" s="2">
        <f t="shared" si="2"/>
        <v>-56036.409999999996</v>
      </c>
      <c r="Y37" s="2"/>
      <c r="Z37" s="19">
        <f t="shared" si="3"/>
        <v>-0.96808835391459092</v>
      </c>
    </row>
    <row r="38" spans="1:26" s="23" customFormat="1" hidden="1" outlineLevel="1" x14ac:dyDescent="0.25">
      <c r="A38" s="44"/>
      <c r="B38" s="10" t="str">
        <f>CONCATENATE("          ", "4132", " - ", "NON-TAXABLE SALES-JUICE")</f>
        <v xml:space="preserve">          4132 - NON-TAXABLE SALES-JUICE</v>
      </c>
      <c r="C38" s="10"/>
      <c r="D38" s="2">
        <f t="shared" si="4"/>
        <v>0</v>
      </c>
      <c r="E38" s="2"/>
      <c r="F38" s="19"/>
      <c r="G38" s="2"/>
      <c r="H38" s="2">
        <f>--1150.46</f>
        <v>1150.46</v>
      </c>
      <c r="I38" s="2"/>
      <c r="J38" s="19"/>
      <c r="K38" s="2"/>
      <c r="L38" s="2">
        <f t="shared" si="0"/>
        <v>-1150.46</v>
      </c>
      <c r="M38" s="2"/>
      <c r="N38" s="19">
        <f t="shared" si="1"/>
        <v>-1</v>
      </c>
      <c r="O38" s="10"/>
      <c r="P38" s="2">
        <f t="shared" ref="P38:P46" si="8">0</f>
        <v>0</v>
      </c>
      <c r="Q38" s="2"/>
      <c r="R38" s="19"/>
      <c r="S38" s="2"/>
      <c r="T38" s="2">
        <f>--16199.63</f>
        <v>16199.63</v>
      </c>
      <c r="U38" s="2"/>
      <c r="V38" s="19"/>
      <c r="W38" s="2"/>
      <c r="X38" s="2">
        <f t="shared" si="2"/>
        <v>-16199.63</v>
      </c>
      <c r="Y38" s="2"/>
      <c r="Z38" s="19">
        <f t="shared" si="3"/>
        <v>-1</v>
      </c>
    </row>
    <row r="39" spans="1:26" s="23" customFormat="1" hidden="1" outlineLevel="1" x14ac:dyDescent="0.25">
      <c r="A39" s="44"/>
      <c r="B39" s="10" t="str">
        <f>CONCATENATE("          ", "4133", " - ", "NON-TAXABLE SALES-CANDY")</f>
        <v xml:space="preserve">          4133 - NON-TAXABLE SALES-CANDY</v>
      </c>
      <c r="C39" s="10"/>
      <c r="D39" s="2">
        <f t="shared" si="4"/>
        <v>0</v>
      </c>
      <c r="E39" s="2"/>
      <c r="F39" s="19"/>
      <c r="G39" s="2"/>
      <c r="H39" s="2">
        <f>--1261.31</f>
        <v>1261.31</v>
      </c>
      <c r="I39" s="2"/>
      <c r="J39" s="19"/>
      <c r="K39" s="2"/>
      <c r="L39" s="2">
        <f t="shared" si="0"/>
        <v>-1261.31</v>
      </c>
      <c r="M39" s="2"/>
      <c r="N39" s="19">
        <f t="shared" si="1"/>
        <v>-1</v>
      </c>
      <c r="O39" s="10"/>
      <c r="P39" s="2">
        <f t="shared" si="8"/>
        <v>0</v>
      </c>
      <c r="Q39" s="2"/>
      <c r="R39" s="19"/>
      <c r="S39" s="2"/>
      <c r="T39" s="2">
        <f>--18084.29</f>
        <v>18084.29</v>
      </c>
      <c r="U39" s="2"/>
      <c r="V39" s="19"/>
      <c r="W39" s="2"/>
      <c r="X39" s="2">
        <f t="shared" si="2"/>
        <v>-18084.29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"4134", " - ", "NON-TAXABLE SALES-SODA")</f>
        <v xml:space="preserve">          4134 - NON-TAXABLE SALES-SODA</v>
      </c>
      <c r="C40" s="10"/>
      <c r="D40" s="2">
        <f t="shared" si="4"/>
        <v>0</v>
      </c>
      <c r="E40" s="2"/>
      <c r="F40" s="19"/>
      <c r="G40" s="2"/>
      <c r="H40" s="2">
        <f t="shared" ref="H40:H41" si="9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 t="shared" si="8"/>
        <v>0</v>
      </c>
      <c r="Q40" s="2"/>
      <c r="R40" s="19"/>
      <c r="S40" s="2"/>
      <c r="T40" s="2">
        <f>--1.89</f>
        <v>1.89</v>
      </c>
      <c r="U40" s="2"/>
      <c r="V40" s="19"/>
      <c r="W40" s="2"/>
      <c r="X40" s="2">
        <f t="shared" si="2"/>
        <v>-1.89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"4135", " - ", "NON-TAXABLE SALES")</f>
        <v xml:space="preserve">          4135 - NON-TAXABLE SALES</v>
      </c>
      <c r="C41" s="10"/>
      <c r="D41" s="2">
        <f t="shared" si="4"/>
        <v>0</v>
      </c>
      <c r="E41" s="2"/>
      <c r="F41" s="19"/>
      <c r="G41" s="2"/>
      <c r="H41" s="2">
        <f t="shared" si="9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8"/>
        <v>0</v>
      </c>
      <c r="Q41" s="2"/>
      <c r="R41" s="19"/>
      <c r="S41" s="2"/>
      <c r="T41" s="2">
        <f>--161.4</f>
        <v>161.4</v>
      </c>
      <c r="U41" s="2"/>
      <c r="V41" s="19"/>
      <c r="W41" s="2"/>
      <c r="X41" s="2">
        <f t="shared" si="2"/>
        <v>-161.4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"4137", " - ", "NON-TAXABLE SALES-WATER")</f>
        <v xml:space="preserve">          4137 - NON-TAXABLE SALES-WATER</v>
      </c>
      <c r="C42" s="10"/>
      <c r="D42" s="2">
        <f t="shared" si="4"/>
        <v>0</v>
      </c>
      <c r="E42" s="2"/>
      <c r="F42" s="19"/>
      <c r="G42" s="2"/>
      <c r="H42" s="2">
        <f>--623</f>
        <v>623</v>
      </c>
      <c r="I42" s="2"/>
      <c r="J42" s="19"/>
      <c r="K42" s="2"/>
      <c r="L42" s="2">
        <f t="shared" si="0"/>
        <v>-623</v>
      </c>
      <c r="M42" s="2"/>
      <c r="N42" s="19">
        <f t="shared" si="1"/>
        <v>-1</v>
      </c>
      <c r="O42" s="10"/>
      <c r="P42" s="2">
        <f t="shared" si="8"/>
        <v>0</v>
      </c>
      <c r="Q42" s="2"/>
      <c r="R42" s="19"/>
      <c r="S42" s="2"/>
      <c r="T42" s="2">
        <f>--8396.06</f>
        <v>8396.06</v>
      </c>
      <c r="U42" s="2"/>
      <c r="V42" s="19"/>
      <c r="W42" s="2"/>
      <c r="X42" s="2">
        <f t="shared" si="2"/>
        <v>-8396.06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"4186", " - ", "NON-TAXABLE SALES-COMPUTER SUP")</f>
        <v xml:space="preserve">          4186 - NON-TAXABLE SALES-COMPUTER SUP</v>
      </c>
      <c r="C43" s="10"/>
      <c r="D43" s="2">
        <f t="shared" si="4"/>
        <v>0</v>
      </c>
      <c r="E43" s="2"/>
      <c r="F43" s="19"/>
      <c r="G43" s="2"/>
      <c r="H43" s="2">
        <f t="shared" ref="H43:H44" si="10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 t="shared" si="8"/>
        <v>0</v>
      </c>
      <c r="Q43" s="2"/>
      <c r="R43" s="19"/>
      <c r="S43" s="2"/>
      <c r="T43" s="2">
        <f>-30.97</f>
        <v>-30.97</v>
      </c>
      <c r="U43" s="2"/>
      <c r="V43" s="19"/>
      <c r="W43" s="2"/>
      <c r="X43" s="2">
        <f t="shared" si="2"/>
        <v>30.97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"4217", " - ", "NON-TAXABLE SALES-DORM/HOUSEWA")</f>
        <v xml:space="preserve">          4217 - NON-TAXABLE SALES-DORM/HOUSEWA</v>
      </c>
      <c r="C44" s="10"/>
      <c r="D44" s="2">
        <f t="shared" si="4"/>
        <v>0</v>
      </c>
      <c r="E44" s="2"/>
      <c r="F44" s="19"/>
      <c r="G44" s="2"/>
      <c r="H44" s="2">
        <f t="shared" si="10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 t="shared" si="8"/>
        <v>0</v>
      </c>
      <c r="Q44" s="2"/>
      <c r="R44" s="19"/>
      <c r="S44" s="2"/>
      <c r="T44" s="2">
        <f>-2.98</f>
        <v>-2.98</v>
      </c>
      <c r="U44" s="2"/>
      <c r="V44" s="19"/>
      <c r="W44" s="2"/>
      <c r="X44" s="2">
        <f t="shared" si="2"/>
        <v>2.98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"4225", " - ", "SALES RETURN TAXABLE-TEST FORM")</f>
        <v xml:space="preserve">          4225 - SALES RETURN TAXABLE-TEST FORM</v>
      </c>
      <c r="C45" s="10"/>
      <c r="D45" s="2">
        <f t="shared" si="4"/>
        <v>0</v>
      </c>
      <c r="E45" s="2"/>
      <c r="F45" s="19"/>
      <c r="G45" s="2"/>
      <c r="H45" s="2">
        <f>-8.16</f>
        <v>-8.16</v>
      </c>
      <c r="I45" s="2"/>
      <c r="J45" s="19"/>
      <c r="K45" s="2"/>
      <c r="L45" s="2">
        <f t="shared" si="0"/>
        <v>8.16</v>
      </c>
      <c r="M45" s="2"/>
      <c r="N45" s="19">
        <f t="shared" si="1"/>
        <v>-1</v>
      </c>
      <c r="O45" s="10"/>
      <c r="P45" s="2">
        <f t="shared" si="8"/>
        <v>0</v>
      </c>
      <c r="Q45" s="2"/>
      <c r="R45" s="19"/>
      <c r="S45" s="2"/>
      <c r="T45" s="2">
        <f>-176.41</f>
        <v>-176.41</v>
      </c>
      <c r="U45" s="2"/>
      <c r="V45" s="19"/>
      <c r="W45" s="2"/>
      <c r="X45" s="2">
        <f t="shared" si="2"/>
        <v>176.41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"4226", " - ", "SALES RETURN TAXABLE-WRITING I")</f>
        <v xml:space="preserve">          4226 - SALES RETURN TAXABLE-WRITING I</v>
      </c>
      <c r="C46" s="10"/>
      <c r="D46" s="2">
        <f t="shared" si="4"/>
        <v>0</v>
      </c>
      <c r="E46" s="2"/>
      <c r="F46" s="19"/>
      <c r="G46" s="2"/>
      <c r="H46" s="2">
        <f>-11.25</f>
        <v>-11.25</v>
      </c>
      <c r="I46" s="2"/>
      <c r="J46" s="19"/>
      <c r="K46" s="2"/>
      <c r="L46" s="2">
        <f t="shared" si="0"/>
        <v>11.25</v>
      </c>
      <c r="M46" s="2"/>
      <c r="N46" s="19">
        <f t="shared" si="1"/>
        <v>-1</v>
      </c>
      <c r="O46" s="10"/>
      <c r="P46" s="2">
        <f t="shared" si="8"/>
        <v>0</v>
      </c>
      <c r="Q46" s="2"/>
      <c r="R46" s="19"/>
      <c r="S46" s="2"/>
      <c r="T46" s="2">
        <f>-630.24</f>
        <v>-630.24</v>
      </c>
      <c r="U46" s="2"/>
      <c r="V46" s="19"/>
      <c r="W46" s="2"/>
      <c r="X46" s="2">
        <f t="shared" si="2"/>
        <v>630.24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"4227", " - ", "SALES RETURN TAXABLE-SCHOOL SU")</f>
        <v xml:space="preserve">          4227 - SALES RETURN TAXABLE-SCHOOL SU</v>
      </c>
      <c r="C47" s="10"/>
      <c r="D47" s="2">
        <f t="shared" si="4"/>
        <v>0</v>
      </c>
      <c r="E47" s="2"/>
      <c r="F47" s="19"/>
      <c r="G47" s="2"/>
      <c r="H47" s="2">
        <f>-979.19</f>
        <v>-979.19</v>
      </c>
      <c r="I47" s="2"/>
      <c r="J47" s="19"/>
      <c r="K47" s="2"/>
      <c r="L47" s="2">
        <f t="shared" si="0"/>
        <v>979.19</v>
      </c>
      <c r="M47" s="2"/>
      <c r="N47" s="19">
        <f t="shared" si="1"/>
        <v>-1</v>
      </c>
      <c r="O47" s="10"/>
      <c r="P47" s="2">
        <f>-159.97</f>
        <v>-159.97</v>
      </c>
      <c r="Q47" s="2"/>
      <c r="R47" s="19"/>
      <c r="S47" s="2"/>
      <c r="T47" s="2">
        <f>-8593.61</f>
        <v>-8593.61</v>
      </c>
      <c r="U47" s="2"/>
      <c r="V47" s="19"/>
      <c r="W47" s="2"/>
      <c r="X47" s="2">
        <f t="shared" si="2"/>
        <v>8433.6400000000012</v>
      </c>
      <c r="Y47" s="2"/>
      <c r="Z47" s="19">
        <f t="shared" si="3"/>
        <v>-0.98138500583573152</v>
      </c>
    </row>
    <row r="48" spans="1:26" s="23" customFormat="1" hidden="1" outlineLevel="1" x14ac:dyDescent="0.25">
      <c r="A48" s="44"/>
      <c r="B48" s="10" t="str">
        <f>CONCATENATE("          ", "4228", " - ", "SALES RETURN TAXABLE-ART/TECH")</f>
        <v xml:space="preserve">          4228 - SALES RETURN TAXABLE-ART/TECH</v>
      </c>
      <c r="C48" s="10"/>
      <c r="D48" s="2">
        <f t="shared" si="4"/>
        <v>0</v>
      </c>
      <c r="E48" s="2"/>
      <c r="F48" s="19"/>
      <c r="G48" s="2"/>
      <c r="H48" s="2">
        <f>-139.18</f>
        <v>-139.18</v>
      </c>
      <c r="I48" s="2"/>
      <c r="J48" s="19"/>
      <c r="K48" s="2"/>
      <c r="L48" s="2">
        <f t="shared" si="0"/>
        <v>139.18</v>
      </c>
      <c r="M48" s="2"/>
      <c r="N48" s="19">
        <f t="shared" si="1"/>
        <v>-1</v>
      </c>
      <c r="O48" s="10"/>
      <c r="P48" s="2">
        <f>-222.2</f>
        <v>-222.2</v>
      </c>
      <c r="Q48" s="2"/>
      <c r="R48" s="19"/>
      <c r="S48" s="2"/>
      <c r="T48" s="2">
        <f>-4739.1</f>
        <v>-4739.1000000000004</v>
      </c>
      <c r="U48" s="2"/>
      <c r="V48" s="19"/>
      <c r="W48" s="2"/>
      <c r="X48" s="2">
        <f t="shared" si="2"/>
        <v>4516.9000000000005</v>
      </c>
      <c r="Y48" s="2"/>
      <c r="Z48" s="19">
        <f t="shared" si="3"/>
        <v>-0.9531134603616721</v>
      </c>
    </row>
    <row r="49" spans="1:26" s="23" customFormat="1" hidden="1" outlineLevel="1" x14ac:dyDescent="0.25">
      <c r="A49" s="44"/>
      <c r="B49" s="10" t="str">
        <f>CONCATENATE("          ", "4233", " - ", "SALES RETURN TAXABLE-CANDY")</f>
        <v xml:space="preserve">          4233 - SALES RETURN TAXABLE-CANDY</v>
      </c>
      <c r="C49" s="10"/>
      <c r="D49" s="2">
        <f t="shared" si="4"/>
        <v>0</v>
      </c>
      <c r="E49" s="2"/>
      <c r="F49" s="19"/>
      <c r="G49" s="2"/>
      <c r="H49" s="2">
        <f>-6.96</f>
        <v>-6.96</v>
      </c>
      <c r="I49" s="2"/>
      <c r="J49" s="19"/>
      <c r="K49" s="2"/>
      <c r="L49" s="2">
        <f t="shared" si="0"/>
        <v>6.96</v>
      </c>
      <c r="M49" s="2"/>
      <c r="N49" s="19">
        <f t="shared" si="1"/>
        <v>-1</v>
      </c>
      <c r="O49" s="10"/>
      <c r="P49" s="2">
        <f t="shared" ref="P49:P53" si="11">0</f>
        <v>0</v>
      </c>
      <c r="Q49" s="2"/>
      <c r="R49" s="19"/>
      <c r="S49" s="2"/>
      <c r="T49" s="2">
        <f>-8.25</f>
        <v>-8.25</v>
      </c>
      <c r="U49" s="2"/>
      <c r="V49" s="19"/>
      <c r="W49" s="2"/>
      <c r="X49" s="2">
        <f t="shared" si="2"/>
        <v>8.25</v>
      </c>
      <c r="Y49" s="2"/>
      <c r="Z49" s="19">
        <f t="shared" si="3"/>
        <v>-1</v>
      </c>
    </row>
    <row r="50" spans="1:26" s="23" customFormat="1" hidden="1" outlineLevel="1" x14ac:dyDescent="0.25">
      <c r="A50" s="44"/>
      <c r="B50" s="10" t="str">
        <f>CONCATENATE("          ", "4281", " - ", "SALES RETURN TAXABLE-ELECTRONI")</f>
        <v xml:space="preserve">          4281 - SALES RETURN TAXABLE-ELECTRONI</v>
      </c>
      <c r="C50" s="10"/>
      <c r="D50" s="2">
        <f t="shared" si="4"/>
        <v>0</v>
      </c>
      <c r="E50" s="2"/>
      <c r="F50" s="19"/>
      <c r="G50" s="2"/>
      <c r="H50" s="2">
        <f t="shared" ref="H50:H51" si="12"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 t="shared" si="11"/>
        <v>0</v>
      </c>
      <c r="Q50" s="2"/>
      <c r="R50" s="19"/>
      <c r="S50" s="2"/>
      <c r="T50" s="2">
        <f>-54.97</f>
        <v>-54.97</v>
      </c>
      <c r="U50" s="2"/>
      <c r="V50" s="19"/>
      <c r="W50" s="2"/>
      <c r="X50" s="2">
        <f t="shared" si="2"/>
        <v>54.97</v>
      </c>
      <c r="Y50" s="2"/>
      <c r="Z50" s="19">
        <f t="shared" si="3"/>
        <v>-1</v>
      </c>
    </row>
    <row r="51" spans="1:26" s="23" customFormat="1" hidden="1" outlineLevel="1" x14ac:dyDescent="0.25">
      <c r="A51" s="44"/>
      <c r="B51" s="10" t="str">
        <f>CONCATENATE("          ", "4327", " - ", "SALES RETURN NON TAXABLE-SCHOO")</f>
        <v xml:space="preserve">          4327 - SALES RETURN NON TAXABLE-SCHOO</v>
      </c>
      <c r="C51" s="10"/>
      <c r="D51" s="2">
        <f t="shared" si="4"/>
        <v>0</v>
      </c>
      <c r="E51" s="2"/>
      <c r="F51" s="19"/>
      <c r="G51" s="2"/>
      <c r="H51" s="2">
        <f t="shared" si="12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 t="shared" si="11"/>
        <v>0</v>
      </c>
      <c r="Q51" s="2"/>
      <c r="R51" s="19"/>
      <c r="S51" s="2"/>
      <c r="T51" s="2">
        <f>-21.87</f>
        <v>-21.87</v>
      </c>
      <c r="U51" s="2"/>
      <c r="V51" s="19"/>
      <c r="W51" s="2"/>
      <c r="X51" s="2">
        <f t="shared" si="2"/>
        <v>21.87</v>
      </c>
      <c r="Y51" s="2"/>
      <c r="Z51" s="19">
        <f t="shared" si="3"/>
        <v>-1</v>
      </c>
    </row>
    <row r="52" spans="1:26" s="23" customFormat="1" hidden="1" outlineLevel="1" x14ac:dyDescent="0.25">
      <c r="A52" s="44"/>
      <c r="B52" s="10" t="str">
        <f>CONCATENATE("          ", "4331", " - ", "SALES RETURN NON TAXABLE-FOOD")</f>
        <v xml:space="preserve">          4331 - SALES RETURN NON TAXABLE-FOOD</v>
      </c>
      <c r="C52" s="10"/>
      <c r="D52" s="2">
        <f t="shared" si="4"/>
        <v>0</v>
      </c>
      <c r="E52" s="2"/>
      <c r="F52" s="19"/>
      <c r="G52" s="2"/>
      <c r="H52" s="2">
        <f>-4.99</f>
        <v>-4.99</v>
      </c>
      <c r="I52" s="2"/>
      <c r="J52" s="19"/>
      <c r="K52" s="2"/>
      <c r="L52" s="2">
        <f t="shared" si="0"/>
        <v>4.99</v>
      </c>
      <c r="M52" s="2"/>
      <c r="N52" s="19">
        <f t="shared" si="1"/>
        <v>-1</v>
      </c>
      <c r="O52" s="10"/>
      <c r="P52" s="2">
        <f t="shared" si="11"/>
        <v>0</v>
      </c>
      <c r="Q52" s="2"/>
      <c r="R52" s="19"/>
      <c r="S52" s="2"/>
      <c r="T52" s="2">
        <f>-12.57</f>
        <v>-12.57</v>
      </c>
      <c r="U52" s="2"/>
      <c r="V52" s="19"/>
      <c r="W52" s="2"/>
      <c r="X52" s="2">
        <f t="shared" si="2"/>
        <v>12.57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"4332", " - ", "SALES RETURN NON TAXABLE-JUICE")</f>
        <v xml:space="preserve">          4332 - SALES RETURN NON TAXABLE-JUICE</v>
      </c>
      <c r="C53" s="10"/>
      <c r="D53" s="2">
        <f t="shared" si="4"/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0"/>
      <c r="P53" s="2">
        <f t="shared" si="11"/>
        <v>0</v>
      </c>
      <c r="Q53" s="2"/>
      <c r="R53" s="19"/>
      <c r="S53" s="2"/>
      <c r="T53" s="2">
        <f>-2.79</f>
        <v>-2.79</v>
      </c>
      <c r="U53" s="2"/>
      <c r="V53" s="19"/>
      <c r="W53" s="2"/>
      <c r="X53" s="2">
        <f t="shared" si="2"/>
        <v>2.79</v>
      </c>
      <c r="Y53" s="2"/>
      <c r="Z53" s="19">
        <f t="shared" si="3"/>
        <v>-1</v>
      </c>
    </row>
    <row r="54" spans="1:26" x14ac:dyDescent="0.25">
      <c r="A54" s="9"/>
      <c r="B54" s="11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collapsed="1" x14ac:dyDescent="0.25">
      <c r="A55" s="11"/>
      <c r="B55" s="28" t="s">
        <v>256</v>
      </c>
      <c r="C55" s="11"/>
      <c r="D55" s="4">
        <f>SUM(OSRRefD16x_0)</f>
        <v>30.48</v>
      </c>
      <c r="E55" s="4"/>
      <c r="F55" s="13">
        <f t="shared" ref="F55:F79" si="13">IF(D$12=0,0,D55/D$12)</f>
        <v>0</v>
      </c>
      <c r="G55" s="4"/>
      <c r="H55" s="4">
        <f>SUM(OSRRefH16x_0)</f>
        <v>20741.480000000003</v>
      </c>
      <c r="I55" s="4"/>
      <c r="J55" s="13">
        <f t="shared" ref="J55:J79" si="14">IF(H$12=0,0,H55/H$12)</f>
        <v>0.50790788471950388</v>
      </c>
      <c r="K55" s="4"/>
      <c r="L55" s="4">
        <f t="shared" ref="L55:L79" si="15">+D55-H55</f>
        <v>-20711.000000000004</v>
      </c>
      <c r="M55" s="4"/>
      <c r="N55" s="13">
        <f t="shared" ref="N55:N79" si="16">IF(H55=0,0,L55/H55)</f>
        <v>-0.9985304809492862</v>
      </c>
      <c r="O55" s="11"/>
      <c r="P55" s="4">
        <f>SUM(OSRRefP16x_0)</f>
        <v>13773.499999999995</v>
      </c>
      <c r="Q55" s="4"/>
      <c r="R55" s="13">
        <f t="shared" ref="R55:R79" si="17">IF(P$12=0,0,P55/P$12)</f>
        <v>0.64628151757326391</v>
      </c>
      <c r="S55" s="4"/>
      <c r="T55" s="4">
        <f>SUM(OSRRefT16x_0)</f>
        <v>406443.02999999991</v>
      </c>
      <c r="U55" s="4"/>
      <c r="V55" s="13">
        <f t="shared" ref="V55:V79" si="18">IF(T$12=0,0,T55/T$12)</f>
        <v>0.50082920106730378</v>
      </c>
      <c r="W55" s="4"/>
      <c r="X55" s="4">
        <f t="shared" ref="X55:X79" si="19">+P55-T55</f>
        <v>-392669.52999999991</v>
      </c>
      <c r="Y55" s="4"/>
      <c r="Z55" s="13">
        <f t="shared" ref="Z55:Z79" si="20">IF(T55=0,0,X55/T55)</f>
        <v>-0.96611210186086838</v>
      </c>
    </row>
    <row r="56" spans="1:26" s="23" customFormat="1" hidden="1" outlineLevel="1" x14ac:dyDescent="0.25">
      <c r="A56" s="44"/>
      <c r="B56" s="10" t="str">
        <f>CONCATENATE("          ", "5000", " - ", "PURCHASES @ COST")</f>
        <v xml:space="preserve">          5000 - PURCHASES @ COST</v>
      </c>
      <c r="C56" s="10"/>
      <c r="D56" s="2"/>
      <c r="E56" s="2"/>
      <c r="F56" s="19">
        <f t="shared" si="13"/>
        <v>0</v>
      </c>
      <c r="G56" s="2"/>
      <c r="H56" s="2"/>
      <c r="I56" s="2"/>
      <c r="J56" s="19">
        <f t="shared" si="14"/>
        <v>0</v>
      </c>
      <c r="K56" s="2"/>
      <c r="L56" s="2">
        <f t="shared" si="15"/>
        <v>0</v>
      </c>
      <c r="M56" s="2"/>
      <c r="N56" s="19">
        <f t="shared" si="16"/>
        <v>0</v>
      </c>
      <c r="O56" s="10"/>
      <c r="P56" s="2"/>
      <c r="Q56" s="2"/>
      <c r="R56" s="19">
        <f t="shared" si="17"/>
        <v>0</v>
      </c>
      <c r="S56" s="2"/>
      <c r="T56" s="2">
        <v>0</v>
      </c>
      <c r="U56" s="2"/>
      <c r="V56" s="19">
        <f t="shared" si="18"/>
        <v>0</v>
      </c>
      <c r="W56" s="2"/>
      <c r="X56" s="2">
        <f t="shared" si="19"/>
        <v>0</v>
      </c>
      <c r="Y56" s="2"/>
      <c r="Z56" s="19">
        <f t="shared" si="20"/>
        <v>0</v>
      </c>
    </row>
    <row r="57" spans="1:26" s="23" customFormat="1" hidden="1" outlineLevel="1" x14ac:dyDescent="0.25">
      <c r="A57" s="44"/>
      <c r="B57" s="10" t="str">
        <f>CONCATENATE("          ", "5014", " - ", "PURCHASES @ COST-REMAINDERS")</f>
        <v xml:space="preserve">          5014 - PURCHASES @ COST-REMAINDERS</v>
      </c>
      <c r="C57" s="10"/>
      <c r="D57" s="2"/>
      <c r="E57" s="2"/>
      <c r="F57" s="19">
        <f t="shared" si="13"/>
        <v>0</v>
      </c>
      <c r="G57" s="2"/>
      <c r="H57" s="2"/>
      <c r="I57" s="2"/>
      <c r="J57" s="19">
        <f t="shared" si="14"/>
        <v>0</v>
      </c>
      <c r="K57" s="2"/>
      <c r="L57" s="2">
        <f t="shared" si="15"/>
        <v>0</v>
      </c>
      <c r="M57" s="2"/>
      <c r="N57" s="19">
        <f t="shared" si="16"/>
        <v>0</v>
      </c>
      <c r="O57" s="10"/>
      <c r="P57" s="2"/>
      <c r="Q57" s="2"/>
      <c r="R57" s="19">
        <f t="shared" si="17"/>
        <v>0</v>
      </c>
      <c r="S57" s="2"/>
      <c r="T57" s="2">
        <v>14.46</v>
      </c>
      <c r="U57" s="2"/>
      <c r="V57" s="19">
        <f t="shared" si="18"/>
        <v>1.7817971309369516E-5</v>
      </c>
      <c r="W57" s="2"/>
      <c r="X57" s="2">
        <f t="shared" si="19"/>
        <v>-14.46</v>
      </c>
      <c r="Y57" s="2"/>
      <c r="Z57" s="19">
        <f t="shared" si="20"/>
        <v>-1</v>
      </c>
    </row>
    <row r="58" spans="1:26" s="23" customFormat="1" hidden="1" outlineLevel="1" x14ac:dyDescent="0.25">
      <c r="A58" s="44"/>
      <c r="B58" s="10" t="str">
        <f>CONCATENATE("          ", "5017", " - ", "PURCHASES @ COST-DORM/HOUSEWAR")</f>
        <v xml:space="preserve">          5017 - PURCHASES @ COST-DORM/HOUSEWAR</v>
      </c>
      <c r="C58" s="10"/>
      <c r="D58" s="2"/>
      <c r="E58" s="2"/>
      <c r="F58" s="19">
        <f t="shared" si="13"/>
        <v>0</v>
      </c>
      <c r="G58" s="2"/>
      <c r="H58" s="2">
        <v>14.46</v>
      </c>
      <c r="I58" s="2"/>
      <c r="J58" s="19">
        <f t="shared" si="14"/>
        <v>3.5408987271130245E-4</v>
      </c>
      <c r="K58" s="2"/>
      <c r="L58" s="2">
        <f t="shared" si="15"/>
        <v>-14.46</v>
      </c>
      <c r="M58" s="2"/>
      <c r="N58" s="19">
        <f t="shared" si="16"/>
        <v>-1</v>
      </c>
      <c r="O58" s="10"/>
      <c r="P58" s="2"/>
      <c r="Q58" s="2"/>
      <c r="R58" s="19">
        <f t="shared" si="17"/>
        <v>0</v>
      </c>
      <c r="S58" s="2"/>
      <c r="T58" s="2">
        <v>14.46</v>
      </c>
      <c r="U58" s="2"/>
      <c r="V58" s="19">
        <f t="shared" si="18"/>
        <v>1.7817971309369516E-5</v>
      </c>
      <c r="W58" s="2"/>
      <c r="X58" s="2">
        <f t="shared" si="19"/>
        <v>-14.46</v>
      </c>
      <c r="Y58" s="2"/>
      <c r="Z58" s="19">
        <f t="shared" si="20"/>
        <v>-1</v>
      </c>
    </row>
    <row r="59" spans="1:26" s="23" customFormat="1" hidden="1" outlineLevel="1" x14ac:dyDescent="0.25">
      <c r="A59" s="44"/>
      <c r="B59" s="10" t="str">
        <f>CONCATENATE("          ", "5025", " - ", "PURCHASES @ COST-TEST FORMS")</f>
        <v xml:space="preserve">          5025 - PURCHASES @ COST-TEST FORMS</v>
      </c>
      <c r="C59" s="10"/>
      <c r="D59" s="2"/>
      <c r="E59" s="2"/>
      <c r="F59" s="19">
        <f t="shared" si="13"/>
        <v>0</v>
      </c>
      <c r="G59" s="2"/>
      <c r="H59" s="2">
        <v>-1</v>
      </c>
      <c r="I59" s="2"/>
      <c r="J59" s="19">
        <f t="shared" si="14"/>
        <v>-2.4487543064405424E-5</v>
      </c>
      <c r="K59" s="2"/>
      <c r="L59" s="2">
        <f t="shared" si="15"/>
        <v>1</v>
      </c>
      <c r="M59" s="2"/>
      <c r="N59" s="19">
        <f t="shared" si="16"/>
        <v>-1</v>
      </c>
      <c r="O59" s="10"/>
      <c r="P59" s="2"/>
      <c r="Q59" s="2"/>
      <c r="R59" s="19">
        <f t="shared" si="17"/>
        <v>0</v>
      </c>
      <c r="S59" s="2"/>
      <c r="T59" s="2">
        <v>26394.33</v>
      </c>
      <c r="U59" s="2"/>
      <c r="V59" s="19">
        <f t="shared" si="18"/>
        <v>3.2523749285617645E-2</v>
      </c>
      <c r="W59" s="2"/>
      <c r="X59" s="2">
        <f t="shared" si="19"/>
        <v>-26394.33</v>
      </c>
      <c r="Y59" s="2"/>
      <c r="Z59" s="19">
        <f t="shared" si="20"/>
        <v>-1</v>
      </c>
    </row>
    <row r="60" spans="1:26" s="23" customFormat="1" hidden="1" outlineLevel="1" x14ac:dyDescent="0.25">
      <c r="A60" s="44"/>
      <c r="B60" s="10" t="str">
        <f>CONCATENATE("          ", "5026", " - ", "PURCHASES @ COST-WRITING INSTR")</f>
        <v xml:space="preserve">          5026 - PURCHASES @ COST-WRITING INSTR</v>
      </c>
      <c r="C60" s="10"/>
      <c r="D60" s="2">
        <v>0</v>
      </c>
      <c r="E60" s="2"/>
      <c r="F60" s="19">
        <f t="shared" si="13"/>
        <v>0</v>
      </c>
      <c r="G60" s="2"/>
      <c r="H60" s="2">
        <v>3209.26</v>
      </c>
      <c r="I60" s="2"/>
      <c r="J60" s="19">
        <f t="shared" si="14"/>
        <v>7.8586892454873755E-2</v>
      </c>
      <c r="K60" s="2"/>
      <c r="L60" s="2">
        <f t="shared" si="15"/>
        <v>-3209.26</v>
      </c>
      <c r="M60" s="2"/>
      <c r="N60" s="19">
        <f t="shared" si="16"/>
        <v>-1</v>
      </c>
      <c r="O60" s="10"/>
      <c r="P60" s="2">
        <v>364.91</v>
      </c>
      <c r="Q60" s="2"/>
      <c r="R60" s="19">
        <f t="shared" si="17"/>
        <v>1.7122342801587094E-2</v>
      </c>
      <c r="S60" s="2"/>
      <c r="T60" s="2">
        <v>47773.2</v>
      </c>
      <c r="U60" s="2"/>
      <c r="V60" s="19">
        <f t="shared" si="18"/>
        <v>5.8867324132556825E-2</v>
      </c>
      <c r="W60" s="2"/>
      <c r="X60" s="2">
        <f t="shared" si="19"/>
        <v>-47408.289999999994</v>
      </c>
      <c r="Y60" s="2"/>
      <c r="Z60" s="19">
        <f t="shared" si="20"/>
        <v>-0.9923616169735332</v>
      </c>
    </row>
    <row r="61" spans="1:26" s="23" customFormat="1" hidden="1" outlineLevel="1" x14ac:dyDescent="0.25">
      <c r="A61" s="44"/>
      <c r="B61" s="10" t="str">
        <f>CONCATENATE("          ", "5027", " - ", "PURCHASES @ COST-SCHOOL SUPPLI")</f>
        <v xml:space="preserve">          5027 - PURCHASES @ COST-SCHOOL SUPPLI</v>
      </c>
      <c r="C61" s="10"/>
      <c r="D61" s="2"/>
      <c r="E61" s="2"/>
      <c r="F61" s="19">
        <f t="shared" si="13"/>
        <v>0</v>
      </c>
      <c r="G61" s="2"/>
      <c r="H61" s="2">
        <v>19253.84</v>
      </c>
      <c r="I61" s="2"/>
      <c r="J61" s="19">
        <f t="shared" si="14"/>
        <v>0.47147923615517173</v>
      </c>
      <c r="K61" s="2"/>
      <c r="L61" s="2">
        <f t="shared" si="15"/>
        <v>-19253.84</v>
      </c>
      <c r="M61" s="2"/>
      <c r="N61" s="19">
        <f t="shared" si="16"/>
        <v>-1</v>
      </c>
      <c r="O61" s="10"/>
      <c r="P61" s="2">
        <v>895.47</v>
      </c>
      <c r="Q61" s="2"/>
      <c r="R61" s="19">
        <f t="shared" si="17"/>
        <v>4.201733114613794E-2</v>
      </c>
      <c r="S61" s="2"/>
      <c r="T61" s="2">
        <v>137279.59</v>
      </c>
      <c r="U61" s="2"/>
      <c r="V61" s="19">
        <f t="shared" si="18"/>
        <v>0.16915932199045713</v>
      </c>
      <c r="W61" s="2"/>
      <c r="X61" s="2">
        <f t="shared" si="19"/>
        <v>-136384.12</v>
      </c>
      <c r="Y61" s="2"/>
      <c r="Z61" s="19">
        <f t="shared" si="20"/>
        <v>-0.99347703471433735</v>
      </c>
    </row>
    <row r="62" spans="1:26" s="23" customFormat="1" hidden="1" outlineLevel="1" x14ac:dyDescent="0.25">
      <c r="A62" s="44"/>
      <c r="B62" s="10" t="str">
        <f>CONCATENATE("          ", "5028", " - ", "PURCHASES @ COST-ART/TECH")</f>
        <v xml:space="preserve">          5028 - PURCHASES @ COST-ART/TECH</v>
      </c>
      <c r="C62" s="10"/>
      <c r="D62" s="2"/>
      <c r="E62" s="2"/>
      <c r="F62" s="19">
        <f t="shared" si="13"/>
        <v>0</v>
      </c>
      <c r="G62" s="2"/>
      <c r="H62" s="2">
        <v>4417.37</v>
      </c>
      <c r="I62" s="2"/>
      <c r="J62" s="19">
        <f t="shared" si="14"/>
        <v>0.10817053810641258</v>
      </c>
      <c r="K62" s="2"/>
      <c r="L62" s="2">
        <f t="shared" si="15"/>
        <v>-4417.37</v>
      </c>
      <c r="M62" s="2"/>
      <c r="N62" s="19">
        <f t="shared" si="16"/>
        <v>-1</v>
      </c>
      <c r="O62" s="10"/>
      <c r="P62" s="2">
        <v>41441.85</v>
      </c>
      <c r="Q62" s="2"/>
      <c r="R62" s="19">
        <f t="shared" si="17"/>
        <v>1.9445385493188789</v>
      </c>
      <c r="S62" s="2"/>
      <c r="T62" s="2">
        <v>151070.15</v>
      </c>
      <c r="U62" s="2"/>
      <c r="V62" s="19">
        <f t="shared" si="18"/>
        <v>0.18615239269724407</v>
      </c>
      <c r="W62" s="2"/>
      <c r="X62" s="2">
        <f t="shared" si="19"/>
        <v>-109628.29999999999</v>
      </c>
      <c r="Y62" s="2"/>
      <c r="Z62" s="19">
        <f t="shared" si="20"/>
        <v>-0.72567810384778197</v>
      </c>
    </row>
    <row r="63" spans="1:26" s="23" customFormat="1" hidden="1" outlineLevel="1" x14ac:dyDescent="0.25">
      <c r="A63" s="44"/>
      <c r="B63" s="10" t="str">
        <f>CONCATENATE("          ", "5031", " - ", "PURCHASES @ COST-FOOD")</f>
        <v xml:space="preserve">          5031 - PURCHASES @ COST-FOOD</v>
      </c>
      <c r="C63" s="10"/>
      <c r="D63" s="2"/>
      <c r="E63" s="2"/>
      <c r="F63" s="19">
        <f t="shared" si="13"/>
        <v>0</v>
      </c>
      <c r="G63" s="2"/>
      <c r="H63" s="2">
        <v>3113.82</v>
      </c>
      <c r="I63" s="2"/>
      <c r="J63" s="19">
        <f t="shared" si="14"/>
        <v>7.6249801344806897E-2</v>
      </c>
      <c r="K63" s="2"/>
      <c r="L63" s="2">
        <f t="shared" si="15"/>
        <v>-3113.82</v>
      </c>
      <c r="M63" s="2"/>
      <c r="N63" s="19">
        <f t="shared" si="16"/>
        <v>-1</v>
      </c>
      <c r="O63" s="10"/>
      <c r="P63" s="2">
        <v>2441.5700000000002</v>
      </c>
      <c r="Q63" s="2"/>
      <c r="R63" s="19">
        <f t="shared" si="17"/>
        <v>0.11456358695040149</v>
      </c>
      <c r="S63" s="2"/>
      <c r="T63" s="2">
        <v>33239.879999999997</v>
      </c>
      <c r="U63" s="2"/>
      <c r="V63" s="19">
        <f t="shared" si="18"/>
        <v>4.0959006097294991E-2</v>
      </c>
      <c r="W63" s="2"/>
      <c r="X63" s="2">
        <f t="shared" si="19"/>
        <v>-30798.309999999998</v>
      </c>
      <c r="Y63" s="2"/>
      <c r="Z63" s="19">
        <f t="shared" si="20"/>
        <v>-0.92654696707689677</v>
      </c>
    </row>
    <row r="64" spans="1:26" s="23" customFormat="1" hidden="1" outlineLevel="1" x14ac:dyDescent="0.25">
      <c r="A64" s="44"/>
      <c r="B64" s="10" t="str">
        <f>CONCATENATE("          ", "5032", " - ", "PURCHASES @ COST-JUICE")</f>
        <v xml:space="preserve">          5032 - PURCHASES @ COST-JUICE</v>
      </c>
      <c r="C64" s="10"/>
      <c r="D64" s="2"/>
      <c r="E64" s="2"/>
      <c r="F64" s="19">
        <f t="shared" si="13"/>
        <v>0</v>
      </c>
      <c r="G64" s="2"/>
      <c r="H64" s="2">
        <v>688.97</v>
      </c>
      <c r="I64" s="2"/>
      <c r="J64" s="19">
        <f t="shared" si="14"/>
        <v>1.6871182545083404E-2</v>
      </c>
      <c r="K64" s="2"/>
      <c r="L64" s="2">
        <f t="shared" si="15"/>
        <v>-688.97</v>
      </c>
      <c r="M64" s="2"/>
      <c r="N64" s="19">
        <f t="shared" si="16"/>
        <v>-1</v>
      </c>
      <c r="O64" s="10"/>
      <c r="P64" s="2"/>
      <c r="Q64" s="2"/>
      <c r="R64" s="19">
        <f t="shared" si="17"/>
        <v>0</v>
      </c>
      <c r="S64" s="2"/>
      <c r="T64" s="2">
        <v>7802.45</v>
      </c>
      <c r="U64" s="2"/>
      <c r="V64" s="19">
        <f t="shared" si="18"/>
        <v>9.6143727692109392E-3</v>
      </c>
      <c r="W64" s="2"/>
      <c r="X64" s="2">
        <f t="shared" si="19"/>
        <v>-7802.45</v>
      </c>
      <c r="Y64" s="2"/>
      <c r="Z64" s="19">
        <f t="shared" si="20"/>
        <v>-1</v>
      </c>
    </row>
    <row r="65" spans="1:26" s="23" customFormat="1" hidden="1" outlineLevel="1" x14ac:dyDescent="0.25">
      <c r="A65" s="44"/>
      <c r="B65" s="10" t="str">
        <f>CONCATENATE("          ", "5033", " - ", "PURCHASES @ COST-CANDY")</f>
        <v xml:space="preserve">          5033 - PURCHASES @ COST-CANDY</v>
      </c>
      <c r="C65" s="10"/>
      <c r="D65" s="2"/>
      <c r="E65" s="2"/>
      <c r="F65" s="19">
        <f t="shared" si="13"/>
        <v>0</v>
      </c>
      <c r="G65" s="2"/>
      <c r="H65" s="2">
        <v>1198.55</v>
      </c>
      <c r="I65" s="2"/>
      <c r="J65" s="19">
        <f t="shared" si="14"/>
        <v>2.9349544739843119E-2</v>
      </c>
      <c r="K65" s="2"/>
      <c r="L65" s="2">
        <f t="shared" si="15"/>
        <v>-1198.55</v>
      </c>
      <c r="M65" s="2"/>
      <c r="N65" s="19">
        <f t="shared" si="16"/>
        <v>-1</v>
      </c>
      <c r="O65" s="10"/>
      <c r="P65" s="2"/>
      <c r="Q65" s="2"/>
      <c r="R65" s="19">
        <f t="shared" si="17"/>
        <v>0</v>
      </c>
      <c r="S65" s="2"/>
      <c r="T65" s="2">
        <v>10023.61</v>
      </c>
      <c r="U65" s="2"/>
      <c r="V65" s="19">
        <f t="shared" si="18"/>
        <v>1.2351341313714341E-2</v>
      </c>
      <c r="W65" s="2"/>
      <c r="X65" s="2">
        <f t="shared" si="19"/>
        <v>-10023.61</v>
      </c>
      <c r="Y65" s="2"/>
      <c r="Z65" s="19">
        <f t="shared" si="20"/>
        <v>-1</v>
      </c>
    </row>
    <row r="66" spans="1:26" s="23" customFormat="1" hidden="1" outlineLevel="1" x14ac:dyDescent="0.25">
      <c r="A66" s="44"/>
      <c r="B66" s="10" t="str">
        <f>CONCATENATE("          ", "5034", " - ", "PURCHASES @ COST-SODA")</f>
        <v xml:space="preserve">          5034 - PURCHASES @ COST-SODA</v>
      </c>
      <c r="C66" s="10"/>
      <c r="D66" s="2"/>
      <c r="E66" s="2"/>
      <c r="F66" s="19">
        <f t="shared" si="13"/>
        <v>0</v>
      </c>
      <c r="G66" s="2"/>
      <c r="H66" s="2">
        <v>271.79000000000002</v>
      </c>
      <c r="I66" s="2"/>
      <c r="J66" s="19">
        <f t="shared" si="14"/>
        <v>6.6554693294747502E-3</v>
      </c>
      <c r="K66" s="2"/>
      <c r="L66" s="2">
        <f t="shared" si="15"/>
        <v>-271.79000000000002</v>
      </c>
      <c r="M66" s="2"/>
      <c r="N66" s="19">
        <f t="shared" si="16"/>
        <v>-1</v>
      </c>
      <c r="O66" s="10"/>
      <c r="P66" s="2"/>
      <c r="Q66" s="2"/>
      <c r="R66" s="19">
        <f t="shared" si="17"/>
        <v>0</v>
      </c>
      <c r="S66" s="2"/>
      <c r="T66" s="2">
        <v>4033.88</v>
      </c>
      <c r="U66" s="2"/>
      <c r="V66" s="19">
        <f t="shared" si="18"/>
        <v>4.9706471718837832E-3</v>
      </c>
      <c r="W66" s="2"/>
      <c r="X66" s="2">
        <f t="shared" si="19"/>
        <v>-4033.88</v>
      </c>
      <c r="Y66" s="2"/>
      <c r="Z66" s="19">
        <f t="shared" si="20"/>
        <v>-1</v>
      </c>
    </row>
    <row r="67" spans="1:26" s="23" customFormat="1" hidden="1" outlineLevel="1" x14ac:dyDescent="0.25">
      <c r="A67" s="44"/>
      <c r="B67" s="10" t="str">
        <f>CONCATENATE("          ", "5035", " - ", "PURCHASES @ COST-HEALTH &amp; BEAU")</f>
        <v xml:space="preserve">          5035 - PURCHASES @ COST-HEALTH &amp; BEAU</v>
      </c>
      <c r="C67" s="10"/>
      <c r="D67" s="2"/>
      <c r="E67" s="2"/>
      <c r="F67" s="19">
        <f t="shared" si="13"/>
        <v>0</v>
      </c>
      <c r="G67" s="2"/>
      <c r="H67" s="2">
        <v>61.98</v>
      </c>
      <c r="I67" s="2"/>
      <c r="J67" s="19">
        <f t="shared" si="14"/>
        <v>1.517737919131848E-3</v>
      </c>
      <c r="K67" s="2"/>
      <c r="L67" s="2">
        <f t="shared" si="15"/>
        <v>-61.98</v>
      </c>
      <c r="M67" s="2"/>
      <c r="N67" s="19">
        <f t="shared" si="16"/>
        <v>-1</v>
      </c>
      <c r="O67" s="10"/>
      <c r="P67" s="2"/>
      <c r="Q67" s="2"/>
      <c r="R67" s="19">
        <f t="shared" si="17"/>
        <v>0</v>
      </c>
      <c r="S67" s="2"/>
      <c r="T67" s="2">
        <v>1117.6500000000001</v>
      </c>
      <c r="U67" s="2"/>
      <c r="V67" s="19">
        <f t="shared" si="18"/>
        <v>1.3771961019306252E-3</v>
      </c>
      <c r="W67" s="2"/>
      <c r="X67" s="2">
        <f t="shared" si="19"/>
        <v>-1117.6500000000001</v>
      </c>
      <c r="Y67" s="2"/>
      <c r="Z67" s="19">
        <f t="shared" si="20"/>
        <v>-1</v>
      </c>
    </row>
    <row r="68" spans="1:26" s="23" customFormat="1" hidden="1" outlineLevel="1" x14ac:dyDescent="0.25">
      <c r="A68" s="44"/>
      <c r="B68" s="10" t="str">
        <f>CONCATENATE("          ", "5037", " - ", "PURCHASES @ COST-WATER")</f>
        <v xml:space="preserve">          5037 - PURCHASES @ COST-WATER</v>
      </c>
      <c r="C68" s="10"/>
      <c r="D68" s="2"/>
      <c r="E68" s="2"/>
      <c r="F68" s="19">
        <f t="shared" si="13"/>
        <v>0</v>
      </c>
      <c r="G68" s="2"/>
      <c r="H68" s="2">
        <v>393.84</v>
      </c>
      <c r="I68" s="2"/>
      <c r="J68" s="19">
        <f t="shared" si="14"/>
        <v>9.6441739604854314E-3</v>
      </c>
      <c r="K68" s="2"/>
      <c r="L68" s="2">
        <f t="shared" si="15"/>
        <v>-393.84</v>
      </c>
      <c r="M68" s="2"/>
      <c r="N68" s="19">
        <f t="shared" si="16"/>
        <v>-1</v>
      </c>
      <c r="O68" s="10"/>
      <c r="P68" s="2"/>
      <c r="Q68" s="2"/>
      <c r="R68" s="19">
        <f t="shared" si="17"/>
        <v>0</v>
      </c>
      <c r="S68" s="2"/>
      <c r="T68" s="2">
        <v>5663.81</v>
      </c>
      <c r="U68" s="2"/>
      <c r="V68" s="19">
        <f t="shared" si="18"/>
        <v>6.9790874192060971E-3</v>
      </c>
      <c r="W68" s="2"/>
      <c r="X68" s="2">
        <f t="shared" si="19"/>
        <v>-5663.81</v>
      </c>
      <c r="Y68" s="2"/>
      <c r="Z68" s="19">
        <f t="shared" si="20"/>
        <v>-1</v>
      </c>
    </row>
    <row r="69" spans="1:26" s="23" customFormat="1" hidden="1" outlineLevel="1" x14ac:dyDescent="0.25">
      <c r="A69" s="44"/>
      <c r="B69" s="10" t="str">
        <f>CONCATENATE("          ", "5081", " - ", "PURCHASES @ COST-ELECTRONICS")</f>
        <v xml:space="preserve">          5081 - PURCHASES @ COST-ELECTRONICS</v>
      </c>
      <c r="C69" s="10"/>
      <c r="D69" s="2"/>
      <c r="E69" s="2"/>
      <c r="F69" s="19">
        <f t="shared" si="13"/>
        <v>0</v>
      </c>
      <c r="G69" s="2"/>
      <c r="H69" s="2">
        <v>116.82</v>
      </c>
      <c r="I69" s="2"/>
      <c r="J69" s="19">
        <f t="shared" si="14"/>
        <v>2.8606347807838416E-3</v>
      </c>
      <c r="K69" s="2"/>
      <c r="L69" s="2">
        <f t="shared" si="15"/>
        <v>-116.82</v>
      </c>
      <c r="M69" s="2"/>
      <c r="N69" s="19">
        <f t="shared" si="16"/>
        <v>-1</v>
      </c>
      <c r="O69" s="10"/>
      <c r="P69" s="2"/>
      <c r="Q69" s="2"/>
      <c r="R69" s="19">
        <f t="shared" si="17"/>
        <v>0</v>
      </c>
      <c r="S69" s="2"/>
      <c r="T69" s="2">
        <v>2008.03</v>
      </c>
      <c r="U69" s="2"/>
      <c r="V69" s="19">
        <f t="shared" si="18"/>
        <v>2.4743444625417196E-3</v>
      </c>
      <c r="W69" s="2"/>
      <c r="X69" s="2">
        <f t="shared" si="19"/>
        <v>-2008.03</v>
      </c>
      <c r="Y69" s="2"/>
      <c r="Z69" s="19">
        <f t="shared" si="20"/>
        <v>-1</v>
      </c>
    </row>
    <row r="70" spans="1:26" s="23" customFormat="1" hidden="1" outlineLevel="1" x14ac:dyDescent="0.25">
      <c r="A70" s="44"/>
      <c r="B70" s="10" t="str">
        <f>CONCATENATE("          ", "5082", " - ", "PURCHASES @ COST-COMPUTER HARD")</f>
        <v xml:space="preserve">          5082 - PURCHASES @ COST-COMPUTER HARD</v>
      </c>
      <c r="C70" s="10"/>
      <c r="D70" s="2"/>
      <c r="E70" s="2"/>
      <c r="F70" s="19">
        <f t="shared" si="13"/>
        <v>0</v>
      </c>
      <c r="G70" s="2"/>
      <c r="H70" s="2"/>
      <c r="I70" s="2"/>
      <c r="J70" s="19">
        <f t="shared" si="14"/>
        <v>0</v>
      </c>
      <c r="K70" s="2"/>
      <c r="L70" s="2">
        <f t="shared" si="15"/>
        <v>0</v>
      </c>
      <c r="M70" s="2"/>
      <c r="N70" s="19">
        <f t="shared" si="16"/>
        <v>0</v>
      </c>
      <c r="O70" s="10"/>
      <c r="P70" s="2"/>
      <c r="Q70" s="2"/>
      <c r="R70" s="19">
        <f t="shared" si="17"/>
        <v>0</v>
      </c>
      <c r="S70" s="2"/>
      <c r="T70" s="2">
        <v>349.6</v>
      </c>
      <c r="U70" s="2"/>
      <c r="V70" s="19">
        <f t="shared" si="18"/>
        <v>4.3078580703703897E-4</v>
      </c>
      <c r="W70" s="2"/>
      <c r="X70" s="2">
        <f t="shared" si="19"/>
        <v>-349.6</v>
      </c>
      <c r="Y70" s="2"/>
      <c r="Z70" s="19">
        <f t="shared" si="20"/>
        <v>-1</v>
      </c>
    </row>
    <row r="71" spans="1:26" s="23" customFormat="1" hidden="1" outlineLevel="1" x14ac:dyDescent="0.25">
      <c r="A71" s="44"/>
      <c r="B71" s="10" t="str">
        <f>CONCATENATE("          ", "5083", " - ", "PURCHASES @ COST-COMPUTER EQUI")</f>
        <v xml:space="preserve">          5083 - PURCHASES @ COST-COMPUTER EQUI</v>
      </c>
      <c r="C71" s="10"/>
      <c r="D71" s="2"/>
      <c r="E71" s="2"/>
      <c r="F71" s="19">
        <f t="shared" si="13"/>
        <v>0</v>
      </c>
      <c r="G71" s="2"/>
      <c r="H71" s="2"/>
      <c r="I71" s="2"/>
      <c r="J71" s="19">
        <f t="shared" si="14"/>
        <v>0</v>
      </c>
      <c r="K71" s="2"/>
      <c r="L71" s="2">
        <f t="shared" si="15"/>
        <v>0</v>
      </c>
      <c r="M71" s="2"/>
      <c r="N71" s="19">
        <f t="shared" si="16"/>
        <v>0</v>
      </c>
      <c r="O71" s="10"/>
      <c r="P71" s="2"/>
      <c r="Q71" s="2"/>
      <c r="R71" s="19">
        <f t="shared" si="17"/>
        <v>0</v>
      </c>
      <c r="S71" s="2"/>
      <c r="T71" s="2">
        <v>304.70999999999998</v>
      </c>
      <c r="U71" s="2"/>
      <c r="V71" s="19">
        <f t="shared" si="18"/>
        <v>3.7547123358768912E-4</v>
      </c>
      <c r="W71" s="2"/>
      <c r="X71" s="2">
        <f t="shared" si="19"/>
        <v>-304.70999999999998</v>
      </c>
      <c r="Y71" s="2"/>
      <c r="Z71" s="19">
        <f t="shared" si="20"/>
        <v>-1</v>
      </c>
    </row>
    <row r="72" spans="1:26" s="23" customFormat="1" hidden="1" outlineLevel="1" x14ac:dyDescent="0.25">
      <c r="A72" s="44"/>
      <c r="B72" s="10" t="str">
        <f>CONCATENATE("          ", "5086", " - ", "PURCHASES @ COST-COMPUTER SUPP")</f>
        <v xml:space="preserve">          5086 - PURCHASES @ COST-COMPUTER SUPP</v>
      </c>
      <c r="C72" s="10"/>
      <c r="D72" s="2"/>
      <c r="E72" s="2"/>
      <c r="F72" s="19">
        <f t="shared" si="13"/>
        <v>0</v>
      </c>
      <c r="G72" s="2"/>
      <c r="H72" s="2"/>
      <c r="I72" s="2"/>
      <c r="J72" s="19">
        <f t="shared" si="14"/>
        <v>0</v>
      </c>
      <c r="K72" s="2"/>
      <c r="L72" s="2">
        <f t="shared" si="15"/>
        <v>0</v>
      </c>
      <c r="M72" s="2"/>
      <c r="N72" s="19">
        <f t="shared" si="16"/>
        <v>0</v>
      </c>
      <c r="O72" s="10"/>
      <c r="P72" s="2"/>
      <c r="Q72" s="2"/>
      <c r="R72" s="19">
        <f t="shared" si="17"/>
        <v>0</v>
      </c>
      <c r="S72" s="2"/>
      <c r="T72" s="2">
        <v>426.22</v>
      </c>
      <c r="U72" s="2"/>
      <c r="V72" s="19">
        <f t="shared" si="18"/>
        <v>5.2519887492942432E-4</v>
      </c>
      <c r="W72" s="2"/>
      <c r="X72" s="2">
        <f t="shared" si="19"/>
        <v>-426.22</v>
      </c>
      <c r="Y72" s="2"/>
      <c r="Z72" s="19">
        <f t="shared" si="20"/>
        <v>-1</v>
      </c>
    </row>
    <row r="73" spans="1:26" s="23" customFormat="1" hidden="1" outlineLevel="1" x14ac:dyDescent="0.25">
      <c r="A73" s="44"/>
      <c r="B73" s="10" t="str">
        <f>CONCATENATE("          ", "5200", " - ", "PURCHASES OFFSET")</f>
        <v xml:space="preserve">          5200 - PURCHASES OFFSET</v>
      </c>
      <c r="C73" s="10"/>
      <c r="D73" s="2"/>
      <c r="E73" s="2"/>
      <c r="F73" s="19">
        <f t="shared" si="13"/>
        <v>0</v>
      </c>
      <c r="G73" s="2"/>
      <c r="H73" s="2">
        <v>-34001</v>
      </c>
      <c r="I73" s="2"/>
      <c r="J73" s="19">
        <f t="shared" si="14"/>
        <v>-0.83260095173284876</v>
      </c>
      <c r="K73" s="2"/>
      <c r="L73" s="2">
        <f t="shared" si="15"/>
        <v>34001</v>
      </c>
      <c r="M73" s="2"/>
      <c r="N73" s="19">
        <f t="shared" si="16"/>
        <v>-1</v>
      </c>
      <c r="O73" s="10"/>
      <c r="P73" s="2">
        <v>-45863.33</v>
      </c>
      <c r="Q73" s="2"/>
      <c r="R73" s="19">
        <f t="shared" si="17"/>
        <v>-2.1520036674311842</v>
      </c>
      <c r="S73" s="2"/>
      <c r="T73" s="2">
        <v>-433344</v>
      </c>
      <c r="U73" s="2"/>
      <c r="V73" s="19">
        <f t="shared" si="18"/>
        <v>-0.53397724475016761</v>
      </c>
      <c r="W73" s="2"/>
      <c r="X73" s="2">
        <f t="shared" si="19"/>
        <v>387480.67</v>
      </c>
      <c r="Y73" s="2"/>
      <c r="Z73" s="19">
        <f t="shared" si="20"/>
        <v>-0.89416415134396687</v>
      </c>
    </row>
    <row r="74" spans="1:26" s="23" customFormat="1" hidden="1" outlineLevel="1" x14ac:dyDescent="0.25">
      <c r="A74" s="44"/>
      <c r="B74" s="10" t="str">
        <f>CONCATENATE("          ", "5300", " - ", "COG$ OFFSET")</f>
        <v xml:space="preserve">          5300 - COG$ OFFSET</v>
      </c>
      <c r="C74" s="10"/>
      <c r="D74" s="2"/>
      <c r="E74" s="2"/>
      <c r="F74" s="19">
        <f t="shared" si="13"/>
        <v>0</v>
      </c>
      <c r="G74" s="2"/>
      <c r="H74" s="2">
        <v>20742</v>
      </c>
      <c r="I74" s="2"/>
      <c r="J74" s="19">
        <f t="shared" si="14"/>
        <v>0.50792061824189727</v>
      </c>
      <c r="K74" s="2"/>
      <c r="L74" s="2">
        <f t="shared" si="15"/>
        <v>-20742</v>
      </c>
      <c r="M74" s="2"/>
      <c r="N74" s="19">
        <f t="shared" si="16"/>
        <v>-1</v>
      </c>
      <c r="O74" s="10"/>
      <c r="P74" s="2">
        <v>14145</v>
      </c>
      <c r="Q74" s="2"/>
      <c r="R74" s="19">
        <f t="shared" si="17"/>
        <v>0.66371307700103988</v>
      </c>
      <c r="S74" s="2"/>
      <c r="T74" s="2">
        <v>406361</v>
      </c>
      <c r="U74" s="2"/>
      <c r="V74" s="19">
        <f t="shared" si="18"/>
        <v>0.50072812166298108</v>
      </c>
      <c r="W74" s="2"/>
      <c r="X74" s="2">
        <f t="shared" si="19"/>
        <v>-392216</v>
      </c>
      <c r="Y74" s="2"/>
      <c r="Z74" s="19">
        <f t="shared" si="20"/>
        <v>-0.96519104933790401</v>
      </c>
    </row>
    <row r="75" spans="1:26" s="23" customFormat="1" hidden="1" outlineLevel="1" x14ac:dyDescent="0.25">
      <c r="A75" s="44"/>
      <c r="B75" s="10" t="str">
        <f>CONCATENATE("          ", "5500", " - ", "FREIGHT-IN")</f>
        <v xml:space="preserve">          5500 - FREIGHT-IN</v>
      </c>
      <c r="C75" s="10"/>
      <c r="D75" s="2"/>
      <c r="E75" s="2"/>
      <c r="F75" s="19">
        <f t="shared" si="13"/>
        <v>0</v>
      </c>
      <c r="G75" s="2"/>
      <c r="H75" s="2"/>
      <c r="I75" s="2"/>
      <c r="J75" s="19">
        <f t="shared" si="14"/>
        <v>0</v>
      </c>
      <c r="K75" s="2"/>
      <c r="L75" s="2">
        <f t="shared" si="15"/>
        <v>0</v>
      </c>
      <c r="M75" s="2"/>
      <c r="N75" s="19">
        <f t="shared" si="16"/>
        <v>0</v>
      </c>
      <c r="O75" s="10"/>
      <c r="P75" s="2"/>
      <c r="Q75" s="2"/>
      <c r="R75" s="19">
        <f t="shared" si="17"/>
        <v>0</v>
      </c>
      <c r="S75" s="2"/>
      <c r="T75" s="2">
        <v>86</v>
      </c>
      <c r="U75" s="2"/>
      <c r="V75" s="19">
        <f t="shared" si="18"/>
        <v>1.0597133697135397E-4</v>
      </c>
      <c r="W75" s="2"/>
      <c r="X75" s="2">
        <f t="shared" si="19"/>
        <v>-86</v>
      </c>
      <c r="Y75" s="2"/>
      <c r="Z75" s="19">
        <f t="shared" si="20"/>
        <v>-1</v>
      </c>
    </row>
    <row r="76" spans="1:26" s="23" customFormat="1" hidden="1" outlineLevel="1" x14ac:dyDescent="0.25">
      <c r="A76" s="44"/>
      <c r="B76" s="10" t="str">
        <f>CONCATENATE("          ", "5525", " - ", "FREIGHT-IN-TEST FORMS")</f>
        <v xml:space="preserve">          5525 - FREIGHT-IN-TEST FORMS</v>
      </c>
      <c r="C76" s="10"/>
      <c r="D76" s="2"/>
      <c r="E76" s="2"/>
      <c r="F76" s="19">
        <f t="shared" si="13"/>
        <v>0</v>
      </c>
      <c r="G76" s="2"/>
      <c r="H76" s="2">
        <v>82.2</v>
      </c>
      <c r="I76" s="2"/>
      <c r="J76" s="19">
        <f t="shared" si="14"/>
        <v>2.012876039894126E-3</v>
      </c>
      <c r="K76" s="2"/>
      <c r="L76" s="2">
        <f t="shared" si="15"/>
        <v>-82.2</v>
      </c>
      <c r="M76" s="2"/>
      <c r="N76" s="19">
        <f t="shared" si="16"/>
        <v>-1</v>
      </c>
      <c r="O76" s="10"/>
      <c r="P76" s="2"/>
      <c r="Q76" s="2"/>
      <c r="R76" s="19">
        <f t="shared" si="17"/>
        <v>0</v>
      </c>
      <c r="S76" s="2"/>
      <c r="T76" s="2">
        <v>1237.22</v>
      </c>
      <c r="U76" s="2"/>
      <c r="V76" s="19">
        <f t="shared" si="18"/>
        <v>1.5245332270662623E-3</v>
      </c>
      <c r="W76" s="2"/>
      <c r="X76" s="2">
        <f t="shared" si="19"/>
        <v>-1237.22</v>
      </c>
      <c r="Y76" s="2"/>
      <c r="Z76" s="19">
        <f t="shared" si="20"/>
        <v>-1</v>
      </c>
    </row>
    <row r="77" spans="1:26" s="23" customFormat="1" hidden="1" outlineLevel="1" x14ac:dyDescent="0.25">
      <c r="A77" s="44"/>
      <c r="B77" s="10" t="str">
        <f>CONCATENATE("          ", "5526", " - ", "FREIGHT-IN-WRITING INSTRUMENTS")</f>
        <v xml:space="preserve">          5526 - FREIGHT-IN-WRITING INSTRUMENTS</v>
      </c>
      <c r="C77" s="10"/>
      <c r="D77" s="2"/>
      <c r="E77" s="2"/>
      <c r="F77" s="19">
        <f t="shared" si="13"/>
        <v>0</v>
      </c>
      <c r="G77" s="2"/>
      <c r="H77" s="2"/>
      <c r="I77" s="2"/>
      <c r="J77" s="19">
        <f t="shared" si="14"/>
        <v>0</v>
      </c>
      <c r="K77" s="2"/>
      <c r="L77" s="2">
        <f t="shared" si="15"/>
        <v>0</v>
      </c>
      <c r="M77" s="2"/>
      <c r="N77" s="19">
        <f t="shared" si="16"/>
        <v>0</v>
      </c>
      <c r="O77" s="10"/>
      <c r="P77" s="2"/>
      <c r="Q77" s="2"/>
      <c r="R77" s="19">
        <f t="shared" si="17"/>
        <v>0</v>
      </c>
      <c r="S77" s="2"/>
      <c r="T77" s="2">
        <v>260.35000000000002</v>
      </c>
      <c r="U77" s="2"/>
      <c r="V77" s="19">
        <f t="shared" si="18"/>
        <v>3.2080973930804661E-4</v>
      </c>
      <c r="W77" s="2"/>
      <c r="X77" s="2">
        <f t="shared" si="19"/>
        <v>-260.35000000000002</v>
      </c>
      <c r="Y77" s="2"/>
      <c r="Z77" s="19">
        <f t="shared" si="20"/>
        <v>-1</v>
      </c>
    </row>
    <row r="78" spans="1:26" s="23" customFormat="1" hidden="1" outlineLevel="1" x14ac:dyDescent="0.25">
      <c r="A78" s="44"/>
      <c r="B78" s="10" t="str">
        <f>CONCATENATE("          ", "5527", " - ", "FREIGHT-IN-SCHOOL SUPPLIES")</f>
        <v xml:space="preserve">          5527 - FREIGHT-IN-SCHOOL SUPPLIES</v>
      </c>
      <c r="C78" s="10"/>
      <c r="D78" s="2"/>
      <c r="E78" s="2"/>
      <c r="F78" s="19">
        <f t="shared" si="13"/>
        <v>0</v>
      </c>
      <c r="G78" s="2"/>
      <c r="H78" s="2">
        <v>407.31</v>
      </c>
      <c r="I78" s="2"/>
      <c r="J78" s="19">
        <f t="shared" si="14"/>
        <v>9.9740211655629726E-3</v>
      </c>
      <c r="K78" s="2"/>
      <c r="L78" s="2">
        <f t="shared" si="15"/>
        <v>-407.31</v>
      </c>
      <c r="M78" s="2"/>
      <c r="N78" s="19">
        <f t="shared" si="16"/>
        <v>-1</v>
      </c>
      <c r="O78" s="10"/>
      <c r="P78" s="2"/>
      <c r="Q78" s="2"/>
      <c r="R78" s="19">
        <f t="shared" si="17"/>
        <v>0</v>
      </c>
      <c r="S78" s="2"/>
      <c r="T78" s="2">
        <v>2058.91</v>
      </c>
      <c r="U78" s="2"/>
      <c r="V78" s="19">
        <f t="shared" si="18"/>
        <v>2.5370400628336089E-3</v>
      </c>
      <c r="W78" s="2"/>
      <c r="X78" s="2">
        <f t="shared" si="19"/>
        <v>-2058.91</v>
      </c>
      <c r="Y78" s="2"/>
      <c r="Z78" s="19">
        <f t="shared" si="20"/>
        <v>-1</v>
      </c>
    </row>
    <row r="79" spans="1:26" s="23" customFormat="1" hidden="1" outlineLevel="1" x14ac:dyDescent="0.25">
      <c r="A79" s="44"/>
      <c r="B79" s="10" t="str">
        <f>CONCATENATE("          ", "5528", " - ", "FREIGHT-IN-ART/TECH")</f>
        <v xml:space="preserve">          5528 - FREIGHT-IN-ART/TECH</v>
      </c>
      <c r="C79" s="10"/>
      <c r="D79" s="2">
        <v>30.48</v>
      </c>
      <c r="E79" s="2"/>
      <c r="F79" s="19">
        <f t="shared" si="13"/>
        <v>0</v>
      </c>
      <c r="G79" s="2"/>
      <c r="H79" s="2">
        <v>771.27</v>
      </c>
      <c r="I79" s="2"/>
      <c r="J79" s="19">
        <f t="shared" si="14"/>
        <v>1.8886507339283969E-2</v>
      </c>
      <c r="K79" s="2"/>
      <c r="L79" s="2">
        <f t="shared" si="15"/>
        <v>-740.79</v>
      </c>
      <c r="M79" s="2"/>
      <c r="N79" s="19">
        <f t="shared" si="16"/>
        <v>-0.96048076549068417</v>
      </c>
      <c r="O79" s="10"/>
      <c r="P79" s="2">
        <v>348.03</v>
      </c>
      <c r="Q79" s="2"/>
      <c r="R79" s="19">
        <f t="shared" si="17"/>
        <v>1.6330297786403103E-2</v>
      </c>
      <c r="S79" s="2"/>
      <c r="T79" s="2">
        <v>2267.52</v>
      </c>
      <c r="U79" s="2"/>
      <c r="V79" s="19">
        <f t="shared" si="18"/>
        <v>2.7940944884800529E-3</v>
      </c>
      <c r="W79" s="2"/>
      <c r="X79" s="2">
        <f t="shared" si="19"/>
        <v>-1919.49</v>
      </c>
      <c r="Y79" s="2"/>
      <c r="Z79" s="19">
        <f t="shared" si="20"/>
        <v>-0.84651513547840818</v>
      </c>
    </row>
    <row r="80" spans="1:26" x14ac:dyDescent="0.25">
      <c r="A80" s="9"/>
      <c r="B80" s="11"/>
      <c r="C80" s="11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1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x14ac:dyDescent="0.25">
      <c r="A81" s="11"/>
      <c r="B81" s="29" t="s">
        <v>107</v>
      </c>
      <c r="C81" s="29"/>
      <c r="D81" s="22">
        <f>D12-D55</f>
        <v>-30.48</v>
      </c>
      <c r="E81" s="14"/>
      <c r="F81" s="20">
        <f>IF(D$12=0,0,D81/D$12)</f>
        <v>0</v>
      </c>
      <c r="G81" s="14"/>
      <c r="H81" s="22">
        <f>H12-H55</f>
        <v>20095.609999999993</v>
      </c>
      <c r="I81" s="14"/>
      <c r="J81" s="20">
        <f>IF(H$12=0,0,H81/H$12)</f>
        <v>0.49209211528049612</v>
      </c>
      <c r="K81" s="15"/>
      <c r="L81" s="22">
        <f>+D81-H81</f>
        <v>-20126.089999999993</v>
      </c>
      <c r="M81" s="15"/>
      <c r="N81" s="20">
        <f>IF(H81=0,0,L81/H81)</f>
        <v>-1.0015167491805423</v>
      </c>
      <c r="O81" s="28"/>
      <c r="P81" s="22">
        <f>P12-P55</f>
        <v>7538.4200000000037</v>
      </c>
      <c r="Q81" s="14"/>
      <c r="R81" s="20">
        <f>IF(P$12=0,0,P81/P$12)</f>
        <v>0.35371848242673604</v>
      </c>
      <c r="S81" s="14"/>
      <c r="T81" s="22">
        <f>T12-T55</f>
        <v>405097.17000000016</v>
      </c>
      <c r="U81" s="14"/>
      <c r="V81" s="20">
        <f>IF(T$12=0,0,T81/T$12)</f>
        <v>0.49917079893269628</v>
      </c>
      <c r="W81" s="15"/>
      <c r="X81" s="22">
        <f>+P81-T81</f>
        <v>-397558.75000000017</v>
      </c>
      <c r="Y81" s="15"/>
      <c r="Z81" s="20">
        <f>IF(T81=0,0,X81/T81)</f>
        <v>-0.98139108204582126</v>
      </c>
    </row>
    <row r="82" spans="1:26" x14ac:dyDescent="0.25">
      <c r="A82" s="9"/>
      <c r="B82" s="11"/>
      <c r="C82" s="9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4" customFormat="1" x14ac:dyDescent="0.25">
      <c r="A83" s="11"/>
      <c r="B83" s="28" t="s">
        <v>294</v>
      </c>
      <c r="C83" s="11"/>
      <c r="D83" s="21">
        <f>SUM(OSRRefD22x_0)</f>
        <v>114.11</v>
      </c>
      <c r="E83" s="21"/>
      <c r="F83" s="31">
        <f t="shared" ref="F83:F93" si="21">IF(D$12=0,0,D83/D$12)</f>
        <v>0</v>
      </c>
      <c r="G83" s="21"/>
      <c r="H83" s="21">
        <f>SUM(OSRRefH22x_0)</f>
        <v>18708.22</v>
      </c>
      <c r="I83" s="21"/>
      <c r="J83" s="31">
        <f t="shared" ref="J83:J93" si="22">IF(H$12=0,0,H83/H$12)</f>
        <v>0.45811834290837089</v>
      </c>
      <c r="K83" s="4"/>
      <c r="L83" s="21">
        <f t="shared" ref="L83:L93" si="23">+D83-H83</f>
        <v>-18594.11</v>
      </c>
      <c r="M83" s="4"/>
      <c r="N83" s="31">
        <f t="shared" ref="N83:N93" si="24">IF(H83=0,0,L83/H83)</f>
        <v>-0.99390054211464263</v>
      </c>
      <c r="O83" s="11"/>
      <c r="P83" s="21">
        <f>SUM(OSRRefP22x_0)</f>
        <v>12647.859999999997</v>
      </c>
      <c r="Q83" s="21"/>
      <c r="R83" s="31">
        <f t="shared" ref="R83:R93" si="25">IF(P$12=0,0,P83/P$12)</f>
        <v>0.59346412711759422</v>
      </c>
      <c r="S83" s="21"/>
      <c r="T83" s="21">
        <f>SUM(OSRRefT22x_0)</f>
        <v>200687.33999999991</v>
      </c>
      <c r="U83" s="21"/>
      <c r="V83" s="31">
        <f t="shared" ref="V83:V93" si="26">IF(T$12=0,0,T83/T$12)</f>
        <v>0.24729192712819389</v>
      </c>
      <c r="W83" s="4"/>
      <c r="X83" s="21">
        <f t="shared" ref="X83:X93" si="27">+P83-T83</f>
        <v>-188039.47999999992</v>
      </c>
      <c r="Y83" s="4"/>
      <c r="Z83" s="31">
        <f t="shared" ref="Z83:Z93" si="28">IF(T83=0,0,X83/T83)</f>
        <v>-0.93697729014695197</v>
      </c>
    </row>
    <row r="84" spans="1:26" s="26" customFormat="1" outlineLevel="1" collapsed="1" x14ac:dyDescent="0.25">
      <c r="A84" s="27"/>
      <c r="B84" s="12" t="str">
        <f>CONCATENATE("     ","*Benefits                                         ")</f>
        <v xml:space="preserve">     *Benefits                                         </v>
      </c>
      <c r="C84" s="12"/>
      <c r="D84" s="1">
        <f>SUM(OSRRefD22_0x_0)</f>
        <v>0</v>
      </c>
      <c r="E84" s="1"/>
      <c r="F84" s="5">
        <f t="shared" si="21"/>
        <v>0</v>
      </c>
      <c r="G84" s="1"/>
      <c r="H84" s="1">
        <f>SUM(OSRRefH22_0x_0)</f>
        <v>-3687.74</v>
      </c>
      <c r="I84" s="1"/>
      <c r="J84" s="5">
        <f t="shared" si="22"/>
        <v>-9.0303692060330454E-2</v>
      </c>
      <c r="K84" s="1"/>
      <c r="L84" s="1">
        <f t="shared" si="23"/>
        <v>3687.74</v>
      </c>
      <c r="M84" s="1"/>
      <c r="N84" s="5">
        <f t="shared" si="24"/>
        <v>-1</v>
      </c>
      <c r="O84" s="12"/>
      <c r="P84" s="1">
        <f>SUM(OSRRefP22_0x_0)</f>
        <v>778.2</v>
      </c>
      <c r="Q84" s="1"/>
      <c r="R84" s="5">
        <f t="shared" si="25"/>
        <v>3.6514776707119778E-2</v>
      </c>
      <c r="S84" s="1"/>
      <c r="T84" s="1">
        <f>SUM(OSRRefT22_0x_0)</f>
        <v>27501.099999999995</v>
      </c>
      <c r="U84" s="1"/>
      <c r="V84" s="5">
        <f t="shared" si="26"/>
        <v>3.3887538781196533E-2</v>
      </c>
      <c r="W84" s="1"/>
      <c r="X84" s="1">
        <f t="shared" si="27"/>
        <v>-26722.899999999994</v>
      </c>
      <c r="Y84" s="1"/>
      <c r="Z84" s="5">
        <f t="shared" si="28"/>
        <v>-0.97170295006381557</v>
      </c>
    </row>
    <row r="85" spans="1:26" s="23" customFormat="1" hidden="1" outlineLevel="2" x14ac:dyDescent="0.25">
      <c r="A85" s="25"/>
      <c r="B85" s="10" t="str">
        <f>CONCATENATE("          ", "6111", " - ", "F.I.C.A.")</f>
        <v xml:space="preserve">          6111 - F.I.C.A.</v>
      </c>
      <c r="C85" s="10"/>
      <c r="D85" s="6"/>
      <c r="E85" s="2"/>
      <c r="F85" s="7">
        <f t="shared" si="21"/>
        <v>0</v>
      </c>
      <c r="G85" s="2"/>
      <c r="H85" s="6">
        <v>800.97</v>
      </c>
      <c r="I85" s="2"/>
      <c r="J85" s="7">
        <f t="shared" si="22"/>
        <v>1.9613787368296814E-2</v>
      </c>
      <c r="K85" s="2"/>
      <c r="L85" s="6">
        <f t="shared" si="23"/>
        <v>-800.97</v>
      </c>
      <c r="M85" s="2"/>
      <c r="N85" s="7">
        <f t="shared" si="24"/>
        <v>-1</v>
      </c>
      <c r="O85" s="10"/>
      <c r="P85" s="6">
        <v>484.61</v>
      </c>
      <c r="Q85" s="2"/>
      <c r="R85" s="7">
        <f t="shared" si="25"/>
        <v>2.2738917938881154E-2</v>
      </c>
      <c r="S85" s="2"/>
      <c r="T85" s="6">
        <v>5315.23</v>
      </c>
      <c r="U85" s="2"/>
      <c r="V85" s="7">
        <f t="shared" si="26"/>
        <v>6.549558481514531E-3</v>
      </c>
      <c r="W85" s="2"/>
      <c r="X85" s="6">
        <f t="shared" si="27"/>
        <v>-4830.62</v>
      </c>
      <c r="Y85" s="2"/>
      <c r="Z85" s="7">
        <f t="shared" si="28"/>
        <v>-0.908826146751881</v>
      </c>
    </row>
    <row r="86" spans="1:26" s="23" customFormat="1" hidden="1" outlineLevel="2" x14ac:dyDescent="0.25">
      <c r="A86" s="25"/>
      <c r="B86" s="10" t="str">
        <f>CONCATENATE("          ", "6112", " - ", "COMPENSATION INSURANCE")</f>
        <v xml:space="preserve">          6112 - COMPENSATION INSURANCE</v>
      </c>
      <c r="C86" s="10"/>
      <c r="D86" s="6"/>
      <c r="E86" s="2"/>
      <c r="F86" s="7">
        <f t="shared" si="21"/>
        <v>0</v>
      </c>
      <c r="G86" s="2"/>
      <c r="H86" s="6">
        <v>443.93</v>
      </c>
      <c r="I86" s="2"/>
      <c r="J86" s="7">
        <f t="shared" si="22"/>
        <v>1.0870754992581499E-2</v>
      </c>
      <c r="K86" s="2"/>
      <c r="L86" s="6">
        <f t="shared" si="23"/>
        <v>-443.93</v>
      </c>
      <c r="M86" s="2"/>
      <c r="N86" s="7">
        <f t="shared" si="24"/>
        <v>-1</v>
      </c>
      <c r="O86" s="10"/>
      <c r="P86" s="6">
        <v>255.57</v>
      </c>
      <c r="Q86" s="2"/>
      <c r="R86" s="7">
        <f t="shared" si="25"/>
        <v>1.1991880600152403E-2</v>
      </c>
      <c r="S86" s="2"/>
      <c r="T86" s="6">
        <v>2558.39</v>
      </c>
      <c r="U86" s="2"/>
      <c r="V86" s="7">
        <f t="shared" si="26"/>
        <v>3.1525117301644447E-3</v>
      </c>
      <c r="W86" s="2"/>
      <c r="X86" s="6">
        <f t="shared" si="27"/>
        <v>-2302.8199999999997</v>
      </c>
      <c r="Y86" s="2"/>
      <c r="Z86" s="7">
        <f t="shared" si="28"/>
        <v>-0.90010514425087651</v>
      </c>
    </row>
    <row r="87" spans="1:26" s="23" customFormat="1" hidden="1" outlineLevel="2" x14ac:dyDescent="0.25">
      <c r="A87" s="25"/>
      <c r="B87" s="10" t="str">
        <f>CONCATENATE("          ", "6113", " - ", "GROUP INSURANCE")</f>
        <v xml:space="preserve">          6113 - GROUP INSURANCE</v>
      </c>
      <c r="C87" s="10"/>
      <c r="D87" s="6"/>
      <c r="E87" s="2"/>
      <c r="F87" s="7">
        <f t="shared" si="21"/>
        <v>0</v>
      </c>
      <c r="G87" s="2"/>
      <c r="H87" s="6">
        <v>2240.4499999999998</v>
      </c>
      <c r="I87" s="2"/>
      <c r="J87" s="7">
        <f t="shared" si="22"/>
        <v>5.486311585864713E-2</v>
      </c>
      <c r="K87" s="2"/>
      <c r="L87" s="6">
        <f t="shared" si="23"/>
        <v>-2240.4499999999998</v>
      </c>
      <c r="M87" s="2"/>
      <c r="N87" s="7">
        <f t="shared" si="24"/>
        <v>-1</v>
      </c>
      <c r="O87" s="10"/>
      <c r="P87" s="6">
        <v>0</v>
      </c>
      <c r="Q87" s="2"/>
      <c r="R87" s="7">
        <f t="shared" si="25"/>
        <v>0</v>
      </c>
      <c r="S87" s="2"/>
      <c r="T87" s="6">
        <v>16801.59</v>
      </c>
      <c r="U87" s="2"/>
      <c r="V87" s="7">
        <f t="shared" si="26"/>
        <v>2.0703336692378269E-2</v>
      </c>
      <c r="W87" s="2"/>
      <c r="X87" s="6">
        <f t="shared" si="27"/>
        <v>-16801.59</v>
      </c>
      <c r="Y87" s="2"/>
      <c r="Z87" s="7">
        <f t="shared" si="28"/>
        <v>-1</v>
      </c>
    </row>
    <row r="88" spans="1:26" s="23" customFormat="1" hidden="1" outlineLevel="2" x14ac:dyDescent="0.25">
      <c r="A88" s="25"/>
      <c r="B88" s="10" t="str">
        <f>CONCATENATE("          ", "6114", " - ", "STATE UNEMPLOYMENT INSURANCE")</f>
        <v xml:space="preserve">          6114 - STATE UNEMPLOYMENT INSURANCE</v>
      </c>
      <c r="C88" s="10"/>
      <c r="D88" s="6"/>
      <c r="E88" s="2"/>
      <c r="F88" s="7">
        <f t="shared" si="21"/>
        <v>0</v>
      </c>
      <c r="G88" s="2"/>
      <c r="H88" s="6">
        <v>60.75</v>
      </c>
      <c r="I88" s="2"/>
      <c r="J88" s="7">
        <f t="shared" si="22"/>
        <v>1.4876182411626296E-3</v>
      </c>
      <c r="K88" s="2"/>
      <c r="L88" s="6">
        <f t="shared" si="23"/>
        <v>-60.75</v>
      </c>
      <c r="M88" s="2"/>
      <c r="N88" s="7">
        <f t="shared" si="24"/>
        <v>-1</v>
      </c>
      <c r="O88" s="10"/>
      <c r="P88" s="6">
        <v>38.020000000000003</v>
      </c>
      <c r="Q88" s="2"/>
      <c r="R88" s="7">
        <f t="shared" si="25"/>
        <v>1.7839781680862169E-3</v>
      </c>
      <c r="S88" s="2"/>
      <c r="T88" s="6">
        <v>392.07</v>
      </c>
      <c r="U88" s="2"/>
      <c r="V88" s="7">
        <f t="shared" si="26"/>
        <v>4.8311839635300873E-4</v>
      </c>
      <c r="W88" s="2"/>
      <c r="X88" s="6">
        <f t="shared" si="27"/>
        <v>-354.05</v>
      </c>
      <c r="Y88" s="2"/>
      <c r="Z88" s="7">
        <f t="shared" si="28"/>
        <v>-0.90302752059581204</v>
      </c>
    </row>
    <row r="89" spans="1:26" s="23" customFormat="1" hidden="1" outlineLevel="2" x14ac:dyDescent="0.25">
      <c r="A89" s="25"/>
      <c r="B89" s="10" t="str">
        <f>CONCATENATE("          ", "6115", " - ", "P.E.R.S.")</f>
        <v xml:space="preserve">          6115 - P.E.R.S.</v>
      </c>
      <c r="C89" s="10"/>
      <c r="D89" s="6"/>
      <c r="E89" s="2"/>
      <c r="F89" s="7">
        <f t="shared" si="21"/>
        <v>0</v>
      </c>
      <c r="G89" s="2"/>
      <c r="H89" s="6">
        <v>513.71</v>
      </c>
      <c r="I89" s="2"/>
      <c r="J89" s="7">
        <f t="shared" si="22"/>
        <v>1.2579495747615712E-2</v>
      </c>
      <c r="K89" s="2"/>
      <c r="L89" s="6">
        <f t="shared" si="23"/>
        <v>-513.71</v>
      </c>
      <c r="M89" s="2"/>
      <c r="N89" s="7">
        <f t="shared" si="24"/>
        <v>-1</v>
      </c>
      <c r="O89" s="10"/>
      <c r="P89" s="6"/>
      <c r="Q89" s="2"/>
      <c r="R89" s="7">
        <f t="shared" si="25"/>
        <v>0</v>
      </c>
      <c r="S89" s="2"/>
      <c r="T89" s="6">
        <v>3776.84</v>
      </c>
      <c r="U89" s="2"/>
      <c r="V89" s="7">
        <f t="shared" si="26"/>
        <v>4.6539160968242848E-3</v>
      </c>
      <c r="W89" s="2"/>
      <c r="X89" s="6">
        <f t="shared" si="27"/>
        <v>-3776.84</v>
      </c>
      <c r="Y89" s="2"/>
      <c r="Z89" s="7">
        <f t="shared" si="28"/>
        <v>-1</v>
      </c>
    </row>
    <row r="90" spans="1:26" s="23" customFormat="1" hidden="1" outlineLevel="2" x14ac:dyDescent="0.25">
      <c r="A90" s="25"/>
      <c r="B90" s="10" t="str">
        <f>CONCATENATE("          ", "6117", " - ", "RETIREMENT STAFF HOURLY")</f>
        <v xml:space="preserve">          6117 - RETIREMENT STAFF HOURLY</v>
      </c>
      <c r="C90" s="10"/>
      <c r="D90" s="6"/>
      <c r="E90" s="2"/>
      <c r="F90" s="7">
        <f t="shared" si="21"/>
        <v>0</v>
      </c>
      <c r="G90" s="2"/>
      <c r="H90" s="6"/>
      <c r="I90" s="2"/>
      <c r="J90" s="7">
        <f t="shared" si="22"/>
        <v>0</v>
      </c>
      <c r="K90" s="2"/>
      <c r="L90" s="6">
        <f t="shared" si="23"/>
        <v>0</v>
      </c>
      <c r="M90" s="2"/>
      <c r="N90" s="7">
        <f t="shared" si="24"/>
        <v>0</v>
      </c>
      <c r="O90" s="10"/>
      <c r="P90" s="6">
        <v>0</v>
      </c>
      <c r="Q90" s="2"/>
      <c r="R90" s="7">
        <f t="shared" si="25"/>
        <v>0</v>
      </c>
      <c r="S90" s="2"/>
      <c r="T90" s="6"/>
      <c r="U90" s="2"/>
      <c r="V90" s="7">
        <f t="shared" si="26"/>
        <v>0</v>
      </c>
      <c r="W90" s="2"/>
      <c r="X90" s="6">
        <f t="shared" si="27"/>
        <v>0</v>
      </c>
      <c r="Y90" s="2"/>
      <c r="Z90" s="7">
        <f t="shared" si="28"/>
        <v>0</v>
      </c>
    </row>
    <row r="91" spans="1:26" s="23" customFormat="1" hidden="1" outlineLevel="2" x14ac:dyDescent="0.25">
      <c r="A91" s="25"/>
      <c r="B91" s="10" t="str">
        <f>CONCATENATE("          ", "6118", " - ", "VACATION")</f>
        <v xml:space="preserve">          6118 - VACATION</v>
      </c>
      <c r="C91" s="10"/>
      <c r="D91" s="6"/>
      <c r="E91" s="2"/>
      <c r="F91" s="7">
        <f t="shared" si="21"/>
        <v>0</v>
      </c>
      <c r="G91" s="2"/>
      <c r="H91" s="6">
        <v>449.78</v>
      </c>
      <c r="I91" s="2"/>
      <c r="J91" s="7">
        <f t="shared" si="22"/>
        <v>1.1014007119508271E-2</v>
      </c>
      <c r="K91" s="2"/>
      <c r="L91" s="6">
        <f t="shared" si="23"/>
        <v>-449.78</v>
      </c>
      <c r="M91" s="2"/>
      <c r="N91" s="7">
        <f t="shared" si="24"/>
        <v>-1</v>
      </c>
      <c r="O91" s="10"/>
      <c r="P91" s="6"/>
      <c r="Q91" s="2"/>
      <c r="R91" s="7">
        <f t="shared" si="25"/>
        <v>0</v>
      </c>
      <c r="S91" s="2"/>
      <c r="T91" s="6">
        <v>3260.6</v>
      </c>
      <c r="U91" s="2"/>
      <c r="V91" s="7">
        <f t="shared" si="26"/>
        <v>4.01779234103252E-3</v>
      </c>
      <c r="W91" s="2"/>
      <c r="X91" s="6">
        <f t="shared" si="27"/>
        <v>-3260.6</v>
      </c>
      <c r="Y91" s="2"/>
      <c r="Z91" s="7">
        <f t="shared" si="28"/>
        <v>-1</v>
      </c>
    </row>
    <row r="92" spans="1:26" s="23" customFormat="1" hidden="1" outlineLevel="2" x14ac:dyDescent="0.25">
      <c r="A92" s="25"/>
      <c r="B92" s="10" t="str">
        <f>CONCATENATE("          ", "6119", " - ", "SICK LEAVE")</f>
        <v xml:space="preserve">          6119 - SICK LEAVE</v>
      </c>
      <c r="C92" s="10"/>
      <c r="D92" s="6"/>
      <c r="E92" s="2"/>
      <c r="F92" s="7">
        <f t="shared" si="21"/>
        <v>0</v>
      </c>
      <c r="G92" s="2"/>
      <c r="H92" s="6">
        <v>-8278.49</v>
      </c>
      <c r="I92" s="2"/>
      <c r="J92" s="7">
        <f t="shared" si="22"/>
        <v>-0.20271988038324965</v>
      </c>
      <c r="K92" s="2"/>
      <c r="L92" s="6">
        <f t="shared" si="23"/>
        <v>8278.49</v>
      </c>
      <c r="M92" s="2"/>
      <c r="N92" s="7">
        <f t="shared" si="24"/>
        <v>-1</v>
      </c>
      <c r="O92" s="10"/>
      <c r="P92" s="6"/>
      <c r="Q92" s="2"/>
      <c r="R92" s="7">
        <f t="shared" si="25"/>
        <v>0</v>
      </c>
      <c r="S92" s="2"/>
      <c r="T92" s="6">
        <v>-6269.72</v>
      </c>
      <c r="U92" s="2"/>
      <c r="V92" s="7">
        <f t="shared" si="26"/>
        <v>-7.725704777163226E-3</v>
      </c>
      <c r="W92" s="2"/>
      <c r="X92" s="6">
        <f t="shared" si="27"/>
        <v>6269.72</v>
      </c>
      <c r="Y92" s="2"/>
      <c r="Z92" s="7">
        <f t="shared" si="28"/>
        <v>-1</v>
      </c>
    </row>
    <row r="93" spans="1:26" s="23" customFormat="1" hidden="1" outlineLevel="2" x14ac:dyDescent="0.25">
      <c r="A93" s="25"/>
      <c r="B93" s="10" t="str">
        <f>CONCATENATE("          ", "6156", " - ", "EMPLOYEE MEALS")</f>
        <v xml:space="preserve">          6156 - EMPLOYEE MEALS</v>
      </c>
      <c r="C93" s="10"/>
      <c r="D93" s="6"/>
      <c r="E93" s="2"/>
      <c r="F93" s="7">
        <f t="shared" si="21"/>
        <v>0</v>
      </c>
      <c r="G93" s="2"/>
      <c r="H93" s="6">
        <v>81.16</v>
      </c>
      <c r="I93" s="2"/>
      <c r="J93" s="7">
        <f t="shared" si="22"/>
        <v>1.9874089951071442E-3</v>
      </c>
      <c r="K93" s="2"/>
      <c r="L93" s="6">
        <f t="shared" si="23"/>
        <v>-81.16</v>
      </c>
      <c r="M93" s="2"/>
      <c r="N93" s="7">
        <f t="shared" si="24"/>
        <v>-1</v>
      </c>
      <c r="O93" s="10"/>
      <c r="P93" s="6"/>
      <c r="Q93" s="2"/>
      <c r="R93" s="7">
        <f t="shared" si="25"/>
        <v>0</v>
      </c>
      <c r="S93" s="2"/>
      <c r="T93" s="6">
        <v>1666.1</v>
      </c>
      <c r="U93" s="2"/>
      <c r="V93" s="7">
        <f t="shared" si="26"/>
        <v>2.0530098200927075E-3</v>
      </c>
      <c r="W93" s="2"/>
      <c r="X93" s="6">
        <f t="shared" si="27"/>
        <v>-1666.1</v>
      </c>
      <c r="Y93" s="2"/>
      <c r="Z93" s="7">
        <f t="shared" si="28"/>
        <v>-1</v>
      </c>
    </row>
    <row r="94" spans="1:26" s="26" customFormat="1" outlineLevel="1" collapsed="1" x14ac:dyDescent="0.25">
      <c r="A94" s="27"/>
      <c r="B94" s="12" t="str">
        <f>CONCATENATE("     ","*Payroll                                          ")</f>
        <v xml:space="preserve">     *Payroll                                          </v>
      </c>
      <c r="C94" s="12"/>
      <c r="D94" s="1">
        <f>SUM(OSRRefD22_1x_0)</f>
        <v>0</v>
      </c>
      <c r="E94" s="1"/>
      <c r="F94" s="5">
        <f t="shared" ref="F94:F99" si="29">IF(D$12=0,0,D94/D$12)</f>
        <v>0</v>
      </c>
      <c r="G94" s="1"/>
      <c r="H94" s="1">
        <f>SUM(OSRRefH22_1x_0)</f>
        <v>20284.150000000001</v>
      </c>
      <c r="I94" s="1"/>
      <c r="J94" s="5">
        <f t="shared" ref="J94:J99" si="30">IF(H$12=0,0,H94/H$12)</f>
        <v>0.49670899664985929</v>
      </c>
      <c r="K94" s="1"/>
      <c r="L94" s="1">
        <f t="shared" ref="L94:L99" si="31">+D94-H94</f>
        <v>-20284.150000000001</v>
      </c>
      <c r="M94" s="1"/>
      <c r="N94" s="5">
        <f t="shared" ref="N94:N99" si="32">IF(H94=0,0,L94/H94)</f>
        <v>-1</v>
      </c>
      <c r="O94" s="12"/>
      <c r="P94" s="1">
        <f>SUM(OSRRefP22_1x_0)</f>
        <v>8152.5399999999991</v>
      </c>
      <c r="Q94" s="1"/>
      <c r="R94" s="5">
        <f t="shared" ref="R94:R99" si="33">IF(P$12=0,0,P94/P$12)</f>
        <v>0.38253428128483963</v>
      </c>
      <c r="S94" s="1"/>
      <c r="T94" s="1">
        <f>SUM(OSRRefT22_1x_0)</f>
        <v>145745.27000000002</v>
      </c>
      <c r="U94" s="1"/>
      <c r="V94" s="5">
        <f t="shared" ref="V94:V99" si="34">IF(T$12=0,0,T94/T$12)</f>
        <v>0.17959094324594149</v>
      </c>
      <c r="W94" s="1"/>
      <c r="X94" s="1">
        <f t="shared" ref="X94:X99" si="35">+P94-T94</f>
        <v>-137592.73000000001</v>
      </c>
      <c r="Y94" s="1"/>
      <c r="Z94" s="5">
        <f t="shared" ref="Z94:Z99" si="36">IF(T94=0,0,X94/T94)</f>
        <v>-0.9440630903493471</v>
      </c>
    </row>
    <row r="95" spans="1:26" s="23" customFormat="1" hidden="1" outlineLevel="2" x14ac:dyDescent="0.25">
      <c r="A95" s="25"/>
      <c r="B95" s="10" t="str">
        <f>CONCATENATE("          ", "6002", " - ", "STAFF SALARIES")</f>
        <v xml:space="preserve">          6002 - STAFF SALARIES</v>
      </c>
      <c r="C95" s="10"/>
      <c r="D95" s="6"/>
      <c r="E95" s="2"/>
      <c r="F95" s="7">
        <f t="shared" si="29"/>
        <v>0</v>
      </c>
      <c r="G95" s="2"/>
      <c r="H95" s="6">
        <v>5973.01</v>
      </c>
      <c r="I95" s="2"/>
      <c r="J95" s="7">
        <f t="shared" si="30"/>
        <v>0.14626433959912424</v>
      </c>
      <c r="K95" s="2"/>
      <c r="L95" s="6">
        <f t="shared" si="31"/>
        <v>-5973.01</v>
      </c>
      <c r="M95" s="2"/>
      <c r="N95" s="7">
        <f t="shared" si="32"/>
        <v>-1</v>
      </c>
      <c r="O95" s="10"/>
      <c r="P95" s="6"/>
      <c r="Q95" s="2"/>
      <c r="R95" s="7">
        <f t="shared" si="33"/>
        <v>0</v>
      </c>
      <c r="S95" s="2"/>
      <c r="T95" s="6">
        <v>48463.82</v>
      </c>
      <c r="U95" s="2"/>
      <c r="V95" s="7">
        <f t="shared" si="34"/>
        <v>5.971832325743074E-2</v>
      </c>
      <c r="W95" s="2"/>
      <c r="X95" s="6">
        <f t="shared" si="35"/>
        <v>-48463.82</v>
      </c>
      <c r="Y95" s="2"/>
      <c r="Z95" s="7">
        <f t="shared" si="36"/>
        <v>-1</v>
      </c>
    </row>
    <row r="96" spans="1:26" s="23" customFormat="1" hidden="1" outlineLevel="2" x14ac:dyDescent="0.25">
      <c r="A96" s="25"/>
      <c r="B96" s="10" t="str">
        <f>CONCATENATE("          ", "6004", " - ", "STAFF HOURLY")</f>
        <v xml:space="preserve">          6004 - STAFF HOURLY</v>
      </c>
      <c r="C96" s="10"/>
      <c r="D96" s="6"/>
      <c r="E96" s="2"/>
      <c r="F96" s="7">
        <f t="shared" si="29"/>
        <v>0</v>
      </c>
      <c r="G96" s="2"/>
      <c r="H96" s="6"/>
      <c r="I96" s="2"/>
      <c r="J96" s="7">
        <f t="shared" si="30"/>
        <v>0</v>
      </c>
      <c r="K96" s="2"/>
      <c r="L96" s="6">
        <f t="shared" si="31"/>
        <v>0</v>
      </c>
      <c r="M96" s="2"/>
      <c r="N96" s="7">
        <f t="shared" si="32"/>
        <v>0</v>
      </c>
      <c r="O96" s="10"/>
      <c r="P96" s="6"/>
      <c r="Q96" s="2"/>
      <c r="R96" s="7">
        <f t="shared" si="33"/>
        <v>0</v>
      </c>
      <c r="S96" s="2"/>
      <c r="T96" s="6">
        <v>-48</v>
      </c>
      <c r="U96" s="2"/>
      <c r="V96" s="7">
        <f t="shared" si="34"/>
        <v>-5.9146792728197564E-5</v>
      </c>
      <c r="W96" s="2"/>
      <c r="X96" s="6">
        <f t="shared" si="35"/>
        <v>48</v>
      </c>
      <c r="Y96" s="2"/>
      <c r="Z96" s="7">
        <f t="shared" si="36"/>
        <v>-1</v>
      </c>
    </row>
    <row r="97" spans="1:26" s="23" customFormat="1" hidden="1" outlineLevel="2" x14ac:dyDescent="0.25">
      <c r="A97" s="25"/>
      <c r="B97" s="10" t="str">
        <f>CONCATENATE("          ", "6005", " - ", "TEMPORARY WAGES-HOURLY")</f>
        <v xml:space="preserve">          6005 - TEMPORARY WAGES-HOURLY</v>
      </c>
      <c r="C97" s="10"/>
      <c r="D97" s="6"/>
      <c r="E97" s="2"/>
      <c r="F97" s="7">
        <f t="shared" si="29"/>
        <v>0</v>
      </c>
      <c r="G97" s="2"/>
      <c r="H97" s="6">
        <v>1816.14</v>
      </c>
      <c r="I97" s="2"/>
      <c r="J97" s="7">
        <f t="shared" si="30"/>
        <v>4.4472806460989271E-2</v>
      </c>
      <c r="K97" s="2"/>
      <c r="L97" s="6">
        <f t="shared" si="31"/>
        <v>-1816.14</v>
      </c>
      <c r="M97" s="2"/>
      <c r="N97" s="7">
        <f t="shared" si="32"/>
        <v>-1</v>
      </c>
      <c r="O97" s="10"/>
      <c r="P97" s="6">
        <v>5379.19</v>
      </c>
      <c r="Q97" s="2"/>
      <c r="R97" s="7">
        <f t="shared" si="33"/>
        <v>0.25240288064144384</v>
      </c>
      <c r="S97" s="2"/>
      <c r="T97" s="6">
        <v>7121.65</v>
      </c>
      <c r="U97" s="2"/>
      <c r="V97" s="7">
        <f t="shared" si="34"/>
        <v>8.7754740923493366E-3</v>
      </c>
      <c r="W97" s="2"/>
      <c r="X97" s="6">
        <f t="shared" si="35"/>
        <v>-1742.46</v>
      </c>
      <c r="Y97" s="2"/>
      <c r="Z97" s="7">
        <f t="shared" si="36"/>
        <v>-0.24467082768740392</v>
      </c>
    </row>
    <row r="98" spans="1:26" s="23" customFormat="1" hidden="1" outlineLevel="2" x14ac:dyDescent="0.25">
      <c r="A98" s="25"/>
      <c r="B98" s="10" t="str">
        <f>CONCATENATE("          ", "6006", " - ", "TEMPORARY PART TIME")</f>
        <v xml:space="preserve">          6006 - TEMPORARY PART TIME</v>
      </c>
      <c r="C98" s="10"/>
      <c r="D98" s="6"/>
      <c r="E98" s="2"/>
      <c r="F98" s="7">
        <f t="shared" si="29"/>
        <v>0</v>
      </c>
      <c r="G98" s="2"/>
      <c r="H98" s="6"/>
      <c r="I98" s="2"/>
      <c r="J98" s="7">
        <f t="shared" si="30"/>
        <v>0</v>
      </c>
      <c r="K98" s="2"/>
      <c r="L98" s="6">
        <f t="shared" si="31"/>
        <v>0</v>
      </c>
      <c r="M98" s="2"/>
      <c r="N98" s="7">
        <f t="shared" si="32"/>
        <v>0</v>
      </c>
      <c r="O98" s="10"/>
      <c r="P98" s="6"/>
      <c r="Q98" s="2"/>
      <c r="R98" s="7">
        <f t="shared" si="33"/>
        <v>0</v>
      </c>
      <c r="S98" s="2"/>
      <c r="T98" s="6">
        <v>25.5</v>
      </c>
      <c r="U98" s="2"/>
      <c r="V98" s="7">
        <f t="shared" si="34"/>
        <v>3.1421733636854957E-5</v>
      </c>
      <c r="W98" s="2"/>
      <c r="X98" s="6">
        <f t="shared" si="35"/>
        <v>-25.5</v>
      </c>
      <c r="Y98" s="2"/>
      <c r="Z98" s="7">
        <f t="shared" si="36"/>
        <v>-1</v>
      </c>
    </row>
    <row r="99" spans="1:26" s="23" customFormat="1" hidden="1" outlineLevel="2" x14ac:dyDescent="0.25">
      <c r="A99" s="25"/>
      <c r="B99" s="10" t="str">
        <f>CONCATENATE("          ", "6007", " - ", "STUDENT HOURLY")</f>
        <v xml:space="preserve">          6007 - STUDENT HOURLY</v>
      </c>
      <c r="C99" s="10"/>
      <c r="D99" s="6"/>
      <c r="E99" s="2"/>
      <c r="F99" s="7">
        <f t="shared" si="29"/>
        <v>0</v>
      </c>
      <c r="G99" s="2"/>
      <c r="H99" s="6">
        <v>12495</v>
      </c>
      <c r="I99" s="2"/>
      <c r="J99" s="7">
        <f t="shared" si="30"/>
        <v>0.30597185058974574</v>
      </c>
      <c r="K99" s="2"/>
      <c r="L99" s="6">
        <f t="shared" si="31"/>
        <v>-12495</v>
      </c>
      <c r="M99" s="2"/>
      <c r="N99" s="7">
        <f t="shared" si="32"/>
        <v>-1</v>
      </c>
      <c r="O99" s="10"/>
      <c r="P99" s="6">
        <v>2773.35</v>
      </c>
      <c r="Q99" s="2"/>
      <c r="R99" s="7">
        <f t="shared" si="33"/>
        <v>0.13013140064339582</v>
      </c>
      <c r="S99" s="2"/>
      <c r="T99" s="6">
        <v>90182.3</v>
      </c>
      <c r="U99" s="2"/>
      <c r="V99" s="7">
        <f t="shared" si="34"/>
        <v>0.11112487095525274</v>
      </c>
      <c r="W99" s="2"/>
      <c r="X99" s="6">
        <f t="shared" si="35"/>
        <v>-87408.95</v>
      </c>
      <c r="Y99" s="2"/>
      <c r="Z99" s="7">
        <f t="shared" si="36"/>
        <v>-0.96924729131991527</v>
      </c>
    </row>
    <row r="100" spans="1:26" s="26" customFormat="1" outlineLevel="1" collapsed="1" x14ac:dyDescent="0.25">
      <c r="A100" s="27"/>
      <c r="B100" s="12" t="str">
        <f>CONCATENATE("     ","Advertising/Promo                                 ")</f>
        <v xml:space="preserve">     Advertising/Promo                                 </v>
      </c>
      <c r="C100" s="12"/>
      <c r="D100" s="1">
        <f>SUM(OSRRefD22_2x_0)</f>
        <v>0</v>
      </c>
      <c r="E100" s="1"/>
      <c r="F100" s="5">
        <f t="shared" ref="F100:F106" si="37">IF(D$12=0,0,D100/D$12)</f>
        <v>0</v>
      </c>
      <c r="G100" s="1"/>
      <c r="H100" s="1">
        <f>SUM(OSRRefH22_2x_0)</f>
        <v>0</v>
      </c>
      <c r="I100" s="1"/>
      <c r="J100" s="5">
        <f t="shared" ref="J100:J106" si="38">IF(H$12=0,0,H100/H$12)</f>
        <v>0</v>
      </c>
      <c r="K100" s="1"/>
      <c r="L100" s="1">
        <f t="shared" ref="L100:L106" si="39">+D100-H100</f>
        <v>0</v>
      </c>
      <c r="M100" s="1"/>
      <c r="N100" s="5">
        <f t="shared" ref="N100:N106" si="40">IF(H100=0,0,L100/H100)</f>
        <v>0</v>
      </c>
      <c r="O100" s="12"/>
      <c r="P100" s="1">
        <f>SUM(OSRRefP22_2x_0)</f>
        <v>124.72</v>
      </c>
      <c r="Q100" s="1"/>
      <c r="R100" s="5">
        <f t="shared" ref="R100:R106" si="41">IF(P$12=0,0,P100/P$12)</f>
        <v>5.8521240695347957E-3</v>
      </c>
      <c r="S100" s="1"/>
      <c r="T100" s="1">
        <f>SUM(OSRRefT22_2x_0)</f>
        <v>2145.38</v>
      </c>
      <c r="U100" s="1"/>
      <c r="V100" s="5">
        <f t="shared" ref="V100:V106" si="42">IF(T$12=0,0,T100/T$12)</f>
        <v>2.6435905454837605E-3</v>
      </c>
      <c r="W100" s="1"/>
      <c r="X100" s="1">
        <f t="shared" ref="X100:X106" si="43">+P100-T100</f>
        <v>-2020.66</v>
      </c>
      <c r="Y100" s="1"/>
      <c r="Z100" s="5">
        <f t="shared" ref="Z100:Z106" si="44">IF(T100=0,0,X100/T100)</f>
        <v>-0.94186577669224103</v>
      </c>
    </row>
    <row r="101" spans="1:26" s="23" customFormat="1" hidden="1" outlineLevel="2" x14ac:dyDescent="0.25">
      <c r="A101" s="25"/>
      <c r="B101" s="10" t="str">
        <f>CONCATENATE("          ", "6362", " - ", "ADVERTISING EXPENSE")</f>
        <v xml:space="preserve">          6362 - ADVERTISING EXPENSE</v>
      </c>
      <c r="C101" s="10"/>
      <c r="D101" s="6"/>
      <c r="E101" s="2"/>
      <c r="F101" s="7">
        <f t="shared" si="37"/>
        <v>0</v>
      </c>
      <c r="G101" s="2"/>
      <c r="H101" s="6"/>
      <c r="I101" s="2"/>
      <c r="J101" s="7">
        <f t="shared" si="38"/>
        <v>0</v>
      </c>
      <c r="K101" s="2"/>
      <c r="L101" s="6">
        <f t="shared" si="39"/>
        <v>0</v>
      </c>
      <c r="M101" s="2"/>
      <c r="N101" s="7">
        <f t="shared" si="40"/>
        <v>0</v>
      </c>
      <c r="O101" s="10"/>
      <c r="P101" s="6">
        <v>124.72</v>
      </c>
      <c r="Q101" s="2"/>
      <c r="R101" s="7">
        <f t="shared" si="41"/>
        <v>5.8521240695347957E-3</v>
      </c>
      <c r="S101" s="2"/>
      <c r="T101" s="6">
        <v>2145.38</v>
      </c>
      <c r="U101" s="2"/>
      <c r="V101" s="7">
        <f t="shared" si="42"/>
        <v>2.6435905454837605E-3</v>
      </c>
      <c r="W101" s="2"/>
      <c r="X101" s="6">
        <f t="shared" si="43"/>
        <v>-2020.66</v>
      </c>
      <c r="Y101" s="2"/>
      <c r="Z101" s="7">
        <f t="shared" si="44"/>
        <v>-0.94186577669224103</v>
      </c>
    </row>
    <row r="102" spans="1:26" s="26" customFormat="1" outlineLevel="1" collapsed="1" x14ac:dyDescent="0.25">
      <c r="A102" s="27"/>
      <c r="B102" s="12" t="str">
        <f>CONCATENATE("     ","Bad Debts/Over/Short                              ")</f>
        <v xml:space="preserve">     Bad Debts/Over/Short                              </v>
      </c>
      <c r="C102" s="12"/>
      <c r="D102" s="1">
        <f>SUM(OSRRefD22_3x_0)</f>
        <v>0</v>
      </c>
      <c r="E102" s="1"/>
      <c r="F102" s="5">
        <f t="shared" si="37"/>
        <v>0</v>
      </c>
      <c r="G102" s="1"/>
      <c r="H102" s="1">
        <f>SUM(OSRRefH22_3x_0)</f>
        <v>-0.35</v>
      </c>
      <c r="I102" s="1"/>
      <c r="J102" s="5">
        <f t="shared" si="38"/>
        <v>-8.5706400725418972E-6</v>
      </c>
      <c r="K102" s="1"/>
      <c r="L102" s="1">
        <f t="shared" si="39"/>
        <v>0.35</v>
      </c>
      <c r="M102" s="1"/>
      <c r="N102" s="5">
        <f t="shared" si="40"/>
        <v>-1</v>
      </c>
      <c r="O102" s="12"/>
      <c r="P102" s="1">
        <f>SUM(OSRRefP22_3x_0)</f>
        <v>1.1000000000000001</v>
      </c>
      <c r="Q102" s="1"/>
      <c r="R102" s="5">
        <f t="shared" si="41"/>
        <v>5.1614307861516002E-5</v>
      </c>
      <c r="S102" s="1"/>
      <c r="T102" s="1">
        <f>SUM(OSRRefT22_3x_0)</f>
        <v>-55.84</v>
      </c>
      <c r="U102" s="1"/>
      <c r="V102" s="5">
        <f t="shared" si="42"/>
        <v>-6.880743554046984E-5</v>
      </c>
      <c r="W102" s="1"/>
      <c r="X102" s="1">
        <f t="shared" si="43"/>
        <v>56.940000000000005</v>
      </c>
      <c r="Y102" s="1"/>
      <c r="Z102" s="5">
        <f t="shared" si="44"/>
        <v>-1.0196991404011462</v>
      </c>
    </row>
    <row r="103" spans="1:26" s="23" customFormat="1" hidden="1" outlineLevel="2" x14ac:dyDescent="0.25">
      <c r="A103" s="25"/>
      <c r="B103" s="10" t="str">
        <f>CONCATENATE("          ", "6272", " - ", "CASH (OVER/SHORT)")</f>
        <v xml:space="preserve">          6272 - CASH (OVER/SHORT)</v>
      </c>
      <c r="C103" s="10"/>
      <c r="D103" s="6"/>
      <c r="E103" s="2"/>
      <c r="F103" s="7">
        <f t="shared" si="37"/>
        <v>0</v>
      </c>
      <c r="G103" s="2"/>
      <c r="H103" s="6">
        <v>-0.35</v>
      </c>
      <c r="I103" s="2"/>
      <c r="J103" s="7">
        <f t="shared" si="38"/>
        <v>-8.5706400725418972E-6</v>
      </c>
      <c r="K103" s="2"/>
      <c r="L103" s="6">
        <f t="shared" si="39"/>
        <v>0.35</v>
      </c>
      <c r="M103" s="2"/>
      <c r="N103" s="7">
        <f t="shared" si="40"/>
        <v>-1</v>
      </c>
      <c r="O103" s="10"/>
      <c r="P103" s="6">
        <v>1.1000000000000001</v>
      </c>
      <c r="Q103" s="2"/>
      <c r="R103" s="7">
        <f t="shared" si="41"/>
        <v>5.1614307861516002E-5</v>
      </c>
      <c r="S103" s="2"/>
      <c r="T103" s="6">
        <v>-55.84</v>
      </c>
      <c r="U103" s="2"/>
      <c r="V103" s="7">
        <f t="shared" si="42"/>
        <v>-6.880743554046984E-5</v>
      </c>
      <c r="W103" s="2"/>
      <c r="X103" s="6">
        <f t="shared" si="43"/>
        <v>56.940000000000005</v>
      </c>
      <c r="Y103" s="2"/>
      <c r="Z103" s="7">
        <f t="shared" si="44"/>
        <v>-1.0196991404011462</v>
      </c>
    </row>
    <row r="104" spans="1:26" s="26" customFormat="1" outlineLevel="1" collapsed="1" x14ac:dyDescent="0.25">
      <c r="A104" s="27"/>
      <c r="B104" s="12" t="str">
        <f>CONCATENATE("     ","Discounts and Markdowns                           ")</f>
        <v xml:space="preserve">     Discounts and Markdowns                           </v>
      </c>
      <c r="C104" s="12"/>
      <c r="D104" s="1">
        <f>SUM(OSRRefD22_4x_0)</f>
        <v>0</v>
      </c>
      <c r="E104" s="1"/>
      <c r="F104" s="5">
        <f t="shared" si="37"/>
        <v>0</v>
      </c>
      <c r="G104" s="1"/>
      <c r="H104" s="1">
        <f>SUM(OSRRefH22_4x_0)</f>
        <v>1617.94</v>
      </c>
      <c r="I104" s="1"/>
      <c r="J104" s="5">
        <f t="shared" si="38"/>
        <v>3.9619375425624111E-2</v>
      </c>
      <c r="K104" s="1"/>
      <c r="L104" s="1">
        <f t="shared" si="39"/>
        <v>-1617.94</v>
      </c>
      <c r="M104" s="1"/>
      <c r="N104" s="5">
        <f t="shared" si="40"/>
        <v>-1</v>
      </c>
      <c r="O104" s="12"/>
      <c r="P104" s="1">
        <f>SUM(OSRRefP22_4x_0)</f>
        <v>0</v>
      </c>
      <c r="Q104" s="1"/>
      <c r="R104" s="5">
        <f t="shared" si="41"/>
        <v>0</v>
      </c>
      <c r="S104" s="1"/>
      <c r="T104" s="1">
        <f>SUM(OSRRefT22_4x_0)</f>
        <v>18717.650000000001</v>
      </c>
      <c r="U104" s="1"/>
      <c r="V104" s="5">
        <f t="shared" si="42"/>
        <v>2.3064353435603067E-2</v>
      </c>
      <c r="W104" s="1"/>
      <c r="X104" s="1">
        <f t="shared" si="43"/>
        <v>-18717.650000000001</v>
      </c>
      <c r="Y104" s="1"/>
      <c r="Z104" s="5">
        <f t="shared" si="44"/>
        <v>-1</v>
      </c>
    </row>
    <row r="105" spans="1:26" s="23" customFormat="1" hidden="1" outlineLevel="2" x14ac:dyDescent="0.25">
      <c r="A105" s="25"/>
      <c r="B105" s="10" t="str">
        <f>CONCATENATE("          ", "6382", " - ", "DISCOUNTS/MARK DOWNS")</f>
        <v xml:space="preserve">          6382 - DISCOUNTS/MARK DOWNS</v>
      </c>
      <c r="C105" s="10"/>
      <c r="D105" s="6"/>
      <c r="E105" s="2"/>
      <c r="F105" s="7">
        <f t="shared" si="37"/>
        <v>0</v>
      </c>
      <c r="G105" s="2"/>
      <c r="H105" s="6">
        <v>1617.94</v>
      </c>
      <c r="I105" s="2"/>
      <c r="J105" s="7">
        <f t="shared" si="38"/>
        <v>3.9619375425624111E-2</v>
      </c>
      <c r="K105" s="2"/>
      <c r="L105" s="6">
        <f t="shared" si="39"/>
        <v>-1617.94</v>
      </c>
      <c r="M105" s="2"/>
      <c r="N105" s="7">
        <f t="shared" si="40"/>
        <v>-1</v>
      </c>
      <c r="O105" s="10"/>
      <c r="P105" s="6">
        <v>0</v>
      </c>
      <c r="Q105" s="2"/>
      <c r="R105" s="7">
        <f t="shared" si="41"/>
        <v>0</v>
      </c>
      <c r="S105" s="2"/>
      <c r="T105" s="6">
        <v>18717.650000000001</v>
      </c>
      <c r="U105" s="2"/>
      <c r="V105" s="7">
        <f t="shared" si="42"/>
        <v>2.3064353435603067E-2</v>
      </c>
      <c r="W105" s="2"/>
      <c r="X105" s="6">
        <f t="shared" si="43"/>
        <v>-18717.650000000001</v>
      </c>
      <c r="Y105" s="2"/>
      <c r="Z105" s="7">
        <f t="shared" si="44"/>
        <v>-1</v>
      </c>
    </row>
    <row r="106" spans="1:26" s="23" customFormat="1" hidden="1" outlineLevel="2" x14ac:dyDescent="0.25">
      <c r="A106" s="25"/>
      <c r="B106" s="10" t="str">
        <f>CONCATENATE("          ", "9175", " - ", "EARNED DISCOUNTS")</f>
        <v xml:space="preserve">          9175 - EARNED DISCOUNTS</v>
      </c>
      <c r="C106" s="10"/>
      <c r="D106" s="6">
        <v>0</v>
      </c>
      <c r="E106" s="2"/>
      <c r="F106" s="7">
        <f t="shared" si="37"/>
        <v>0</v>
      </c>
      <c r="G106" s="2"/>
      <c r="H106" s="6">
        <v>0</v>
      </c>
      <c r="I106" s="2"/>
      <c r="J106" s="7">
        <f t="shared" si="38"/>
        <v>0</v>
      </c>
      <c r="K106" s="2"/>
      <c r="L106" s="6">
        <f t="shared" si="39"/>
        <v>0</v>
      </c>
      <c r="M106" s="2"/>
      <c r="N106" s="7">
        <f t="shared" si="40"/>
        <v>0</v>
      </c>
      <c r="O106" s="10"/>
      <c r="P106" s="6">
        <v>0</v>
      </c>
      <c r="Q106" s="2"/>
      <c r="R106" s="7">
        <f t="shared" si="41"/>
        <v>0</v>
      </c>
      <c r="S106" s="2"/>
      <c r="T106" s="6">
        <v>0</v>
      </c>
      <c r="U106" s="2"/>
      <c r="V106" s="7">
        <f t="shared" si="42"/>
        <v>0</v>
      </c>
      <c r="W106" s="2"/>
      <c r="X106" s="6">
        <f t="shared" si="43"/>
        <v>0</v>
      </c>
      <c r="Y106" s="2"/>
      <c r="Z106" s="7">
        <f t="shared" si="44"/>
        <v>0</v>
      </c>
    </row>
    <row r="107" spans="1:26" s="26" customFormat="1" outlineLevel="1" collapsed="1" x14ac:dyDescent="0.25">
      <c r="A107" s="27"/>
      <c r="B107" s="12" t="str">
        <f>CONCATENATE("     ","Freight out/Postage                               ")</f>
        <v xml:space="preserve">     Freight out/Postage                               </v>
      </c>
      <c r="C107" s="12"/>
      <c r="D107" s="1">
        <f>SUM(OSRRefD22_5x_0)</f>
        <v>0</v>
      </c>
      <c r="E107" s="1"/>
      <c r="F107" s="5">
        <f t="shared" ref="F107:F115" si="45">IF(D$12=0,0,D107/D$12)</f>
        <v>0</v>
      </c>
      <c r="G107" s="1"/>
      <c r="H107" s="1">
        <f>SUM(OSRRefH22_5x_0)</f>
        <v>0</v>
      </c>
      <c r="I107" s="1"/>
      <c r="J107" s="5">
        <f t="shared" ref="J107:J115" si="46">IF(H$12=0,0,H107/H$12)</f>
        <v>0</v>
      </c>
      <c r="K107" s="1"/>
      <c r="L107" s="1">
        <f t="shared" ref="L107:L115" si="47">+D107-H107</f>
        <v>0</v>
      </c>
      <c r="M107" s="1"/>
      <c r="N107" s="5">
        <f t="shared" ref="N107:N115" si="48">IF(H107=0,0,L107/H107)</f>
        <v>0</v>
      </c>
      <c r="O107" s="12"/>
      <c r="P107" s="1">
        <f>SUM(OSRRefP22_5x_0)</f>
        <v>0</v>
      </c>
      <c r="Q107" s="1"/>
      <c r="R107" s="5">
        <f t="shared" ref="R107:R115" si="49">IF(P$12=0,0,P107/P$12)</f>
        <v>0</v>
      </c>
      <c r="S107" s="1"/>
      <c r="T107" s="1">
        <f>SUM(OSRRefT22_5x_0)</f>
        <v>15.81</v>
      </c>
      <c r="U107" s="1"/>
      <c r="V107" s="5">
        <f t="shared" ref="V107:V115" si="50">IF(T$12=0,0,T107/T$12)</f>
        <v>1.9481474854850074E-5</v>
      </c>
      <c r="W107" s="1"/>
      <c r="X107" s="1">
        <f t="shared" ref="X107:X115" si="51">+P107-T107</f>
        <v>-15.81</v>
      </c>
      <c r="Y107" s="1"/>
      <c r="Z107" s="5">
        <f t="shared" ref="Z107:Z115" si="52">IF(T107=0,0,X107/T107)</f>
        <v>-1</v>
      </c>
    </row>
    <row r="108" spans="1:26" s="23" customFormat="1" hidden="1" outlineLevel="2" x14ac:dyDescent="0.25">
      <c r="A108" s="25"/>
      <c r="B108" s="10" t="str">
        <f>CONCATENATE("          ", "6305", " - ", "FREIGHT OUT")</f>
        <v xml:space="preserve">          6305 - FREIGHT OUT</v>
      </c>
      <c r="C108" s="10"/>
      <c r="D108" s="6"/>
      <c r="E108" s="2"/>
      <c r="F108" s="7">
        <f t="shared" si="45"/>
        <v>0</v>
      </c>
      <c r="G108" s="2"/>
      <c r="H108" s="6"/>
      <c r="I108" s="2"/>
      <c r="J108" s="7">
        <f t="shared" si="46"/>
        <v>0</v>
      </c>
      <c r="K108" s="2"/>
      <c r="L108" s="6">
        <f t="shared" si="47"/>
        <v>0</v>
      </c>
      <c r="M108" s="2"/>
      <c r="N108" s="7">
        <f t="shared" si="48"/>
        <v>0</v>
      </c>
      <c r="O108" s="10"/>
      <c r="P108" s="6">
        <v>0</v>
      </c>
      <c r="Q108" s="2"/>
      <c r="R108" s="7">
        <f t="shared" si="49"/>
        <v>0</v>
      </c>
      <c r="S108" s="2"/>
      <c r="T108" s="6">
        <v>15.81</v>
      </c>
      <c r="U108" s="2"/>
      <c r="V108" s="7">
        <f t="shared" si="50"/>
        <v>1.9481474854850074E-5</v>
      </c>
      <c r="W108" s="2"/>
      <c r="X108" s="6">
        <f t="shared" si="51"/>
        <v>-15.81</v>
      </c>
      <c r="Y108" s="2"/>
      <c r="Z108" s="7">
        <f t="shared" si="52"/>
        <v>-1</v>
      </c>
    </row>
    <row r="109" spans="1:26" s="26" customFormat="1" outlineLevel="1" collapsed="1" x14ac:dyDescent="0.25">
      <c r="A109" s="27"/>
      <c r="B109" s="12" t="str">
        <f>CONCATENATE("     ","General                                           ")</f>
        <v xml:space="preserve">     General                                           </v>
      </c>
      <c r="C109" s="12"/>
      <c r="D109" s="1">
        <f>SUM(OSRRefD22_6x_0)</f>
        <v>0</v>
      </c>
      <c r="E109" s="1"/>
      <c r="F109" s="5">
        <f t="shared" si="45"/>
        <v>0</v>
      </c>
      <c r="G109" s="1"/>
      <c r="H109" s="1">
        <f>SUM(OSRRefH22_6x_0)</f>
        <v>0</v>
      </c>
      <c r="I109" s="1"/>
      <c r="J109" s="5">
        <f t="shared" si="46"/>
        <v>0</v>
      </c>
      <c r="K109" s="1"/>
      <c r="L109" s="1">
        <f t="shared" si="47"/>
        <v>0</v>
      </c>
      <c r="M109" s="1"/>
      <c r="N109" s="5">
        <f t="shared" si="48"/>
        <v>0</v>
      </c>
      <c r="O109" s="12"/>
      <c r="P109" s="1">
        <f>SUM(OSRRefP22_6x_0)</f>
        <v>879.55</v>
      </c>
      <c r="Q109" s="1"/>
      <c r="R109" s="5">
        <f t="shared" si="49"/>
        <v>4.1270331345087632E-2</v>
      </c>
      <c r="S109" s="1"/>
      <c r="T109" s="1">
        <f>SUM(OSRRefT22_6x_0)</f>
        <v>954.05</v>
      </c>
      <c r="U109" s="1"/>
      <c r="V109" s="5">
        <f t="shared" si="50"/>
        <v>1.1756041167153518E-3</v>
      </c>
      <c r="W109" s="1"/>
      <c r="X109" s="1">
        <f t="shared" si="51"/>
        <v>-74.5</v>
      </c>
      <c r="Y109" s="1"/>
      <c r="Z109" s="5">
        <f t="shared" si="52"/>
        <v>-7.8088150516220325E-2</v>
      </c>
    </row>
    <row r="110" spans="1:26" s="23" customFormat="1" hidden="1" outlineLevel="2" x14ac:dyDescent="0.25">
      <c r="A110" s="25"/>
      <c r="B110" s="10" t="str">
        <f>CONCATENATE("          ", "6279", " - ", "GENERAL EXPENSE")</f>
        <v xml:space="preserve">          6279 - GENERAL EXPENSE</v>
      </c>
      <c r="C110" s="10"/>
      <c r="D110" s="6"/>
      <c r="E110" s="2"/>
      <c r="F110" s="7">
        <f t="shared" si="45"/>
        <v>0</v>
      </c>
      <c r="G110" s="2"/>
      <c r="H110" s="6"/>
      <c r="I110" s="2"/>
      <c r="J110" s="7">
        <f t="shared" si="46"/>
        <v>0</v>
      </c>
      <c r="K110" s="2"/>
      <c r="L110" s="6">
        <f t="shared" si="47"/>
        <v>0</v>
      </c>
      <c r="M110" s="2"/>
      <c r="N110" s="7">
        <f t="shared" si="48"/>
        <v>0</v>
      </c>
      <c r="O110" s="10"/>
      <c r="P110" s="6">
        <v>879.55</v>
      </c>
      <c r="Q110" s="2"/>
      <c r="R110" s="7">
        <f t="shared" si="49"/>
        <v>4.1270331345087632E-2</v>
      </c>
      <c r="S110" s="2"/>
      <c r="T110" s="6">
        <v>954.05</v>
      </c>
      <c r="U110" s="2"/>
      <c r="V110" s="7">
        <f t="shared" si="50"/>
        <v>1.1756041167153518E-3</v>
      </c>
      <c r="W110" s="2"/>
      <c r="X110" s="6">
        <f t="shared" si="51"/>
        <v>-74.5</v>
      </c>
      <c r="Y110" s="2"/>
      <c r="Z110" s="7">
        <f t="shared" si="52"/>
        <v>-7.8088150516220325E-2</v>
      </c>
    </row>
    <row r="111" spans="1:26" s="26" customFormat="1" outlineLevel="1" collapsed="1" x14ac:dyDescent="0.25">
      <c r="A111" s="27"/>
      <c r="B111" s="12" t="str">
        <f>CONCATENATE("     ","Professional Services                             ")</f>
        <v xml:space="preserve">     Professional Services                             </v>
      </c>
      <c r="C111" s="12"/>
      <c r="D111" s="1">
        <f>SUM(OSRRefD22_7x_0)</f>
        <v>0</v>
      </c>
      <c r="E111" s="1"/>
      <c r="F111" s="5">
        <f t="shared" si="45"/>
        <v>0</v>
      </c>
      <c r="G111" s="1"/>
      <c r="H111" s="1">
        <f>SUM(OSRRefH22_7x_0)</f>
        <v>0</v>
      </c>
      <c r="I111" s="1"/>
      <c r="J111" s="5">
        <f t="shared" si="46"/>
        <v>0</v>
      </c>
      <c r="K111" s="1"/>
      <c r="L111" s="1">
        <f t="shared" si="47"/>
        <v>0</v>
      </c>
      <c r="M111" s="1"/>
      <c r="N111" s="5">
        <f t="shared" si="48"/>
        <v>0</v>
      </c>
      <c r="O111" s="12"/>
      <c r="P111" s="1">
        <f>SUM(OSRRefP22_7x_0)</f>
        <v>0</v>
      </c>
      <c r="Q111" s="1"/>
      <c r="R111" s="5">
        <f t="shared" si="49"/>
        <v>0</v>
      </c>
      <c r="S111" s="1"/>
      <c r="T111" s="1">
        <f>SUM(OSRRefT22_7x_0)</f>
        <v>791.15</v>
      </c>
      <c r="U111" s="1"/>
      <c r="V111" s="5">
        <f t="shared" si="50"/>
        <v>9.7487468889403126E-4</v>
      </c>
      <c r="W111" s="1"/>
      <c r="X111" s="1">
        <f t="shared" si="51"/>
        <v>-791.15</v>
      </c>
      <c r="Y111" s="1"/>
      <c r="Z111" s="5">
        <f t="shared" si="52"/>
        <v>-1</v>
      </c>
    </row>
    <row r="112" spans="1:26" s="23" customFormat="1" hidden="1" outlineLevel="2" x14ac:dyDescent="0.25">
      <c r="A112" s="25"/>
      <c r="B112" s="10" t="str">
        <f>CONCATENATE("          ", "6336", " - ", "PROFESSIONAL SERVICES")</f>
        <v xml:space="preserve">          6336 - PROFESSIONAL SERVICES</v>
      </c>
      <c r="C112" s="10"/>
      <c r="D112" s="6"/>
      <c r="E112" s="2"/>
      <c r="F112" s="7">
        <f t="shared" si="45"/>
        <v>0</v>
      </c>
      <c r="G112" s="2"/>
      <c r="H112" s="6"/>
      <c r="I112" s="2"/>
      <c r="J112" s="7">
        <f t="shared" si="46"/>
        <v>0</v>
      </c>
      <c r="K112" s="2"/>
      <c r="L112" s="6">
        <f t="shared" si="47"/>
        <v>0</v>
      </c>
      <c r="M112" s="2"/>
      <c r="N112" s="7">
        <f t="shared" si="48"/>
        <v>0</v>
      </c>
      <c r="O112" s="10"/>
      <c r="P112" s="6"/>
      <c r="Q112" s="2"/>
      <c r="R112" s="7">
        <f t="shared" si="49"/>
        <v>0</v>
      </c>
      <c r="S112" s="2"/>
      <c r="T112" s="6">
        <v>791.15</v>
      </c>
      <c r="U112" s="2"/>
      <c r="V112" s="7">
        <f t="shared" si="50"/>
        <v>9.7487468889403126E-4</v>
      </c>
      <c r="W112" s="2"/>
      <c r="X112" s="6">
        <f t="shared" si="51"/>
        <v>-791.15</v>
      </c>
      <c r="Y112" s="2"/>
      <c r="Z112" s="7">
        <f t="shared" si="52"/>
        <v>-1</v>
      </c>
    </row>
    <row r="113" spans="1:26" s="26" customFormat="1" outlineLevel="1" collapsed="1" x14ac:dyDescent="0.25">
      <c r="A113" s="27"/>
      <c r="B113" s="12" t="str">
        <f>CONCATENATE("     ","Repair and Maintenance                            ")</f>
        <v xml:space="preserve">     Repair and Maintenance                            </v>
      </c>
      <c r="C113" s="12"/>
      <c r="D113" s="1">
        <f>SUM(OSRRefD22_8x_0)</f>
        <v>61.11</v>
      </c>
      <c r="E113" s="1"/>
      <c r="F113" s="5">
        <f t="shared" si="45"/>
        <v>0</v>
      </c>
      <c r="G113" s="1"/>
      <c r="H113" s="1">
        <f>SUM(OSRRefH22_8x_0)</f>
        <v>61.11</v>
      </c>
      <c r="I113" s="1"/>
      <c r="J113" s="5">
        <f t="shared" si="46"/>
        <v>1.4964337566658154E-3</v>
      </c>
      <c r="K113" s="1"/>
      <c r="L113" s="1">
        <f t="shared" si="47"/>
        <v>0</v>
      </c>
      <c r="M113" s="1"/>
      <c r="N113" s="5">
        <f t="shared" si="48"/>
        <v>0</v>
      </c>
      <c r="O113" s="12"/>
      <c r="P113" s="1">
        <f>SUM(OSRRefP22_8x_0)</f>
        <v>261.93</v>
      </c>
      <c r="Q113" s="1"/>
      <c r="R113" s="5">
        <f t="shared" si="49"/>
        <v>1.2290305143788078E-2</v>
      </c>
      <c r="S113" s="1"/>
      <c r="T113" s="1">
        <f>SUM(OSRRefT22_8x_0)</f>
        <v>190.64000000000001</v>
      </c>
      <c r="U113" s="1"/>
      <c r="V113" s="5">
        <f t="shared" si="50"/>
        <v>2.3491134511882466E-4</v>
      </c>
      <c r="W113" s="1"/>
      <c r="X113" s="1">
        <f t="shared" si="51"/>
        <v>71.289999999999992</v>
      </c>
      <c r="Y113" s="1"/>
      <c r="Z113" s="5">
        <f t="shared" si="52"/>
        <v>0.37395090222408722</v>
      </c>
    </row>
    <row r="114" spans="1:26" s="23" customFormat="1" hidden="1" outlineLevel="2" x14ac:dyDescent="0.25">
      <c r="A114" s="25"/>
      <c r="B114" s="10" t="str">
        <f>CONCATENATE("          ", "6373", " - ", "MAINTENANCE CONTRACTS")</f>
        <v xml:space="preserve">          6373 - MAINTENANCE CONTRACTS</v>
      </c>
      <c r="C114" s="10"/>
      <c r="D114" s="6">
        <v>61.11</v>
      </c>
      <c r="E114" s="2"/>
      <c r="F114" s="7">
        <f t="shared" si="45"/>
        <v>0</v>
      </c>
      <c r="G114" s="2"/>
      <c r="H114" s="6">
        <v>61.11</v>
      </c>
      <c r="I114" s="2"/>
      <c r="J114" s="7">
        <f t="shared" si="46"/>
        <v>1.4964337566658154E-3</v>
      </c>
      <c r="K114" s="2"/>
      <c r="L114" s="6">
        <f t="shared" si="47"/>
        <v>0</v>
      </c>
      <c r="M114" s="2"/>
      <c r="N114" s="7">
        <f t="shared" si="48"/>
        <v>0</v>
      </c>
      <c r="O114" s="10"/>
      <c r="P114" s="6">
        <v>261.93</v>
      </c>
      <c r="Q114" s="2"/>
      <c r="R114" s="7">
        <f t="shared" si="49"/>
        <v>1.2290305143788078E-2</v>
      </c>
      <c r="S114" s="2"/>
      <c r="T114" s="6">
        <v>180.84</v>
      </c>
      <c r="U114" s="2"/>
      <c r="V114" s="7">
        <f t="shared" si="50"/>
        <v>2.2283554160348431E-4</v>
      </c>
      <c r="W114" s="2"/>
      <c r="X114" s="6">
        <f t="shared" si="51"/>
        <v>81.09</v>
      </c>
      <c r="Y114" s="2"/>
      <c r="Z114" s="7">
        <f t="shared" si="52"/>
        <v>0.44840743198407434</v>
      </c>
    </row>
    <row r="115" spans="1:26" s="23" customFormat="1" hidden="1" outlineLevel="2" x14ac:dyDescent="0.25">
      <c r="A115" s="25"/>
      <c r="B115" s="10" t="str">
        <f>CONCATENATE("          ", "6375", " - ", "OUTSIDE REPAIRS &amp; MAINTENANCE")</f>
        <v xml:space="preserve">          6375 - OUTSIDE REPAIRS &amp; MAINTENANCE</v>
      </c>
      <c r="C115" s="10"/>
      <c r="D115" s="6"/>
      <c r="E115" s="2"/>
      <c r="F115" s="7">
        <f t="shared" si="45"/>
        <v>0</v>
      </c>
      <c r="G115" s="2"/>
      <c r="H115" s="6"/>
      <c r="I115" s="2"/>
      <c r="J115" s="7">
        <f t="shared" si="46"/>
        <v>0</v>
      </c>
      <c r="K115" s="2"/>
      <c r="L115" s="6">
        <f t="shared" si="47"/>
        <v>0</v>
      </c>
      <c r="M115" s="2"/>
      <c r="N115" s="7">
        <f t="shared" si="48"/>
        <v>0</v>
      </c>
      <c r="O115" s="10"/>
      <c r="P115" s="6"/>
      <c r="Q115" s="2"/>
      <c r="R115" s="7">
        <f t="shared" si="49"/>
        <v>0</v>
      </c>
      <c r="S115" s="2"/>
      <c r="T115" s="6">
        <v>9.8000000000000007</v>
      </c>
      <c r="U115" s="2"/>
      <c r="V115" s="7">
        <f t="shared" si="50"/>
        <v>1.2075803515340336E-5</v>
      </c>
      <c r="W115" s="2"/>
      <c r="X115" s="6">
        <f t="shared" si="51"/>
        <v>-9.8000000000000007</v>
      </c>
      <c r="Y115" s="2"/>
      <c r="Z115" s="7">
        <f t="shared" si="52"/>
        <v>-1</v>
      </c>
    </row>
    <row r="116" spans="1:26" s="26" customFormat="1" outlineLevel="1" collapsed="1" x14ac:dyDescent="0.25">
      <c r="A116" s="27"/>
      <c r="B116" s="12" t="str">
        <f>CONCATENATE("     ","Services                                          ")</f>
        <v xml:space="preserve">     Services                                          </v>
      </c>
      <c r="C116" s="12"/>
      <c r="D116" s="1">
        <f>SUM(OSRRefD22_9x_0)</f>
        <v>0</v>
      </c>
      <c r="E116" s="1"/>
      <c r="F116" s="5">
        <f t="shared" ref="F116:F118" si="53">IF(D$12=0,0,D116/D$12)</f>
        <v>0</v>
      </c>
      <c r="G116" s="1"/>
      <c r="H116" s="1">
        <f>SUM(OSRRefH22_9x_0)</f>
        <v>0</v>
      </c>
      <c r="I116" s="1"/>
      <c r="J116" s="5">
        <f t="shared" ref="J116:J118" si="54">IF(H$12=0,0,H116/H$12)</f>
        <v>0</v>
      </c>
      <c r="K116" s="1"/>
      <c r="L116" s="1">
        <f t="shared" ref="L116:L118" si="55">+D116-H116</f>
        <v>0</v>
      </c>
      <c r="M116" s="1"/>
      <c r="N116" s="5">
        <f t="shared" ref="N116:N118" si="56">IF(H116=0,0,L116/H116)</f>
        <v>0</v>
      </c>
      <c r="O116" s="12"/>
      <c r="P116" s="1">
        <f>SUM(OSRRefP22_9x_0)</f>
        <v>18.5</v>
      </c>
      <c r="Q116" s="1"/>
      <c r="R116" s="5">
        <f t="shared" ref="R116:R118" si="57">IF(P$12=0,0,P116/P$12)</f>
        <v>8.6805881403458724E-4</v>
      </c>
      <c r="S116" s="1"/>
      <c r="T116" s="1">
        <f>SUM(OSRRefT22_9x_0)</f>
        <v>1818.61</v>
      </c>
      <c r="U116" s="1"/>
      <c r="V116" s="5">
        <f t="shared" ref="V116:V118" si="58">IF(T$12=0,0,T116/T$12)</f>
        <v>2.24093643173807E-3</v>
      </c>
      <c r="W116" s="1"/>
      <c r="X116" s="1">
        <f t="shared" ref="X116:X118" si="59">+P116-T116</f>
        <v>-1800.11</v>
      </c>
      <c r="Y116" s="1"/>
      <c r="Z116" s="5">
        <f t="shared" ref="Z116:Z118" si="60">IF(T116=0,0,X116/T116)</f>
        <v>-0.98982739564832478</v>
      </c>
    </row>
    <row r="117" spans="1:26" s="23" customFormat="1" hidden="1" outlineLevel="2" x14ac:dyDescent="0.25">
      <c r="A117" s="25"/>
      <c r="B117" s="10" t="str">
        <f>CONCATENATE("          ", "6282", " - ", "JANITORIAL/EXTERMINATOR EXPENS")</f>
        <v xml:space="preserve">          6282 - JANITORIAL/EXTERMINATOR EXPENS</v>
      </c>
      <c r="C117" s="10"/>
      <c r="D117" s="6"/>
      <c r="E117" s="2"/>
      <c r="F117" s="7">
        <f t="shared" si="53"/>
        <v>0</v>
      </c>
      <c r="G117" s="2"/>
      <c r="H117" s="6"/>
      <c r="I117" s="2"/>
      <c r="J117" s="7">
        <f t="shared" si="54"/>
        <v>0</v>
      </c>
      <c r="K117" s="2"/>
      <c r="L117" s="6">
        <f t="shared" si="55"/>
        <v>0</v>
      </c>
      <c r="M117" s="2"/>
      <c r="N117" s="7">
        <f t="shared" si="56"/>
        <v>0</v>
      </c>
      <c r="O117" s="10"/>
      <c r="P117" s="6">
        <v>176</v>
      </c>
      <c r="Q117" s="2"/>
      <c r="R117" s="7">
        <f t="shared" si="57"/>
        <v>8.2582892578425601E-3</v>
      </c>
      <c r="S117" s="2"/>
      <c r="T117" s="6">
        <v>373.02</v>
      </c>
      <c r="U117" s="2"/>
      <c r="V117" s="7">
        <f t="shared" si="58"/>
        <v>4.5964451298900527E-4</v>
      </c>
      <c r="W117" s="2"/>
      <c r="X117" s="6">
        <f t="shared" si="59"/>
        <v>-197.01999999999998</v>
      </c>
      <c r="Y117" s="2"/>
      <c r="Z117" s="7">
        <f t="shared" si="60"/>
        <v>-0.52817543295265668</v>
      </c>
    </row>
    <row r="118" spans="1:26" s="23" customFormat="1" hidden="1" outlineLevel="2" x14ac:dyDescent="0.25">
      <c r="A118" s="25"/>
      <c r="B118" s="10" t="str">
        <f>CONCATENATE("          ", "6285", " - ", "JANITORIAL SERVICES")</f>
        <v xml:space="preserve">          6285 - JANITORIAL SERVICES</v>
      </c>
      <c r="C118" s="10"/>
      <c r="D118" s="6"/>
      <c r="E118" s="2"/>
      <c r="F118" s="7">
        <f t="shared" si="53"/>
        <v>0</v>
      </c>
      <c r="G118" s="2"/>
      <c r="H118" s="6"/>
      <c r="I118" s="2"/>
      <c r="J118" s="7">
        <f t="shared" si="54"/>
        <v>0</v>
      </c>
      <c r="K118" s="2"/>
      <c r="L118" s="6">
        <f t="shared" si="55"/>
        <v>0</v>
      </c>
      <c r="M118" s="2"/>
      <c r="N118" s="7">
        <f t="shared" si="56"/>
        <v>0</v>
      </c>
      <c r="O118" s="10"/>
      <c r="P118" s="6">
        <v>-157.5</v>
      </c>
      <c r="Q118" s="2"/>
      <c r="R118" s="7">
        <f t="shared" si="57"/>
        <v>-7.3902304438079732E-3</v>
      </c>
      <c r="S118" s="2"/>
      <c r="T118" s="6">
        <v>1445.59</v>
      </c>
      <c r="U118" s="2"/>
      <c r="V118" s="7">
        <f t="shared" si="58"/>
        <v>1.7812919187490648E-3</v>
      </c>
      <c r="W118" s="2"/>
      <c r="X118" s="6">
        <f t="shared" si="59"/>
        <v>-1603.09</v>
      </c>
      <c r="Y118" s="2"/>
      <c r="Z118" s="7">
        <f t="shared" si="60"/>
        <v>-1.1089520541785707</v>
      </c>
    </row>
    <row r="119" spans="1:26" s="26" customFormat="1" outlineLevel="1" collapsed="1" x14ac:dyDescent="0.25">
      <c r="A119" s="27"/>
      <c r="B119" s="12" t="str">
        <f>CONCATENATE("     ","Subscriptions &amp; Dues                              ")</f>
        <v xml:space="preserve">     Subscriptions &amp; Dues                              </v>
      </c>
      <c r="C119" s="12"/>
      <c r="D119" s="1">
        <f>SUM(OSRRefD22_10x_0)</f>
        <v>0</v>
      </c>
      <c r="E119" s="1"/>
      <c r="F119" s="5">
        <f t="shared" ref="F119:F125" si="61">IF(D$12=0,0,D119/D$12)</f>
        <v>0</v>
      </c>
      <c r="G119" s="1"/>
      <c r="H119" s="1">
        <f>SUM(OSRRefH22_10x_0)</f>
        <v>0</v>
      </c>
      <c r="I119" s="1"/>
      <c r="J119" s="5">
        <f t="shared" ref="J119:J125" si="62">IF(H$12=0,0,H119/H$12)</f>
        <v>0</v>
      </c>
      <c r="K119" s="1"/>
      <c r="L119" s="1">
        <f t="shared" ref="L119:L125" si="63">+D119-H119</f>
        <v>0</v>
      </c>
      <c r="M119" s="1"/>
      <c r="N119" s="5">
        <f t="shared" ref="N119:N125" si="64">IF(H119=0,0,L119/H119)</f>
        <v>0</v>
      </c>
      <c r="O119" s="12"/>
      <c r="P119" s="1">
        <f>SUM(OSRRefP22_10x_0)</f>
        <v>0</v>
      </c>
      <c r="Q119" s="1"/>
      <c r="R119" s="5">
        <f t="shared" ref="R119:R125" si="65">IF(P$12=0,0,P119/P$12)</f>
        <v>0</v>
      </c>
      <c r="S119" s="1"/>
      <c r="T119" s="1">
        <f>SUM(OSRRefT22_10x_0)</f>
        <v>120</v>
      </c>
      <c r="U119" s="1"/>
      <c r="V119" s="5">
        <f t="shared" ref="V119:V125" si="66">IF(T$12=0,0,T119/T$12)</f>
        <v>1.4786698182049391E-4</v>
      </c>
      <c r="W119" s="1"/>
      <c r="X119" s="1">
        <f t="shared" ref="X119:X125" si="67">+P119-T119</f>
        <v>-120</v>
      </c>
      <c r="Y119" s="1"/>
      <c r="Z119" s="5">
        <f t="shared" ref="Z119:Z125" si="68">IF(T119=0,0,X119/T119)</f>
        <v>-1</v>
      </c>
    </row>
    <row r="120" spans="1:26" s="23" customFormat="1" hidden="1" outlineLevel="2" x14ac:dyDescent="0.25">
      <c r="A120" s="25"/>
      <c r="B120" s="10" t="str">
        <f>CONCATENATE("          ", "6258", " - ", "MEMBERSHIP DUES")</f>
        <v xml:space="preserve">          6258 - MEMBERSHIP DUES</v>
      </c>
      <c r="C120" s="10"/>
      <c r="D120" s="6"/>
      <c r="E120" s="2"/>
      <c r="F120" s="7">
        <f t="shared" si="61"/>
        <v>0</v>
      </c>
      <c r="G120" s="2"/>
      <c r="H120" s="6"/>
      <c r="I120" s="2"/>
      <c r="J120" s="7">
        <f t="shared" si="62"/>
        <v>0</v>
      </c>
      <c r="K120" s="2"/>
      <c r="L120" s="6">
        <f t="shared" si="63"/>
        <v>0</v>
      </c>
      <c r="M120" s="2"/>
      <c r="N120" s="7">
        <f t="shared" si="64"/>
        <v>0</v>
      </c>
      <c r="O120" s="10"/>
      <c r="P120" s="6"/>
      <c r="Q120" s="2"/>
      <c r="R120" s="7">
        <f t="shared" si="65"/>
        <v>0</v>
      </c>
      <c r="S120" s="2"/>
      <c r="T120" s="6">
        <v>120</v>
      </c>
      <c r="U120" s="2"/>
      <c r="V120" s="7">
        <f t="shared" si="66"/>
        <v>1.4786698182049391E-4</v>
      </c>
      <c r="W120" s="2"/>
      <c r="X120" s="6">
        <f t="shared" si="67"/>
        <v>-120</v>
      </c>
      <c r="Y120" s="2"/>
      <c r="Z120" s="7">
        <f t="shared" si="68"/>
        <v>-1</v>
      </c>
    </row>
    <row r="121" spans="1:26" s="26" customFormat="1" outlineLevel="1" collapsed="1" x14ac:dyDescent="0.25">
      <c r="A121" s="27"/>
      <c r="B121" s="12" t="str">
        <f>CONCATENATE("     ","Supplies                                          ")</f>
        <v xml:space="preserve">     Supplies                                          </v>
      </c>
      <c r="C121" s="12"/>
      <c r="D121" s="1">
        <f>SUM(OSRRefD22_11x_0)</f>
        <v>0</v>
      </c>
      <c r="E121" s="1"/>
      <c r="F121" s="5">
        <f t="shared" si="61"/>
        <v>0</v>
      </c>
      <c r="G121" s="1"/>
      <c r="H121" s="1">
        <f>SUM(OSRRefH22_11x_0)</f>
        <v>329.96000000000004</v>
      </c>
      <c r="I121" s="1"/>
      <c r="J121" s="5">
        <f t="shared" si="62"/>
        <v>8.0799097095312147E-3</v>
      </c>
      <c r="K121" s="1"/>
      <c r="L121" s="1">
        <f t="shared" si="63"/>
        <v>-329.96000000000004</v>
      </c>
      <c r="M121" s="1"/>
      <c r="N121" s="5">
        <f t="shared" si="64"/>
        <v>-1</v>
      </c>
      <c r="O121" s="12"/>
      <c r="P121" s="1">
        <f>SUM(OSRRefP22_11x_0)</f>
        <v>1892.27</v>
      </c>
      <c r="Q121" s="1"/>
      <c r="R121" s="5">
        <f t="shared" si="65"/>
        <v>8.8789278488282622E-2</v>
      </c>
      <c r="S121" s="1"/>
      <c r="T121" s="1">
        <f>SUM(OSRRefT22_11x_0)</f>
        <v>1864.36</v>
      </c>
      <c r="U121" s="1"/>
      <c r="V121" s="5">
        <f t="shared" si="66"/>
        <v>2.2973107185571334E-3</v>
      </c>
      <c r="W121" s="1"/>
      <c r="X121" s="1">
        <f t="shared" si="67"/>
        <v>27.910000000000082</v>
      </c>
      <c r="Y121" s="1"/>
      <c r="Z121" s="5">
        <f t="shared" si="68"/>
        <v>1.4970284708961834E-2</v>
      </c>
    </row>
    <row r="122" spans="1:26" s="23" customFormat="1" hidden="1" outlineLevel="2" x14ac:dyDescent="0.25">
      <c r="A122" s="25"/>
      <c r="B122" s="10" t="str">
        <f>CONCATENATE("          ", "6235", " - ", "COVID-19 EXPENSES")</f>
        <v xml:space="preserve">          6235 - COVID-19 EXPENSES</v>
      </c>
      <c r="C122" s="10"/>
      <c r="D122" s="6"/>
      <c r="E122" s="2"/>
      <c r="F122" s="7">
        <f t="shared" si="61"/>
        <v>0</v>
      </c>
      <c r="G122" s="2"/>
      <c r="H122" s="6"/>
      <c r="I122" s="2"/>
      <c r="J122" s="7">
        <f t="shared" si="62"/>
        <v>0</v>
      </c>
      <c r="K122" s="2"/>
      <c r="L122" s="6">
        <f t="shared" si="63"/>
        <v>0</v>
      </c>
      <c r="M122" s="2"/>
      <c r="N122" s="7">
        <f t="shared" si="64"/>
        <v>0</v>
      </c>
      <c r="O122" s="10"/>
      <c r="P122" s="6">
        <v>444.3</v>
      </c>
      <c r="Q122" s="2"/>
      <c r="R122" s="7">
        <f t="shared" si="65"/>
        <v>2.0847488166246871E-2</v>
      </c>
      <c r="S122" s="2"/>
      <c r="T122" s="6"/>
      <c r="U122" s="2"/>
      <c r="V122" s="7">
        <f t="shared" si="66"/>
        <v>0</v>
      </c>
      <c r="W122" s="2"/>
      <c r="X122" s="6">
        <f t="shared" si="67"/>
        <v>444.3</v>
      </c>
      <c r="Y122" s="2"/>
      <c r="Z122" s="7">
        <f t="shared" si="68"/>
        <v>0</v>
      </c>
    </row>
    <row r="123" spans="1:26" s="23" customFormat="1" hidden="1" outlineLevel="2" x14ac:dyDescent="0.25">
      <c r="A123" s="25"/>
      <c r="B123" s="10" t="str">
        <f>CONCATENATE("          ", "6241", " - ", "OFFICE EXPENSE")</f>
        <v xml:space="preserve">          6241 - OFFICE EXPENSE</v>
      </c>
      <c r="C123" s="10"/>
      <c r="D123" s="6"/>
      <c r="E123" s="2"/>
      <c r="F123" s="7">
        <f t="shared" si="61"/>
        <v>0</v>
      </c>
      <c r="G123" s="2"/>
      <c r="H123" s="6">
        <v>160.41</v>
      </c>
      <c r="I123" s="2"/>
      <c r="J123" s="7">
        <f t="shared" si="62"/>
        <v>3.9280467829612741E-3</v>
      </c>
      <c r="K123" s="2"/>
      <c r="L123" s="6">
        <f t="shared" si="63"/>
        <v>-160.41</v>
      </c>
      <c r="M123" s="2"/>
      <c r="N123" s="7">
        <f t="shared" si="64"/>
        <v>-1</v>
      </c>
      <c r="O123" s="10"/>
      <c r="P123" s="6">
        <v>225.24</v>
      </c>
      <c r="Q123" s="2"/>
      <c r="R123" s="7">
        <f t="shared" si="65"/>
        <v>1.056873336611624E-2</v>
      </c>
      <c r="S123" s="2"/>
      <c r="T123" s="6">
        <v>1673.46</v>
      </c>
      <c r="U123" s="2"/>
      <c r="V123" s="7">
        <f t="shared" si="66"/>
        <v>2.0620789949776976E-3</v>
      </c>
      <c r="W123" s="2"/>
      <c r="X123" s="6">
        <f t="shared" si="67"/>
        <v>-1448.22</v>
      </c>
      <c r="Y123" s="2"/>
      <c r="Z123" s="7">
        <f t="shared" si="68"/>
        <v>-0.86540461080635334</v>
      </c>
    </row>
    <row r="124" spans="1:26" s="23" customFormat="1" hidden="1" outlineLevel="2" x14ac:dyDescent="0.25">
      <c r="A124" s="25"/>
      <c r="B124" s="10" t="str">
        <f>CONCATENATE("          ", "6245", " - ", "PRINTING")</f>
        <v xml:space="preserve">          6245 - PRINTING</v>
      </c>
      <c r="C124" s="10"/>
      <c r="D124" s="6"/>
      <c r="E124" s="2"/>
      <c r="F124" s="7">
        <f t="shared" si="61"/>
        <v>0</v>
      </c>
      <c r="G124" s="2"/>
      <c r="H124" s="6"/>
      <c r="I124" s="2"/>
      <c r="J124" s="7">
        <f t="shared" si="62"/>
        <v>0</v>
      </c>
      <c r="K124" s="2"/>
      <c r="L124" s="6">
        <f t="shared" si="63"/>
        <v>0</v>
      </c>
      <c r="M124" s="2"/>
      <c r="N124" s="7">
        <f t="shared" si="64"/>
        <v>0</v>
      </c>
      <c r="O124" s="10"/>
      <c r="P124" s="6"/>
      <c r="Q124" s="2"/>
      <c r="R124" s="7">
        <f t="shared" si="65"/>
        <v>0</v>
      </c>
      <c r="S124" s="2"/>
      <c r="T124" s="6">
        <v>22.05</v>
      </c>
      <c r="U124" s="2"/>
      <c r="V124" s="7">
        <f t="shared" si="66"/>
        <v>2.7170557909515755E-5</v>
      </c>
      <c r="W124" s="2"/>
      <c r="X124" s="6">
        <f t="shared" si="67"/>
        <v>-22.05</v>
      </c>
      <c r="Y124" s="2"/>
      <c r="Z124" s="7">
        <f t="shared" si="68"/>
        <v>-1</v>
      </c>
    </row>
    <row r="125" spans="1:26" s="23" customFormat="1" hidden="1" outlineLevel="2" x14ac:dyDescent="0.25">
      <c r="A125" s="25"/>
      <c r="B125" s="10" t="str">
        <f>CONCATENATE("          ", "6247", " - ", "STORE SUPPLIES")</f>
        <v xml:space="preserve">          6247 - STORE SUPPLIES</v>
      </c>
      <c r="C125" s="10"/>
      <c r="D125" s="6"/>
      <c r="E125" s="2"/>
      <c r="F125" s="7">
        <f t="shared" si="61"/>
        <v>0</v>
      </c>
      <c r="G125" s="2"/>
      <c r="H125" s="6">
        <v>169.55</v>
      </c>
      <c r="I125" s="2"/>
      <c r="J125" s="7">
        <f t="shared" si="62"/>
        <v>4.1518629265699398E-3</v>
      </c>
      <c r="K125" s="2"/>
      <c r="L125" s="6">
        <f t="shared" si="63"/>
        <v>-169.55</v>
      </c>
      <c r="M125" s="2"/>
      <c r="N125" s="7">
        <f t="shared" si="64"/>
        <v>-1</v>
      </c>
      <c r="O125" s="10"/>
      <c r="P125" s="6">
        <v>1222.73</v>
      </c>
      <c r="Q125" s="2"/>
      <c r="R125" s="7">
        <f t="shared" si="65"/>
        <v>5.7373056955919509E-2</v>
      </c>
      <c r="S125" s="2"/>
      <c r="T125" s="6">
        <v>168.85</v>
      </c>
      <c r="U125" s="2"/>
      <c r="V125" s="7">
        <f t="shared" si="66"/>
        <v>2.0806116566991997E-4</v>
      </c>
      <c r="W125" s="2"/>
      <c r="X125" s="6">
        <f t="shared" si="67"/>
        <v>1053.8800000000001</v>
      </c>
      <c r="Y125" s="2"/>
      <c r="Z125" s="7">
        <f t="shared" si="68"/>
        <v>6.2415161385845437</v>
      </c>
    </row>
    <row r="126" spans="1:26" s="26" customFormat="1" outlineLevel="1" collapsed="1" x14ac:dyDescent="0.25">
      <c r="A126" s="27"/>
      <c r="B126" s="12" t="str">
        <f>CONCATENATE("     ","Telephone/Data Lines                              ")</f>
        <v xml:space="preserve">     Telephone/Data Lines                              </v>
      </c>
      <c r="C126" s="12"/>
      <c r="D126" s="1">
        <f>SUM(OSRRefD22_12x_0)</f>
        <v>53</v>
      </c>
      <c r="E126" s="1"/>
      <c r="F126" s="5">
        <f t="shared" ref="F126:F131" si="69">IF(D$12=0,0,D126/D$12)</f>
        <v>0</v>
      </c>
      <c r="G126" s="1"/>
      <c r="H126" s="1">
        <f>SUM(OSRRefH22_12x_0)</f>
        <v>103.15</v>
      </c>
      <c r="I126" s="1"/>
      <c r="J126" s="5">
        <f t="shared" ref="J126:J131" si="70">IF(H$12=0,0,H126/H$12)</f>
        <v>2.5258900670934196E-3</v>
      </c>
      <c r="K126" s="1"/>
      <c r="L126" s="1">
        <f t="shared" ref="L126:L131" si="71">+D126-H126</f>
        <v>-50.150000000000006</v>
      </c>
      <c r="M126" s="1"/>
      <c r="N126" s="5">
        <f t="shared" ref="N126:N131" si="72">IF(H126=0,0,L126/H126)</f>
        <v>-0.48618516723218619</v>
      </c>
      <c r="O126" s="12"/>
      <c r="P126" s="1">
        <f>SUM(OSRRefP22_12x_0)</f>
        <v>525.04999999999995</v>
      </c>
      <c r="Q126" s="1"/>
      <c r="R126" s="5">
        <f t="shared" ref="R126:R131" si="73">IF(P$12=0,0,P126/P$12)</f>
        <v>2.4636447584262703E-2</v>
      </c>
      <c r="S126" s="1"/>
      <c r="T126" s="1">
        <f>SUM(OSRRefT22_12x_0)</f>
        <v>887.37</v>
      </c>
      <c r="U126" s="1"/>
      <c r="V126" s="5">
        <f t="shared" ref="V126:V131" si="74">IF(T$12=0,0,T126/T$12)</f>
        <v>1.0934393638170974E-3</v>
      </c>
      <c r="W126" s="1"/>
      <c r="X126" s="1">
        <f t="shared" ref="X126:X131" si="75">+P126-T126</f>
        <v>-362.32000000000005</v>
      </c>
      <c r="Y126" s="1"/>
      <c r="Z126" s="5">
        <f t="shared" ref="Z126:Z131" si="76">IF(T126=0,0,X126/T126)</f>
        <v>-0.40830769577515585</v>
      </c>
    </row>
    <row r="127" spans="1:26" s="23" customFormat="1" hidden="1" outlineLevel="2" x14ac:dyDescent="0.25">
      <c r="A127" s="25"/>
      <c r="B127" s="10" t="str">
        <f>CONCATENATE("          ", "6309", " - ", "TELEPHONE")</f>
        <v xml:space="preserve">          6309 - TELEPHONE</v>
      </c>
      <c r="C127" s="10"/>
      <c r="D127" s="6">
        <v>53</v>
      </c>
      <c r="E127" s="2"/>
      <c r="F127" s="7">
        <f t="shared" si="69"/>
        <v>0</v>
      </c>
      <c r="G127" s="2"/>
      <c r="H127" s="6">
        <v>103.15</v>
      </c>
      <c r="I127" s="2"/>
      <c r="J127" s="7">
        <f t="shared" si="70"/>
        <v>2.5258900670934196E-3</v>
      </c>
      <c r="K127" s="2"/>
      <c r="L127" s="6">
        <f t="shared" si="71"/>
        <v>-50.150000000000006</v>
      </c>
      <c r="M127" s="2"/>
      <c r="N127" s="7">
        <f t="shared" si="72"/>
        <v>-0.48618516723218619</v>
      </c>
      <c r="O127" s="10"/>
      <c r="P127" s="6">
        <v>525.04999999999995</v>
      </c>
      <c r="Q127" s="2"/>
      <c r="R127" s="7">
        <f t="shared" si="73"/>
        <v>2.4636447584262703E-2</v>
      </c>
      <c r="S127" s="2"/>
      <c r="T127" s="6">
        <v>887.37</v>
      </c>
      <c r="U127" s="2"/>
      <c r="V127" s="7">
        <f t="shared" si="74"/>
        <v>1.0934393638170974E-3</v>
      </c>
      <c r="W127" s="2"/>
      <c r="X127" s="6">
        <f t="shared" si="75"/>
        <v>-362.32000000000005</v>
      </c>
      <c r="Y127" s="2"/>
      <c r="Z127" s="7">
        <f t="shared" si="76"/>
        <v>-0.40830769577515585</v>
      </c>
    </row>
    <row r="128" spans="1:26" s="26" customFormat="1" outlineLevel="1" collapsed="1" x14ac:dyDescent="0.25">
      <c r="A128" s="27"/>
      <c r="B128" s="12" t="str">
        <f>CONCATENATE("     ","Training                                          ")</f>
        <v xml:space="preserve">     Training                                          </v>
      </c>
      <c r="C128" s="12"/>
      <c r="D128" s="1">
        <f>SUM(OSRRefD22_13x_0)</f>
        <v>0</v>
      </c>
      <c r="E128" s="1"/>
      <c r="F128" s="5">
        <f t="shared" si="69"/>
        <v>0</v>
      </c>
      <c r="G128" s="1"/>
      <c r="H128" s="1">
        <f>SUM(OSRRefH22_13x_0)</f>
        <v>0</v>
      </c>
      <c r="I128" s="1"/>
      <c r="J128" s="5">
        <f t="shared" si="70"/>
        <v>0</v>
      </c>
      <c r="K128" s="1"/>
      <c r="L128" s="1">
        <f t="shared" si="71"/>
        <v>0</v>
      </c>
      <c r="M128" s="1"/>
      <c r="N128" s="5">
        <f t="shared" si="72"/>
        <v>0</v>
      </c>
      <c r="O128" s="12"/>
      <c r="P128" s="1">
        <f>SUM(OSRRefP22_13x_0)</f>
        <v>14</v>
      </c>
      <c r="Q128" s="1"/>
      <c r="R128" s="5">
        <f t="shared" si="73"/>
        <v>6.5690937278293094E-4</v>
      </c>
      <c r="S128" s="1"/>
      <c r="T128" s="1">
        <f>SUM(OSRRefT22_13x_0)</f>
        <v>314.8</v>
      </c>
      <c r="U128" s="1"/>
      <c r="V128" s="5">
        <f t="shared" si="74"/>
        <v>3.8790438230909568E-4</v>
      </c>
      <c r="W128" s="1"/>
      <c r="X128" s="1">
        <f t="shared" si="75"/>
        <v>-300.8</v>
      </c>
      <c r="Y128" s="1"/>
      <c r="Z128" s="5">
        <f t="shared" si="76"/>
        <v>-0.95552731893265563</v>
      </c>
    </row>
    <row r="129" spans="1:26" s="23" customFormat="1" hidden="1" outlineLevel="2" x14ac:dyDescent="0.25">
      <c r="A129" s="25"/>
      <c r="B129" s="10" t="str">
        <f>CONCATENATE("          ", "6376", " - ", "TRAINING")</f>
        <v xml:space="preserve">          6376 - TRAINING</v>
      </c>
      <c r="C129" s="10"/>
      <c r="D129" s="6"/>
      <c r="E129" s="2"/>
      <c r="F129" s="7">
        <f t="shared" si="69"/>
        <v>0</v>
      </c>
      <c r="G129" s="2"/>
      <c r="H129" s="6"/>
      <c r="I129" s="2"/>
      <c r="J129" s="7">
        <f t="shared" si="70"/>
        <v>0</v>
      </c>
      <c r="K129" s="2"/>
      <c r="L129" s="6">
        <f t="shared" si="71"/>
        <v>0</v>
      </c>
      <c r="M129" s="2"/>
      <c r="N129" s="7">
        <f t="shared" si="72"/>
        <v>0</v>
      </c>
      <c r="O129" s="10"/>
      <c r="P129" s="6">
        <v>14</v>
      </c>
      <c r="Q129" s="2"/>
      <c r="R129" s="7">
        <f t="shared" si="73"/>
        <v>6.5690937278293094E-4</v>
      </c>
      <c r="S129" s="2"/>
      <c r="T129" s="6">
        <v>314.8</v>
      </c>
      <c r="U129" s="2"/>
      <c r="V129" s="7">
        <f t="shared" si="74"/>
        <v>3.8790438230909568E-4</v>
      </c>
      <c r="W129" s="2"/>
      <c r="X129" s="6">
        <f t="shared" si="75"/>
        <v>-300.8</v>
      </c>
      <c r="Y129" s="2"/>
      <c r="Z129" s="7">
        <f t="shared" si="76"/>
        <v>-0.95552731893265563</v>
      </c>
    </row>
    <row r="130" spans="1:26" s="26" customFormat="1" outlineLevel="1" collapsed="1" x14ac:dyDescent="0.25">
      <c r="A130" s="27"/>
      <c r="B130" s="12" t="str">
        <f>CONCATENATE("     ","Travel                                            ")</f>
        <v xml:space="preserve">     Travel                                            </v>
      </c>
      <c r="C130" s="12"/>
      <c r="D130" s="1">
        <f>SUM(OSRRefD22_14x_0)</f>
        <v>0</v>
      </c>
      <c r="E130" s="1"/>
      <c r="F130" s="5">
        <f t="shared" si="69"/>
        <v>0</v>
      </c>
      <c r="G130" s="1"/>
      <c r="H130" s="1">
        <f>SUM(OSRRefH22_14x_0)</f>
        <v>0</v>
      </c>
      <c r="I130" s="1"/>
      <c r="J130" s="5">
        <f t="shared" si="70"/>
        <v>0</v>
      </c>
      <c r="K130" s="1"/>
      <c r="L130" s="1">
        <f t="shared" si="71"/>
        <v>0</v>
      </c>
      <c r="M130" s="1"/>
      <c r="N130" s="5">
        <f t="shared" si="72"/>
        <v>0</v>
      </c>
      <c r="O130" s="12"/>
      <c r="P130" s="1">
        <f>SUM(OSRRefP22_14x_0)</f>
        <v>0</v>
      </c>
      <c r="Q130" s="1"/>
      <c r="R130" s="5">
        <f t="shared" si="73"/>
        <v>0</v>
      </c>
      <c r="S130" s="1"/>
      <c r="T130" s="1">
        <f>SUM(OSRRefT22_14x_0)</f>
        <v>-323.01</v>
      </c>
      <c r="U130" s="1"/>
      <c r="V130" s="5">
        <f t="shared" si="74"/>
        <v>-3.9802094831531447E-4</v>
      </c>
      <c r="W130" s="1"/>
      <c r="X130" s="1">
        <f t="shared" si="75"/>
        <v>323.01</v>
      </c>
      <c r="Y130" s="1"/>
      <c r="Z130" s="5">
        <f t="shared" si="76"/>
        <v>-1</v>
      </c>
    </row>
    <row r="131" spans="1:26" s="23" customFormat="1" hidden="1" outlineLevel="2" x14ac:dyDescent="0.25">
      <c r="A131" s="25"/>
      <c r="B131" s="10" t="str">
        <f>CONCATENATE("          ", "6292", " - ", "TRAVEL/CONFERENCE")</f>
        <v xml:space="preserve">          6292 - TRAVEL/CONFERENCE</v>
      </c>
      <c r="C131" s="10"/>
      <c r="D131" s="6"/>
      <c r="E131" s="2"/>
      <c r="F131" s="7">
        <f t="shared" si="69"/>
        <v>0</v>
      </c>
      <c r="G131" s="2"/>
      <c r="H131" s="6"/>
      <c r="I131" s="2"/>
      <c r="J131" s="7">
        <f t="shared" si="70"/>
        <v>0</v>
      </c>
      <c r="K131" s="2"/>
      <c r="L131" s="6">
        <f t="shared" si="71"/>
        <v>0</v>
      </c>
      <c r="M131" s="2"/>
      <c r="N131" s="7">
        <f t="shared" si="72"/>
        <v>0</v>
      </c>
      <c r="O131" s="10"/>
      <c r="P131" s="6"/>
      <c r="Q131" s="2"/>
      <c r="R131" s="7">
        <f t="shared" si="73"/>
        <v>0</v>
      </c>
      <c r="S131" s="2"/>
      <c r="T131" s="6">
        <v>-323.01</v>
      </c>
      <c r="U131" s="2"/>
      <c r="V131" s="7">
        <f t="shared" si="74"/>
        <v>-3.9802094831531447E-4</v>
      </c>
      <c r="W131" s="2"/>
      <c r="X131" s="6">
        <f t="shared" si="75"/>
        <v>323.01</v>
      </c>
      <c r="Y131" s="2"/>
      <c r="Z131" s="7">
        <f t="shared" si="76"/>
        <v>-1</v>
      </c>
    </row>
    <row r="132" spans="1:26" s="60" customFormat="1" x14ac:dyDescent="0.25">
      <c r="A132" s="37"/>
      <c r="B132" s="37"/>
      <c r="C132" s="37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7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4" customFormat="1" collapsed="1" x14ac:dyDescent="0.25">
      <c r="A133" s="11"/>
      <c r="B133" s="28" t="s">
        <v>292</v>
      </c>
      <c r="C133" s="11"/>
      <c r="D133" s="4">
        <f>SUM(OSRRefD25x_0)</f>
        <v>0</v>
      </c>
      <c r="E133" s="4"/>
      <c r="F133" s="13">
        <f t="shared" ref="F133:F134" si="77">IF(D$12=0,0,D133/D$12)</f>
        <v>0</v>
      </c>
      <c r="G133" s="4"/>
      <c r="H133" s="4">
        <f>SUM(OSRRefH25x_0)</f>
        <v>0</v>
      </c>
      <c r="I133" s="4"/>
      <c r="J133" s="13">
        <f t="shared" ref="J133:J134" si="78">IF(H$12=0,0,H133/H$12)</f>
        <v>0</v>
      </c>
      <c r="K133" s="4"/>
      <c r="L133" s="4">
        <f t="shared" ref="L133:L134" si="79">+D133-H133</f>
        <v>0</v>
      </c>
      <c r="M133" s="4"/>
      <c r="N133" s="13">
        <f t="shared" ref="N133:N134" si="80">IF(H133=0,0,L133/H133)</f>
        <v>0</v>
      </c>
      <c r="O133" s="11"/>
      <c r="P133" s="4">
        <f>SUM(OSRRefP25x_0)</f>
        <v>0</v>
      </c>
      <c r="Q133" s="4"/>
      <c r="R133" s="13">
        <f t="shared" ref="R133:R134" si="81">IF(P$12=0,0,P133/P$12)</f>
        <v>0</v>
      </c>
      <c r="S133" s="4"/>
      <c r="T133" s="4">
        <f>SUM(OSRRefT25x_0)</f>
        <v>68.760000000000005</v>
      </c>
      <c r="U133" s="4"/>
      <c r="V133" s="13">
        <f t="shared" ref="V133:V134" si="82">IF(T$12=0,0,T133/T$12)</f>
        <v>8.4727780583143022E-5</v>
      </c>
      <c r="W133" s="4"/>
      <c r="X133" s="4">
        <f t="shared" ref="X133:X134" si="83">+P133-T133</f>
        <v>-68.760000000000005</v>
      </c>
      <c r="Y133" s="4"/>
      <c r="Z133" s="13">
        <f t="shared" ref="Z133:Z134" si="84">IF(T133=0,0,X133/T133)</f>
        <v>-1</v>
      </c>
    </row>
    <row r="134" spans="1:26" s="23" customFormat="1" hidden="1" outlineLevel="1" x14ac:dyDescent="0.25">
      <c r="A134" s="44"/>
      <c r="B134" s="10" t="str">
        <f>CONCATENATE("          ", "9150", " - ", "MISC. INCOME")</f>
        <v xml:space="preserve">          9150 - MISC. INCOME</v>
      </c>
      <c r="C134" s="10"/>
      <c r="D134" s="2">
        <f>0</f>
        <v>0</v>
      </c>
      <c r="E134" s="2"/>
      <c r="F134" s="19">
        <f t="shared" si="77"/>
        <v>0</v>
      </c>
      <c r="G134" s="2"/>
      <c r="H134" s="2">
        <f>0</f>
        <v>0</v>
      </c>
      <c r="I134" s="2"/>
      <c r="J134" s="19">
        <f t="shared" si="78"/>
        <v>0</v>
      </c>
      <c r="K134" s="2"/>
      <c r="L134" s="2">
        <f t="shared" si="79"/>
        <v>0</v>
      </c>
      <c r="M134" s="2"/>
      <c r="N134" s="19">
        <f t="shared" si="80"/>
        <v>0</v>
      </c>
      <c r="O134" s="10"/>
      <c r="P134" s="2">
        <f>0</f>
        <v>0</v>
      </c>
      <c r="Q134" s="2"/>
      <c r="R134" s="19">
        <f t="shared" si="81"/>
        <v>0</v>
      </c>
      <c r="S134" s="2"/>
      <c r="T134" s="2">
        <f>--68.76</f>
        <v>68.760000000000005</v>
      </c>
      <c r="U134" s="2"/>
      <c r="V134" s="19">
        <f t="shared" si="82"/>
        <v>8.4727780583143022E-5</v>
      </c>
      <c r="W134" s="2"/>
      <c r="X134" s="2">
        <f t="shared" si="83"/>
        <v>-68.760000000000005</v>
      </c>
      <c r="Y134" s="2"/>
      <c r="Z134" s="19">
        <f t="shared" si="84"/>
        <v>-1</v>
      </c>
    </row>
    <row r="135" spans="1:26" x14ac:dyDescent="0.25">
      <c r="A135" s="9"/>
      <c r="B135" s="11"/>
      <c r="C135" s="11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1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4" customFormat="1" x14ac:dyDescent="0.25">
      <c r="A136" s="11"/>
      <c r="B136" s="29" t="s">
        <v>276</v>
      </c>
      <c r="C136" s="29"/>
      <c r="D136" s="22">
        <f>+D81-D83+D133</f>
        <v>-144.59</v>
      </c>
      <c r="E136" s="14"/>
      <c r="F136" s="20">
        <f>IF(D$12=0,0,D136/D$12)</f>
        <v>0</v>
      </c>
      <c r="G136" s="14"/>
      <c r="H136" s="22">
        <f>+H81-H83+H133</f>
        <v>1387.3899999999921</v>
      </c>
      <c r="I136" s="14"/>
      <c r="J136" s="20">
        <f>IF(H$12=0,0,H136/H$12)</f>
        <v>3.3973772372125247E-2</v>
      </c>
      <c r="K136" s="15"/>
      <c r="L136" s="22">
        <f>+D136-H136</f>
        <v>-1531.9799999999921</v>
      </c>
      <c r="M136" s="15"/>
      <c r="N136" s="20">
        <f>IF(H136=0,0,L136/H136)</f>
        <v>-1.1042172712791649</v>
      </c>
      <c r="O136" s="28"/>
      <c r="P136" s="22">
        <f>+P81-P83+P133</f>
        <v>-5109.4399999999932</v>
      </c>
      <c r="Q136" s="14"/>
      <c r="R136" s="20">
        <f>IF(P$12=0,0,P136/P$12)</f>
        <v>-0.23974564469085816</v>
      </c>
      <c r="S136" s="14"/>
      <c r="T136" s="22">
        <f>+T81-T83+T133</f>
        <v>204478.59000000026</v>
      </c>
      <c r="U136" s="14"/>
      <c r="V136" s="20">
        <f>IF(T$12=0,0,T136/T$12)</f>
        <v>0.25196359958508552</v>
      </c>
      <c r="W136" s="15"/>
      <c r="X136" s="22">
        <f>+P136-T136</f>
        <v>-209588.03000000026</v>
      </c>
      <c r="Y136" s="15"/>
      <c r="Z136" s="20">
        <f>IF(T136=0,0,X136/T136)</f>
        <v>-1.0249876527415414</v>
      </c>
    </row>
    <row r="137" spans="1:26" x14ac:dyDescent="0.25">
      <c r="A137" s="9"/>
      <c r="B137" s="11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4" customFormat="1" x14ac:dyDescent="0.25">
      <c r="A138" s="51"/>
      <c r="B138" s="11" t="s">
        <v>127</v>
      </c>
      <c r="C138" s="11"/>
      <c r="D138" s="4">
        <v>171.69</v>
      </c>
      <c r="E138" s="4"/>
      <c r="F138" s="13">
        <f>IF(D$12=0,0,D138/D$12)</f>
        <v>0</v>
      </c>
      <c r="G138" s="4"/>
      <c r="H138" s="4">
        <v>8408.61</v>
      </c>
      <c r="I138" s="4"/>
      <c r="J138" s="13">
        <f>IF(H$12=0,0,H138/H$12)</f>
        <v>0.20590619948679009</v>
      </c>
      <c r="K138" s="4"/>
      <c r="L138" s="4">
        <f>+D138-H138</f>
        <v>-8236.92</v>
      </c>
      <c r="M138" s="4"/>
      <c r="N138" s="13">
        <f>IF(H138=0,0,L138/H138)</f>
        <v>-0.97958164310153517</v>
      </c>
      <c r="O138" s="11"/>
      <c r="P138" s="4">
        <v>4392.21</v>
      </c>
      <c r="Q138" s="4"/>
      <c r="R138" s="13">
        <f>IF(P$12=0,0,P138/P$12)</f>
        <v>0.20609170830220835</v>
      </c>
      <c r="S138" s="4"/>
      <c r="T138" s="4">
        <v>86958.5</v>
      </c>
      <c r="U138" s="4"/>
      <c r="V138" s="13">
        <f>IF(T$12=0,0,T138/T$12)</f>
        <v>0.10715242448864516</v>
      </c>
      <c r="W138" s="4"/>
      <c r="X138" s="4">
        <f>+P138-T138</f>
        <v>-82566.289999999994</v>
      </c>
      <c r="Y138" s="4"/>
      <c r="Z138" s="13">
        <f>IF(T138=0,0,X138/T138)</f>
        <v>-0.94949073408579943</v>
      </c>
    </row>
    <row r="139" spans="1:26" x14ac:dyDescent="0.25">
      <c r="A139" s="9"/>
      <c r="B139" s="11"/>
      <c r="C139" s="11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1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4" customFormat="1" ht="15.75" thickBot="1" x14ac:dyDescent="0.3">
      <c r="A140" s="11"/>
      <c r="B140" s="29" t="s">
        <v>125</v>
      </c>
      <c r="C140" s="29"/>
      <c r="D140" s="30">
        <f>+D136-D138</f>
        <v>-316.27999999999997</v>
      </c>
      <c r="E140" s="14"/>
      <c r="F140" s="36">
        <f>IF(D$12=0,0,D140/D$12)</f>
        <v>0</v>
      </c>
      <c r="G140" s="14"/>
      <c r="H140" s="30">
        <f>+H136-H138</f>
        <v>-7021.2200000000084</v>
      </c>
      <c r="I140" s="14"/>
      <c r="J140" s="36">
        <f>IF(H$12=0,0,H140/H$12)</f>
        <v>-0.17193242711466486</v>
      </c>
      <c r="K140" s="15"/>
      <c r="L140" s="30">
        <f>D140-H140</f>
        <v>6704.9400000000087</v>
      </c>
      <c r="M140" s="15"/>
      <c r="N140" s="36">
        <f>IF(H140=0,0,L140/H140)</f>
        <v>-0.9549536975055618</v>
      </c>
      <c r="O140" s="28"/>
      <c r="P140" s="30">
        <f>+P136-P138</f>
        <v>-9501.6499999999942</v>
      </c>
      <c r="Q140" s="14"/>
      <c r="R140" s="36">
        <f>IF(P$12=0,0,P140/P$12)</f>
        <v>-0.44583735299306654</v>
      </c>
      <c r="S140" s="14"/>
      <c r="T140" s="30">
        <f>+T136-T138</f>
        <v>117520.09000000026</v>
      </c>
      <c r="U140" s="14"/>
      <c r="V140" s="36">
        <f>IF(T$12=0,0,T140/T$12)</f>
        <v>0.14481117509644037</v>
      </c>
      <c r="W140" s="15"/>
      <c r="X140" s="30">
        <f>P140-T140</f>
        <v>-127021.74000000025</v>
      </c>
      <c r="Y140" s="15"/>
      <c r="Z140" s="36">
        <f>IF(T140=0,0,X140/T140)</f>
        <v>-1.0808512825339052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4" customFormat="1" ht="15.75" thickBot="1" x14ac:dyDescent="0.3">
      <c r="A143" s="11"/>
      <c r="B143" s="29" t="s">
        <v>293</v>
      </c>
      <c r="C143" s="29"/>
      <c r="D143" s="35">
        <f>SUM(D140:D142)</f>
        <v>-316.27999999999997</v>
      </c>
      <c r="E143" s="14"/>
      <c r="F143" s="34">
        <f>IF(D$12=0,0,D143/D$12)</f>
        <v>0</v>
      </c>
      <c r="G143" s="14"/>
      <c r="H143" s="35">
        <f>SUM(H140:H142)</f>
        <v>-7021.2200000000084</v>
      </c>
      <c r="I143" s="14"/>
      <c r="J143" s="34">
        <f>IF(H$12=0,0,H143/H$12)</f>
        <v>-0.17193242711466486</v>
      </c>
      <c r="K143" s="15"/>
      <c r="L143" s="35">
        <f>+D143-H143</f>
        <v>6704.9400000000087</v>
      </c>
      <c r="M143" s="15"/>
      <c r="N143" s="34">
        <f>IF(H143=0,0,L143/H143)</f>
        <v>-0.9549536975055618</v>
      </c>
      <c r="O143" s="28"/>
      <c r="P143" s="35">
        <f>SUM(P140:P142)</f>
        <v>-9501.6499999999942</v>
      </c>
      <c r="Q143" s="14"/>
      <c r="R143" s="34">
        <f>IF(P$12=0,0,P143/P$12)</f>
        <v>-0.44583735299306654</v>
      </c>
      <c r="S143" s="14"/>
      <c r="T143" s="35">
        <f>SUM(T140:T142)</f>
        <v>117520.09000000026</v>
      </c>
      <c r="U143" s="14"/>
      <c r="V143" s="34">
        <f>IF(T$12=0,0,T143/T$12)</f>
        <v>0.14481117509644037</v>
      </c>
      <c r="W143" s="15"/>
      <c r="X143" s="35">
        <f>+P143-T143</f>
        <v>-127021.74000000025</v>
      </c>
      <c r="Y143" s="15"/>
      <c r="Z143" s="34">
        <f>IF(T143=0,0,X143/T143)</f>
        <v>-1.0808512825339052</v>
      </c>
    </row>
    <row r="144" spans="1:26" ht="15.75" thickTop="1" x14ac:dyDescent="0.25">
      <c r="A144" s="9"/>
      <c r="C144" s="9"/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  <row r="145" spans="1:24" x14ac:dyDescent="0.25">
      <c r="A145" s="9"/>
      <c r="B145" s="54">
        <v>44295.963206678243</v>
      </c>
      <c r="D145" s="18"/>
      <c r="E145" s="18"/>
      <c r="G145" s="18"/>
      <c r="H145" s="18"/>
      <c r="I145" s="18"/>
      <c r="J145" s="43"/>
      <c r="K145" s="18"/>
      <c r="L145" s="18"/>
      <c r="M145" s="18"/>
      <c r="P145" s="18"/>
      <c r="Q145" s="18"/>
      <c r="R145" s="43"/>
      <c r="S145" s="18"/>
      <c r="T145" s="18"/>
      <c r="U145" s="18"/>
      <c r="V145" s="43"/>
      <c r="W145" s="18"/>
      <c r="X145" s="18"/>
    </row>
    <row r="146" spans="1:24" x14ac:dyDescent="0.25">
      <c r="A146" s="9"/>
      <c r="B146" s="58" t="s">
        <v>56</v>
      </c>
      <c r="D146" s="18"/>
      <c r="E146" s="18"/>
      <c r="G146" s="18"/>
      <c r="H146" s="18"/>
      <c r="I146" s="18"/>
      <c r="J146" s="43"/>
      <c r="K146" s="18"/>
      <c r="L146" s="18"/>
      <c r="M146" s="18"/>
      <c r="P146" s="18"/>
      <c r="Q146" s="18"/>
      <c r="R146" s="43"/>
      <c r="S146" s="18"/>
      <c r="T146" s="18"/>
      <c r="U146" s="18"/>
      <c r="V146" s="43"/>
      <c r="W146" s="18"/>
      <c r="X146" s="18"/>
    </row>
    <row r="147" spans="1:24" x14ac:dyDescent="0.25">
      <c r="A147" s="9"/>
      <c r="B147" s="62"/>
      <c r="D147" s="18"/>
      <c r="E147" s="18"/>
      <c r="G147" s="18"/>
      <c r="H147" s="18"/>
      <c r="I147" s="18"/>
      <c r="J147" s="43"/>
      <c r="K147" s="18"/>
      <c r="L147" s="18"/>
      <c r="M147" s="18"/>
      <c r="P147" s="18"/>
      <c r="Q147" s="18"/>
      <c r="R147" s="43"/>
      <c r="S147" s="18"/>
      <c r="T147" s="18"/>
      <c r="U147" s="18"/>
      <c r="V147" s="43"/>
      <c r="W147" s="18"/>
      <c r="X147" s="18"/>
    </row>
    <row r="148" spans="1:24" x14ac:dyDescent="0.25">
      <c r="D148" s="18"/>
      <c r="E148" s="18"/>
      <c r="G148" s="18"/>
      <c r="H148" s="18"/>
      <c r="I148" s="18"/>
      <c r="J148" s="43"/>
      <c r="K148" s="18"/>
      <c r="L148" s="18"/>
      <c r="M148" s="18"/>
      <c r="P148" s="18"/>
      <c r="Q148" s="18"/>
      <c r="R148" s="43"/>
      <c r="S148" s="18"/>
      <c r="T148" s="18"/>
      <c r="U148" s="18"/>
      <c r="V148" s="43"/>
      <c r="W148" s="18"/>
      <c r="X148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","307", " - ", "Art Store")</f>
        <v>Department 307 - Art 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26245.64</v>
      </c>
      <c r="I12" s="4"/>
      <c r="J12" s="13"/>
      <c r="K12" s="4"/>
      <c r="L12" s="4">
        <f t="shared" ref="L12:L49" si="0">+D12-H12</f>
        <v>-26245.64</v>
      </c>
      <c r="M12" s="4"/>
      <c r="N12" s="13">
        <f t="shared" ref="N12:N49" si="1">IF(H12=0,0,L12/H12)</f>
        <v>-1</v>
      </c>
      <c r="O12" s="11"/>
      <c r="P12" s="4">
        <f>SUM(OSRRefP13x_0)</f>
        <v>21311.919999999998</v>
      </c>
      <c r="Q12" s="4"/>
      <c r="R12" s="13"/>
      <c r="S12" s="4"/>
      <c r="T12" s="4">
        <f>SUM(OSRRefT13x_0)</f>
        <v>410549.44000000024</v>
      </c>
      <c r="U12" s="4"/>
      <c r="V12" s="13"/>
      <c r="W12" s="4"/>
      <c r="X12" s="4">
        <f t="shared" ref="X12:X49" si="2">+P12-T12</f>
        <v>-389237.52000000025</v>
      </c>
      <c r="Y12" s="4"/>
      <c r="Z12" s="13">
        <f t="shared" ref="Z12:Z49" si="3">IF(T12=0,0,X12/T12)</f>
        <v>-0.94808927275604138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 t="shared" ref="D13:D49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"4017", " - ", "TAXABLE SALES-DORM/HOUSEWARES")</f>
        <v xml:space="preserve">          4017 - TAXABLE SALES-DORM/HOUSEWARES</v>
      </c>
      <c r="C14" s="10"/>
      <c r="D14" s="2">
        <f t="shared" si="4"/>
        <v>0</v>
      </c>
      <c r="E14" s="2"/>
      <c r="F14" s="19"/>
      <c r="G14" s="2"/>
      <c r="H14" s="2">
        <f>--10.98</f>
        <v>10.98</v>
      </c>
      <c r="I14" s="2"/>
      <c r="J14" s="19"/>
      <c r="K14" s="2"/>
      <c r="L14" s="2">
        <f t="shared" si="0"/>
        <v>-10.98</v>
      </c>
      <c r="M14" s="2"/>
      <c r="N14" s="19">
        <f t="shared" si="1"/>
        <v>-1</v>
      </c>
      <c r="O14" s="10"/>
      <c r="P14" s="2">
        <f t="shared" ref="P14:P15" si="5">0</f>
        <v>0</v>
      </c>
      <c r="Q14" s="2"/>
      <c r="R14" s="19"/>
      <c r="S14" s="2"/>
      <c r="T14" s="2">
        <f>--71.37</f>
        <v>71.37</v>
      </c>
      <c r="U14" s="2"/>
      <c r="V14" s="19"/>
      <c r="W14" s="2"/>
      <c r="X14" s="2">
        <f t="shared" si="2"/>
        <v>-71.37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"4025", " - ", "TAXABLE SALES-TEST FORMS")</f>
        <v xml:space="preserve">          4025 - TAXABLE SALES-TEST FORMS</v>
      </c>
      <c r="C15" s="10"/>
      <c r="D15" s="2">
        <f t="shared" si="4"/>
        <v>0</v>
      </c>
      <c r="E15" s="2"/>
      <c r="F15" s="19"/>
      <c r="G15" s="2"/>
      <c r="H15" s="2">
        <f>--223.26</f>
        <v>223.26</v>
      </c>
      <c r="I15" s="2"/>
      <c r="J15" s="19"/>
      <c r="K15" s="2"/>
      <c r="L15" s="2">
        <f t="shared" si="0"/>
        <v>-223.26</v>
      </c>
      <c r="M15" s="2"/>
      <c r="N15" s="19">
        <f t="shared" si="1"/>
        <v>-1</v>
      </c>
      <c r="O15" s="10"/>
      <c r="P15" s="2">
        <f t="shared" si="5"/>
        <v>0</v>
      </c>
      <c r="Q15" s="2"/>
      <c r="R15" s="19"/>
      <c r="S15" s="2"/>
      <c r="T15" s="2">
        <f>--2262.94</f>
        <v>2262.94</v>
      </c>
      <c r="U15" s="2"/>
      <c r="V15" s="19"/>
      <c r="W15" s="2"/>
      <c r="X15" s="2">
        <f t="shared" si="2"/>
        <v>-2262.94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"4026", " - ", "TAXABLE SALES-WRITING INSTRUME")</f>
        <v xml:space="preserve">          4026 - TAXABLE SALES-WRITING INSTRUME</v>
      </c>
      <c r="C16" s="10"/>
      <c r="D16" s="2">
        <f t="shared" si="4"/>
        <v>0</v>
      </c>
      <c r="E16" s="2"/>
      <c r="F16" s="19"/>
      <c r="G16" s="2"/>
      <c r="H16" s="2">
        <f>--386.98</f>
        <v>386.98</v>
      </c>
      <c r="I16" s="2"/>
      <c r="J16" s="19"/>
      <c r="K16" s="2"/>
      <c r="L16" s="2">
        <f t="shared" si="0"/>
        <v>-386.98</v>
      </c>
      <c r="M16" s="2"/>
      <c r="N16" s="19">
        <f t="shared" si="1"/>
        <v>-1</v>
      </c>
      <c r="O16" s="10"/>
      <c r="P16" s="2">
        <f>--17.51</f>
        <v>17.510000000000002</v>
      </c>
      <c r="Q16" s="2"/>
      <c r="R16" s="19"/>
      <c r="S16" s="2"/>
      <c r="T16" s="2">
        <f>--6663.38</f>
        <v>6663.38</v>
      </c>
      <c r="U16" s="2"/>
      <c r="V16" s="19"/>
      <c r="W16" s="2"/>
      <c r="X16" s="2">
        <f t="shared" si="2"/>
        <v>-6645.87</v>
      </c>
      <c r="Y16" s="2"/>
      <c r="Z16" s="19">
        <f t="shared" si="3"/>
        <v>-0.99737220449681685</v>
      </c>
    </row>
    <row r="17" spans="1:26" s="23" customFormat="1" hidden="1" outlineLevel="1" x14ac:dyDescent="0.25">
      <c r="A17" s="44"/>
      <c r="B17" s="10" t="str">
        <f>CONCATENATE("          ", "4027", " - ", "TAXABLE SALES-SCHOOL SUPPLIES")</f>
        <v xml:space="preserve">          4027 - TAXABLE SALES-SCHOOL SUPPLIES</v>
      </c>
      <c r="C17" s="10"/>
      <c r="D17" s="2">
        <f t="shared" si="4"/>
        <v>0</v>
      </c>
      <c r="E17" s="2"/>
      <c r="F17" s="19"/>
      <c r="G17" s="2"/>
      <c r="H17" s="2">
        <f>--235.76</f>
        <v>235.76</v>
      </c>
      <c r="I17" s="2"/>
      <c r="J17" s="19"/>
      <c r="K17" s="2"/>
      <c r="L17" s="2">
        <f t="shared" si="0"/>
        <v>-235.76</v>
      </c>
      <c r="M17" s="2"/>
      <c r="N17" s="19">
        <f t="shared" si="1"/>
        <v>-1</v>
      </c>
      <c r="O17" s="10"/>
      <c r="P17" s="2">
        <f>--7990.32</f>
        <v>7990.32</v>
      </c>
      <c r="Q17" s="2"/>
      <c r="R17" s="19"/>
      <c r="S17" s="2"/>
      <c r="T17" s="2">
        <f>--9231.13</f>
        <v>9231.1299999999992</v>
      </c>
      <c r="U17" s="2"/>
      <c r="V17" s="19"/>
      <c r="W17" s="2"/>
      <c r="X17" s="2">
        <f t="shared" si="2"/>
        <v>-1240.8099999999995</v>
      </c>
      <c r="Y17" s="2"/>
      <c r="Z17" s="19">
        <f t="shared" si="3"/>
        <v>-0.13441582991464746</v>
      </c>
    </row>
    <row r="18" spans="1:26" s="23" customFormat="1" hidden="1" outlineLevel="1" x14ac:dyDescent="0.25">
      <c r="A18" s="44"/>
      <c r="B18" s="10" t="str">
        <f>CONCATENATE("          ", "4028", " - ", "TAXABLE SALES-ART/TECH")</f>
        <v xml:space="preserve">          4028 - TAXABLE SALES-ART/TECH</v>
      </c>
      <c r="C18" s="10"/>
      <c r="D18" s="2">
        <f t="shared" si="4"/>
        <v>0</v>
      </c>
      <c r="E18" s="2"/>
      <c r="F18" s="19"/>
      <c r="G18" s="2"/>
      <c r="H18" s="2">
        <f>--16789.31</f>
        <v>16789.310000000001</v>
      </c>
      <c r="I18" s="2"/>
      <c r="J18" s="19"/>
      <c r="K18" s="2"/>
      <c r="L18" s="2">
        <f t="shared" si="0"/>
        <v>-16789.310000000001</v>
      </c>
      <c r="M18" s="2"/>
      <c r="N18" s="19">
        <f t="shared" si="1"/>
        <v>-1</v>
      </c>
      <c r="O18" s="10"/>
      <c r="P18" s="2">
        <f>--12479.05</f>
        <v>12479.05</v>
      </c>
      <c r="Q18" s="2"/>
      <c r="R18" s="19"/>
      <c r="S18" s="2"/>
      <c r="T18" s="2">
        <f>--280493.72</f>
        <v>280493.71999999997</v>
      </c>
      <c r="U18" s="2"/>
      <c r="V18" s="19"/>
      <c r="W18" s="2"/>
      <c r="X18" s="2">
        <f t="shared" si="2"/>
        <v>-268014.67</v>
      </c>
      <c r="Y18" s="2"/>
      <c r="Z18" s="19">
        <f t="shared" si="3"/>
        <v>-0.95551041214042154</v>
      </c>
    </row>
    <row r="19" spans="1:26" s="23" customFormat="1" hidden="1" outlineLevel="1" x14ac:dyDescent="0.25">
      <c r="A19" s="44"/>
      <c r="B19" s="10" t="str">
        <f>CONCATENATE("          ", "4031", " - ", "TAXABLE SALES-FOOD")</f>
        <v xml:space="preserve">          4031 - TAXABLE SALES-FOOD</v>
      </c>
      <c r="C19" s="10"/>
      <c r="D19" s="2">
        <f t="shared" si="4"/>
        <v>0</v>
      </c>
      <c r="E19" s="2"/>
      <c r="F19" s="19"/>
      <c r="G19" s="2"/>
      <c r="H19" s="2">
        <f>--44.3</f>
        <v>44.3</v>
      </c>
      <c r="I19" s="2"/>
      <c r="J19" s="19"/>
      <c r="K19" s="2"/>
      <c r="L19" s="2">
        <f t="shared" si="0"/>
        <v>-44.3</v>
      </c>
      <c r="M19" s="2"/>
      <c r="N19" s="19">
        <f t="shared" si="1"/>
        <v>-1</v>
      </c>
      <c r="O19" s="10"/>
      <c r="P19" s="2">
        <f>--374.55</f>
        <v>374.55</v>
      </c>
      <c r="Q19" s="2"/>
      <c r="R19" s="19"/>
      <c r="S19" s="2"/>
      <c r="T19" s="2">
        <f>--486.34</f>
        <v>486.34</v>
      </c>
      <c r="U19" s="2"/>
      <c r="V19" s="19"/>
      <c r="W19" s="2"/>
      <c r="X19" s="2">
        <f t="shared" si="2"/>
        <v>-111.78999999999996</v>
      </c>
      <c r="Y19" s="2"/>
      <c r="Z19" s="19">
        <f t="shared" si="3"/>
        <v>-0.22985976888596449</v>
      </c>
    </row>
    <row r="20" spans="1:26" s="23" customFormat="1" hidden="1" outlineLevel="1" x14ac:dyDescent="0.25">
      <c r="A20" s="44"/>
      <c r="B20" s="10" t="str">
        <f>CONCATENATE("          ", "4032", " - ", "TAXABLE SALES-JUICE")</f>
        <v xml:space="preserve">          4032 - TAXABLE SALES-JUICE</v>
      </c>
      <c r="C20" s="10"/>
      <c r="D20" s="2">
        <f t="shared" si="4"/>
        <v>0</v>
      </c>
      <c r="E20" s="2"/>
      <c r="F20" s="19"/>
      <c r="G20" s="2"/>
      <c r="H20" s="2">
        <f>--240.81</f>
        <v>240.81</v>
      </c>
      <c r="I20" s="2"/>
      <c r="J20" s="19"/>
      <c r="K20" s="2"/>
      <c r="L20" s="2">
        <f t="shared" si="0"/>
        <v>-240.81</v>
      </c>
      <c r="M20" s="2"/>
      <c r="N20" s="19">
        <f t="shared" si="1"/>
        <v>-1</v>
      </c>
      <c r="O20" s="10"/>
      <c r="P20" s="2">
        <f t="shared" ref="P20:P27" si="6">0</f>
        <v>0</v>
      </c>
      <c r="Q20" s="2"/>
      <c r="R20" s="19"/>
      <c r="S20" s="2"/>
      <c r="T20" s="2">
        <f>--1905.06</f>
        <v>1905.06</v>
      </c>
      <c r="U20" s="2"/>
      <c r="V20" s="19"/>
      <c r="W20" s="2"/>
      <c r="X20" s="2">
        <f t="shared" si="2"/>
        <v>-1905.06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"4033", " - ", "TAXABLE SALES-CANDY")</f>
        <v xml:space="preserve">          4033 - TAXABLE SALES-CANDY</v>
      </c>
      <c r="C21" s="10"/>
      <c r="D21" s="2">
        <f t="shared" si="4"/>
        <v>0</v>
      </c>
      <c r="E21" s="2"/>
      <c r="F21" s="19"/>
      <c r="G21" s="2"/>
      <c r="H21" s="2">
        <f>--25.55</f>
        <v>25.55</v>
      </c>
      <c r="I21" s="2"/>
      <c r="J21" s="19"/>
      <c r="K21" s="2"/>
      <c r="L21" s="2">
        <f t="shared" si="0"/>
        <v>-25.55</v>
      </c>
      <c r="M21" s="2"/>
      <c r="N21" s="19">
        <f t="shared" si="1"/>
        <v>-1</v>
      </c>
      <c r="O21" s="10"/>
      <c r="P21" s="2">
        <f t="shared" si="6"/>
        <v>0</v>
      </c>
      <c r="Q21" s="2"/>
      <c r="R21" s="19"/>
      <c r="S21" s="2"/>
      <c r="T21" s="2">
        <f>--205.53</f>
        <v>205.53</v>
      </c>
      <c r="U21" s="2"/>
      <c r="V21" s="19"/>
      <c r="W21" s="2"/>
      <c r="X21" s="2">
        <f t="shared" si="2"/>
        <v>-205.53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"4034", " - ", "TAXABLE SALES-SODA")</f>
        <v xml:space="preserve">          4034 - TAXABLE SALES-SODA</v>
      </c>
      <c r="C22" s="10"/>
      <c r="D22" s="2">
        <f t="shared" si="4"/>
        <v>0</v>
      </c>
      <c r="E22" s="2"/>
      <c r="F22" s="19"/>
      <c r="G22" s="2"/>
      <c r="H22" s="2">
        <f>--600.08</f>
        <v>600.08000000000004</v>
      </c>
      <c r="I22" s="2"/>
      <c r="J22" s="19"/>
      <c r="K22" s="2"/>
      <c r="L22" s="2">
        <f t="shared" si="0"/>
        <v>-600.08000000000004</v>
      </c>
      <c r="M22" s="2"/>
      <c r="N22" s="19">
        <f t="shared" si="1"/>
        <v>-1</v>
      </c>
      <c r="O22" s="10"/>
      <c r="P22" s="2">
        <f t="shared" si="6"/>
        <v>0</v>
      </c>
      <c r="Q22" s="2"/>
      <c r="R22" s="19"/>
      <c r="S22" s="2"/>
      <c r="T22" s="2">
        <f>--7803.51</f>
        <v>7803.51</v>
      </c>
      <c r="U22" s="2"/>
      <c r="V22" s="19"/>
      <c r="W22" s="2"/>
      <c r="X22" s="2">
        <f t="shared" si="2"/>
        <v>-7803.51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"4035", " - ", "TAXABLE SALES-HEALTH &amp; BEAUTY")</f>
        <v xml:space="preserve">          4035 - TAXABLE SALES-HEALTH &amp; BEAUTY</v>
      </c>
      <c r="C23" s="10"/>
      <c r="D23" s="2">
        <f t="shared" si="4"/>
        <v>0</v>
      </c>
      <c r="E23" s="2"/>
      <c r="F23" s="19"/>
      <c r="G23" s="2"/>
      <c r="H23" s="2">
        <f>--97.37</f>
        <v>97.37</v>
      </c>
      <c r="I23" s="2"/>
      <c r="J23" s="19"/>
      <c r="K23" s="2"/>
      <c r="L23" s="2">
        <f t="shared" si="0"/>
        <v>-97.37</v>
      </c>
      <c r="M23" s="2"/>
      <c r="N23" s="19">
        <f t="shared" si="1"/>
        <v>-1</v>
      </c>
      <c r="O23" s="10"/>
      <c r="P23" s="2">
        <f t="shared" si="6"/>
        <v>0</v>
      </c>
      <c r="Q23" s="2"/>
      <c r="R23" s="19"/>
      <c r="S23" s="2"/>
      <c r="T23" s="2">
        <f>--1961.69</f>
        <v>1961.69</v>
      </c>
      <c r="U23" s="2"/>
      <c r="V23" s="19"/>
      <c r="W23" s="2"/>
      <c r="X23" s="2">
        <f t="shared" si="2"/>
        <v>-1961.69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"4037", " - ", "TAXABLE SALES-WATER")</f>
        <v xml:space="preserve">          4037 - TAXABLE SALES-WATER</v>
      </c>
      <c r="C24" s="10"/>
      <c r="D24" s="2">
        <f t="shared" si="4"/>
        <v>0</v>
      </c>
      <c r="E24" s="2"/>
      <c r="F24" s="19"/>
      <c r="G24" s="2"/>
      <c r="H24" s="2">
        <f>--24.8</f>
        <v>24.8</v>
      </c>
      <c r="I24" s="2"/>
      <c r="J24" s="19"/>
      <c r="K24" s="2"/>
      <c r="L24" s="2">
        <f t="shared" si="0"/>
        <v>-24.8</v>
      </c>
      <c r="M24" s="2"/>
      <c r="N24" s="19">
        <f t="shared" si="1"/>
        <v>-1</v>
      </c>
      <c r="O24" s="10"/>
      <c r="P24" s="2">
        <f t="shared" si="6"/>
        <v>0</v>
      </c>
      <c r="Q24" s="2"/>
      <c r="R24" s="19"/>
      <c r="S24" s="2"/>
      <c r="T24" s="2">
        <f>--513.51</f>
        <v>513.51</v>
      </c>
      <c r="U24" s="2"/>
      <c r="V24" s="19"/>
      <c r="W24" s="2"/>
      <c r="X24" s="2">
        <f t="shared" si="2"/>
        <v>-513.51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"4041", " - ", "TAXABLE SALES-LOGO GIFTS")</f>
        <v xml:space="preserve">          4041 - TAXABLE SALES-LOGO GIFTS</v>
      </c>
      <c r="C25" s="10"/>
      <c r="D25" s="2">
        <f t="shared" si="4"/>
        <v>0</v>
      </c>
      <c r="E25" s="2"/>
      <c r="F25" s="19"/>
      <c r="G25" s="2"/>
      <c r="H25" s="2">
        <f>--130.53</f>
        <v>130.53</v>
      </c>
      <c r="I25" s="2"/>
      <c r="J25" s="19"/>
      <c r="K25" s="2"/>
      <c r="L25" s="2">
        <f t="shared" si="0"/>
        <v>-130.53</v>
      </c>
      <c r="M25" s="2"/>
      <c r="N25" s="19">
        <f t="shared" si="1"/>
        <v>-1</v>
      </c>
      <c r="O25" s="10"/>
      <c r="P25" s="2">
        <f t="shared" si="6"/>
        <v>0</v>
      </c>
      <c r="Q25" s="2"/>
      <c r="R25" s="19"/>
      <c r="S25" s="2"/>
      <c r="T25" s="2">
        <f>--494.2</f>
        <v>494.2</v>
      </c>
      <c r="U25" s="2"/>
      <c r="V25" s="19"/>
      <c r="W25" s="2"/>
      <c r="X25" s="2">
        <f t="shared" si="2"/>
        <v>-494.2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"4042", " - ", "TAXABLE SALES-EVERYDAY GIFTS")</f>
        <v xml:space="preserve">          4042 - TAXABLE SALES-EVERYDAY GIFTS</v>
      </c>
      <c r="C26" s="10"/>
      <c r="D26" s="2">
        <f t="shared" si="4"/>
        <v>0</v>
      </c>
      <c r="E26" s="2"/>
      <c r="F26" s="19"/>
      <c r="G26" s="2"/>
      <c r="H26" s="2">
        <f>--155.99</f>
        <v>155.99</v>
      </c>
      <c r="I26" s="2"/>
      <c r="J26" s="19"/>
      <c r="K26" s="2"/>
      <c r="L26" s="2">
        <f t="shared" si="0"/>
        <v>-155.99</v>
      </c>
      <c r="M26" s="2"/>
      <c r="N26" s="19">
        <f t="shared" si="1"/>
        <v>-1</v>
      </c>
      <c r="O26" s="10"/>
      <c r="P26" s="2">
        <f t="shared" si="6"/>
        <v>0</v>
      </c>
      <c r="Q26" s="2"/>
      <c r="R26" s="19"/>
      <c r="S26" s="2"/>
      <c r="T26" s="2">
        <f>--583.7</f>
        <v>583.70000000000005</v>
      </c>
      <c r="U26" s="2"/>
      <c r="V26" s="19"/>
      <c r="W26" s="2"/>
      <c r="X26" s="2">
        <f t="shared" si="2"/>
        <v>-583.70000000000005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"4044", " - ", "TAXABLE SALES-ACCESSORIES")</f>
        <v xml:space="preserve">          4044 - TAXABLE SALES-ACCESSORIES</v>
      </c>
      <c r="C27" s="10"/>
      <c r="D27" s="2">
        <f t="shared" si="4"/>
        <v>0</v>
      </c>
      <c r="E27" s="2"/>
      <c r="F27" s="19"/>
      <c r="G27" s="2"/>
      <c r="H27" s="2">
        <f>--19.95</f>
        <v>19.95</v>
      </c>
      <c r="I27" s="2"/>
      <c r="J27" s="19"/>
      <c r="K27" s="2"/>
      <c r="L27" s="2">
        <f t="shared" si="0"/>
        <v>-19.95</v>
      </c>
      <c r="M27" s="2"/>
      <c r="N27" s="19">
        <f t="shared" si="1"/>
        <v>-1</v>
      </c>
      <c r="O27" s="10"/>
      <c r="P27" s="2">
        <f t="shared" si="6"/>
        <v>0</v>
      </c>
      <c r="Q27" s="2"/>
      <c r="R27" s="19"/>
      <c r="S27" s="2"/>
      <c r="T27" s="2">
        <f>--179.5</f>
        <v>179.5</v>
      </c>
      <c r="U27" s="2"/>
      <c r="V27" s="19"/>
      <c r="W27" s="2"/>
      <c r="X27" s="2">
        <f t="shared" si="2"/>
        <v>-179.5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"4081", " - ", "TAXABLE SALES-ELECTRONICS")</f>
        <v xml:space="preserve">          4081 - TAXABLE SALES-ELECTRONICS</v>
      </c>
      <c r="C28" s="10"/>
      <c r="D28" s="2">
        <f t="shared" si="4"/>
        <v>0</v>
      </c>
      <c r="E28" s="2"/>
      <c r="F28" s="19"/>
      <c r="G28" s="2"/>
      <c r="H28" s="2">
        <f>--64.95</f>
        <v>64.95</v>
      </c>
      <c r="I28" s="2"/>
      <c r="J28" s="19"/>
      <c r="K28" s="2"/>
      <c r="L28" s="2">
        <f t="shared" si="0"/>
        <v>-64.95</v>
      </c>
      <c r="M28" s="2"/>
      <c r="N28" s="19">
        <f t="shared" si="1"/>
        <v>-1</v>
      </c>
      <c r="O28" s="10"/>
      <c r="P28" s="2">
        <f>--71.95</f>
        <v>71.95</v>
      </c>
      <c r="Q28" s="2"/>
      <c r="R28" s="19"/>
      <c r="S28" s="2"/>
      <c r="T28" s="2">
        <f>--3174.93</f>
        <v>3174.93</v>
      </c>
      <c r="U28" s="2"/>
      <c r="V28" s="19"/>
      <c r="W28" s="2"/>
      <c r="X28" s="2">
        <f t="shared" si="2"/>
        <v>-3102.98</v>
      </c>
      <c r="Y28" s="2"/>
      <c r="Z28" s="19">
        <f t="shared" si="3"/>
        <v>-0.97733808304435066</v>
      </c>
    </row>
    <row r="29" spans="1:26" s="23" customFormat="1" hidden="1" outlineLevel="1" x14ac:dyDescent="0.25">
      <c r="A29" s="44"/>
      <c r="B29" s="10" t="str">
        <f>CONCATENATE("          ", "4082", " - ", "TAXABLE SALES-COMPUTER HARDWAR")</f>
        <v xml:space="preserve">          4082 - TAXABLE SALES-COMPUTER HARDWAR</v>
      </c>
      <c r="C29" s="10"/>
      <c r="D29" s="2">
        <f t="shared" si="4"/>
        <v>0</v>
      </c>
      <c r="E29" s="2"/>
      <c r="F29" s="19"/>
      <c r="G29" s="2"/>
      <c r="H29" s="2">
        <f>--67.96</f>
        <v>67.959999999999994</v>
      </c>
      <c r="I29" s="2"/>
      <c r="J29" s="19"/>
      <c r="K29" s="2"/>
      <c r="L29" s="2">
        <f t="shared" si="0"/>
        <v>-67.959999999999994</v>
      </c>
      <c r="M29" s="2"/>
      <c r="N29" s="19">
        <f t="shared" si="1"/>
        <v>-1</v>
      </c>
      <c r="O29" s="10"/>
      <c r="P29" s="2">
        <f>0</f>
        <v>0</v>
      </c>
      <c r="Q29" s="2"/>
      <c r="R29" s="19"/>
      <c r="S29" s="2"/>
      <c r="T29" s="2">
        <f>--363.94</f>
        <v>363.94</v>
      </c>
      <c r="U29" s="2"/>
      <c r="V29" s="19"/>
      <c r="W29" s="2"/>
      <c r="X29" s="2">
        <f t="shared" si="2"/>
        <v>-363.94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"4083", " - ", "TAXABLE SALES-COMPUTER EQUIPME")</f>
        <v xml:space="preserve">          4083 - TAXABLE SALES-COMPUTER EQUIPME</v>
      </c>
      <c r="C30" s="10"/>
      <c r="D30" s="2">
        <f t="shared" si="4"/>
        <v>0</v>
      </c>
      <c r="E30" s="2"/>
      <c r="F30" s="19"/>
      <c r="G30" s="2"/>
      <c r="H30" s="2">
        <f>--29.97</f>
        <v>29.97</v>
      </c>
      <c r="I30" s="2"/>
      <c r="J30" s="19"/>
      <c r="K30" s="2"/>
      <c r="L30" s="2">
        <f t="shared" si="0"/>
        <v>-29.97</v>
      </c>
      <c r="M30" s="2"/>
      <c r="N30" s="19">
        <f t="shared" si="1"/>
        <v>-1</v>
      </c>
      <c r="O30" s="10"/>
      <c r="P30" s="2">
        <f>--9.99</f>
        <v>9.99</v>
      </c>
      <c r="Q30" s="2"/>
      <c r="R30" s="19"/>
      <c r="S30" s="2"/>
      <c r="T30" s="2">
        <f>--914.33</f>
        <v>914.33</v>
      </c>
      <c r="U30" s="2"/>
      <c r="V30" s="19"/>
      <c r="W30" s="2"/>
      <c r="X30" s="2">
        <f t="shared" si="2"/>
        <v>-904.34</v>
      </c>
      <c r="Y30" s="2"/>
      <c r="Z30" s="19">
        <f t="shared" si="3"/>
        <v>-0.98907396672973646</v>
      </c>
    </row>
    <row r="31" spans="1:26" s="23" customFormat="1" hidden="1" outlineLevel="1" x14ac:dyDescent="0.25">
      <c r="A31" s="44"/>
      <c r="B31" s="10" t="str">
        <f>CONCATENATE("          ", "4086", " - ", "TAXABLE SALES-COMPUTER SUPPLIE")</f>
        <v xml:space="preserve">          4086 - TAXABLE SALES-COMPUTER SUPPLIE</v>
      </c>
      <c r="C31" s="10"/>
      <c r="D31" s="2">
        <f t="shared" si="4"/>
        <v>0</v>
      </c>
      <c r="E31" s="2"/>
      <c r="F31" s="19"/>
      <c r="G31" s="2"/>
      <c r="H31" s="2">
        <f>--9</f>
        <v>9</v>
      </c>
      <c r="I31" s="2"/>
      <c r="J31" s="19"/>
      <c r="K31" s="2"/>
      <c r="L31" s="2">
        <f t="shared" si="0"/>
        <v>-9</v>
      </c>
      <c r="M31" s="2"/>
      <c r="N31" s="19">
        <f t="shared" si="1"/>
        <v>-1</v>
      </c>
      <c r="O31" s="10"/>
      <c r="P31" s="2">
        <f t="shared" ref="P31:P34" si="7">0</f>
        <v>0</v>
      </c>
      <c r="Q31" s="2"/>
      <c r="R31" s="19"/>
      <c r="S31" s="2"/>
      <c r="T31" s="2">
        <f>--813.74</f>
        <v>813.74</v>
      </c>
      <c r="U31" s="2"/>
      <c r="V31" s="19"/>
      <c r="W31" s="2"/>
      <c r="X31" s="2">
        <f t="shared" si="2"/>
        <v>-813.74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"4126", " - ", "NON-TAXABLE SALES-WRITING INST")</f>
        <v xml:space="preserve">          4126 - NON-TAXABLE SALES-WRITING INST</v>
      </c>
      <c r="C32" s="10"/>
      <c r="D32" s="2">
        <f t="shared" si="4"/>
        <v>0</v>
      </c>
      <c r="E32" s="2"/>
      <c r="F32" s="19"/>
      <c r="G32" s="2"/>
      <c r="H32" s="2">
        <f t="shared" ref="H32:H34" si="8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si="7"/>
        <v>0</v>
      </c>
      <c r="Q32" s="2"/>
      <c r="R32" s="19"/>
      <c r="S32" s="2"/>
      <c r="T32" s="2">
        <f>--2.49</f>
        <v>2.4900000000000002</v>
      </c>
      <c r="U32" s="2"/>
      <c r="V32" s="19"/>
      <c r="W32" s="2"/>
      <c r="X32" s="2">
        <f t="shared" si="2"/>
        <v>-2.4900000000000002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"4127", " - ", "NON-TAXABLE SALES-SCHOOL SUPPL")</f>
        <v xml:space="preserve">          4127 - NON-TAXABLE SALES-SCHOOL SUPPL</v>
      </c>
      <c r="C33" s="10"/>
      <c r="D33" s="2">
        <f t="shared" si="4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7"/>
        <v>0</v>
      </c>
      <c r="Q33" s="2"/>
      <c r="R33" s="19"/>
      <c r="S33" s="2"/>
      <c r="T33" s="2">
        <f>--16.45</f>
        <v>16.45</v>
      </c>
      <c r="U33" s="2"/>
      <c r="V33" s="19"/>
      <c r="W33" s="2"/>
      <c r="X33" s="2">
        <f t="shared" si="2"/>
        <v>-16.45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"4128", " - ", "NON-TAXABLE SALES-ART/TECH")</f>
        <v xml:space="preserve">          4128 - NON-TAXABLE SALES-ART/TECH</v>
      </c>
      <c r="C34" s="10"/>
      <c r="D34" s="2">
        <f t="shared" si="4"/>
        <v>0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 t="shared" si="7"/>
        <v>0</v>
      </c>
      <c r="Q34" s="2"/>
      <c r="R34" s="19"/>
      <c r="S34" s="2"/>
      <c r="T34" s="2">
        <f>--242.09</f>
        <v>242.09</v>
      </c>
      <c r="U34" s="2"/>
      <c r="V34" s="19"/>
      <c r="W34" s="2"/>
      <c r="X34" s="2">
        <f t="shared" si="2"/>
        <v>-242.09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"4131", " - ", "NON-TAXABLE SALES-FOOD")</f>
        <v xml:space="preserve">          4131 - NON-TAXABLE SALES-FOOD</v>
      </c>
      <c r="C35" s="10"/>
      <c r="D35" s="2">
        <f t="shared" si="4"/>
        <v>0</v>
      </c>
      <c r="E35" s="2"/>
      <c r="F35" s="19"/>
      <c r="G35" s="2"/>
      <c r="H35" s="2">
        <f>--4347.45</f>
        <v>4347.45</v>
      </c>
      <c r="I35" s="2"/>
      <c r="J35" s="19"/>
      <c r="K35" s="2"/>
      <c r="L35" s="2">
        <f t="shared" si="0"/>
        <v>-4347.45</v>
      </c>
      <c r="M35" s="2"/>
      <c r="N35" s="19">
        <f t="shared" si="1"/>
        <v>-1</v>
      </c>
      <c r="O35" s="10"/>
      <c r="P35" s="2">
        <f>--1847.16</f>
        <v>1847.16</v>
      </c>
      <c r="Q35" s="2"/>
      <c r="R35" s="19"/>
      <c r="S35" s="2"/>
      <c r="T35" s="2">
        <f>--56310.14</f>
        <v>56310.14</v>
      </c>
      <c r="U35" s="2"/>
      <c r="V35" s="19"/>
      <c r="W35" s="2"/>
      <c r="X35" s="2">
        <f t="shared" si="2"/>
        <v>-54462.979999999996</v>
      </c>
      <c r="Y35" s="2"/>
      <c r="Z35" s="19">
        <f t="shared" si="3"/>
        <v>-0.96719667186052094</v>
      </c>
    </row>
    <row r="36" spans="1:26" s="23" customFormat="1" hidden="1" outlineLevel="1" x14ac:dyDescent="0.25">
      <c r="A36" s="44"/>
      <c r="B36" s="10" t="str">
        <f>CONCATENATE("          ", "4132", " - ", "NON-TAXABLE SALES-JUICE")</f>
        <v xml:space="preserve">          4132 - NON-TAXABLE SALES-JUICE</v>
      </c>
      <c r="C36" s="10"/>
      <c r="D36" s="2">
        <f t="shared" si="4"/>
        <v>0</v>
      </c>
      <c r="E36" s="2"/>
      <c r="F36" s="19"/>
      <c r="G36" s="2"/>
      <c r="H36" s="2">
        <f>--1150.46</f>
        <v>1150.46</v>
      </c>
      <c r="I36" s="2"/>
      <c r="J36" s="19"/>
      <c r="K36" s="2"/>
      <c r="L36" s="2">
        <f t="shared" si="0"/>
        <v>-1150.46</v>
      </c>
      <c r="M36" s="2"/>
      <c r="N36" s="19">
        <f t="shared" si="1"/>
        <v>-1</v>
      </c>
      <c r="O36" s="10"/>
      <c r="P36" s="2">
        <f t="shared" ref="P36:P43" si="9">0</f>
        <v>0</v>
      </c>
      <c r="Q36" s="2"/>
      <c r="R36" s="19"/>
      <c r="S36" s="2"/>
      <c r="T36" s="2">
        <f>--16199.63</f>
        <v>16199.63</v>
      </c>
      <c r="U36" s="2"/>
      <c r="V36" s="19"/>
      <c r="W36" s="2"/>
      <c r="X36" s="2">
        <f t="shared" si="2"/>
        <v>-16199.63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"4133", " - ", "NON-TAXABLE SALES-CANDY")</f>
        <v xml:space="preserve">          4133 - NON-TAXABLE SALES-CANDY</v>
      </c>
      <c r="C37" s="10"/>
      <c r="D37" s="2">
        <f t="shared" si="4"/>
        <v>0</v>
      </c>
      <c r="E37" s="2"/>
      <c r="F37" s="19"/>
      <c r="G37" s="2"/>
      <c r="H37" s="2">
        <f>--1120.6</f>
        <v>1120.5999999999999</v>
      </c>
      <c r="I37" s="2"/>
      <c r="J37" s="19"/>
      <c r="K37" s="2"/>
      <c r="L37" s="2">
        <f t="shared" si="0"/>
        <v>-1120.5999999999999</v>
      </c>
      <c r="M37" s="2"/>
      <c r="N37" s="19">
        <f t="shared" si="1"/>
        <v>-1</v>
      </c>
      <c r="O37" s="10"/>
      <c r="P37" s="2">
        <f t="shared" si="9"/>
        <v>0</v>
      </c>
      <c r="Q37" s="2"/>
      <c r="R37" s="19"/>
      <c r="S37" s="2"/>
      <c r="T37" s="2">
        <f>--15823.84</f>
        <v>15823.84</v>
      </c>
      <c r="U37" s="2"/>
      <c r="V37" s="19"/>
      <c r="W37" s="2"/>
      <c r="X37" s="2">
        <f t="shared" si="2"/>
        <v>-15823.84</v>
      </c>
      <c r="Y37" s="2"/>
      <c r="Z37" s="19">
        <f t="shared" si="3"/>
        <v>-1</v>
      </c>
    </row>
    <row r="38" spans="1:26" s="23" customFormat="1" hidden="1" outlineLevel="1" x14ac:dyDescent="0.25">
      <c r="A38" s="44"/>
      <c r="B38" s="10" t="str">
        <f>CONCATENATE("          ", "4134", " - ", "NON-TAXABLE SALES-SODA")</f>
        <v xml:space="preserve">          4134 - NON-TAXABLE SALES-SODA</v>
      </c>
      <c r="C38" s="10"/>
      <c r="D38" s="2">
        <f t="shared" si="4"/>
        <v>0</v>
      </c>
      <c r="E38" s="2"/>
      <c r="F38" s="19"/>
      <c r="G38" s="2"/>
      <c r="H38" s="2">
        <f t="shared" ref="H38:H39" si="10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 t="shared" si="9"/>
        <v>0</v>
      </c>
      <c r="Q38" s="2"/>
      <c r="R38" s="19"/>
      <c r="S38" s="2"/>
      <c r="T38" s="2">
        <f>--1.89</f>
        <v>1.89</v>
      </c>
      <c r="U38" s="2"/>
      <c r="V38" s="19"/>
      <c r="W38" s="2"/>
      <c r="X38" s="2">
        <f t="shared" si="2"/>
        <v>-1.89</v>
      </c>
      <c r="Y38" s="2"/>
      <c r="Z38" s="19">
        <f t="shared" si="3"/>
        <v>-1</v>
      </c>
    </row>
    <row r="39" spans="1:26" s="23" customFormat="1" hidden="1" outlineLevel="1" x14ac:dyDescent="0.25">
      <c r="A39" s="44"/>
      <c r="B39" s="10" t="str">
        <f>CONCATENATE("          ", "4135", " - ", "NON-TAXABLE SALES")</f>
        <v xml:space="preserve">          4135 - NON-TAXABLE SALES</v>
      </c>
      <c r="C39" s="10"/>
      <c r="D39" s="2">
        <f t="shared" si="4"/>
        <v>0</v>
      </c>
      <c r="E39" s="2"/>
      <c r="F39" s="19"/>
      <c r="G39" s="2"/>
      <c r="H39" s="2">
        <f t="shared" si="10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 t="shared" si="9"/>
        <v>0</v>
      </c>
      <c r="Q39" s="2"/>
      <c r="R39" s="19"/>
      <c r="S39" s="2"/>
      <c r="T39" s="2">
        <f>--111.24</f>
        <v>111.24</v>
      </c>
      <c r="U39" s="2"/>
      <c r="V39" s="19"/>
      <c r="W39" s="2"/>
      <c r="X39" s="2">
        <f t="shared" si="2"/>
        <v>-111.24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"4137", " - ", "NON-TAXABLE SALES-WATER")</f>
        <v xml:space="preserve">          4137 - NON-TAXABLE SALES-WATER</v>
      </c>
      <c r="C40" s="10"/>
      <c r="D40" s="2">
        <f t="shared" si="4"/>
        <v>0</v>
      </c>
      <c r="E40" s="2"/>
      <c r="F40" s="19"/>
      <c r="G40" s="2"/>
      <c r="H40" s="2">
        <f>--623</f>
        <v>623</v>
      </c>
      <c r="I40" s="2"/>
      <c r="J40" s="19"/>
      <c r="K40" s="2"/>
      <c r="L40" s="2">
        <f t="shared" si="0"/>
        <v>-623</v>
      </c>
      <c r="M40" s="2"/>
      <c r="N40" s="19">
        <f t="shared" si="1"/>
        <v>-1</v>
      </c>
      <c r="O40" s="10"/>
      <c r="P40" s="2">
        <f t="shared" si="9"/>
        <v>0</v>
      </c>
      <c r="Q40" s="2"/>
      <c r="R40" s="19"/>
      <c r="S40" s="2"/>
      <c r="T40" s="2">
        <f>--8396.06</f>
        <v>8396.06</v>
      </c>
      <c r="U40" s="2"/>
      <c r="V40" s="19"/>
      <c r="W40" s="2"/>
      <c r="X40" s="2">
        <f t="shared" si="2"/>
        <v>-8396.06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"4186", " - ", "NON-TAXABLE SALES-COMPUTER SUP")</f>
        <v xml:space="preserve">          4186 - NON-TAXABLE SALES-COMPUTER SUP</v>
      </c>
      <c r="C41" s="10"/>
      <c r="D41" s="2">
        <f t="shared" si="4"/>
        <v>0</v>
      </c>
      <c r="E41" s="2"/>
      <c r="F41" s="19"/>
      <c r="G41" s="2"/>
      <c r="H41" s="2">
        <f t="shared" ref="H41:H42" si="11"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9"/>
        <v>0</v>
      </c>
      <c r="Q41" s="2"/>
      <c r="R41" s="19"/>
      <c r="S41" s="2"/>
      <c r="T41" s="2">
        <f>-30.97</f>
        <v>-30.97</v>
      </c>
      <c r="U41" s="2"/>
      <c r="V41" s="19"/>
      <c r="W41" s="2"/>
      <c r="X41" s="2">
        <f t="shared" si="2"/>
        <v>30.97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"4225", " - ", "SALES RETURN TAXABLE-TEST FORM")</f>
        <v xml:space="preserve">          4225 - SALES RETURN TAXABLE-TEST FORM</v>
      </c>
      <c r="C42" s="10"/>
      <c r="D42" s="2">
        <f t="shared" si="4"/>
        <v>0</v>
      </c>
      <c r="E42" s="2"/>
      <c r="F42" s="19"/>
      <c r="G42" s="2"/>
      <c r="H42" s="2">
        <f t="shared" si="11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 t="shared" si="9"/>
        <v>0</v>
      </c>
      <c r="Q42" s="2"/>
      <c r="R42" s="19"/>
      <c r="S42" s="2"/>
      <c r="T42" s="2">
        <f>-35.13</f>
        <v>-35.130000000000003</v>
      </c>
      <c r="U42" s="2"/>
      <c r="V42" s="19"/>
      <c r="W42" s="2"/>
      <c r="X42" s="2">
        <f t="shared" si="2"/>
        <v>35.130000000000003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"4226", " - ", "SALES RETURN TAXABLE-WRITING I")</f>
        <v xml:space="preserve">          4226 - SALES RETURN TAXABLE-WRITING I</v>
      </c>
      <c r="C43" s="10"/>
      <c r="D43" s="2">
        <f t="shared" si="4"/>
        <v>0</v>
      </c>
      <c r="E43" s="2"/>
      <c r="F43" s="19"/>
      <c r="G43" s="2"/>
      <c r="H43" s="2">
        <f>-2.29</f>
        <v>-2.29</v>
      </c>
      <c r="I43" s="2"/>
      <c r="J43" s="19"/>
      <c r="K43" s="2"/>
      <c r="L43" s="2">
        <f t="shared" si="0"/>
        <v>2.29</v>
      </c>
      <c r="M43" s="2"/>
      <c r="N43" s="19">
        <f t="shared" si="1"/>
        <v>-1</v>
      </c>
      <c r="O43" s="10"/>
      <c r="P43" s="2">
        <f t="shared" si="9"/>
        <v>0</v>
      </c>
      <c r="Q43" s="2"/>
      <c r="R43" s="19"/>
      <c r="S43" s="2"/>
      <c r="T43" s="2">
        <f>-11.05</f>
        <v>-11.05</v>
      </c>
      <c r="U43" s="2"/>
      <c r="V43" s="19"/>
      <c r="W43" s="2"/>
      <c r="X43" s="2">
        <f t="shared" si="2"/>
        <v>11.05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"4227", " - ", "SALES RETURN TAXABLE-SCHOOL SU")</f>
        <v xml:space="preserve">          4227 - SALES RETURN TAXABLE-SCHOOL SU</v>
      </c>
      <c r="C44" s="10"/>
      <c r="D44" s="2">
        <f t="shared" si="4"/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-159.97</f>
        <v>-159.97</v>
      </c>
      <c r="Q44" s="2"/>
      <c r="R44" s="19"/>
      <c r="S44" s="2"/>
      <c r="T44" s="2">
        <f>-42.06</f>
        <v>-42.06</v>
      </c>
      <c r="U44" s="2"/>
      <c r="V44" s="19"/>
      <c r="W44" s="2"/>
      <c r="X44" s="2">
        <f t="shared" si="2"/>
        <v>-117.91</v>
      </c>
      <c r="Y44" s="2"/>
      <c r="Z44" s="19">
        <f t="shared" si="3"/>
        <v>2.8033761293390391</v>
      </c>
    </row>
    <row r="45" spans="1:26" s="23" customFormat="1" hidden="1" outlineLevel="1" x14ac:dyDescent="0.25">
      <c r="A45" s="44"/>
      <c r="B45" s="10" t="str">
        <f>CONCATENATE("          ", "4228", " - ", "SALES RETURN TAXABLE-ART/TECH")</f>
        <v xml:space="preserve">          4228 - SALES RETURN TAXABLE-ART/TECH</v>
      </c>
      <c r="C45" s="10"/>
      <c r="D45" s="2">
        <f t="shared" si="4"/>
        <v>0</v>
      </c>
      <c r="E45" s="2"/>
      <c r="F45" s="19"/>
      <c r="G45" s="2"/>
      <c r="H45" s="2">
        <f>-139.18</f>
        <v>-139.18</v>
      </c>
      <c r="I45" s="2"/>
      <c r="J45" s="19"/>
      <c r="K45" s="2"/>
      <c r="L45" s="2">
        <f t="shared" si="0"/>
        <v>139.18</v>
      </c>
      <c r="M45" s="2"/>
      <c r="N45" s="19">
        <f t="shared" si="1"/>
        <v>-1</v>
      </c>
      <c r="O45" s="10"/>
      <c r="P45" s="2">
        <f>-222.2</f>
        <v>-222.2</v>
      </c>
      <c r="Q45" s="2"/>
      <c r="R45" s="19"/>
      <c r="S45" s="2"/>
      <c r="T45" s="2">
        <f>-4479.12</f>
        <v>-4479.12</v>
      </c>
      <c r="U45" s="2"/>
      <c r="V45" s="19"/>
      <c r="W45" s="2"/>
      <c r="X45" s="2">
        <f t="shared" si="2"/>
        <v>4256.92</v>
      </c>
      <c r="Y45" s="2"/>
      <c r="Z45" s="19">
        <f t="shared" si="3"/>
        <v>-0.9503920412938256</v>
      </c>
    </row>
    <row r="46" spans="1:26" s="23" customFormat="1" hidden="1" outlineLevel="1" x14ac:dyDescent="0.25">
      <c r="A46" s="44"/>
      <c r="B46" s="10" t="str">
        <f>CONCATENATE("          ", "4233", " - ", "SALES RETURN TAXABLE-CANDY")</f>
        <v xml:space="preserve">          4233 - SALES RETURN TAXABLE-CANDY</v>
      </c>
      <c r="C46" s="10"/>
      <c r="D46" s="2">
        <f t="shared" si="4"/>
        <v>0</v>
      </c>
      <c r="E46" s="2"/>
      <c r="F46" s="19"/>
      <c r="G46" s="2"/>
      <c r="H46" s="2">
        <f>-6.96</f>
        <v>-6.96</v>
      </c>
      <c r="I46" s="2"/>
      <c r="J46" s="19"/>
      <c r="K46" s="2"/>
      <c r="L46" s="2">
        <f t="shared" si="0"/>
        <v>6.96</v>
      </c>
      <c r="M46" s="2"/>
      <c r="N46" s="19">
        <f t="shared" si="1"/>
        <v>-1</v>
      </c>
      <c r="O46" s="10"/>
      <c r="P46" s="2">
        <f t="shared" ref="P46:P49" si="12">0</f>
        <v>0</v>
      </c>
      <c r="Q46" s="2"/>
      <c r="R46" s="19"/>
      <c r="S46" s="2"/>
      <c r="T46" s="2">
        <f>-8.25</f>
        <v>-8.25</v>
      </c>
      <c r="U46" s="2"/>
      <c r="V46" s="19"/>
      <c r="W46" s="2"/>
      <c r="X46" s="2">
        <f t="shared" si="2"/>
        <v>8.25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"4281", " - ", "SALES RETURN TAXABLE-ELECTRONI")</f>
        <v xml:space="preserve">          4281 - SALES RETURN TAXABLE-ELECTRONI</v>
      </c>
      <c r="C47" s="10"/>
      <c r="D47" s="2">
        <f t="shared" si="4"/>
        <v>0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0"/>
      <c r="P47" s="2">
        <f t="shared" si="12"/>
        <v>0</v>
      </c>
      <c r="Q47" s="2"/>
      <c r="R47" s="19"/>
      <c r="S47" s="2"/>
      <c r="T47" s="2">
        <f>-54.97</f>
        <v>-54.97</v>
      </c>
      <c r="U47" s="2"/>
      <c r="V47" s="19"/>
      <c r="W47" s="2"/>
      <c r="X47" s="2">
        <f t="shared" si="2"/>
        <v>54.97</v>
      </c>
      <c r="Y47" s="2"/>
      <c r="Z47" s="19">
        <f t="shared" si="3"/>
        <v>-1</v>
      </c>
    </row>
    <row r="48" spans="1:26" s="23" customFormat="1" hidden="1" outlineLevel="1" x14ac:dyDescent="0.25">
      <c r="A48" s="44"/>
      <c r="B48" s="10" t="str">
        <f>CONCATENATE("          ", "4331", " - ", "SALES RETURN NON TAXABLE-FOOD")</f>
        <v xml:space="preserve">          4331 - SALES RETURN NON TAXABLE-FOOD</v>
      </c>
      <c r="C48" s="10"/>
      <c r="D48" s="2">
        <f t="shared" si="4"/>
        <v>0</v>
      </c>
      <c r="E48" s="2"/>
      <c r="F48" s="19"/>
      <c r="G48" s="2"/>
      <c r="H48" s="2">
        <f>-4.99</f>
        <v>-4.99</v>
      </c>
      <c r="I48" s="2"/>
      <c r="J48" s="19"/>
      <c r="K48" s="2"/>
      <c r="L48" s="2">
        <f t="shared" si="0"/>
        <v>4.99</v>
      </c>
      <c r="M48" s="2"/>
      <c r="N48" s="19">
        <f t="shared" si="1"/>
        <v>-1</v>
      </c>
      <c r="O48" s="10"/>
      <c r="P48" s="2">
        <f t="shared" si="12"/>
        <v>0</v>
      </c>
      <c r="Q48" s="2"/>
      <c r="R48" s="19"/>
      <c r="S48" s="2"/>
      <c r="T48" s="2">
        <f>-12.57</f>
        <v>-12.57</v>
      </c>
      <c r="U48" s="2"/>
      <c r="V48" s="19"/>
      <c r="W48" s="2"/>
      <c r="X48" s="2">
        <f t="shared" si="2"/>
        <v>12.57</v>
      </c>
      <c r="Y48" s="2"/>
      <c r="Z48" s="19">
        <f t="shared" si="3"/>
        <v>-1</v>
      </c>
    </row>
    <row r="49" spans="1:26" s="23" customFormat="1" hidden="1" outlineLevel="1" x14ac:dyDescent="0.25">
      <c r="A49" s="44"/>
      <c r="B49" s="10" t="str">
        <f>CONCATENATE("          ", "4332", " - ", "SALES RETURN NON TAXABLE-JUICE")</f>
        <v xml:space="preserve">          4332 - SALES RETURN NON TAXABLE-JUICE</v>
      </c>
      <c r="C49" s="10"/>
      <c r="D49" s="2">
        <f t="shared" si="4"/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 t="shared" si="12"/>
        <v>0</v>
      </c>
      <c r="Q49" s="2"/>
      <c r="R49" s="19"/>
      <c r="S49" s="2"/>
      <c r="T49" s="2">
        <f>-2.79</f>
        <v>-2.79</v>
      </c>
      <c r="U49" s="2"/>
      <c r="V49" s="19"/>
      <c r="W49" s="2"/>
      <c r="X49" s="2">
        <f t="shared" si="2"/>
        <v>2.79</v>
      </c>
      <c r="Y49" s="2"/>
      <c r="Z49" s="19">
        <f t="shared" si="3"/>
        <v>-1</v>
      </c>
    </row>
    <row r="50" spans="1:26" x14ac:dyDescent="0.25">
      <c r="A50" s="9"/>
      <c r="B50" s="11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collapsed="1" x14ac:dyDescent="0.25">
      <c r="A51" s="11"/>
      <c r="B51" s="28" t="s">
        <v>256</v>
      </c>
      <c r="C51" s="11"/>
      <c r="D51" s="4">
        <f>SUM(OSRRefD16x_0)</f>
        <v>30.48</v>
      </c>
      <c r="E51" s="4"/>
      <c r="F51" s="13">
        <f t="shared" ref="F51:F72" si="13">IF(D$12=0,0,D51/D$12)</f>
        <v>0</v>
      </c>
      <c r="G51" s="4"/>
      <c r="H51" s="4">
        <f>SUM(OSRRefH16x_0)</f>
        <v>13768.570000000002</v>
      </c>
      <c r="I51" s="4"/>
      <c r="J51" s="13">
        <f t="shared" ref="J51:J72" si="14">IF(H$12=0,0,H51/H$12)</f>
        <v>0.52460408662162561</v>
      </c>
      <c r="K51" s="4"/>
      <c r="L51" s="4">
        <f t="shared" ref="L51:L72" si="15">+D51-H51</f>
        <v>-13738.090000000002</v>
      </c>
      <c r="M51" s="4"/>
      <c r="N51" s="13">
        <f t="shared" ref="N51:N72" si="16">IF(H51=0,0,L51/H51)</f>
        <v>-0.99778626248041735</v>
      </c>
      <c r="O51" s="11"/>
      <c r="P51" s="4">
        <f>SUM(OSRRefP16x_0)</f>
        <v>13773.499999999995</v>
      </c>
      <c r="Q51" s="4"/>
      <c r="R51" s="13">
        <f t="shared" ref="R51:R72" si="17">IF(P$12=0,0,P51/P$12)</f>
        <v>0.64628151757326391</v>
      </c>
      <c r="S51" s="4"/>
      <c r="T51" s="4">
        <f>SUM(OSRRefT16x_0)</f>
        <v>215793.81000000003</v>
      </c>
      <c r="U51" s="4"/>
      <c r="V51" s="13">
        <f t="shared" ref="V51:V72" si="18">IF(T$12=0,0,T51/T$12)</f>
        <v>0.5256219811187659</v>
      </c>
      <c r="W51" s="4"/>
      <c r="X51" s="4">
        <f t="shared" ref="X51:X72" si="19">+P51-T51</f>
        <v>-202020.31000000003</v>
      </c>
      <c r="Y51" s="4"/>
      <c r="Z51" s="13">
        <f t="shared" ref="Z51:Z72" si="20">IF(T51=0,0,X51/T51)</f>
        <v>-0.93617286797985544</v>
      </c>
    </row>
    <row r="52" spans="1:26" s="23" customFormat="1" hidden="1" outlineLevel="1" x14ac:dyDescent="0.25">
      <c r="A52" s="44"/>
      <c r="B52" s="10" t="str">
        <f>CONCATENATE("          ", "5000", " - ", "PURCHASES @ COST")</f>
        <v xml:space="preserve">          5000 - PURCHASES @ COST</v>
      </c>
      <c r="C52" s="10"/>
      <c r="D52" s="2"/>
      <c r="E52" s="2"/>
      <c r="F52" s="19">
        <f t="shared" si="13"/>
        <v>0</v>
      </c>
      <c r="G52" s="2"/>
      <c r="H52" s="2"/>
      <c r="I52" s="2"/>
      <c r="J52" s="19">
        <f t="shared" si="14"/>
        <v>0</v>
      </c>
      <c r="K52" s="2"/>
      <c r="L52" s="2">
        <f t="shared" si="15"/>
        <v>0</v>
      </c>
      <c r="M52" s="2"/>
      <c r="N52" s="19">
        <f t="shared" si="16"/>
        <v>0</v>
      </c>
      <c r="O52" s="10"/>
      <c r="P52" s="2"/>
      <c r="Q52" s="2"/>
      <c r="R52" s="19">
        <f t="shared" si="17"/>
        <v>0</v>
      </c>
      <c r="S52" s="2"/>
      <c r="T52" s="2">
        <v>0</v>
      </c>
      <c r="U52" s="2"/>
      <c r="V52" s="19">
        <f t="shared" si="18"/>
        <v>0</v>
      </c>
      <c r="W52" s="2"/>
      <c r="X52" s="2">
        <f t="shared" si="19"/>
        <v>0</v>
      </c>
      <c r="Y52" s="2"/>
      <c r="Z52" s="19">
        <f t="shared" si="20"/>
        <v>0</v>
      </c>
    </row>
    <row r="53" spans="1:26" s="23" customFormat="1" hidden="1" outlineLevel="1" x14ac:dyDescent="0.25">
      <c r="A53" s="44"/>
      <c r="B53" s="10" t="str">
        <f>CONCATENATE("          ", "5014", " - ", "PURCHASES @ COST-REMAINDERS")</f>
        <v xml:space="preserve">          5014 - PURCHASES @ COST-REMAINDERS</v>
      </c>
      <c r="C53" s="10"/>
      <c r="D53" s="2"/>
      <c r="E53" s="2"/>
      <c r="F53" s="19">
        <f t="shared" si="13"/>
        <v>0</v>
      </c>
      <c r="G53" s="2"/>
      <c r="H53" s="2"/>
      <c r="I53" s="2"/>
      <c r="J53" s="19">
        <f t="shared" si="14"/>
        <v>0</v>
      </c>
      <c r="K53" s="2"/>
      <c r="L53" s="2">
        <f t="shared" si="15"/>
        <v>0</v>
      </c>
      <c r="M53" s="2"/>
      <c r="N53" s="19">
        <f t="shared" si="16"/>
        <v>0</v>
      </c>
      <c r="O53" s="10"/>
      <c r="P53" s="2"/>
      <c r="Q53" s="2"/>
      <c r="R53" s="19">
        <f t="shared" si="17"/>
        <v>0</v>
      </c>
      <c r="S53" s="2"/>
      <c r="T53" s="2">
        <v>14.46</v>
      </c>
      <c r="U53" s="2"/>
      <c r="V53" s="19">
        <f t="shared" si="18"/>
        <v>3.522109298212657E-5</v>
      </c>
      <c r="W53" s="2"/>
      <c r="X53" s="2">
        <f t="shared" si="19"/>
        <v>-14.46</v>
      </c>
      <c r="Y53" s="2"/>
      <c r="Z53" s="19">
        <f t="shared" si="20"/>
        <v>-1</v>
      </c>
    </row>
    <row r="54" spans="1:26" s="23" customFormat="1" hidden="1" outlineLevel="1" x14ac:dyDescent="0.25">
      <c r="A54" s="44"/>
      <c r="B54" s="10" t="str">
        <f>CONCATENATE("          ", "5025", " - ", "PURCHASES @ COST-TEST FORMS")</f>
        <v xml:space="preserve">          5025 - PURCHASES @ COST-TEST FORMS</v>
      </c>
      <c r="C54" s="10"/>
      <c r="D54" s="2"/>
      <c r="E54" s="2"/>
      <c r="F54" s="19">
        <f t="shared" si="13"/>
        <v>0</v>
      </c>
      <c r="G54" s="2"/>
      <c r="H54" s="2"/>
      <c r="I54" s="2"/>
      <c r="J54" s="19">
        <f t="shared" si="14"/>
        <v>0</v>
      </c>
      <c r="K54" s="2"/>
      <c r="L54" s="2">
        <f t="shared" si="15"/>
        <v>0</v>
      </c>
      <c r="M54" s="2"/>
      <c r="N54" s="19">
        <f t="shared" si="16"/>
        <v>0</v>
      </c>
      <c r="O54" s="10"/>
      <c r="P54" s="2"/>
      <c r="Q54" s="2"/>
      <c r="R54" s="19">
        <f t="shared" si="17"/>
        <v>0</v>
      </c>
      <c r="S54" s="2"/>
      <c r="T54" s="2">
        <v>688.18</v>
      </c>
      <c r="U54" s="2"/>
      <c r="V54" s="19">
        <f t="shared" si="18"/>
        <v>1.6762414777620927E-3</v>
      </c>
      <c r="W54" s="2"/>
      <c r="X54" s="2">
        <f t="shared" si="19"/>
        <v>-688.18</v>
      </c>
      <c r="Y54" s="2"/>
      <c r="Z54" s="19">
        <f t="shared" si="20"/>
        <v>-1</v>
      </c>
    </row>
    <row r="55" spans="1:26" s="23" customFormat="1" hidden="1" outlineLevel="1" x14ac:dyDescent="0.25">
      <c r="A55" s="44"/>
      <c r="B55" s="10" t="str">
        <f>CONCATENATE("          ", "5026", " - ", "PURCHASES @ COST-WRITING INSTR")</f>
        <v xml:space="preserve">          5026 - PURCHASES @ COST-WRITING INSTR</v>
      </c>
      <c r="C55" s="10"/>
      <c r="D55" s="2"/>
      <c r="E55" s="2"/>
      <c r="F55" s="19">
        <f t="shared" si="13"/>
        <v>0</v>
      </c>
      <c r="G55" s="2"/>
      <c r="H55" s="2">
        <v>154.5</v>
      </c>
      <c r="I55" s="2"/>
      <c r="J55" s="19">
        <f t="shared" si="14"/>
        <v>5.8866920372298032E-3</v>
      </c>
      <c r="K55" s="2"/>
      <c r="L55" s="2">
        <f t="shared" si="15"/>
        <v>-154.5</v>
      </c>
      <c r="M55" s="2"/>
      <c r="N55" s="19">
        <f t="shared" si="16"/>
        <v>-1</v>
      </c>
      <c r="O55" s="10"/>
      <c r="P55" s="2">
        <v>364.91</v>
      </c>
      <c r="Q55" s="2"/>
      <c r="R55" s="19">
        <f t="shared" si="17"/>
        <v>1.7122342801587094E-2</v>
      </c>
      <c r="S55" s="2"/>
      <c r="T55" s="2">
        <v>4412.7</v>
      </c>
      <c r="U55" s="2"/>
      <c r="V55" s="19">
        <f t="shared" si="18"/>
        <v>1.0748279184109951E-2</v>
      </c>
      <c r="W55" s="2"/>
      <c r="X55" s="2">
        <f t="shared" si="19"/>
        <v>-4047.79</v>
      </c>
      <c r="Y55" s="2"/>
      <c r="Z55" s="19">
        <f t="shared" si="20"/>
        <v>-0.91730459809187126</v>
      </c>
    </row>
    <row r="56" spans="1:26" s="23" customFormat="1" hidden="1" outlineLevel="1" x14ac:dyDescent="0.25">
      <c r="A56" s="44"/>
      <c r="B56" s="10" t="str">
        <f>CONCATENATE("          ", "5027", " - ", "PURCHASES @ COST-SCHOOL SUPPLI")</f>
        <v xml:space="preserve">          5027 - PURCHASES @ COST-SCHOOL SUPPLI</v>
      </c>
      <c r="C56" s="10"/>
      <c r="D56" s="2"/>
      <c r="E56" s="2"/>
      <c r="F56" s="19">
        <f t="shared" si="13"/>
        <v>0</v>
      </c>
      <c r="G56" s="2"/>
      <c r="H56" s="2">
        <v>20.88</v>
      </c>
      <c r="I56" s="2"/>
      <c r="J56" s="19">
        <f t="shared" si="14"/>
        <v>7.9556071027416366E-4</v>
      </c>
      <c r="K56" s="2"/>
      <c r="L56" s="2">
        <f t="shared" si="15"/>
        <v>-20.88</v>
      </c>
      <c r="M56" s="2"/>
      <c r="N56" s="19">
        <f t="shared" si="16"/>
        <v>-1</v>
      </c>
      <c r="O56" s="10"/>
      <c r="P56" s="2">
        <v>895.47</v>
      </c>
      <c r="Q56" s="2"/>
      <c r="R56" s="19">
        <f t="shared" si="17"/>
        <v>4.201733114613794E-2</v>
      </c>
      <c r="S56" s="2"/>
      <c r="T56" s="2">
        <v>3868.15</v>
      </c>
      <c r="U56" s="2"/>
      <c r="V56" s="19">
        <f t="shared" si="18"/>
        <v>9.4218859487422459E-3</v>
      </c>
      <c r="W56" s="2"/>
      <c r="X56" s="2">
        <f t="shared" si="19"/>
        <v>-2972.6800000000003</v>
      </c>
      <c r="Y56" s="2"/>
      <c r="Z56" s="19">
        <f t="shared" si="20"/>
        <v>-0.7685017385571915</v>
      </c>
    </row>
    <row r="57" spans="1:26" s="23" customFormat="1" hidden="1" outlineLevel="1" x14ac:dyDescent="0.25">
      <c r="A57" s="44"/>
      <c r="B57" s="10" t="str">
        <f>CONCATENATE("          ", "5028", " - ", "PURCHASES @ COST-ART/TECH")</f>
        <v xml:space="preserve">          5028 - PURCHASES @ COST-ART/TECH</v>
      </c>
      <c r="C57" s="10"/>
      <c r="D57" s="2"/>
      <c r="E57" s="2"/>
      <c r="F57" s="19">
        <f t="shared" si="13"/>
        <v>0</v>
      </c>
      <c r="G57" s="2"/>
      <c r="H57" s="2">
        <v>3496.62</v>
      </c>
      <c r="I57" s="2"/>
      <c r="J57" s="19">
        <f t="shared" si="14"/>
        <v>0.13322669974898688</v>
      </c>
      <c r="K57" s="2"/>
      <c r="L57" s="2">
        <f t="shared" si="15"/>
        <v>-3496.62</v>
      </c>
      <c r="M57" s="2"/>
      <c r="N57" s="19">
        <f t="shared" si="16"/>
        <v>-1</v>
      </c>
      <c r="O57" s="10"/>
      <c r="P57" s="2">
        <v>41441.85</v>
      </c>
      <c r="Q57" s="2"/>
      <c r="R57" s="19">
        <f t="shared" si="17"/>
        <v>1.9445385493188789</v>
      </c>
      <c r="S57" s="2"/>
      <c r="T57" s="2">
        <v>144338.17000000001</v>
      </c>
      <c r="U57" s="2"/>
      <c r="V57" s="19">
        <f t="shared" si="18"/>
        <v>0.35157317471922489</v>
      </c>
      <c r="W57" s="2"/>
      <c r="X57" s="2">
        <f t="shared" si="19"/>
        <v>-102896.32000000001</v>
      </c>
      <c r="Y57" s="2"/>
      <c r="Z57" s="19">
        <f t="shared" si="20"/>
        <v>-0.71288363985770364</v>
      </c>
    </row>
    <row r="58" spans="1:26" s="23" customFormat="1" hidden="1" outlineLevel="1" x14ac:dyDescent="0.25">
      <c r="A58" s="44"/>
      <c r="B58" s="10" t="str">
        <f>CONCATENATE("          ", "5031", " - ", "PURCHASES @ COST-FOOD")</f>
        <v xml:space="preserve">          5031 - PURCHASES @ COST-FOOD</v>
      </c>
      <c r="C58" s="10"/>
      <c r="D58" s="2"/>
      <c r="E58" s="2"/>
      <c r="F58" s="19">
        <f t="shared" si="13"/>
        <v>0</v>
      </c>
      <c r="G58" s="2"/>
      <c r="H58" s="2">
        <v>2823.03</v>
      </c>
      <c r="I58" s="2"/>
      <c r="J58" s="19">
        <f t="shared" si="14"/>
        <v>0.10756186551366247</v>
      </c>
      <c r="K58" s="2"/>
      <c r="L58" s="2">
        <f t="shared" si="15"/>
        <v>-2823.03</v>
      </c>
      <c r="M58" s="2"/>
      <c r="N58" s="19">
        <f t="shared" si="16"/>
        <v>-1</v>
      </c>
      <c r="O58" s="10"/>
      <c r="P58" s="2">
        <v>2441.5700000000002</v>
      </c>
      <c r="Q58" s="2"/>
      <c r="R58" s="19">
        <f t="shared" si="17"/>
        <v>0.11456358695040149</v>
      </c>
      <c r="S58" s="2"/>
      <c r="T58" s="2">
        <v>32459.35</v>
      </c>
      <c r="U58" s="2"/>
      <c r="V58" s="19">
        <f t="shared" si="18"/>
        <v>7.9063193948090582E-2</v>
      </c>
      <c r="W58" s="2"/>
      <c r="X58" s="2">
        <f t="shared" si="19"/>
        <v>-30017.78</v>
      </c>
      <c r="Y58" s="2"/>
      <c r="Z58" s="19">
        <f t="shared" si="20"/>
        <v>-0.92478068722879536</v>
      </c>
    </row>
    <row r="59" spans="1:26" s="23" customFormat="1" hidden="1" outlineLevel="1" x14ac:dyDescent="0.25">
      <c r="A59" s="44"/>
      <c r="B59" s="10" t="str">
        <f>CONCATENATE("          ", "5032", " - ", "PURCHASES @ COST-JUICE")</f>
        <v xml:space="preserve">          5032 - PURCHASES @ COST-JUICE</v>
      </c>
      <c r="C59" s="10"/>
      <c r="D59" s="2"/>
      <c r="E59" s="2"/>
      <c r="F59" s="19">
        <f t="shared" si="13"/>
        <v>0</v>
      </c>
      <c r="G59" s="2"/>
      <c r="H59" s="2">
        <v>688.97</v>
      </c>
      <c r="I59" s="2"/>
      <c r="J59" s="19">
        <f t="shared" si="14"/>
        <v>2.6250836329386521E-2</v>
      </c>
      <c r="K59" s="2"/>
      <c r="L59" s="2">
        <f t="shared" si="15"/>
        <v>-688.97</v>
      </c>
      <c r="M59" s="2"/>
      <c r="N59" s="19">
        <f t="shared" si="16"/>
        <v>-1</v>
      </c>
      <c r="O59" s="10"/>
      <c r="P59" s="2"/>
      <c r="Q59" s="2"/>
      <c r="R59" s="19">
        <f t="shared" si="17"/>
        <v>0</v>
      </c>
      <c r="S59" s="2"/>
      <c r="T59" s="2">
        <v>7802.45</v>
      </c>
      <c r="U59" s="2"/>
      <c r="V59" s="19">
        <f t="shared" si="18"/>
        <v>1.9004897436956669E-2</v>
      </c>
      <c r="W59" s="2"/>
      <c r="X59" s="2">
        <f t="shared" si="19"/>
        <v>-7802.45</v>
      </c>
      <c r="Y59" s="2"/>
      <c r="Z59" s="19">
        <f t="shared" si="20"/>
        <v>-1</v>
      </c>
    </row>
    <row r="60" spans="1:26" s="23" customFormat="1" hidden="1" outlineLevel="1" x14ac:dyDescent="0.25">
      <c r="A60" s="44"/>
      <c r="B60" s="10" t="str">
        <f>CONCATENATE("          ", "5033", " - ", "PURCHASES @ COST-CANDY")</f>
        <v xml:space="preserve">          5033 - PURCHASES @ COST-CANDY</v>
      </c>
      <c r="C60" s="10"/>
      <c r="D60" s="2"/>
      <c r="E60" s="2"/>
      <c r="F60" s="19">
        <f t="shared" si="13"/>
        <v>0</v>
      </c>
      <c r="G60" s="2"/>
      <c r="H60" s="2">
        <v>719.19</v>
      </c>
      <c r="I60" s="2"/>
      <c r="J60" s="19">
        <f t="shared" si="14"/>
        <v>2.7402265671555355E-2</v>
      </c>
      <c r="K60" s="2"/>
      <c r="L60" s="2">
        <f t="shared" si="15"/>
        <v>-719.19</v>
      </c>
      <c r="M60" s="2"/>
      <c r="N60" s="19">
        <f t="shared" si="16"/>
        <v>-1</v>
      </c>
      <c r="O60" s="10"/>
      <c r="P60" s="2"/>
      <c r="Q60" s="2"/>
      <c r="R60" s="19">
        <f t="shared" si="17"/>
        <v>0</v>
      </c>
      <c r="S60" s="2"/>
      <c r="T60" s="2">
        <v>8904.5300000000007</v>
      </c>
      <c r="U60" s="2"/>
      <c r="V60" s="19">
        <f t="shared" si="18"/>
        <v>2.1689300075528044E-2</v>
      </c>
      <c r="W60" s="2"/>
      <c r="X60" s="2">
        <f t="shared" si="19"/>
        <v>-8904.5300000000007</v>
      </c>
      <c r="Y60" s="2"/>
      <c r="Z60" s="19">
        <f t="shared" si="20"/>
        <v>-1</v>
      </c>
    </row>
    <row r="61" spans="1:26" s="23" customFormat="1" hidden="1" outlineLevel="1" x14ac:dyDescent="0.25">
      <c r="A61" s="44"/>
      <c r="B61" s="10" t="str">
        <f>CONCATENATE("          ", "5034", " - ", "PURCHASES @ COST-SODA")</f>
        <v xml:space="preserve">          5034 - PURCHASES @ COST-SODA</v>
      </c>
      <c r="C61" s="10"/>
      <c r="D61" s="2"/>
      <c r="E61" s="2"/>
      <c r="F61" s="19">
        <f t="shared" si="13"/>
        <v>0</v>
      </c>
      <c r="G61" s="2"/>
      <c r="H61" s="2">
        <v>271.79000000000002</v>
      </c>
      <c r="I61" s="2"/>
      <c r="J61" s="19">
        <f t="shared" si="14"/>
        <v>1.0355624781868532E-2</v>
      </c>
      <c r="K61" s="2"/>
      <c r="L61" s="2">
        <f t="shared" si="15"/>
        <v>-271.79000000000002</v>
      </c>
      <c r="M61" s="2"/>
      <c r="N61" s="19">
        <f t="shared" si="16"/>
        <v>-1</v>
      </c>
      <c r="O61" s="10"/>
      <c r="P61" s="2"/>
      <c r="Q61" s="2"/>
      <c r="R61" s="19">
        <f t="shared" si="17"/>
        <v>0</v>
      </c>
      <c r="S61" s="2"/>
      <c r="T61" s="2">
        <v>4033.88</v>
      </c>
      <c r="U61" s="2"/>
      <c r="V61" s="19">
        <f t="shared" si="18"/>
        <v>9.8255644923057207E-3</v>
      </c>
      <c r="W61" s="2"/>
      <c r="X61" s="2">
        <f t="shared" si="19"/>
        <v>-4033.88</v>
      </c>
      <c r="Y61" s="2"/>
      <c r="Z61" s="19">
        <f t="shared" si="20"/>
        <v>-1</v>
      </c>
    </row>
    <row r="62" spans="1:26" s="23" customFormat="1" hidden="1" outlineLevel="1" x14ac:dyDescent="0.25">
      <c r="A62" s="44"/>
      <c r="B62" s="10" t="str">
        <f>CONCATENATE("          ", "5035", " - ", "PURCHASES @ COST-HEALTH &amp; BEAU")</f>
        <v xml:space="preserve">          5035 - PURCHASES @ COST-HEALTH &amp; BEAU</v>
      </c>
      <c r="C62" s="10"/>
      <c r="D62" s="2"/>
      <c r="E62" s="2"/>
      <c r="F62" s="19">
        <f t="shared" si="13"/>
        <v>0</v>
      </c>
      <c r="G62" s="2"/>
      <c r="H62" s="2">
        <v>61.98</v>
      </c>
      <c r="I62" s="2"/>
      <c r="J62" s="19">
        <f t="shared" si="14"/>
        <v>2.361535096877043E-3</v>
      </c>
      <c r="K62" s="2"/>
      <c r="L62" s="2">
        <f t="shared" si="15"/>
        <v>-61.98</v>
      </c>
      <c r="M62" s="2"/>
      <c r="N62" s="19">
        <f t="shared" si="16"/>
        <v>-1</v>
      </c>
      <c r="O62" s="10"/>
      <c r="P62" s="2"/>
      <c r="Q62" s="2"/>
      <c r="R62" s="19">
        <f t="shared" si="17"/>
        <v>0</v>
      </c>
      <c r="S62" s="2"/>
      <c r="T62" s="2">
        <v>1081.4000000000001</v>
      </c>
      <c r="U62" s="2"/>
      <c r="V62" s="19">
        <f t="shared" si="18"/>
        <v>2.6340311169344172E-3</v>
      </c>
      <c r="W62" s="2"/>
      <c r="X62" s="2">
        <f t="shared" si="19"/>
        <v>-1081.4000000000001</v>
      </c>
      <c r="Y62" s="2"/>
      <c r="Z62" s="19">
        <f t="shared" si="20"/>
        <v>-1</v>
      </c>
    </row>
    <row r="63" spans="1:26" s="23" customFormat="1" hidden="1" outlineLevel="1" x14ac:dyDescent="0.25">
      <c r="A63" s="44"/>
      <c r="B63" s="10" t="str">
        <f>CONCATENATE("          ", "5037", " - ", "PURCHASES @ COST-WATER")</f>
        <v xml:space="preserve">          5037 - PURCHASES @ COST-WATER</v>
      </c>
      <c r="C63" s="10"/>
      <c r="D63" s="2"/>
      <c r="E63" s="2"/>
      <c r="F63" s="19">
        <f t="shared" si="13"/>
        <v>0</v>
      </c>
      <c r="G63" s="2"/>
      <c r="H63" s="2">
        <v>393.84</v>
      </c>
      <c r="I63" s="2"/>
      <c r="J63" s="19">
        <f t="shared" si="14"/>
        <v>1.5005920983447154E-2</v>
      </c>
      <c r="K63" s="2"/>
      <c r="L63" s="2">
        <f t="shared" si="15"/>
        <v>-393.84</v>
      </c>
      <c r="M63" s="2"/>
      <c r="N63" s="19">
        <f t="shared" si="16"/>
        <v>-1</v>
      </c>
      <c r="O63" s="10"/>
      <c r="P63" s="2"/>
      <c r="Q63" s="2"/>
      <c r="R63" s="19">
        <f t="shared" si="17"/>
        <v>0</v>
      </c>
      <c r="S63" s="2"/>
      <c r="T63" s="2">
        <v>5663.81</v>
      </c>
      <c r="U63" s="2"/>
      <c r="V63" s="19">
        <f t="shared" si="18"/>
        <v>1.3795683170338746E-2</v>
      </c>
      <c r="W63" s="2"/>
      <c r="X63" s="2">
        <f t="shared" si="19"/>
        <v>-5663.81</v>
      </c>
      <c r="Y63" s="2"/>
      <c r="Z63" s="19">
        <f t="shared" si="20"/>
        <v>-1</v>
      </c>
    </row>
    <row r="64" spans="1:26" s="23" customFormat="1" hidden="1" outlineLevel="1" x14ac:dyDescent="0.25">
      <c r="A64" s="44"/>
      <c r="B64" s="10" t="str">
        <f>CONCATENATE("          ", "5081", " - ", "PURCHASES @ COST-ELECTRONICS")</f>
        <v xml:space="preserve">          5081 - PURCHASES @ COST-ELECTRONICS</v>
      </c>
      <c r="C64" s="10"/>
      <c r="D64" s="2"/>
      <c r="E64" s="2"/>
      <c r="F64" s="19">
        <f t="shared" si="13"/>
        <v>0</v>
      </c>
      <c r="G64" s="2"/>
      <c r="H64" s="2">
        <v>116.82</v>
      </c>
      <c r="I64" s="2"/>
      <c r="J64" s="19">
        <f t="shared" si="14"/>
        <v>4.4510250083442428E-3</v>
      </c>
      <c r="K64" s="2"/>
      <c r="L64" s="2">
        <f t="shared" si="15"/>
        <v>-116.82</v>
      </c>
      <c r="M64" s="2"/>
      <c r="N64" s="19">
        <f t="shared" si="16"/>
        <v>-1</v>
      </c>
      <c r="O64" s="10"/>
      <c r="P64" s="2"/>
      <c r="Q64" s="2"/>
      <c r="R64" s="19">
        <f t="shared" si="17"/>
        <v>0</v>
      </c>
      <c r="S64" s="2"/>
      <c r="T64" s="2">
        <v>2008.03</v>
      </c>
      <c r="U64" s="2"/>
      <c r="V64" s="19">
        <f t="shared" si="18"/>
        <v>4.8910796224688529E-3</v>
      </c>
      <c r="W64" s="2"/>
      <c r="X64" s="2">
        <f t="shared" si="19"/>
        <v>-2008.03</v>
      </c>
      <c r="Y64" s="2"/>
      <c r="Z64" s="19">
        <f t="shared" si="20"/>
        <v>-1</v>
      </c>
    </row>
    <row r="65" spans="1:26" s="23" customFormat="1" hidden="1" outlineLevel="1" x14ac:dyDescent="0.25">
      <c r="A65" s="44"/>
      <c r="B65" s="10" t="str">
        <f>CONCATENATE("          ", "5082", " - ", "PURCHASES @ COST-COMPUTER HARD")</f>
        <v xml:space="preserve">          5082 - PURCHASES @ COST-COMPUTER HARD</v>
      </c>
      <c r="C65" s="10"/>
      <c r="D65" s="2"/>
      <c r="E65" s="2"/>
      <c r="F65" s="19">
        <f t="shared" si="13"/>
        <v>0</v>
      </c>
      <c r="G65" s="2"/>
      <c r="H65" s="2"/>
      <c r="I65" s="2"/>
      <c r="J65" s="19">
        <f t="shared" si="14"/>
        <v>0</v>
      </c>
      <c r="K65" s="2"/>
      <c r="L65" s="2">
        <f t="shared" si="15"/>
        <v>0</v>
      </c>
      <c r="M65" s="2"/>
      <c r="N65" s="19">
        <f t="shared" si="16"/>
        <v>0</v>
      </c>
      <c r="O65" s="10"/>
      <c r="P65" s="2"/>
      <c r="Q65" s="2"/>
      <c r="R65" s="19">
        <f t="shared" si="17"/>
        <v>0</v>
      </c>
      <c r="S65" s="2"/>
      <c r="T65" s="2">
        <v>349.6</v>
      </c>
      <c r="U65" s="2"/>
      <c r="V65" s="19">
        <f t="shared" si="18"/>
        <v>8.5154177776980975E-4</v>
      </c>
      <c r="W65" s="2"/>
      <c r="X65" s="2">
        <f t="shared" si="19"/>
        <v>-349.6</v>
      </c>
      <c r="Y65" s="2"/>
      <c r="Z65" s="19">
        <f t="shared" si="20"/>
        <v>-1</v>
      </c>
    </row>
    <row r="66" spans="1:26" s="23" customFormat="1" hidden="1" outlineLevel="1" x14ac:dyDescent="0.25">
      <c r="A66" s="44"/>
      <c r="B66" s="10" t="str">
        <f>CONCATENATE("          ", "5083", " - ", "PURCHASES @ COST-COMPUTER EQUI")</f>
        <v xml:space="preserve">          5083 - PURCHASES @ COST-COMPUTER EQUI</v>
      </c>
      <c r="C66" s="10"/>
      <c r="D66" s="2"/>
      <c r="E66" s="2"/>
      <c r="F66" s="19">
        <f t="shared" si="13"/>
        <v>0</v>
      </c>
      <c r="G66" s="2"/>
      <c r="H66" s="2"/>
      <c r="I66" s="2"/>
      <c r="J66" s="19">
        <f t="shared" si="14"/>
        <v>0</v>
      </c>
      <c r="K66" s="2"/>
      <c r="L66" s="2">
        <f t="shared" si="15"/>
        <v>0</v>
      </c>
      <c r="M66" s="2"/>
      <c r="N66" s="19">
        <f t="shared" si="16"/>
        <v>0</v>
      </c>
      <c r="O66" s="10"/>
      <c r="P66" s="2"/>
      <c r="Q66" s="2"/>
      <c r="R66" s="19">
        <f t="shared" si="17"/>
        <v>0</v>
      </c>
      <c r="S66" s="2"/>
      <c r="T66" s="2">
        <v>304.70999999999998</v>
      </c>
      <c r="U66" s="2"/>
      <c r="V66" s="19">
        <f t="shared" si="18"/>
        <v>7.4220050087024799E-4</v>
      </c>
      <c r="W66" s="2"/>
      <c r="X66" s="2">
        <f t="shared" si="19"/>
        <v>-304.70999999999998</v>
      </c>
      <c r="Y66" s="2"/>
      <c r="Z66" s="19">
        <f t="shared" si="20"/>
        <v>-1</v>
      </c>
    </row>
    <row r="67" spans="1:26" s="23" customFormat="1" hidden="1" outlineLevel="1" x14ac:dyDescent="0.25">
      <c r="A67" s="44"/>
      <c r="B67" s="10" t="str">
        <f>CONCATENATE("          ", "5086", " - ", "PURCHASES @ COST-COMPUTER SUPP")</f>
        <v xml:space="preserve">          5086 - PURCHASES @ COST-COMPUTER SUPP</v>
      </c>
      <c r="C67" s="10"/>
      <c r="D67" s="2"/>
      <c r="E67" s="2"/>
      <c r="F67" s="19">
        <f t="shared" si="13"/>
        <v>0</v>
      </c>
      <c r="G67" s="2"/>
      <c r="H67" s="2"/>
      <c r="I67" s="2"/>
      <c r="J67" s="19">
        <f t="shared" si="14"/>
        <v>0</v>
      </c>
      <c r="K67" s="2"/>
      <c r="L67" s="2">
        <f t="shared" si="15"/>
        <v>0</v>
      </c>
      <c r="M67" s="2"/>
      <c r="N67" s="19">
        <f t="shared" si="16"/>
        <v>0</v>
      </c>
      <c r="O67" s="10"/>
      <c r="P67" s="2"/>
      <c r="Q67" s="2"/>
      <c r="R67" s="19">
        <f t="shared" si="17"/>
        <v>0</v>
      </c>
      <c r="S67" s="2"/>
      <c r="T67" s="2">
        <v>426.22</v>
      </c>
      <c r="U67" s="2"/>
      <c r="V67" s="19">
        <f t="shared" si="18"/>
        <v>1.0381697268908704E-3</v>
      </c>
      <c r="W67" s="2"/>
      <c r="X67" s="2">
        <f t="shared" si="19"/>
        <v>-426.22</v>
      </c>
      <c r="Y67" s="2"/>
      <c r="Z67" s="19">
        <f t="shared" si="20"/>
        <v>-1</v>
      </c>
    </row>
    <row r="68" spans="1:26" s="23" customFormat="1" hidden="1" outlineLevel="1" x14ac:dyDescent="0.25">
      <c r="A68" s="44"/>
      <c r="B68" s="10" t="str">
        <f>CONCATENATE("          ", "5200", " - ", "PURCHASES OFFSET")</f>
        <v xml:space="preserve">          5200 - PURCHASES OFFSET</v>
      </c>
      <c r="C68" s="10"/>
      <c r="D68" s="2"/>
      <c r="E68" s="2"/>
      <c r="F68" s="19">
        <f t="shared" si="13"/>
        <v>0</v>
      </c>
      <c r="G68" s="2"/>
      <c r="H68" s="2">
        <v>-9486</v>
      </c>
      <c r="I68" s="2"/>
      <c r="J68" s="19">
        <f t="shared" si="14"/>
        <v>-0.36143146061593467</v>
      </c>
      <c r="K68" s="2"/>
      <c r="L68" s="2">
        <f t="shared" si="15"/>
        <v>9486</v>
      </c>
      <c r="M68" s="2"/>
      <c r="N68" s="19">
        <f t="shared" si="16"/>
        <v>-1</v>
      </c>
      <c r="O68" s="10"/>
      <c r="P68" s="2">
        <v>-45863.33</v>
      </c>
      <c r="Q68" s="2"/>
      <c r="R68" s="19">
        <f t="shared" si="17"/>
        <v>-2.1520036674311842</v>
      </c>
      <c r="S68" s="2"/>
      <c r="T68" s="2">
        <v>-219000</v>
      </c>
      <c r="U68" s="2"/>
      <c r="V68" s="19">
        <f t="shared" si="18"/>
        <v>-0.53343149122307865</v>
      </c>
      <c r="W68" s="2"/>
      <c r="X68" s="2">
        <f t="shared" si="19"/>
        <v>173136.66999999998</v>
      </c>
      <c r="Y68" s="2"/>
      <c r="Z68" s="19">
        <f t="shared" si="20"/>
        <v>-0.79057840182648398</v>
      </c>
    </row>
    <row r="69" spans="1:26" s="23" customFormat="1" hidden="1" outlineLevel="1" x14ac:dyDescent="0.25">
      <c r="A69" s="44"/>
      <c r="B69" s="10" t="str">
        <f>CONCATENATE("          ", "5300", " - ", "COG$ OFFSET")</f>
        <v xml:space="preserve">          5300 - COG$ OFFSET</v>
      </c>
      <c r="C69" s="10"/>
      <c r="D69" s="2"/>
      <c r="E69" s="2"/>
      <c r="F69" s="19">
        <f t="shared" si="13"/>
        <v>0</v>
      </c>
      <c r="G69" s="2"/>
      <c r="H69" s="2">
        <v>13770</v>
      </c>
      <c r="I69" s="2"/>
      <c r="J69" s="19">
        <f t="shared" si="14"/>
        <v>0.52465857186184073</v>
      </c>
      <c r="K69" s="2"/>
      <c r="L69" s="2">
        <f t="shared" si="15"/>
        <v>-13770</v>
      </c>
      <c r="M69" s="2"/>
      <c r="N69" s="19">
        <f t="shared" si="16"/>
        <v>-1</v>
      </c>
      <c r="O69" s="10"/>
      <c r="P69" s="2">
        <v>14145</v>
      </c>
      <c r="Q69" s="2"/>
      <c r="R69" s="19">
        <f t="shared" si="17"/>
        <v>0.66371307700103988</v>
      </c>
      <c r="S69" s="2"/>
      <c r="T69" s="2">
        <v>215717</v>
      </c>
      <c r="U69" s="2"/>
      <c r="V69" s="19">
        <f t="shared" si="18"/>
        <v>0.5254348903752003</v>
      </c>
      <c r="W69" s="2"/>
      <c r="X69" s="2">
        <f t="shared" si="19"/>
        <v>-201572</v>
      </c>
      <c r="Y69" s="2"/>
      <c r="Z69" s="19">
        <f t="shared" si="20"/>
        <v>-0.93442797739631089</v>
      </c>
    </row>
    <row r="70" spans="1:26" s="23" customFormat="1" hidden="1" outlineLevel="1" x14ac:dyDescent="0.25">
      <c r="A70" s="44"/>
      <c r="B70" s="10" t="str">
        <f>CONCATENATE("          ", "5500", " - ", "FREIGHT-IN")</f>
        <v xml:space="preserve">          5500 - FREIGHT-IN</v>
      </c>
      <c r="C70" s="10"/>
      <c r="D70" s="2"/>
      <c r="E70" s="2"/>
      <c r="F70" s="19">
        <f t="shared" si="13"/>
        <v>0</v>
      </c>
      <c r="G70" s="2"/>
      <c r="H70" s="2"/>
      <c r="I70" s="2"/>
      <c r="J70" s="19">
        <f t="shared" si="14"/>
        <v>0</v>
      </c>
      <c r="K70" s="2"/>
      <c r="L70" s="2">
        <f t="shared" si="15"/>
        <v>0</v>
      </c>
      <c r="M70" s="2"/>
      <c r="N70" s="19">
        <f t="shared" si="16"/>
        <v>0</v>
      </c>
      <c r="O70" s="10"/>
      <c r="P70" s="2"/>
      <c r="Q70" s="2"/>
      <c r="R70" s="19">
        <f t="shared" si="17"/>
        <v>0</v>
      </c>
      <c r="S70" s="2"/>
      <c r="T70" s="2">
        <v>80</v>
      </c>
      <c r="U70" s="2"/>
      <c r="V70" s="19">
        <f t="shared" si="18"/>
        <v>1.9486081871162691E-4</v>
      </c>
      <c r="W70" s="2"/>
      <c r="X70" s="2">
        <f t="shared" si="19"/>
        <v>-80</v>
      </c>
      <c r="Y70" s="2"/>
      <c r="Z70" s="19">
        <f t="shared" si="20"/>
        <v>-1</v>
      </c>
    </row>
    <row r="71" spans="1:26" s="23" customFormat="1" hidden="1" outlineLevel="1" x14ac:dyDescent="0.25">
      <c r="A71" s="44"/>
      <c r="B71" s="10" t="str">
        <f>CONCATENATE("          ", "5527", " - ", "FREIGHT-IN-SCHOOL SUPPLIES")</f>
        <v xml:space="preserve">          5527 - FREIGHT-IN-SCHOOL SUPPLIES</v>
      </c>
      <c r="C71" s="10"/>
      <c r="D71" s="2"/>
      <c r="E71" s="2"/>
      <c r="F71" s="19">
        <f t="shared" si="13"/>
        <v>0</v>
      </c>
      <c r="G71" s="2"/>
      <c r="H71" s="2"/>
      <c r="I71" s="2"/>
      <c r="J71" s="19">
        <f t="shared" si="14"/>
        <v>0</v>
      </c>
      <c r="K71" s="2"/>
      <c r="L71" s="2">
        <f t="shared" si="15"/>
        <v>0</v>
      </c>
      <c r="M71" s="2"/>
      <c r="N71" s="19">
        <f t="shared" si="16"/>
        <v>0</v>
      </c>
      <c r="O71" s="10"/>
      <c r="P71" s="2"/>
      <c r="Q71" s="2"/>
      <c r="R71" s="19">
        <f t="shared" si="17"/>
        <v>0</v>
      </c>
      <c r="S71" s="2"/>
      <c r="T71" s="2">
        <v>464.88</v>
      </c>
      <c r="U71" s="2"/>
      <c r="V71" s="19">
        <f t="shared" si="18"/>
        <v>1.132336217533264E-3</v>
      </c>
      <c r="W71" s="2"/>
      <c r="X71" s="2">
        <f t="shared" si="19"/>
        <v>-464.88</v>
      </c>
      <c r="Y71" s="2"/>
      <c r="Z71" s="19">
        <f t="shared" si="20"/>
        <v>-1</v>
      </c>
    </row>
    <row r="72" spans="1:26" s="23" customFormat="1" hidden="1" outlineLevel="1" x14ac:dyDescent="0.25">
      <c r="A72" s="44"/>
      <c r="B72" s="10" t="str">
        <f>CONCATENATE("          ", "5528", " - ", "FREIGHT-IN-ART/TECH")</f>
        <v xml:space="preserve">          5528 - FREIGHT-IN-ART/TECH</v>
      </c>
      <c r="C72" s="10"/>
      <c r="D72" s="2">
        <v>30.48</v>
      </c>
      <c r="E72" s="2"/>
      <c r="F72" s="19">
        <f t="shared" si="13"/>
        <v>0</v>
      </c>
      <c r="G72" s="2"/>
      <c r="H72" s="2">
        <v>736.95</v>
      </c>
      <c r="I72" s="2"/>
      <c r="J72" s="19">
        <f t="shared" si="14"/>
        <v>2.8078949494087402E-2</v>
      </c>
      <c r="K72" s="2"/>
      <c r="L72" s="2">
        <f t="shared" si="15"/>
        <v>-706.47</v>
      </c>
      <c r="M72" s="2"/>
      <c r="N72" s="19">
        <f t="shared" si="16"/>
        <v>-0.95864034194992875</v>
      </c>
      <c r="O72" s="10"/>
      <c r="P72" s="2">
        <v>348.03</v>
      </c>
      <c r="Q72" s="2"/>
      <c r="R72" s="19">
        <f t="shared" si="17"/>
        <v>1.6330297786403103E-2</v>
      </c>
      <c r="S72" s="2"/>
      <c r="T72" s="2">
        <v>2176.29</v>
      </c>
      <c r="U72" s="2"/>
      <c r="V72" s="19">
        <f t="shared" si="18"/>
        <v>5.300920639424082E-3</v>
      </c>
      <c r="W72" s="2"/>
      <c r="X72" s="2">
        <f t="shared" si="19"/>
        <v>-1828.26</v>
      </c>
      <c r="Y72" s="2"/>
      <c r="Z72" s="19">
        <f t="shared" si="20"/>
        <v>-0.84008105537405398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x14ac:dyDescent="0.25">
      <c r="A74" s="11"/>
      <c r="B74" s="29" t="s">
        <v>107</v>
      </c>
      <c r="C74" s="29"/>
      <c r="D74" s="22">
        <f>D12-D51</f>
        <v>-30.48</v>
      </c>
      <c r="E74" s="14"/>
      <c r="F74" s="20">
        <f>IF(D$12=0,0,D74/D$12)</f>
        <v>0</v>
      </c>
      <c r="G74" s="14"/>
      <c r="H74" s="22">
        <f>H12-H51</f>
        <v>12477.069999999998</v>
      </c>
      <c r="I74" s="14"/>
      <c r="J74" s="20">
        <f>IF(H$12=0,0,H74/H$12)</f>
        <v>0.47539591337837439</v>
      </c>
      <c r="K74" s="15"/>
      <c r="L74" s="22">
        <f>+D74-H74</f>
        <v>-12507.549999999997</v>
      </c>
      <c r="M74" s="15"/>
      <c r="N74" s="20">
        <f>IF(H74=0,0,L74/H74)</f>
        <v>-1.0024428812213124</v>
      </c>
      <c r="O74" s="28"/>
      <c r="P74" s="22">
        <f>P12-P51</f>
        <v>7538.4200000000037</v>
      </c>
      <c r="Q74" s="14"/>
      <c r="R74" s="20">
        <f>IF(P$12=0,0,P74/P$12)</f>
        <v>0.35371848242673604</v>
      </c>
      <c r="S74" s="14"/>
      <c r="T74" s="22">
        <f>T12-T51</f>
        <v>194755.63000000021</v>
      </c>
      <c r="U74" s="14"/>
      <c r="V74" s="20">
        <f>IF(T$12=0,0,T74/T$12)</f>
        <v>0.4743780188812341</v>
      </c>
      <c r="W74" s="15"/>
      <c r="X74" s="22">
        <f>+P74-T74</f>
        <v>-187217.2100000002</v>
      </c>
      <c r="Y74" s="15"/>
      <c r="Z74" s="20">
        <f>IF(T74=0,0,X74/T74)</f>
        <v>-0.96129292899003738</v>
      </c>
    </row>
    <row r="75" spans="1:26" x14ac:dyDescent="0.25">
      <c r="A75" s="9"/>
      <c r="B75" s="11"/>
      <c r="C75" s="9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4" customFormat="1" x14ac:dyDescent="0.25">
      <c r="A76" s="11"/>
      <c r="B76" s="28" t="s">
        <v>294</v>
      </c>
      <c r="C76" s="11"/>
      <c r="D76" s="21">
        <f>SUM(OSRRefD22x_0)</f>
        <v>114.11</v>
      </c>
      <c r="E76" s="21"/>
      <c r="F76" s="31">
        <f t="shared" ref="F76:F85" si="21">IF(D$12=0,0,D76/D$12)</f>
        <v>0</v>
      </c>
      <c r="G76" s="21"/>
      <c r="H76" s="21">
        <f>SUM(OSRRefH22x_0)</f>
        <v>11423.439999999999</v>
      </c>
      <c r="I76" s="21"/>
      <c r="J76" s="31">
        <f t="shared" ref="J76:J85" si="22">IF(H$12=0,0,H76/H$12)</f>
        <v>0.43525095977846223</v>
      </c>
      <c r="K76" s="4"/>
      <c r="L76" s="21">
        <f t="shared" ref="L76:L85" si="23">+D76-H76</f>
        <v>-11309.329999999998</v>
      </c>
      <c r="M76" s="4"/>
      <c r="N76" s="31">
        <f t="shared" ref="N76:N85" si="24">IF(H76=0,0,L76/H76)</f>
        <v>-0.99001088988956032</v>
      </c>
      <c r="O76" s="11"/>
      <c r="P76" s="21">
        <f>SUM(OSRRefP22x_0)</f>
        <v>12647.859999999997</v>
      </c>
      <c r="Q76" s="21"/>
      <c r="R76" s="31">
        <f t="shared" ref="R76:R85" si="25">IF(P$12=0,0,P76/P$12)</f>
        <v>0.59346412711759422</v>
      </c>
      <c r="S76" s="21"/>
      <c r="T76" s="21">
        <f>SUM(OSRRefT22x_0)</f>
        <v>108059.73999999999</v>
      </c>
      <c r="U76" s="21"/>
      <c r="V76" s="31">
        <f t="shared" ref="V76:V85" si="26">IF(T$12=0,0,T76/T$12)</f>
        <v>0.26320761757706923</v>
      </c>
      <c r="W76" s="4"/>
      <c r="X76" s="21">
        <f t="shared" ref="X76:X85" si="27">+P76-T76</f>
        <v>-95411.87999999999</v>
      </c>
      <c r="Y76" s="4"/>
      <c r="Z76" s="31">
        <f t="shared" ref="Z76:Z85" si="28">IF(T76=0,0,X76/T76)</f>
        <v>-0.88295492844976309</v>
      </c>
    </row>
    <row r="77" spans="1:26" s="26" customFormat="1" outlineLevel="1" collapsed="1" x14ac:dyDescent="0.25">
      <c r="A77" s="27"/>
      <c r="B77" s="12" t="str">
        <f>CONCATENATE("     ","*Benefits                                         ")</f>
        <v xml:space="preserve">     *Benefits                                         </v>
      </c>
      <c r="C77" s="12"/>
      <c r="D77" s="1">
        <f>SUM(OSRRefD22_0x_0)</f>
        <v>0</v>
      </c>
      <c r="E77" s="1"/>
      <c r="F77" s="5">
        <f t="shared" si="21"/>
        <v>0</v>
      </c>
      <c r="G77" s="1"/>
      <c r="H77" s="1">
        <f>SUM(OSRRefH22_0x_0)</f>
        <v>1904.8100000000002</v>
      </c>
      <c r="I77" s="1"/>
      <c r="J77" s="5">
        <f t="shared" si="22"/>
        <v>7.2576245044891269E-2</v>
      </c>
      <c r="K77" s="1"/>
      <c r="L77" s="1">
        <f t="shared" si="23"/>
        <v>-1904.8100000000002</v>
      </c>
      <c r="M77" s="1"/>
      <c r="N77" s="5">
        <f t="shared" si="24"/>
        <v>-1</v>
      </c>
      <c r="O77" s="12"/>
      <c r="P77" s="1">
        <f>SUM(OSRRefP22_0x_0)</f>
        <v>778.2</v>
      </c>
      <c r="Q77" s="1"/>
      <c r="R77" s="5">
        <f t="shared" si="25"/>
        <v>3.6514776707119778E-2</v>
      </c>
      <c r="S77" s="1"/>
      <c r="T77" s="1">
        <f>SUM(OSRRefT22_0x_0)</f>
        <v>17660.419999999998</v>
      </c>
      <c r="U77" s="1"/>
      <c r="V77" s="5">
        <f t="shared" si="26"/>
        <v>4.3016548749889874E-2</v>
      </c>
      <c r="W77" s="1"/>
      <c r="X77" s="1">
        <f t="shared" si="27"/>
        <v>-16882.219999999998</v>
      </c>
      <c r="Y77" s="1"/>
      <c r="Z77" s="5">
        <f t="shared" si="28"/>
        <v>-0.95593536280564106</v>
      </c>
    </row>
    <row r="78" spans="1:26" s="23" customFormat="1" hidden="1" outlineLevel="2" x14ac:dyDescent="0.25">
      <c r="A78" s="25"/>
      <c r="B78" s="10" t="str">
        <f>CONCATENATE("          ", "6111", " - ", "F.I.C.A.")</f>
        <v xml:space="preserve">          6111 - F.I.C.A.</v>
      </c>
      <c r="C78" s="10"/>
      <c r="D78" s="6"/>
      <c r="E78" s="2"/>
      <c r="F78" s="7">
        <f t="shared" si="21"/>
        <v>0</v>
      </c>
      <c r="G78" s="2"/>
      <c r="H78" s="6">
        <v>223.88</v>
      </c>
      <c r="I78" s="2"/>
      <c r="J78" s="7">
        <f t="shared" si="22"/>
        <v>8.5301787268285325E-3</v>
      </c>
      <c r="K78" s="2"/>
      <c r="L78" s="6">
        <f t="shared" si="23"/>
        <v>-223.88</v>
      </c>
      <c r="M78" s="2"/>
      <c r="N78" s="7">
        <f t="shared" si="24"/>
        <v>-1</v>
      </c>
      <c r="O78" s="10"/>
      <c r="P78" s="6">
        <v>484.61</v>
      </c>
      <c r="Q78" s="2"/>
      <c r="R78" s="7">
        <f t="shared" si="25"/>
        <v>2.2738917938881154E-2</v>
      </c>
      <c r="S78" s="2"/>
      <c r="T78" s="6">
        <v>2534.9299999999998</v>
      </c>
      <c r="U78" s="2"/>
      <c r="V78" s="7">
        <f t="shared" si="26"/>
        <v>6.1744816897083051E-3</v>
      </c>
      <c r="W78" s="2"/>
      <c r="X78" s="6">
        <f t="shared" si="27"/>
        <v>-2050.3199999999997</v>
      </c>
      <c r="Y78" s="2"/>
      <c r="Z78" s="7">
        <f t="shared" si="28"/>
        <v>-0.80882706820306671</v>
      </c>
    </row>
    <row r="79" spans="1:26" s="23" customFormat="1" hidden="1" outlineLevel="2" x14ac:dyDescent="0.25">
      <c r="A79" s="25"/>
      <c r="B79" s="10" t="str">
        <f>CONCATENATE("          ", "6112", " - ", "COMPENSATION INSURANCE")</f>
        <v xml:space="preserve">          6112 - COMPENSATION INSURANCE</v>
      </c>
      <c r="C79" s="10"/>
      <c r="D79" s="6"/>
      <c r="E79" s="2"/>
      <c r="F79" s="7">
        <f t="shared" si="21"/>
        <v>0</v>
      </c>
      <c r="G79" s="2"/>
      <c r="H79" s="6">
        <v>221.98</v>
      </c>
      <c r="I79" s="2"/>
      <c r="J79" s="7">
        <f t="shared" si="22"/>
        <v>8.4577857503189101E-3</v>
      </c>
      <c r="K79" s="2"/>
      <c r="L79" s="6">
        <f t="shared" si="23"/>
        <v>-221.98</v>
      </c>
      <c r="M79" s="2"/>
      <c r="N79" s="7">
        <f t="shared" si="24"/>
        <v>-1</v>
      </c>
      <c r="O79" s="10"/>
      <c r="P79" s="6">
        <v>255.57</v>
      </c>
      <c r="Q79" s="2"/>
      <c r="R79" s="7">
        <f t="shared" si="25"/>
        <v>1.1991880600152403E-2</v>
      </c>
      <c r="S79" s="2"/>
      <c r="T79" s="6">
        <v>1326.62</v>
      </c>
      <c r="U79" s="2"/>
      <c r="V79" s="7">
        <f t="shared" si="26"/>
        <v>3.2313282414902309E-3</v>
      </c>
      <c r="W79" s="2"/>
      <c r="X79" s="6">
        <f t="shared" si="27"/>
        <v>-1071.05</v>
      </c>
      <c r="Y79" s="2"/>
      <c r="Z79" s="7">
        <f t="shared" si="28"/>
        <v>-0.80735251993788726</v>
      </c>
    </row>
    <row r="80" spans="1:26" s="23" customFormat="1" hidden="1" outlineLevel="2" x14ac:dyDescent="0.25">
      <c r="A80" s="25"/>
      <c r="B80" s="10" t="str">
        <f>CONCATENATE("          ", "6113", " - ", "GROUP INSURANCE")</f>
        <v xml:space="preserve">          6113 - GROUP INSURANCE</v>
      </c>
      <c r="C80" s="10"/>
      <c r="D80" s="6"/>
      <c r="E80" s="2"/>
      <c r="F80" s="7">
        <f t="shared" si="21"/>
        <v>0</v>
      </c>
      <c r="G80" s="2"/>
      <c r="H80" s="6">
        <v>1024.02</v>
      </c>
      <c r="I80" s="2"/>
      <c r="J80" s="7">
        <f t="shared" si="22"/>
        <v>3.901676621335963E-2</v>
      </c>
      <c r="K80" s="2"/>
      <c r="L80" s="6">
        <f t="shared" si="23"/>
        <v>-1024.02</v>
      </c>
      <c r="M80" s="2"/>
      <c r="N80" s="7">
        <f t="shared" si="24"/>
        <v>-1</v>
      </c>
      <c r="O80" s="10"/>
      <c r="P80" s="6"/>
      <c r="Q80" s="2"/>
      <c r="R80" s="7">
        <f t="shared" si="25"/>
        <v>0</v>
      </c>
      <c r="S80" s="2"/>
      <c r="T80" s="6">
        <v>8133.54</v>
      </c>
      <c r="U80" s="2"/>
      <c r="V80" s="7">
        <f t="shared" si="26"/>
        <v>1.9811353292797075E-2</v>
      </c>
      <c r="W80" s="2"/>
      <c r="X80" s="6">
        <f t="shared" si="27"/>
        <v>-8133.54</v>
      </c>
      <c r="Y80" s="2"/>
      <c r="Z80" s="7">
        <f t="shared" si="28"/>
        <v>-1</v>
      </c>
    </row>
    <row r="81" spans="1:26" s="23" customFormat="1" hidden="1" outlineLevel="2" x14ac:dyDescent="0.25">
      <c r="A81" s="25"/>
      <c r="B81" s="10" t="str">
        <f>CONCATENATE("          ", "6114", " - ", "STATE UNEMPLOYMENT INSURANCE")</f>
        <v xml:space="preserve">          6114 - STATE UNEMPLOYMENT INSURANCE</v>
      </c>
      <c r="C81" s="10"/>
      <c r="D81" s="6"/>
      <c r="E81" s="2"/>
      <c r="F81" s="7">
        <f t="shared" si="21"/>
        <v>0</v>
      </c>
      <c r="G81" s="2"/>
      <c r="H81" s="6">
        <v>30.38</v>
      </c>
      <c r="I81" s="2"/>
      <c r="J81" s="7">
        <f t="shared" si="22"/>
        <v>1.1575255928222745E-3</v>
      </c>
      <c r="K81" s="2"/>
      <c r="L81" s="6">
        <f t="shared" si="23"/>
        <v>-30.38</v>
      </c>
      <c r="M81" s="2"/>
      <c r="N81" s="7">
        <f t="shared" si="24"/>
        <v>-1</v>
      </c>
      <c r="O81" s="10"/>
      <c r="P81" s="6">
        <v>38.020000000000003</v>
      </c>
      <c r="Q81" s="2"/>
      <c r="R81" s="7">
        <f t="shared" si="25"/>
        <v>1.7839781680862169E-3</v>
      </c>
      <c r="S81" s="2"/>
      <c r="T81" s="6">
        <v>203.94</v>
      </c>
      <c r="U81" s="2"/>
      <c r="V81" s="7">
        <f t="shared" si="26"/>
        <v>4.9674894210061495E-4</v>
      </c>
      <c r="W81" s="2"/>
      <c r="X81" s="6">
        <f t="shared" si="27"/>
        <v>-165.92</v>
      </c>
      <c r="Y81" s="2"/>
      <c r="Z81" s="7">
        <f t="shared" si="28"/>
        <v>-0.81357261939786207</v>
      </c>
    </row>
    <row r="82" spans="1:26" s="23" customFormat="1" hidden="1" outlineLevel="2" x14ac:dyDescent="0.25">
      <c r="A82" s="25"/>
      <c r="B82" s="10" t="str">
        <f>CONCATENATE("          ", "6115", " - ", "P.E.R.S.")</f>
        <v xml:space="preserve">          6115 - P.E.R.S.</v>
      </c>
      <c r="C82" s="10"/>
      <c r="D82" s="6"/>
      <c r="E82" s="2"/>
      <c r="F82" s="7">
        <f t="shared" si="21"/>
        <v>0</v>
      </c>
      <c r="G82" s="2"/>
      <c r="H82" s="6">
        <v>155.82</v>
      </c>
      <c r="I82" s="2"/>
      <c r="J82" s="7">
        <f t="shared" si="22"/>
        <v>5.9369861051206977E-3</v>
      </c>
      <c r="K82" s="2"/>
      <c r="L82" s="6">
        <f t="shared" si="23"/>
        <v>-155.82</v>
      </c>
      <c r="M82" s="2"/>
      <c r="N82" s="7">
        <f t="shared" si="24"/>
        <v>-1</v>
      </c>
      <c r="O82" s="10"/>
      <c r="P82" s="6"/>
      <c r="Q82" s="2"/>
      <c r="R82" s="7">
        <f t="shared" si="25"/>
        <v>0</v>
      </c>
      <c r="S82" s="2"/>
      <c r="T82" s="6">
        <v>1788.49</v>
      </c>
      <c r="U82" s="2"/>
      <c r="V82" s="7">
        <f t="shared" si="26"/>
        <v>4.3563328207194708E-3</v>
      </c>
      <c r="W82" s="2"/>
      <c r="X82" s="6">
        <f t="shared" si="27"/>
        <v>-1788.49</v>
      </c>
      <c r="Y82" s="2"/>
      <c r="Z82" s="7">
        <f t="shared" si="28"/>
        <v>-1</v>
      </c>
    </row>
    <row r="83" spans="1:26" s="23" customFormat="1" hidden="1" outlineLevel="2" x14ac:dyDescent="0.25">
      <c r="A83" s="25"/>
      <c r="B83" s="10" t="str">
        <f>CONCATENATE("          ", "6118", " - ", "VACATION")</f>
        <v xml:space="preserve">          6118 - VACATION</v>
      </c>
      <c r="C83" s="10"/>
      <c r="D83" s="6"/>
      <c r="E83" s="2"/>
      <c r="F83" s="7">
        <f t="shared" si="21"/>
        <v>0</v>
      </c>
      <c r="G83" s="2"/>
      <c r="H83" s="6">
        <v>145.84</v>
      </c>
      <c r="I83" s="2"/>
      <c r="J83" s="7">
        <f t="shared" si="22"/>
        <v>5.5567324706122618E-3</v>
      </c>
      <c r="K83" s="2"/>
      <c r="L83" s="6">
        <f t="shared" si="23"/>
        <v>-145.84</v>
      </c>
      <c r="M83" s="2"/>
      <c r="N83" s="7">
        <f t="shared" si="24"/>
        <v>-1</v>
      </c>
      <c r="O83" s="10"/>
      <c r="P83" s="6"/>
      <c r="Q83" s="2"/>
      <c r="R83" s="7">
        <f t="shared" si="25"/>
        <v>0</v>
      </c>
      <c r="S83" s="2"/>
      <c r="T83" s="6">
        <v>1686.84</v>
      </c>
      <c r="U83" s="2"/>
      <c r="V83" s="7">
        <f t="shared" si="26"/>
        <v>4.1087377929440094E-3</v>
      </c>
      <c r="W83" s="2"/>
      <c r="X83" s="6">
        <f t="shared" si="27"/>
        <v>-1686.84</v>
      </c>
      <c r="Y83" s="2"/>
      <c r="Z83" s="7">
        <f t="shared" si="28"/>
        <v>-1</v>
      </c>
    </row>
    <row r="84" spans="1:26" s="23" customFormat="1" hidden="1" outlineLevel="2" x14ac:dyDescent="0.25">
      <c r="A84" s="25"/>
      <c r="B84" s="10" t="str">
        <f>CONCATENATE("          ", "6119", " - ", "SICK LEAVE")</f>
        <v xml:space="preserve">          6119 - SICK LEAVE</v>
      </c>
      <c r="C84" s="10"/>
      <c r="D84" s="6"/>
      <c r="E84" s="2"/>
      <c r="F84" s="7">
        <f t="shared" si="21"/>
        <v>0</v>
      </c>
      <c r="G84" s="2"/>
      <c r="H84" s="6">
        <v>102.89</v>
      </c>
      <c r="I84" s="2"/>
      <c r="J84" s="7">
        <f t="shared" si="22"/>
        <v>3.9202701858289607E-3</v>
      </c>
      <c r="K84" s="2"/>
      <c r="L84" s="6">
        <f t="shared" si="23"/>
        <v>-102.89</v>
      </c>
      <c r="M84" s="2"/>
      <c r="N84" s="7">
        <f t="shared" si="24"/>
        <v>-1</v>
      </c>
      <c r="O84" s="10"/>
      <c r="P84" s="6"/>
      <c r="Q84" s="2"/>
      <c r="R84" s="7">
        <f t="shared" si="25"/>
        <v>0</v>
      </c>
      <c r="S84" s="2"/>
      <c r="T84" s="6">
        <v>684.81</v>
      </c>
      <c r="U84" s="2"/>
      <c r="V84" s="7">
        <f t="shared" si="26"/>
        <v>1.6680329657738652E-3</v>
      </c>
      <c r="W84" s="2"/>
      <c r="X84" s="6">
        <f t="shared" si="27"/>
        <v>-684.81</v>
      </c>
      <c r="Y84" s="2"/>
      <c r="Z84" s="7">
        <f t="shared" si="28"/>
        <v>-1</v>
      </c>
    </row>
    <row r="85" spans="1:26" s="23" customFormat="1" hidden="1" outlineLevel="2" x14ac:dyDescent="0.25">
      <c r="A85" s="25"/>
      <c r="B85" s="10" t="str">
        <f>CONCATENATE("          ", "6156", " - ", "EMPLOYEE MEALS")</f>
        <v xml:space="preserve">          6156 - EMPLOYEE MEALS</v>
      </c>
      <c r="C85" s="10"/>
      <c r="D85" s="6"/>
      <c r="E85" s="2"/>
      <c r="F85" s="7">
        <f t="shared" si="21"/>
        <v>0</v>
      </c>
      <c r="G85" s="2"/>
      <c r="H85" s="6"/>
      <c r="I85" s="2"/>
      <c r="J85" s="7">
        <f t="shared" si="22"/>
        <v>0</v>
      </c>
      <c r="K85" s="2"/>
      <c r="L85" s="6">
        <f t="shared" si="23"/>
        <v>0</v>
      </c>
      <c r="M85" s="2"/>
      <c r="N85" s="7">
        <f t="shared" si="24"/>
        <v>0</v>
      </c>
      <c r="O85" s="10"/>
      <c r="P85" s="6"/>
      <c r="Q85" s="2"/>
      <c r="R85" s="7">
        <f t="shared" si="25"/>
        <v>0</v>
      </c>
      <c r="S85" s="2"/>
      <c r="T85" s="6">
        <v>1301.25</v>
      </c>
      <c r="U85" s="2"/>
      <c r="V85" s="7">
        <f t="shared" si="26"/>
        <v>3.1695330043563065E-3</v>
      </c>
      <c r="W85" s="2"/>
      <c r="X85" s="6">
        <f t="shared" si="27"/>
        <v>-1301.25</v>
      </c>
      <c r="Y85" s="2"/>
      <c r="Z85" s="7">
        <f t="shared" si="28"/>
        <v>-1</v>
      </c>
    </row>
    <row r="86" spans="1:26" s="26" customFormat="1" outlineLevel="1" collapsed="1" x14ac:dyDescent="0.25">
      <c r="A86" s="27"/>
      <c r="B86" s="12" t="str">
        <f>CONCATENATE("     ","*Payroll                                          ")</f>
        <v xml:space="preserve">     *Payroll                                          </v>
      </c>
      <c r="C86" s="12"/>
      <c r="D86" s="1">
        <f>SUM(OSRRefD22_1x_0)</f>
        <v>0</v>
      </c>
      <c r="E86" s="1"/>
      <c r="F86" s="5">
        <f t="shared" ref="F86:F90" si="29">IF(D$12=0,0,D86/D$12)</f>
        <v>0</v>
      </c>
      <c r="G86" s="1"/>
      <c r="H86" s="1">
        <f>SUM(OSRRefH22_1x_0)</f>
        <v>8406.94</v>
      </c>
      <c r="I86" s="1"/>
      <c r="J86" s="5">
        <f t="shared" ref="J86:J90" si="30">IF(H$12=0,0,H86/H$12)</f>
        <v>0.3203175841777911</v>
      </c>
      <c r="K86" s="1"/>
      <c r="L86" s="1">
        <f t="shared" ref="L86:L90" si="31">+D86-H86</f>
        <v>-8406.94</v>
      </c>
      <c r="M86" s="1"/>
      <c r="N86" s="5">
        <f t="shared" ref="N86:N90" si="32">IF(H86=0,0,L86/H86)</f>
        <v>-1</v>
      </c>
      <c r="O86" s="12"/>
      <c r="P86" s="1">
        <f>SUM(OSRRefP22_1x_0)</f>
        <v>8152.5399999999991</v>
      </c>
      <c r="Q86" s="1"/>
      <c r="R86" s="5">
        <f t="shared" ref="R86:R90" si="33">IF(P$12=0,0,P86/P$12)</f>
        <v>0.38253428128483963</v>
      </c>
      <c r="S86" s="1"/>
      <c r="T86" s="1">
        <f>SUM(OSRRefT22_1x_0)</f>
        <v>74046.41</v>
      </c>
      <c r="U86" s="1"/>
      <c r="V86" s="5">
        <f t="shared" ref="V86:V90" si="34">IF(T$12=0,0,T86/T$12)</f>
        <v>0.18035930094070998</v>
      </c>
      <c r="W86" s="1"/>
      <c r="X86" s="1">
        <f t="shared" ref="X86:X90" si="35">+P86-T86</f>
        <v>-65893.87000000001</v>
      </c>
      <c r="Y86" s="1"/>
      <c r="Z86" s="5">
        <f t="shared" ref="Z86:Z90" si="36">IF(T86=0,0,X86/T86)</f>
        <v>-0.88989959135088392</v>
      </c>
    </row>
    <row r="87" spans="1:26" s="23" customFormat="1" hidden="1" outlineLevel="2" x14ac:dyDescent="0.25">
      <c r="A87" s="25"/>
      <c r="B87" s="10" t="str">
        <f>CONCATENATE("          ", "6002", " - ", "STAFF SALARIES")</f>
        <v xml:space="preserve">          6002 - STAFF SALARIES</v>
      </c>
      <c r="C87" s="10"/>
      <c r="D87" s="6"/>
      <c r="E87" s="2"/>
      <c r="F87" s="7">
        <f t="shared" si="29"/>
        <v>0</v>
      </c>
      <c r="G87" s="2"/>
      <c r="H87" s="6">
        <v>334.31</v>
      </c>
      <c r="I87" s="2"/>
      <c r="J87" s="7">
        <f t="shared" si="30"/>
        <v>1.273773472470094E-2</v>
      </c>
      <c r="K87" s="2"/>
      <c r="L87" s="6">
        <f t="shared" si="31"/>
        <v>-334.31</v>
      </c>
      <c r="M87" s="2"/>
      <c r="N87" s="7">
        <f t="shared" si="32"/>
        <v>-1</v>
      </c>
      <c r="O87" s="10"/>
      <c r="P87" s="6"/>
      <c r="Q87" s="2"/>
      <c r="R87" s="7">
        <f t="shared" si="33"/>
        <v>0</v>
      </c>
      <c r="S87" s="2"/>
      <c r="T87" s="6">
        <v>20966.810000000001</v>
      </c>
      <c r="U87" s="2"/>
      <c r="V87" s="7">
        <f t="shared" si="34"/>
        <v>5.1070122029639085E-2</v>
      </c>
      <c r="W87" s="2"/>
      <c r="X87" s="6">
        <f t="shared" si="35"/>
        <v>-20966.810000000001</v>
      </c>
      <c r="Y87" s="2"/>
      <c r="Z87" s="7">
        <f t="shared" si="36"/>
        <v>-1</v>
      </c>
    </row>
    <row r="88" spans="1:26" s="23" customFormat="1" hidden="1" outlineLevel="2" x14ac:dyDescent="0.25">
      <c r="A88" s="25"/>
      <c r="B88" s="10" t="str">
        <f>CONCATENATE("          ", "6005", " - ", "TEMPORARY WAGES-HOURLY")</f>
        <v xml:space="preserve">          6005 - TEMPORARY WAGES-HOURLY</v>
      </c>
      <c r="C88" s="10"/>
      <c r="D88" s="6"/>
      <c r="E88" s="2"/>
      <c r="F88" s="7">
        <f t="shared" si="29"/>
        <v>0</v>
      </c>
      <c r="G88" s="2"/>
      <c r="H88" s="6">
        <v>1816.14</v>
      </c>
      <c r="I88" s="2"/>
      <c r="J88" s="7">
        <f t="shared" si="30"/>
        <v>6.9197779135886955E-2</v>
      </c>
      <c r="K88" s="2"/>
      <c r="L88" s="6">
        <f t="shared" si="31"/>
        <v>-1816.14</v>
      </c>
      <c r="M88" s="2"/>
      <c r="N88" s="7">
        <f t="shared" si="32"/>
        <v>-1</v>
      </c>
      <c r="O88" s="10"/>
      <c r="P88" s="6">
        <v>5379.19</v>
      </c>
      <c r="Q88" s="2"/>
      <c r="R88" s="7">
        <f t="shared" si="33"/>
        <v>0.25240288064144384</v>
      </c>
      <c r="S88" s="2"/>
      <c r="T88" s="6">
        <v>7121.65</v>
      </c>
      <c r="U88" s="2"/>
      <c r="V88" s="7">
        <f t="shared" si="34"/>
        <v>1.7346631869720724E-2</v>
      </c>
      <c r="W88" s="2"/>
      <c r="X88" s="6">
        <f t="shared" si="35"/>
        <v>-1742.46</v>
      </c>
      <c r="Y88" s="2"/>
      <c r="Z88" s="7">
        <f t="shared" si="36"/>
        <v>-0.24467082768740392</v>
      </c>
    </row>
    <row r="89" spans="1:26" s="23" customFormat="1" hidden="1" outlineLevel="2" x14ac:dyDescent="0.25">
      <c r="A89" s="25"/>
      <c r="B89" s="10" t="str">
        <f>CONCATENATE("          ", "6006", " - ", "TEMPORARY PART TIME")</f>
        <v xml:space="preserve">          6006 - TEMPORARY PART TIME</v>
      </c>
      <c r="C89" s="10"/>
      <c r="D89" s="6"/>
      <c r="E89" s="2"/>
      <c r="F89" s="7">
        <f t="shared" si="29"/>
        <v>0</v>
      </c>
      <c r="G89" s="2"/>
      <c r="H89" s="6"/>
      <c r="I89" s="2"/>
      <c r="J89" s="7">
        <f t="shared" si="30"/>
        <v>0</v>
      </c>
      <c r="K89" s="2"/>
      <c r="L89" s="6">
        <f t="shared" si="31"/>
        <v>0</v>
      </c>
      <c r="M89" s="2"/>
      <c r="N89" s="7">
        <f t="shared" si="32"/>
        <v>0</v>
      </c>
      <c r="O89" s="10"/>
      <c r="P89" s="6"/>
      <c r="Q89" s="2"/>
      <c r="R89" s="7">
        <f t="shared" si="33"/>
        <v>0</v>
      </c>
      <c r="S89" s="2"/>
      <c r="T89" s="6">
        <v>25.5</v>
      </c>
      <c r="U89" s="2"/>
      <c r="V89" s="7">
        <f t="shared" si="34"/>
        <v>6.2111885964331076E-5</v>
      </c>
      <c r="W89" s="2"/>
      <c r="X89" s="6">
        <f t="shared" si="35"/>
        <v>-25.5</v>
      </c>
      <c r="Y89" s="2"/>
      <c r="Z89" s="7">
        <f t="shared" si="36"/>
        <v>-1</v>
      </c>
    </row>
    <row r="90" spans="1:26" s="23" customFormat="1" hidden="1" outlineLevel="2" x14ac:dyDescent="0.25">
      <c r="A90" s="25"/>
      <c r="B90" s="10" t="str">
        <f>CONCATENATE("          ", "6007", " - ", "STUDENT HOURLY")</f>
        <v xml:space="preserve">          6007 - STUDENT HOURLY</v>
      </c>
      <c r="C90" s="10"/>
      <c r="D90" s="6"/>
      <c r="E90" s="2"/>
      <c r="F90" s="7">
        <f t="shared" si="29"/>
        <v>0</v>
      </c>
      <c r="G90" s="2"/>
      <c r="H90" s="6">
        <v>6256.49</v>
      </c>
      <c r="I90" s="2"/>
      <c r="J90" s="7">
        <f t="shared" si="30"/>
        <v>0.23838207031720315</v>
      </c>
      <c r="K90" s="2"/>
      <c r="L90" s="6">
        <f t="shared" si="31"/>
        <v>-6256.49</v>
      </c>
      <c r="M90" s="2"/>
      <c r="N90" s="7">
        <f t="shared" si="32"/>
        <v>-1</v>
      </c>
      <c r="O90" s="10"/>
      <c r="P90" s="6">
        <v>2773.35</v>
      </c>
      <c r="Q90" s="2"/>
      <c r="R90" s="7">
        <f t="shared" si="33"/>
        <v>0.13013140064339582</v>
      </c>
      <c r="S90" s="2"/>
      <c r="T90" s="6">
        <v>45932.45</v>
      </c>
      <c r="U90" s="2"/>
      <c r="V90" s="7">
        <f t="shared" si="34"/>
        <v>0.11188043515538584</v>
      </c>
      <c r="W90" s="2"/>
      <c r="X90" s="6">
        <f t="shared" si="35"/>
        <v>-43159.1</v>
      </c>
      <c r="Y90" s="2"/>
      <c r="Z90" s="7">
        <f t="shared" si="36"/>
        <v>-0.93962111753237643</v>
      </c>
    </row>
    <row r="91" spans="1:26" s="26" customFormat="1" outlineLevel="1" collapsed="1" x14ac:dyDescent="0.25">
      <c r="A91" s="27"/>
      <c r="B91" s="12" t="str">
        <f>CONCATENATE("     ","Advertising/Promo                                 ")</f>
        <v xml:space="preserve">     Advertising/Promo                                 </v>
      </c>
      <c r="C91" s="12"/>
      <c r="D91" s="1">
        <f>SUM(OSRRefD22_2x_0)</f>
        <v>0</v>
      </c>
      <c r="E91" s="1"/>
      <c r="F91" s="5">
        <f t="shared" ref="F91:F97" si="37">IF(D$12=0,0,D91/D$12)</f>
        <v>0</v>
      </c>
      <c r="G91" s="1"/>
      <c r="H91" s="1">
        <f>SUM(OSRRefH22_2x_0)</f>
        <v>0</v>
      </c>
      <c r="I91" s="1"/>
      <c r="J91" s="5">
        <f t="shared" ref="J91:J97" si="38">IF(H$12=0,0,H91/H$12)</f>
        <v>0</v>
      </c>
      <c r="K91" s="1"/>
      <c r="L91" s="1">
        <f t="shared" ref="L91:L97" si="39">+D91-H91</f>
        <v>0</v>
      </c>
      <c r="M91" s="1"/>
      <c r="N91" s="5">
        <f t="shared" ref="N91:N97" si="40">IF(H91=0,0,L91/H91)</f>
        <v>0</v>
      </c>
      <c r="O91" s="12"/>
      <c r="P91" s="1">
        <f>SUM(OSRRefP22_2x_0)</f>
        <v>124.72</v>
      </c>
      <c r="Q91" s="1"/>
      <c r="R91" s="5">
        <f t="shared" ref="R91:R97" si="41">IF(P$12=0,0,P91/P$12)</f>
        <v>5.8521240695347957E-3</v>
      </c>
      <c r="S91" s="1"/>
      <c r="T91" s="1">
        <f>SUM(OSRRefT22_2x_0)</f>
        <v>963.62</v>
      </c>
      <c r="U91" s="1"/>
      <c r="V91" s="5">
        <f t="shared" ref="V91:V97" si="42">IF(T$12=0,0,T91/T$12)</f>
        <v>2.3471472765862244E-3</v>
      </c>
      <c r="W91" s="1"/>
      <c r="X91" s="1">
        <f t="shared" ref="X91:X97" si="43">+P91-T91</f>
        <v>-838.9</v>
      </c>
      <c r="Y91" s="1"/>
      <c r="Z91" s="5">
        <f t="shared" ref="Z91:Z97" si="44">IF(T91=0,0,X91/T91)</f>
        <v>-0.87057138706128967</v>
      </c>
    </row>
    <row r="92" spans="1:26" s="23" customFormat="1" hidden="1" outlineLevel="2" x14ac:dyDescent="0.25">
      <c r="A92" s="25"/>
      <c r="B92" s="10" t="str">
        <f>CONCATENATE("          ", "6362", " - ", "ADVERTISING EXPENSE")</f>
        <v xml:space="preserve">          6362 - ADVERTISING EXPENSE</v>
      </c>
      <c r="C92" s="10"/>
      <c r="D92" s="6"/>
      <c r="E92" s="2"/>
      <c r="F92" s="7">
        <f t="shared" si="37"/>
        <v>0</v>
      </c>
      <c r="G92" s="2"/>
      <c r="H92" s="6"/>
      <c r="I92" s="2"/>
      <c r="J92" s="7">
        <f t="shared" si="38"/>
        <v>0</v>
      </c>
      <c r="K92" s="2"/>
      <c r="L92" s="6">
        <f t="shared" si="39"/>
        <v>0</v>
      </c>
      <c r="M92" s="2"/>
      <c r="N92" s="7">
        <f t="shared" si="40"/>
        <v>0</v>
      </c>
      <c r="O92" s="10"/>
      <c r="P92" s="6">
        <v>124.72</v>
      </c>
      <c r="Q92" s="2"/>
      <c r="R92" s="7">
        <f t="shared" si="41"/>
        <v>5.8521240695347957E-3</v>
      </c>
      <c r="S92" s="2"/>
      <c r="T92" s="6">
        <v>963.62</v>
      </c>
      <c r="U92" s="2"/>
      <c r="V92" s="7">
        <f t="shared" si="42"/>
        <v>2.3471472765862244E-3</v>
      </c>
      <c r="W92" s="2"/>
      <c r="X92" s="6">
        <f t="shared" si="43"/>
        <v>-838.9</v>
      </c>
      <c r="Y92" s="2"/>
      <c r="Z92" s="7">
        <f t="shared" si="44"/>
        <v>-0.87057138706128967</v>
      </c>
    </row>
    <row r="93" spans="1:26" s="26" customFormat="1" outlineLevel="1" collapsed="1" x14ac:dyDescent="0.25">
      <c r="A93" s="27"/>
      <c r="B93" s="12" t="str">
        <f>CONCATENATE("     ","Bad Debts/Over/Short                              ")</f>
        <v xml:space="preserve">     Bad Debts/Over/Short                              </v>
      </c>
      <c r="C93" s="12"/>
      <c r="D93" s="1">
        <f>SUM(OSRRefD22_3x_0)</f>
        <v>0</v>
      </c>
      <c r="E93" s="1"/>
      <c r="F93" s="5">
        <f t="shared" si="37"/>
        <v>0</v>
      </c>
      <c r="G93" s="1"/>
      <c r="H93" s="1">
        <f>SUM(OSRRefH22_3x_0)</f>
        <v>-0.35</v>
      </c>
      <c r="I93" s="1"/>
      <c r="J93" s="5">
        <f t="shared" si="38"/>
        <v>-1.3335548304404083E-5</v>
      </c>
      <c r="K93" s="1"/>
      <c r="L93" s="1">
        <f t="shared" si="39"/>
        <v>0.35</v>
      </c>
      <c r="M93" s="1"/>
      <c r="N93" s="5">
        <f t="shared" si="40"/>
        <v>-1</v>
      </c>
      <c r="O93" s="12"/>
      <c r="P93" s="1">
        <f>SUM(OSRRefP22_3x_0)</f>
        <v>1.1000000000000001</v>
      </c>
      <c r="Q93" s="1"/>
      <c r="R93" s="5">
        <f t="shared" si="41"/>
        <v>5.1614307861516002E-5</v>
      </c>
      <c r="S93" s="1"/>
      <c r="T93" s="1">
        <f>SUM(OSRRefT22_3x_0)</f>
        <v>-55.84</v>
      </c>
      <c r="U93" s="1"/>
      <c r="V93" s="5">
        <f t="shared" si="42"/>
        <v>-1.360128514607156E-4</v>
      </c>
      <c r="W93" s="1"/>
      <c r="X93" s="1">
        <f t="shared" si="43"/>
        <v>56.940000000000005</v>
      </c>
      <c r="Y93" s="1"/>
      <c r="Z93" s="5">
        <f t="shared" si="44"/>
        <v>-1.0196991404011462</v>
      </c>
    </row>
    <row r="94" spans="1:26" s="23" customFormat="1" hidden="1" outlineLevel="2" x14ac:dyDescent="0.25">
      <c r="A94" s="25"/>
      <c r="B94" s="10" t="str">
        <f>CONCATENATE("          ", "6272", " - ", "CASH (OVER/SHORT)")</f>
        <v xml:space="preserve">          6272 - CASH (OVER/SHORT)</v>
      </c>
      <c r="C94" s="10"/>
      <c r="D94" s="6"/>
      <c r="E94" s="2"/>
      <c r="F94" s="7">
        <f t="shared" si="37"/>
        <v>0</v>
      </c>
      <c r="G94" s="2"/>
      <c r="H94" s="6">
        <v>-0.35</v>
      </c>
      <c r="I94" s="2"/>
      <c r="J94" s="7">
        <f t="shared" si="38"/>
        <v>-1.3335548304404083E-5</v>
      </c>
      <c r="K94" s="2"/>
      <c r="L94" s="6">
        <f t="shared" si="39"/>
        <v>0.35</v>
      </c>
      <c r="M94" s="2"/>
      <c r="N94" s="7">
        <f t="shared" si="40"/>
        <v>-1</v>
      </c>
      <c r="O94" s="10"/>
      <c r="P94" s="6">
        <v>1.1000000000000001</v>
      </c>
      <c r="Q94" s="2"/>
      <c r="R94" s="7">
        <f t="shared" si="41"/>
        <v>5.1614307861516002E-5</v>
      </c>
      <c r="S94" s="2"/>
      <c r="T94" s="6">
        <v>-55.84</v>
      </c>
      <c r="U94" s="2"/>
      <c r="V94" s="7">
        <f t="shared" si="42"/>
        <v>-1.360128514607156E-4</v>
      </c>
      <c r="W94" s="2"/>
      <c r="X94" s="6">
        <f t="shared" si="43"/>
        <v>56.940000000000005</v>
      </c>
      <c r="Y94" s="2"/>
      <c r="Z94" s="7">
        <f t="shared" si="44"/>
        <v>-1.0196991404011462</v>
      </c>
    </row>
    <row r="95" spans="1:26" s="26" customFormat="1" outlineLevel="1" collapsed="1" x14ac:dyDescent="0.25">
      <c r="A95" s="27"/>
      <c r="B95" s="12" t="str">
        <f>CONCATENATE("     ","Discounts and Markdowns                           ")</f>
        <v xml:space="preserve">     Discounts and Markdowns                           </v>
      </c>
      <c r="C95" s="12"/>
      <c r="D95" s="1">
        <f>SUM(OSRRefD22_4x_0)</f>
        <v>0</v>
      </c>
      <c r="E95" s="1"/>
      <c r="F95" s="5">
        <f t="shared" si="37"/>
        <v>0</v>
      </c>
      <c r="G95" s="1"/>
      <c r="H95" s="1">
        <f>SUM(OSRRefH22_4x_0)</f>
        <v>617.82000000000005</v>
      </c>
      <c r="I95" s="1"/>
      <c r="J95" s="5">
        <f t="shared" si="38"/>
        <v>2.3539909866934092E-2</v>
      </c>
      <c r="K95" s="1"/>
      <c r="L95" s="1">
        <f t="shared" si="39"/>
        <v>-617.82000000000005</v>
      </c>
      <c r="M95" s="1"/>
      <c r="N95" s="5">
        <f t="shared" si="40"/>
        <v>-1</v>
      </c>
      <c r="O95" s="12"/>
      <c r="P95" s="1">
        <f>SUM(OSRRefP22_4x_0)</f>
        <v>0</v>
      </c>
      <c r="Q95" s="1"/>
      <c r="R95" s="5">
        <f t="shared" si="41"/>
        <v>0</v>
      </c>
      <c r="S95" s="1"/>
      <c r="T95" s="1">
        <f>SUM(OSRRefT22_4x_0)</f>
        <v>8936.44</v>
      </c>
      <c r="U95" s="1"/>
      <c r="V95" s="5">
        <f t="shared" si="42"/>
        <v>2.1767025184591643E-2</v>
      </c>
      <c r="W95" s="1"/>
      <c r="X95" s="1">
        <f t="shared" si="43"/>
        <v>-8936.44</v>
      </c>
      <c r="Y95" s="1"/>
      <c r="Z95" s="5">
        <f t="shared" si="44"/>
        <v>-1</v>
      </c>
    </row>
    <row r="96" spans="1:26" s="23" customFormat="1" hidden="1" outlineLevel="2" x14ac:dyDescent="0.25">
      <c r="A96" s="25"/>
      <c r="B96" s="10" t="str">
        <f>CONCATENATE("          ", "6382", " - ", "DISCOUNTS/MARK DOWNS")</f>
        <v xml:space="preserve">          6382 - DISCOUNTS/MARK DOWNS</v>
      </c>
      <c r="C96" s="10"/>
      <c r="D96" s="6"/>
      <c r="E96" s="2"/>
      <c r="F96" s="7">
        <f t="shared" si="37"/>
        <v>0</v>
      </c>
      <c r="G96" s="2"/>
      <c r="H96" s="6">
        <v>617.82000000000005</v>
      </c>
      <c r="I96" s="2"/>
      <c r="J96" s="7">
        <f t="shared" si="38"/>
        <v>2.3539909866934092E-2</v>
      </c>
      <c r="K96" s="2"/>
      <c r="L96" s="6">
        <f t="shared" si="39"/>
        <v>-617.82000000000005</v>
      </c>
      <c r="M96" s="2"/>
      <c r="N96" s="7">
        <f t="shared" si="40"/>
        <v>-1</v>
      </c>
      <c r="O96" s="10"/>
      <c r="P96" s="6">
        <v>0</v>
      </c>
      <c r="Q96" s="2"/>
      <c r="R96" s="7">
        <f t="shared" si="41"/>
        <v>0</v>
      </c>
      <c r="S96" s="2"/>
      <c r="T96" s="6">
        <v>8936.44</v>
      </c>
      <c r="U96" s="2"/>
      <c r="V96" s="7">
        <f t="shared" si="42"/>
        <v>2.1767025184591643E-2</v>
      </c>
      <c r="W96" s="2"/>
      <c r="X96" s="6">
        <f t="shared" si="43"/>
        <v>-8936.44</v>
      </c>
      <c r="Y96" s="2"/>
      <c r="Z96" s="7">
        <f t="shared" si="44"/>
        <v>-1</v>
      </c>
    </row>
    <row r="97" spans="1:26" s="23" customFormat="1" hidden="1" outlineLevel="2" x14ac:dyDescent="0.25">
      <c r="A97" s="25"/>
      <c r="B97" s="10" t="str">
        <f>CONCATENATE("          ", "9175", " - ", "EARNED DISCOUNTS")</f>
        <v xml:space="preserve">          9175 - EARNED DISCOUNTS</v>
      </c>
      <c r="C97" s="10"/>
      <c r="D97" s="6"/>
      <c r="E97" s="2"/>
      <c r="F97" s="7">
        <f t="shared" si="37"/>
        <v>0</v>
      </c>
      <c r="G97" s="2"/>
      <c r="H97" s="6"/>
      <c r="I97" s="2"/>
      <c r="J97" s="7">
        <f t="shared" si="38"/>
        <v>0</v>
      </c>
      <c r="K97" s="2"/>
      <c r="L97" s="6">
        <f t="shared" si="39"/>
        <v>0</v>
      </c>
      <c r="M97" s="2"/>
      <c r="N97" s="7">
        <f t="shared" si="40"/>
        <v>0</v>
      </c>
      <c r="O97" s="10"/>
      <c r="P97" s="6">
        <v>0</v>
      </c>
      <c r="Q97" s="2"/>
      <c r="R97" s="7">
        <f t="shared" si="41"/>
        <v>0</v>
      </c>
      <c r="S97" s="2"/>
      <c r="T97" s="6">
        <v>0</v>
      </c>
      <c r="U97" s="2"/>
      <c r="V97" s="7">
        <f t="shared" si="42"/>
        <v>0</v>
      </c>
      <c r="W97" s="2"/>
      <c r="X97" s="6">
        <f t="shared" si="43"/>
        <v>0</v>
      </c>
      <c r="Y97" s="2"/>
      <c r="Z97" s="7">
        <f t="shared" si="44"/>
        <v>0</v>
      </c>
    </row>
    <row r="98" spans="1:26" s="26" customFormat="1" outlineLevel="1" collapsed="1" x14ac:dyDescent="0.25">
      <c r="A98" s="27"/>
      <c r="B98" s="12" t="str">
        <f>CONCATENATE("     ","General                                           ")</f>
        <v xml:space="preserve">     General                                           </v>
      </c>
      <c r="C98" s="12"/>
      <c r="D98" s="1">
        <f>SUM(OSRRefD22_5x_0)</f>
        <v>0</v>
      </c>
      <c r="E98" s="1"/>
      <c r="F98" s="5">
        <f t="shared" ref="F98:F104" si="45">IF(D$12=0,0,D98/D$12)</f>
        <v>0</v>
      </c>
      <c r="G98" s="1"/>
      <c r="H98" s="1">
        <f>SUM(OSRRefH22_5x_0)</f>
        <v>0</v>
      </c>
      <c r="I98" s="1"/>
      <c r="J98" s="5">
        <f t="shared" ref="J98:J104" si="46">IF(H$12=0,0,H98/H$12)</f>
        <v>0</v>
      </c>
      <c r="K98" s="1"/>
      <c r="L98" s="1">
        <f t="shared" ref="L98:L104" si="47">+D98-H98</f>
        <v>0</v>
      </c>
      <c r="M98" s="1"/>
      <c r="N98" s="5">
        <f t="shared" ref="N98:N104" si="48">IF(H98=0,0,L98/H98)</f>
        <v>0</v>
      </c>
      <c r="O98" s="12"/>
      <c r="P98" s="1">
        <f>SUM(OSRRefP22_5x_0)</f>
        <v>879.55</v>
      </c>
      <c r="Q98" s="1"/>
      <c r="R98" s="5">
        <f t="shared" ref="R98:R104" si="49">IF(P$12=0,0,P98/P$12)</f>
        <v>4.1270331345087632E-2</v>
      </c>
      <c r="S98" s="1"/>
      <c r="T98" s="1">
        <f>SUM(OSRRefT22_5x_0)</f>
        <v>954.05</v>
      </c>
      <c r="U98" s="1"/>
      <c r="V98" s="5">
        <f t="shared" ref="V98:V104" si="50">IF(T$12=0,0,T98/T$12)</f>
        <v>2.3238370511478455E-3</v>
      </c>
      <c r="W98" s="1"/>
      <c r="X98" s="1">
        <f t="shared" ref="X98:X104" si="51">+P98-T98</f>
        <v>-74.5</v>
      </c>
      <c r="Y98" s="1"/>
      <c r="Z98" s="5">
        <f t="shared" ref="Z98:Z104" si="52">IF(T98=0,0,X98/T98)</f>
        <v>-7.8088150516220325E-2</v>
      </c>
    </row>
    <row r="99" spans="1:26" s="23" customFormat="1" hidden="1" outlineLevel="2" x14ac:dyDescent="0.25">
      <c r="A99" s="25"/>
      <c r="B99" s="10" t="str">
        <f>CONCATENATE("          ", "6279", " - ", "GENERAL EXPENSE")</f>
        <v xml:space="preserve">          6279 - GENERAL EXPENSE</v>
      </c>
      <c r="C99" s="10"/>
      <c r="D99" s="6"/>
      <c r="E99" s="2"/>
      <c r="F99" s="7">
        <f t="shared" si="45"/>
        <v>0</v>
      </c>
      <c r="G99" s="2"/>
      <c r="H99" s="6"/>
      <c r="I99" s="2"/>
      <c r="J99" s="7">
        <f t="shared" si="46"/>
        <v>0</v>
      </c>
      <c r="K99" s="2"/>
      <c r="L99" s="6">
        <f t="shared" si="47"/>
        <v>0</v>
      </c>
      <c r="M99" s="2"/>
      <c r="N99" s="7">
        <f t="shared" si="48"/>
        <v>0</v>
      </c>
      <c r="O99" s="10"/>
      <c r="P99" s="6">
        <v>879.55</v>
      </c>
      <c r="Q99" s="2"/>
      <c r="R99" s="7">
        <f t="shared" si="49"/>
        <v>4.1270331345087632E-2</v>
      </c>
      <c r="S99" s="2"/>
      <c r="T99" s="6">
        <v>954.05</v>
      </c>
      <c r="U99" s="2"/>
      <c r="V99" s="7">
        <f t="shared" si="50"/>
        <v>2.3238370511478455E-3</v>
      </c>
      <c r="W99" s="2"/>
      <c r="X99" s="6">
        <f t="shared" si="51"/>
        <v>-74.5</v>
      </c>
      <c r="Y99" s="2"/>
      <c r="Z99" s="7">
        <f t="shared" si="52"/>
        <v>-7.8088150516220325E-2</v>
      </c>
    </row>
    <row r="100" spans="1:26" s="26" customFormat="1" outlineLevel="1" collapsed="1" x14ac:dyDescent="0.25">
      <c r="A100" s="27"/>
      <c r="B100" s="12" t="str">
        <f>CONCATENATE("     ","Professional Services                             ")</f>
        <v xml:space="preserve">     Professional Services                             </v>
      </c>
      <c r="C100" s="12"/>
      <c r="D100" s="1">
        <f>SUM(OSRRefD22_6x_0)</f>
        <v>0</v>
      </c>
      <c r="E100" s="1"/>
      <c r="F100" s="5">
        <f t="shared" si="45"/>
        <v>0</v>
      </c>
      <c r="G100" s="1"/>
      <c r="H100" s="1">
        <f>SUM(OSRRefH22_6x_0)</f>
        <v>0</v>
      </c>
      <c r="I100" s="1"/>
      <c r="J100" s="5">
        <f t="shared" si="46"/>
        <v>0</v>
      </c>
      <c r="K100" s="1"/>
      <c r="L100" s="1">
        <f t="shared" si="47"/>
        <v>0</v>
      </c>
      <c r="M100" s="1"/>
      <c r="N100" s="5">
        <f t="shared" si="48"/>
        <v>0</v>
      </c>
      <c r="O100" s="12"/>
      <c r="P100" s="1">
        <f>SUM(OSRRefP22_6x_0)</f>
        <v>0</v>
      </c>
      <c r="Q100" s="1"/>
      <c r="R100" s="5">
        <f t="shared" si="49"/>
        <v>0</v>
      </c>
      <c r="S100" s="1"/>
      <c r="T100" s="1">
        <f>SUM(OSRRefT22_6x_0)</f>
        <v>791.15</v>
      </c>
      <c r="U100" s="1"/>
      <c r="V100" s="5">
        <f t="shared" si="50"/>
        <v>1.9270517090462954E-3</v>
      </c>
      <c r="W100" s="1"/>
      <c r="X100" s="1">
        <f t="shared" si="51"/>
        <v>-791.15</v>
      </c>
      <c r="Y100" s="1"/>
      <c r="Z100" s="5">
        <f t="shared" si="52"/>
        <v>-1</v>
      </c>
    </row>
    <row r="101" spans="1:26" s="23" customFormat="1" hidden="1" outlineLevel="2" x14ac:dyDescent="0.25">
      <c r="A101" s="25"/>
      <c r="B101" s="10" t="str">
        <f>CONCATENATE("          ", "6336", " - ", "PROFESSIONAL SERVICES")</f>
        <v xml:space="preserve">          6336 - PROFESSIONAL SERVICES</v>
      </c>
      <c r="C101" s="10"/>
      <c r="D101" s="6"/>
      <c r="E101" s="2"/>
      <c r="F101" s="7">
        <f t="shared" si="45"/>
        <v>0</v>
      </c>
      <c r="G101" s="2"/>
      <c r="H101" s="6"/>
      <c r="I101" s="2"/>
      <c r="J101" s="7">
        <f t="shared" si="46"/>
        <v>0</v>
      </c>
      <c r="K101" s="2"/>
      <c r="L101" s="6">
        <f t="shared" si="47"/>
        <v>0</v>
      </c>
      <c r="M101" s="2"/>
      <c r="N101" s="7">
        <f t="shared" si="48"/>
        <v>0</v>
      </c>
      <c r="O101" s="10"/>
      <c r="P101" s="6"/>
      <c r="Q101" s="2"/>
      <c r="R101" s="7">
        <f t="shared" si="49"/>
        <v>0</v>
      </c>
      <c r="S101" s="2"/>
      <c r="T101" s="6">
        <v>791.15</v>
      </c>
      <c r="U101" s="2"/>
      <c r="V101" s="7">
        <f t="shared" si="50"/>
        <v>1.9270517090462954E-3</v>
      </c>
      <c r="W101" s="2"/>
      <c r="X101" s="6">
        <f t="shared" si="51"/>
        <v>-791.15</v>
      </c>
      <c r="Y101" s="2"/>
      <c r="Z101" s="7">
        <f t="shared" si="52"/>
        <v>-1</v>
      </c>
    </row>
    <row r="102" spans="1:26" s="26" customFormat="1" outlineLevel="1" collapsed="1" x14ac:dyDescent="0.25">
      <c r="A102" s="27"/>
      <c r="B102" s="12" t="str">
        <f>CONCATENATE("     ","Repair and Maintenance                            ")</f>
        <v xml:space="preserve">     Repair and Maintenance                            </v>
      </c>
      <c r="C102" s="12"/>
      <c r="D102" s="1">
        <f>SUM(OSRRefD22_7x_0)</f>
        <v>61.11</v>
      </c>
      <c r="E102" s="1"/>
      <c r="F102" s="5">
        <f t="shared" si="45"/>
        <v>0</v>
      </c>
      <c r="G102" s="1"/>
      <c r="H102" s="1">
        <f>SUM(OSRRefH22_7x_0)</f>
        <v>61.11</v>
      </c>
      <c r="I102" s="1"/>
      <c r="J102" s="5">
        <f t="shared" si="46"/>
        <v>2.3283867339489533E-3</v>
      </c>
      <c r="K102" s="1"/>
      <c r="L102" s="1">
        <f t="shared" si="47"/>
        <v>0</v>
      </c>
      <c r="M102" s="1"/>
      <c r="N102" s="5">
        <f t="shared" si="48"/>
        <v>0</v>
      </c>
      <c r="O102" s="12"/>
      <c r="P102" s="1">
        <f>SUM(OSRRefP22_7x_0)</f>
        <v>261.93</v>
      </c>
      <c r="Q102" s="1"/>
      <c r="R102" s="5">
        <f t="shared" si="49"/>
        <v>1.2290305143788078E-2</v>
      </c>
      <c r="S102" s="1"/>
      <c r="T102" s="1">
        <f>SUM(OSRRefT22_7x_0)</f>
        <v>190.64000000000001</v>
      </c>
      <c r="U102" s="1"/>
      <c r="V102" s="5">
        <f t="shared" si="50"/>
        <v>4.6435333098980699E-4</v>
      </c>
      <c r="W102" s="1"/>
      <c r="X102" s="1">
        <f t="shared" si="51"/>
        <v>71.289999999999992</v>
      </c>
      <c r="Y102" s="1"/>
      <c r="Z102" s="5">
        <f t="shared" si="52"/>
        <v>0.37395090222408722</v>
      </c>
    </row>
    <row r="103" spans="1:26" s="23" customFormat="1" hidden="1" outlineLevel="2" x14ac:dyDescent="0.25">
      <c r="A103" s="25"/>
      <c r="B103" s="10" t="str">
        <f>CONCATENATE("          ", "6373", " - ", "MAINTENANCE CONTRACTS")</f>
        <v xml:space="preserve">          6373 - MAINTENANCE CONTRACTS</v>
      </c>
      <c r="C103" s="10"/>
      <c r="D103" s="6">
        <v>61.11</v>
      </c>
      <c r="E103" s="2"/>
      <c r="F103" s="7">
        <f t="shared" si="45"/>
        <v>0</v>
      </c>
      <c r="G103" s="2"/>
      <c r="H103" s="6">
        <v>61.11</v>
      </c>
      <c r="I103" s="2"/>
      <c r="J103" s="7">
        <f t="shared" si="46"/>
        <v>2.3283867339489533E-3</v>
      </c>
      <c r="K103" s="2"/>
      <c r="L103" s="6">
        <f t="shared" si="47"/>
        <v>0</v>
      </c>
      <c r="M103" s="2"/>
      <c r="N103" s="7">
        <f t="shared" si="48"/>
        <v>0</v>
      </c>
      <c r="O103" s="10"/>
      <c r="P103" s="6">
        <v>261.93</v>
      </c>
      <c r="Q103" s="2"/>
      <c r="R103" s="7">
        <f t="shared" si="49"/>
        <v>1.2290305143788078E-2</v>
      </c>
      <c r="S103" s="2"/>
      <c r="T103" s="6">
        <v>180.84</v>
      </c>
      <c r="U103" s="2"/>
      <c r="V103" s="7">
        <f t="shared" si="50"/>
        <v>4.4048288069763268E-4</v>
      </c>
      <c r="W103" s="2"/>
      <c r="X103" s="6">
        <f t="shared" si="51"/>
        <v>81.09</v>
      </c>
      <c r="Y103" s="2"/>
      <c r="Z103" s="7">
        <f t="shared" si="52"/>
        <v>0.44840743198407434</v>
      </c>
    </row>
    <row r="104" spans="1:26" s="23" customFormat="1" hidden="1" outlineLevel="2" x14ac:dyDescent="0.25">
      <c r="A104" s="25"/>
      <c r="B104" s="10" t="str">
        <f>CONCATENATE("          ", "6375", " - ", "OUTSIDE REPAIRS &amp; MAINTENANCE")</f>
        <v xml:space="preserve">          6375 - OUTSIDE REPAIRS &amp; MAINTENANCE</v>
      </c>
      <c r="C104" s="10"/>
      <c r="D104" s="6"/>
      <c r="E104" s="2"/>
      <c r="F104" s="7">
        <f t="shared" si="45"/>
        <v>0</v>
      </c>
      <c r="G104" s="2"/>
      <c r="H104" s="6"/>
      <c r="I104" s="2"/>
      <c r="J104" s="7">
        <f t="shared" si="46"/>
        <v>0</v>
      </c>
      <c r="K104" s="2"/>
      <c r="L104" s="6">
        <f t="shared" si="47"/>
        <v>0</v>
      </c>
      <c r="M104" s="2"/>
      <c r="N104" s="7">
        <f t="shared" si="48"/>
        <v>0</v>
      </c>
      <c r="O104" s="10"/>
      <c r="P104" s="6"/>
      <c r="Q104" s="2"/>
      <c r="R104" s="7">
        <f t="shared" si="49"/>
        <v>0</v>
      </c>
      <c r="S104" s="2"/>
      <c r="T104" s="6">
        <v>9.8000000000000007</v>
      </c>
      <c r="U104" s="2"/>
      <c r="V104" s="7">
        <f t="shared" si="50"/>
        <v>2.3870450292174299E-5</v>
      </c>
      <c r="W104" s="2"/>
      <c r="X104" s="6">
        <f t="shared" si="51"/>
        <v>-9.8000000000000007</v>
      </c>
      <c r="Y104" s="2"/>
      <c r="Z104" s="7">
        <f t="shared" si="52"/>
        <v>-1</v>
      </c>
    </row>
    <row r="105" spans="1:26" s="26" customFormat="1" outlineLevel="1" collapsed="1" x14ac:dyDescent="0.25">
      <c r="A105" s="27"/>
      <c r="B105" s="12" t="str">
        <f>CONCATENATE("     ","Services                                          ")</f>
        <v xml:space="preserve">     Services                                          </v>
      </c>
      <c r="C105" s="12"/>
      <c r="D105" s="1">
        <f>SUM(OSRRefD22_8x_0)</f>
        <v>0</v>
      </c>
      <c r="E105" s="1"/>
      <c r="F105" s="5">
        <f t="shared" ref="F105:F107" si="53">IF(D$12=0,0,D105/D$12)</f>
        <v>0</v>
      </c>
      <c r="G105" s="1"/>
      <c r="H105" s="1">
        <f>SUM(OSRRefH22_8x_0)</f>
        <v>0</v>
      </c>
      <c r="I105" s="1"/>
      <c r="J105" s="5">
        <f t="shared" ref="J105:J107" si="54">IF(H$12=0,0,H105/H$12)</f>
        <v>0</v>
      </c>
      <c r="K105" s="1"/>
      <c r="L105" s="1">
        <f t="shared" ref="L105:L107" si="55">+D105-H105</f>
        <v>0</v>
      </c>
      <c r="M105" s="1"/>
      <c r="N105" s="5">
        <f t="shared" ref="N105:N107" si="56">IF(H105=0,0,L105/H105)</f>
        <v>0</v>
      </c>
      <c r="O105" s="12"/>
      <c r="P105" s="1">
        <f>SUM(OSRRefP22_8x_0)</f>
        <v>18.5</v>
      </c>
      <c r="Q105" s="1"/>
      <c r="R105" s="5">
        <f t="shared" ref="R105:R107" si="57">IF(P$12=0,0,P105/P$12)</f>
        <v>8.6805881403458724E-4</v>
      </c>
      <c r="S105" s="1"/>
      <c r="T105" s="1">
        <f>SUM(OSRRefT22_8x_0)</f>
        <v>1818.61</v>
      </c>
      <c r="U105" s="1"/>
      <c r="V105" s="5">
        <f t="shared" ref="V105:V107" si="58">IF(T$12=0,0,T105/T$12)</f>
        <v>4.4296979189643974E-3</v>
      </c>
      <c r="W105" s="1"/>
      <c r="X105" s="1">
        <f t="shared" ref="X105:X107" si="59">+P105-T105</f>
        <v>-1800.11</v>
      </c>
      <c r="Y105" s="1"/>
      <c r="Z105" s="5">
        <f t="shared" ref="Z105:Z107" si="60">IF(T105=0,0,X105/T105)</f>
        <v>-0.98982739564832478</v>
      </c>
    </row>
    <row r="106" spans="1:26" s="23" customFormat="1" hidden="1" outlineLevel="2" x14ac:dyDescent="0.25">
      <c r="A106" s="25"/>
      <c r="B106" s="10" t="str">
        <f>CONCATENATE("          ", "6282", " - ", "JANITORIAL/EXTERMINATOR EXPENS")</f>
        <v xml:space="preserve">          6282 - JANITORIAL/EXTERMINATOR EXPENS</v>
      </c>
      <c r="C106" s="10"/>
      <c r="D106" s="6"/>
      <c r="E106" s="2"/>
      <c r="F106" s="7">
        <f t="shared" si="53"/>
        <v>0</v>
      </c>
      <c r="G106" s="2"/>
      <c r="H106" s="6"/>
      <c r="I106" s="2"/>
      <c r="J106" s="7">
        <f t="shared" si="54"/>
        <v>0</v>
      </c>
      <c r="K106" s="2"/>
      <c r="L106" s="6">
        <f t="shared" si="55"/>
        <v>0</v>
      </c>
      <c r="M106" s="2"/>
      <c r="N106" s="7">
        <f t="shared" si="56"/>
        <v>0</v>
      </c>
      <c r="O106" s="10"/>
      <c r="P106" s="6">
        <v>176</v>
      </c>
      <c r="Q106" s="2"/>
      <c r="R106" s="7">
        <f t="shared" si="57"/>
        <v>8.2582892578425601E-3</v>
      </c>
      <c r="S106" s="2"/>
      <c r="T106" s="6">
        <v>373.02</v>
      </c>
      <c r="U106" s="2"/>
      <c r="V106" s="7">
        <f t="shared" si="58"/>
        <v>9.0858728244763839E-4</v>
      </c>
      <c r="W106" s="2"/>
      <c r="X106" s="6">
        <f t="shared" si="59"/>
        <v>-197.01999999999998</v>
      </c>
      <c r="Y106" s="2"/>
      <c r="Z106" s="7">
        <f t="shared" si="60"/>
        <v>-0.52817543295265668</v>
      </c>
    </row>
    <row r="107" spans="1:26" s="23" customFormat="1" hidden="1" outlineLevel="2" x14ac:dyDescent="0.25">
      <c r="A107" s="25"/>
      <c r="B107" s="10" t="str">
        <f>CONCATENATE("          ", "6285", " - ", "JANITORIAL SERVICES")</f>
        <v xml:space="preserve">          6285 - JANITORIAL SERVICES</v>
      </c>
      <c r="C107" s="10"/>
      <c r="D107" s="6"/>
      <c r="E107" s="2"/>
      <c r="F107" s="7">
        <f t="shared" si="53"/>
        <v>0</v>
      </c>
      <c r="G107" s="2"/>
      <c r="H107" s="6"/>
      <c r="I107" s="2"/>
      <c r="J107" s="7">
        <f t="shared" si="54"/>
        <v>0</v>
      </c>
      <c r="K107" s="2"/>
      <c r="L107" s="6">
        <f t="shared" si="55"/>
        <v>0</v>
      </c>
      <c r="M107" s="2"/>
      <c r="N107" s="7">
        <f t="shared" si="56"/>
        <v>0</v>
      </c>
      <c r="O107" s="10"/>
      <c r="P107" s="6">
        <v>-157.5</v>
      </c>
      <c r="Q107" s="2"/>
      <c r="R107" s="7">
        <f t="shared" si="57"/>
        <v>-7.3902304438079732E-3</v>
      </c>
      <c r="S107" s="2"/>
      <c r="T107" s="6">
        <v>1445.59</v>
      </c>
      <c r="U107" s="2"/>
      <c r="V107" s="7">
        <f t="shared" si="58"/>
        <v>3.5211106365167595E-3</v>
      </c>
      <c r="W107" s="2"/>
      <c r="X107" s="6">
        <f t="shared" si="59"/>
        <v>-1603.09</v>
      </c>
      <c r="Y107" s="2"/>
      <c r="Z107" s="7">
        <f t="shared" si="60"/>
        <v>-1.1089520541785707</v>
      </c>
    </row>
    <row r="108" spans="1:26" s="26" customFormat="1" outlineLevel="1" collapsed="1" x14ac:dyDescent="0.25">
      <c r="A108" s="27"/>
      <c r="B108" s="12" t="str">
        <f>CONCATENATE("     ","Supplies                                          ")</f>
        <v xml:space="preserve">     Supplies                                          </v>
      </c>
      <c r="C108" s="12"/>
      <c r="D108" s="1">
        <f>SUM(OSRRefD22_9x_0)</f>
        <v>0</v>
      </c>
      <c r="E108" s="1"/>
      <c r="F108" s="5">
        <f t="shared" ref="F108:F112" si="61">IF(D$12=0,0,D108/D$12)</f>
        <v>0</v>
      </c>
      <c r="G108" s="1"/>
      <c r="H108" s="1">
        <f>SUM(OSRRefH22_9x_0)</f>
        <v>329.96000000000004</v>
      </c>
      <c r="I108" s="1"/>
      <c r="J108" s="5">
        <f t="shared" ref="J108:J112" si="62">IF(H$12=0,0,H108/H$12)</f>
        <v>1.2571992910060491E-2</v>
      </c>
      <c r="K108" s="1"/>
      <c r="L108" s="1">
        <f t="shared" ref="L108:L112" si="63">+D108-H108</f>
        <v>-329.96000000000004</v>
      </c>
      <c r="M108" s="1"/>
      <c r="N108" s="5">
        <f t="shared" ref="N108:N112" si="64">IF(H108=0,0,L108/H108)</f>
        <v>-1</v>
      </c>
      <c r="O108" s="12"/>
      <c r="P108" s="1">
        <f>SUM(OSRRefP22_9x_0)</f>
        <v>1892.27</v>
      </c>
      <c r="Q108" s="1"/>
      <c r="R108" s="5">
        <f t="shared" ref="R108:R112" si="65">IF(P$12=0,0,P108/P$12)</f>
        <v>8.8789278488282622E-2</v>
      </c>
      <c r="S108" s="1"/>
      <c r="T108" s="1">
        <f>SUM(OSRRefT22_9x_0)</f>
        <v>1612.07</v>
      </c>
      <c r="U108" s="1"/>
      <c r="V108" s="5">
        <f t="shared" ref="V108:V112" si="66">IF(T$12=0,0,T108/T$12)</f>
        <v>3.9266160002556548E-3</v>
      </c>
      <c r="W108" s="1"/>
      <c r="X108" s="1">
        <f t="shared" ref="X108:X112" si="67">+P108-T108</f>
        <v>280.20000000000005</v>
      </c>
      <c r="Y108" s="1"/>
      <c r="Z108" s="5">
        <f t="shared" ref="Z108:Z112" si="68">IF(T108=0,0,X108/T108)</f>
        <v>0.17381379220505316</v>
      </c>
    </row>
    <row r="109" spans="1:26" s="23" customFormat="1" hidden="1" outlineLevel="2" x14ac:dyDescent="0.25">
      <c r="A109" s="25"/>
      <c r="B109" s="10" t="str">
        <f>CONCATENATE("          ", "6235", " - ", "COVID-19 EXPENSES")</f>
        <v xml:space="preserve">          6235 - COVID-19 EXPENSES</v>
      </c>
      <c r="C109" s="10"/>
      <c r="D109" s="6"/>
      <c r="E109" s="2"/>
      <c r="F109" s="7">
        <f t="shared" si="61"/>
        <v>0</v>
      </c>
      <c r="G109" s="2"/>
      <c r="H109" s="6"/>
      <c r="I109" s="2"/>
      <c r="J109" s="7">
        <f t="shared" si="62"/>
        <v>0</v>
      </c>
      <c r="K109" s="2"/>
      <c r="L109" s="6">
        <f t="shared" si="63"/>
        <v>0</v>
      </c>
      <c r="M109" s="2"/>
      <c r="N109" s="7">
        <f t="shared" si="64"/>
        <v>0</v>
      </c>
      <c r="O109" s="10"/>
      <c r="P109" s="6">
        <v>444.3</v>
      </c>
      <c r="Q109" s="2"/>
      <c r="R109" s="7">
        <f t="shared" si="65"/>
        <v>2.0847488166246871E-2</v>
      </c>
      <c r="S109" s="2"/>
      <c r="T109" s="6"/>
      <c r="U109" s="2"/>
      <c r="V109" s="7">
        <f t="shared" si="66"/>
        <v>0</v>
      </c>
      <c r="W109" s="2"/>
      <c r="X109" s="6">
        <f t="shared" si="67"/>
        <v>444.3</v>
      </c>
      <c r="Y109" s="2"/>
      <c r="Z109" s="7">
        <f t="shared" si="68"/>
        <v>0</v>
      </c>
    </row>
    <row r="110" spans="1:26" s="23" customFormat="1" hidden="1" outlineLevel="2" x14ac:dyDescent="0.25">
      <c r="A110" s="25"/>
      <c r="B110" s="10" t="str">
        <f>CONCATENATE("          ", "6241", " - ", "OFFICE EXPENSE")</f>
        <v xml:space="preserve">          6241 - OFFICE EXPENSE</v>
      </c>
      <c r="C110" s="10"/>
      <c r="D110" s="6"/>
      <c r="E110" s="2"/>
      <c r="F110" s="7">
        <f t="shared" si="61"/>
        <v>0</v>
      </c>
      <c r="G110" s="2"/>
      <c r="H110" s="6">
        <v>160.41</v>
      </c>
      <c r="I110" s="2"/>
      <c r="J110" s="7">
        <f t="shared" si="62"/>
        <v>6.1118722957413116E-3</v>
      </c>
      <c r="K110" s="2"/>
      <c r="L110" s="6">
        <f t="shared" si="63"/>
        <v>-160.41</v>
      </c>
      <c r="M110" s="2"/>
      <c r="N110" s="7">
        <f t="shared" si="64"/>
        <v>-1</v>
      </c>
      <c r="O110" s="10"/>
      <c r="P110" s="6">
        <v>225.24</v>
      </c>
      <c r="Q110" s="2"/>
      <c r="R110" s="7">
        <f t="shared" si="65"/>
        <v>1.056873336611624E-2</v>
      </c>
      <c r="S110" s="2"/>
      <c r="T110" s="6">
        <v>1421.17</v>
      </c>
      <c r="U110" s="2"/>
      <c r="V110" s="7">
        <f t="shared" si="66"/>
        <v>3.4616293716050357E-3</v>
      </c>
      <c r="W110" s="2"/>
      <c r="X110" s="6">
        <f t="shared" si="67"/>
        <v>-1195.93</v>
      </c>
      <c r="Y110" s="2"/>
      <c r="Z110" s="7">
        <f t="shared" si="68"/>
        <v>-0.8415108678061034</v>
      </c>
    </row>
    <row r="111" spans="1:26" s="23" customFormat="1" hidden="1" outlineLevel="2" x14ac:dyDescent="0.25">
      <c r="A111" s="25"/>
      <c r="B111" s="10" t="str">
        <f>CONCATENATE("          ", "6245", " - ", "PRINTING")</f>
        <v xml:space="preserve">          6245 - PRINTING</v>
      </c>
      <c r="C111" s="10"/>
      <c r="D111" s="6"/>
      <c r="E111" s="2"/>
      <c r="F111" s="7">
        <f t="shared" si="61"/>
        <v>0</v>
      </c>
      <c r="G111" s="2"/>
      <c r="H111" s="6"/>
      <c r="I111" s="2"/>
      <c r="J111" s="7">
        <f t="shared" si="62"/>
        <v>0</v>
      </c>
      <c r="K111" s="2"/>
      <c r="L111" s="6">
        <f t="shared" si="63"/>
        <v>0</v>
      </c>
      <c r="M111" s="2"/>
      <c r="N111" s="7">
        <f t="shared" si="64"/>
        <v>0</v>
      </c>
      <c r="O111" s="10"/>
      <c r="P111" s="6"/>
      <c r="Q111" s="2"/>
      <c r="R111" s="7">
        <f t="shared" si="65"/>
        <v>0</v>
      </c>
      <c r="S111" s="2"/>
      <c r="T111" s="6">
        <v>22.05</v>
      </c>
      <c r="U111" s="2"/>
      <c r="V111" s="7">
        <f t="shared" si="66"/>
        <v>5.3708513157392171E-5</v>
      </c>
      <c r="W111" s="2"/>
      <c r="X111" s="6">
        <f t="shared" si="67"/>
        <v>-22.05</v>
      </c>
      <c r="Y111" s="2"/>
      <c r="Z111" s="7">
        <f t="shared" si="68"/>
        <v>-1</v>
      </c>
    </row>
    <row r="112" spans="1:26" s="23" customFormat="1" hidden="1" outlineLevel="2" x14ac:dyDescent="0.25">
      <c r="A112" s="25"/>
      <c r="B112" s="10" t="str">
        <f>CONCATENATE("          ", "6247", " - ", "STORE SUPPLIES")</f>
        <v xml:space="preserve">          6247 - STORE SUPPLIES</v>
      </c>
      <c r="C112" s="10"/>
      <c r="D112" s="6"/>
      <c r="E112" s="2"/>
      <c r="F112" s="7">
        <f t="shared" si="61"/>
        <v>0</v>
      </c>
      <c r="G112" s="2"/>
      <c r="H112" s="6">
        <v>169.55</v>
      </c>
      <c r="I112" s="2"/>
      <c r="J112" s="7">
        <f t="shared" si="62"/>
        <v>6.4601206143191786E-3</v>
      </c>
      <c r="K112" s="2"/>
      <c r="L112" s="6">
        <f t="shared" si="63"/>
        <v>-169.55</v>
      </c>
      <c r="M112" s="2"/>
      <c r="N112" s="7">
        <f t="shared" si="64"/>
        <v>-1</v>
      </c>
      <c r="O112" s="10"/>
      <c r="P112" s="6">
        <v>1222.73</v>
      </c>
      <c r="Q112" s="2"/>
      <c r="R112" s="7">
        <f t="shared" si="65"/>
        <v>5.7373056955919509E-2</v>
      </c>
      <c r="S112" s="2"/>
      <c r="T112" s="6">
        <v>168.85</v>
      </c>
      <c r="U112" s="2"/>
      <c r="V112" s="7">
        <f t="shared" si="66"/>
        <v>4.1127811549322756E-4</v>
      </c>
      <c r="W112" s="2"/>
      <c r="X112" s="6">
        <f t="shared" si="67"/>
        <v>1053.8800000000001</v>
      </c>
      <c r="Y112" s="2"/>
      <c r="Z112" s="7">
        <f t="shared" si="68"/>
        <v>6.2415161385845437</v>
      </c>
    </row>
    <row r="113" spans="1:26" s="26" customFormat="1" outlineLevel="1" collapsed="1" x14ac:dyDescent="0.25">
      <c r="A113" s="27"/>
      <c r="B113" s="12" t="str">
        <f>CONCATENATE("     ","Telephone/Data Lines                              ")</f>
        <v xml:space="preserve">     Telephone/Data Lines                              </v>
      </c>
      <c r="C113" s="12"/>
      <c r="D113" s="1">
        <f>SUM(OSRRefD22_10x_0)</f>
        <v>53</v>
      </c>
      <c r="E113" s="1"/>
      <c r="F113" s="5">
        <f t="shared" ref="F113:F116" si="69">IF(D$12=0,0,D113/D$12)</f>
        <v>0</v>
      </c>
      <c r="G113" s="1"/>
      <c r="H113" s="1">
        <f>SUM(OSRRefH22_10x_0)</f>
        <v>103.15</v>
      </c>
      <c r="I113" s="1"/>
      <c r="J113" s="5">
        <f t="shared" ref="J113:J116" si="70">IF(H$12=0,0,H113/H$12)</f>
        <v>3.9301765931408035E-3</v>
      </c>
      <c r="K113" s="1"/>
      <c r="L113" s="1">
        <f t="shared" ref="L113:L116" si="71">+D113-H113</f>
        <v>-50.150000000000006</v>
      </c>
      <c r="M113" s="1"/>
      <c r="N113" s="5">
        <f t="shared" ref="N113:N116" si="72">IF(H113=0,0,L113/H113)</f>
        <v>-0.48618516723218619</v>
      </c>
      <c r="O113" s="12"/>
      <c r="P113" s="1">
        <f>SUM(OSRRefP22_10x_0)</f>
        <v>525.04999999999995</v>
      </c>
      <c r="Q113" s="1"/>
      <c r="R113" s="5">
        <f t="shared" ref="R113:R116" si="73">IF(P$12=0,0,P113/P$12)</f>
        <v>2.4636447584262703E-2</v>
      </c>
      <c r="S113" s="1"/>
      <c r="T113" s="1">
        <f>SUM(OSRRefT22_10x_0)</f>
        <v>887.37</v>
      </c>
      <c r="U113" s="1"/>
      <c r="V113" s="5">
        <f t="shared" ref="V113:V116" si="74">IF(T$12=0,0,T113/T$12)</f>
        <v>2.1614205587517049E-3</v>
      </c>
      <c r="W113" s="1"/>
      <c r="X113" s="1">
        <f t="shared" ref="X113:X116" si="75">+P113-T113</f>
        <v>-362.32000000000005</v>
      </c>
      <c r="Y113" s="1"/>
      <c r="Z113" s="5">
        <f t="shared" ref="Z113:Z116" si="76">IF(T113=0,0,X113/T113)</f>
        <v>-0.40830769577515585</v>
      </c>
    </row>
    <row r="114" spans="1:26" s="23" customFormat="1" hidden="1" outlineLevel="2" x14ac:dyDescent="0.25">
      <c r="A114" s="25"/>
      <c r="B114" s="10" t="str">
        <f>CONCATENATE("          ", "6309", " - ", "TELEPHONE")</f>
        <v xml:space="preserve">          6309 - TELEPHONE</v>
      </c>
      <c r="C114" s="10"/>
      <c r="D114" s="6">
        <v>53</v>
      </c>
      <c r="E114" s="2"/>
      <c r="F114" s="7">
        <f t="shared" si="69"/>
        <v>0</v>
      </c>
      <c r="G114" s="2"/>
      <c r="H114" s="6">
        <v>103.15</v>
      </c>
      <c r="I114" s="2"/>
      <c r="J114" s="7">
        <f t="shared" si="70"/>
        <v>3.9301765931408035E-3</v>
      </c>
      <c r="K114" s="2"/>
      <c r="L114" s="6">
        <f t="shared" si="71"/>
        <v>-50.150000000000006</v>
      </c>
      <c r="M114" s="2"/>
      <c r="N114" s="7">
        <f t="shared" si="72"/>
        <v>-0.48618516723218619</v>
      </c>
      <c r="O114" s="10"/>
      <c r="P114" s="6">
        <v>525.04999999999995</v>
      </c>
      <c r="Q114" s="2"/>
      <c r="R114" s="7">
        <f t="shared" si="73"/>
        <v>2.4636447584262703E-2</v>
      </c>
      <c r="S114" s="2"/>
      <c r="T114" s="6">
        <v>887.37</v>
      </c>
      <c r="U114" s="2"/>
      <c r="V114" s="7">
        <f t="shared" si="74"/>
        <v>2.1614205587517049E-3</v>
      </c>
      <c r="W114" s="2"/>
      <c r="X114" s="6">
        <f t="shared" si="75"/>
        <v>-362.32000000000005</v>
      </c>
      <c r="Y114" s="2"/>
      <c r="Z114" s="7">
        <f t="shared" si="76"/>
        <v>-0.40830769577515585</v>
      </c>
    </row>
    <row r="115" spans="1:26" s="26" customFormat="1" outlineLevel="1" collapsed="1" x14ac:dyDescent="0.25">
      <c r="A115" s="27"/>
      <c r="B115" s="12" t="str">
        <f>CONCATENATE("     ","Training                                          ")</f>
        <v xml:space="preserve">     Training                                          </v>
      </c>
      <c r="C115" s="12"/>
      <c r="D115" s="1">
        <f>SUM(OSRRefD22_11x_0)</f>
        <v>0</v>
      </c>
      <c r="E115" s="1"/>
      <c r="F115" s="5">
        <f t="shared" si="69"/>
        <v>0</v>
      </c>
      <c r="G115" s="1"/>
      <c r="H115" s="1">
        <f>SUM(OSRRefH22_11x_0)</f>
        <v>0</v>
      </c>
      <c r="I115" s="1"/>
      <c r="J115" s="5">
        <f t="shared" si="70"/>
        <v>0</v>
      </c>
      <c r="K115" s="1"/>
      <c r="L115" s="1">
        <f t="shared" si="71"/>
        <v>0</v>
      </c>
      <c r="M115" s="1"/>
      <c r="N115" s="5">
        <f t="shared" si="72"/>
        <v>0</v>
      </c>
      <c r="O115" s="12"/>
      <c r="P115" s="1">
        <f>SUM(OSRRefP22_11x_0)</f>
        <v>14</v>
      </c>
      <c r="Q115" s="1"/>
      <c r="R115" s="5">
        <f t="shared" si="73"/>
        <v>6.5690937278293094E-4</v>
      </c>
      <c r="S115" s="1"/>
      <c r="T115" s="1">
        <f>SUM(OSRRefT22_11x_0)</f>
        <v>254.8</v>
      </c>
      <c r="U115" s="1"/>
      <c r="V115" s="5">
        <f t="shared" si="74"/>
        <v>6.2063170759653178E-4</v>
      </c>
      <c r="W115" s="1"/>
      <c r="X115" s="1">
        <f t="shared" si="75"/>
        <v>-240.8</v>
      </c>
      <c r="Y115" s="1"/>
      <c r="Z115" s="5">
        <f t="shared" si="76"/>
        <v>-0.94505494505494503</v>
      </c>
    </row>
    <row r="116" spans="1:26" s="23" customFormat="1" hidden="1" outlineLevel="2" x14ac:dyDescent="0.25">
      <c r="A116" s="25"/>
      <c r="B116" s="10" t="str">
        <f>CONCATENATE("          ", "6376", " - ", "TRAINING")</f>
        <v xml:space="preserve">          6376 - TRAINING</v>
      </c>
      <c r="C116" s="10"/>
      <c r="D116" s="6"/>
      <c r="E116" s="2"/>
      <c r="F116" s="7">
        <f t="shared" si="69"/>
        <v>0</v>
      </c>
      <c r="G116" s="2"/>
      <c r="H116" s="6"/>
      <c r="I116" s="2"/>
      <c r="J116" s="7">
        <f t="shared" si="70"/>
        <v>0</v>
      </c>
      <c r="K116" s="2"/>
      <c r="L116" s="6">
        <f t="shared" si="71"/>
        <v>0</v>
      </c>
      <c r="M116" s="2"/>
      <c r="N116" s="7">
        <f t="shared" si="72"/>
        <v>0</v>
      </c>
      <c r="O116" s="10"/>
      <c r="P116" s="6">
        <v>14</v>
      </c>
      <c r="Q116" s="2"/>
      <c r="R116" s="7">
        <f t="shared" si="73"/>
        <v>6.5690937278293094E-4</v>
      </c>
      <c r="S116" s="2"/>
      <c r="T116" s="6">
        <v>254.8</v>
      </c>
      <c r="U116" s="2"/>
      <c r="V116" s="7">
        <f t="shared" si="74"/>
        <v>6.2063170759653178E-4</v>
      </c>
      <c r="W116" s="2"/>
      <c r="X116" s="6">
        <f t="shared" si="75"/>
        <v>-240.8</v>
      </c>
      <c r="Y116" s="2"/>
      <c r="Z116" s="7">
        <f t="shared" si="76"/>
        <v>-0.94505494505494503</v>
      </c>
    </row>
    <row r="117" spans="1:26" s="60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4" customFormat="1" collapsed="1" x14ac:dyDescent="0.25">
      <c r="A118" s="11"/>
      <c r="B118" s="28" t="s">
        <v>292</v>
      </c>
      <c r="C118" s="11"/>
      <c r="D118" s="4">
        <f>SUM(OSRRefD25x_0)</f>
        <v>0</v>
      </c>
      <c r="E118" s="4"/>
      <c r="F118" s="13">
        <f t="shared" ref="F118:F119" si="77">IF(D$12=0,0,D118/D$12)</f>
        <v>0</v>
      </c>
      <c r="G118" s="4"/>
      <c r="H118" s="4">
        <f>SUM(OSRRefH25x_0)</f>
        <v>0</v>
      </c>
      <c r="I118" s="4"/>
      <c r="J118" s="13">
        <f t="shared" ref="J118:J119" si="78">IF(H$12=0,0,H118/H$12)</f>
        <v>0</v>
      </c>
      <c r="K118" s="4"/>
      <c r="L118" s="4">
        <f t="shared" ref="L118:L119" si="79">+D118-H118</f>
        <v>0</v>
      </c>
      <c r="M118" s="4"/>
      <c r="N118" s="13">
        <f t="shared" ref="N118:N119" si="80">IF(H118=0,0,L118/H118)</f>
        <v>0</v>
      </c>
      <c r="O118" s="11"/>
      <c r="P118" s="4">
        <f>SUM(OSRRefP25x_0)</f>
        <v>0</v>
      </c>
      <c r="Q118" s="4"/>
      <c r="R118" s="13">
        <f t="shared" ref="R118:R119" si="81">IF(P$12=0,0,P118/P$12)</f>
        <v>0</v>
      </c>
      <c r="S118" s="4"/>
      <c r="T118" s="4">
        <f>SUM(OSRRefT25x_0)</f>
        <v>68.760000000000005</v>
      </c>
      <c r="U118" s="4"/>
      <c r="V118" s="13">
        <f t="shared" ref="V118:V119" si="82">IF(T$12=0,0,T118/T$12)</f>
        <v>1.6748287368264334E-4</v>
      </c>
      <c r="W118" s="4"/>
      <c r="X118" s="4">
        <f t="shared" ref="X118:X119" si="83">+P118-T118</f>
        <v>-68.760000000000005</v>
      </c>
      <c r="Y118" s="4"/>
      <c r="Z118" s="13">
        <f t="shared" ref="Z118:Z119" si="84">IF(T118=0,0,X118/T118)</f>
        <v>-1</v>
      </c>
    </row>
    <row r="119" spans="1:26" s="23" customFormat="1" hidden="1" outlineLevel="1" x14ac:dyDescent="0.25">
      <c r="A119" s="44"/>
      <c r="B119" s="10" t="str">
        <f>CONCATENATE("          ", "9150", " - ", "MISC. INCOME")</f>
        <v xml:space="preserve">          9150 - MISC. INCOME</v>
      </c>
      <c r="C119" s="10"/>
      <c r="D119" s="2">
        <f>0</f>
        <v>0</v>
      </c>
      <c r="E119" s="2"/>
      <c r="F119" s="19">
        <f t="shared" si="77"/>
        <v>0</v>
      </c>
      <c r="G119" s="2"/>
      <c r="H119" s="2">
        <f>0</f>
        <v>0</v>
      </c>
      <c r="I119" s="2"/>
      <c r="J119" s="19">
        <f t="shared" si="78"/>
        <v>0</v>
      </c>
      <c r="K119" s="2"/>
      <c r="L119" s="2">
        <f t="shared" si="79"/>
        <v>0</v>
      </c>
      <c r="M119" s="2"/>
      <c r="N119" s="19">
        <f t="shared" si="80"/>
        <v>0</v>
      </c>
      <c r="O119" s="10"/>
      <c r="P119" s="2">
        <f>0</f>
        <v>0</v>
      </c>
      <c r="Q119" s="2"/>
      <c r="R119" s="19">
        <f t="shared" si="81"/>
        <v>0</v>
      </c>
      <c r="S119" s="2"/>
      <c r="T119" s="2">
        <f>--68.76</f>
        <v>68.760000000000005</v>
      </c>
      <c r="U119" s="2"/>
      <c r="V119" s="19">
        <f t="shared" si="82"/>
        <v>1.6748287368264334E-4</v>
      </c>
      <c r="W119" s="2"/>
      <c r="X119" s="2">
        <f t="shared" si="83"/>
        <v>-68.760000000000005</v>
      </c>
      <c r="Y119" s="2"/>
      <c r="Z119" s="19">
        <f t="shared" si="84"/>
        <v>-1</v>
      </c>
    </row>
    <row r="120" spans="1:26" x14ac:dyDescent="0.25">
      <c r="A120" s="9"/>
      <c r="B120" s="11"/>
      <c r="C120" s="11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1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4" customFormat="1" x14ac:dyDescent="0.25">
      <c r="A121" s="11"/>
      <c r="B121" s="29" t="s">
        <v>276</v>
      </c>
      <c r="C121" s="29"/>
      <c r="D121" s="22">
        <f>+D74-D76+D118</f>
        <v>-144.59</v>
      </c>
      <c r="E121" s="14"/>
      <c r="F121" s="20">
        <f>IF(D$12=0,0,D121/D$12)</f>
        <v>0</v>
      </c>
      <c r="G121" s="14"/>
      <c r="H121" s="22">
        <f>+H74-H76+H118</f>
        <v>1053.6299999999992</v>
      </c>
      <c r="I121" s="14"/>
      <c r="J121" s="20">
        <f>IF(H$12=0,0,H121/H$12)</f>
        <v>4.0144953599912186E-2</v>
      </c>
      <c r="K121" s="15"/>
      <c r="L121" s="22">
        <f>+D121-H121</f>
        <v>-1198.2199999999991</v>
      </c>
      <c r="M121" s="15"/>
      <c r="N121" s="20">
        <f>IF(H121=0,0,L121/H121)</f>
        <v>-1.1372303370253316</v>
      </c>
      <c r="O121" s="28"/>
      <c r="P121" s="22">
        <f>+P74-P76+P118</f>
        <v>-5109.4399999999932</v>
      </c>
      <c r="Q121" s="14"/>
      <c r="R121" s="20">
        <f>IF(P$12=0,0,P121/P$12)</f>
        <v>-0.23974564469085816</v>
      </c>
      <c r="S121" s="14"/>
      <c r="T121" s="22">
        <f>+T74-T76+T118</f>
        <v>86764.650000000212</v>
      </c>
      <c r="U121" s="14"/>
      <c r="V121" s="20">
        <f>IF(T$12=0,0,T121/T$12)</f>
        <v>0.21133788417784752</v>
      </c>
      <c r="W121" s="15"/>
      <c r="X121" s="22">
        <f>+P121-T121</f>
        <v>-91874.0900000002</v>
      </c>
      <c r="Y121" s="15"/>
      <c r="Z121" s="20">
        <f>IF(T121=0,0,X121/T121)</f>
        <v>-1.0588884989451346</v>
      </c>
    </row>
    <row r="122" spans="1:26" x14ac:dyDescent="0.25">
      <c r="A122" s="9"/>
      <c r="B122" s="11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4" customFormat="1" x14ac:dyDescent="0.25">
      <c r="A123" s="51"/>
      <c r="B123" s="11" t="s">
        <v>127</v>
      </c>
      <c r="C123" s="11"/>
      <c r="D123" s="4">
        <v>171.69</v>
      </c>
      <c r="E123" s="4"/>
      <c r="F123" s="13">
        <f>IF(D$12=0,0,D123/D$12)</f>
        <v>0</v>
      </c>
      <c r="G123" s="4"/>
      <c r="H123" s="4">
        <v>4823.21</v>
      </c>
      <c r="I123" s="4"/>
      <c r="J123" s="13">
        <f>IF(H$12=0,0,H123/H$12)</f>
        <v>0.18377185696367093</v>
      </c>
      <c r="K123" s="4"/>
      <c r="L123" s="4">
        <f>+D123-H123</f>
        <v>-4651.5200000000004</v>
      </c>
      <c r="M123" s="4"/>
      <c r="N123" s="13">
        <f>IF(H123=0,0,L123/H123)</f>
        <v>-0.96440337451614178</v>
      </c>
      <c r="O123" s="11"/>
      <c r="P123" s="4">
        <v>4392.21</v>
      </c>
      <c r="Q123" s="4"/>
      <c r="R123" s="13">
        <f>IF(P$12=0,0,P123/P$12)</f>
        <v>0.20609170830220835</v>
      </c>
      <c r="S123" s="4"/>
      <c r="T123" s="4">
        <v>43991.37</v>
      </c>
      <c r="U123" s="4"/>
      <c r="V123" s="13">
        <f>IF(T$12=0,0,T123/T$12)</f>
        <v>0.1071524296805763</v>
      </c>
      <c r="W123" s="4"/>
      <c r="X123" s="4">
        <f>+P123-T123</f>
        <v>-39599.160000000003</v>
      </c>
      <c r="Y123" s="4"/>
      <c r="Z123" s="13">
        <f>IF(T123=0,0,X123/T123)</f>
        <v>-0.90015746270234365</v>
      </c>
    </row>
    <row r="124" spans="1:26" x14ac:dyDescent="0.25">
      <c r="A124" s="9"/>
      <c r="B124" s="11"/>
      <c r="C124" s="11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1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4" customFormat="1" ht="15.75" thickBot="1" x14ac:dyDescent="0.3">
      <c r="A125" s="11"/>
      <c r="B125" s="29" t="s">
        <v>125</v>
      </c>
      <c r="C125" s="29"/>
      <c r="D125" s="30">
        <f>+D121-D123</f>
        <v>-316.27999999999997</v>
      </c>
      <c r="E125" s="14"/>
      <c r="F125" s="36">
        <f>IF(D$12=0,0,D125/D$12)</f>
        <v>0</v>
      </c>
      <c r="G125" s="14"/>
      <c r="H125" s="30">
        <f>+H121-H123</f>
        <v>-3769.5800000000008</v>
      </c>
      <c r="I125" s="14"/>
      <c r="J125" s="36">
        <f>IF(H$12=0,0,H125/H$12)</f>
        <v>-0.14362690336375875</v>
      </c>
      <c r="K125" s="15"/>
      <c r="L125" s="30">
        <f>D125-H125</f>
        <v>3453.3000000000011</v>
      </c>
      <c r="M125" s="15"/>
      <c r="N125" s="36">
        <f>IF(H125=0,0,L125/H125)</f>
        <v>-0.91609675348447317</v>
      </c>
      <c r="O125" s="28"/>
      <c r="P125" s="30">
        <f>+P121-P123</f>
        <v>-9501.6499999999942</v>
      </c>
      <c r="Q125" s="14"/>
      <c r="R125" s="36">
        <f>IF(P$12=0,0,P125/P$12)</f>
        <v>-0.44583735299306654</v>
      </c>
      <c r="S125" s="14"/>
      <c r="T125" s="30">
        <f>+T121-T123</f>
        <v>42773.28000000021</v>
      </c>
      <c r="U125" s="14"/>
      <c r="V125" s="36">
        <f>IF(T$12=0,0,T125/T$12)</f>
        <v>0.10418545449727123</v>
      </c>
      <c r="W125" s="15"/>
      <c r="X125" s="30">
        <f>P125-T125</f>
        <v>-52274.930000000204</v>
      </c>
      <c r="Y125" s="15"/>
      <c r="Z125" s="36">
        <f>IF(T125=0,0,X125/T125)</f>
        <v>-1.2221398499249987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9" t="s">
        <v>293</v>
      </c>
      <c r="C128" s="29"/>
      <c r="D128" s="35">
        <f>SUM(D125:D127)</f>
        <v>-316.27999999999997</v>
      </c>
      <c r="E128" s="14"/>
      <c r="F128" s="34">
        <f>IF(D$12=0,0,D128/D$12)</f>
        <v>0</v>
      </c>
      <c r="G128" s="14"/>
      <c r="H128" s="35">
        <f>SUM(H125:H127)</f>
        <v>-3769.5800000000008</v>
      </c>
      <c r="I128" s="14"/>
      <c r="J128" s="34">
        <f>IF(H$12=0,0,H128/H$12)</f>
        <v>-0.14362690336375875</v>
      </c>
      <c r="K128" s="15"/>
      <c r="L128" s="35">
        <f>+D128-H128</f>
        <v>3453.3000000000011</v>
      </c>
      <c r="M128" s="15"/>
      <c r="N128" s="34">
        <f>IF(H128=0,0,L128/H128)</f>
        <v>-0.91609675348447317</v>
      </c>
      <c r="O128" s="28"/>
      <c r="P128" s="35">
        <f>SUM(P125:P127)</f>
        <v>-9501.6499999999942</v>
      </c>
      <c r="Q128" s="14"/>
      <c r="R128" s="34">
        <f>IF(P$12=0,0,P128/P$12)</f>
        <v>-0.44583735299306654</v>
      </c>
      <c r="S128" s="14"/>
      <c r="T128" s="35">
        <f>SUM(T125:T127)</f>
        <v>42773.28000000021</v>
      </c>
      <c r="U128" s="14"/>
      <c r="V128" s="34">
        <f>IF(T$12=0,0,T128/T$12)</f>
        <v>0.10418545449727123</v>
      </c>
      <c r="W128" s="15"/>
      <c r="X128" s="35">
        <f>+P128-T128</f>
        <v>-52274.930000000204</v>
      </c>
      <c r="Y128" s="15"/>
      <c r="Z128" s="34">
        <f>IF(T128=0,0,X128/T128)</f>
        <v>-1.2221398499249987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4">
        <v>44295.963243634258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8" t="s">
        <v>56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A132" s="9"/>
      <c r="B132" s="62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","314", " - ", "Tech/Supplies")</f>
        <v>Department 314 - Tech/Supplies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14591.45</v>
      </c>
      <c r="I12" s="4"/>
      <c r="J12" s="13"/>
      <c r="K12" s="4"/>
      <c r="L12" s="4">
        <f t="shared" ref="L12:L33" si="0">+D12-H12</f>
        <v>-14591.45</v>
      </c>
      <c r="M12" s="4"/>
      <c r="N12" s="13">
        <f t="shared" ref="N12:N33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400990.76000000007</v>
      </c>
      <c r="U12" s="4"/>
      <c r="V12" s="13"/>
      <c r="W12" s="4"/>
      <c r="X12" s="4">
        <f t="shared" ref="X12:X33" si="2">+P12-T12</f>
        <v>-400990.76000000007</v>
      </c>
      <c r="Y12" s="4"/>
      <c r="Z12" s="13">
        <f t="shared" ref="Z12:Z33" si="3">IF(T12=0,0,X12/T12)</f>
        <v>-1</v>
      </c>
    </row>
    <row r="13" spans="1:26" s="23" customFormat="1" hidden="1" outlineLevel="1" x14ac:dyDescent="0.25">
      <c r="A13" s="44"/>
      <c r="B13" s="10" t="str">
        <f>CONCATENATE("          ", "4017", " - ", "TAXABLE SALES-DORM/HOUSEWARES")</f>
        <v xml:space="preserve">          4017 - TAXABLE SALES-DORM/HOUSEWARES</v>
      </c>
      <c r="C13" s="10"/>
      <c r="D13" s="2">
        <f t="shared" ref="D13:D33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33" si="6">0</f>
        <v>0</v>
      </c>
      <c r="Q13" s="2"/>
      <c r="R13" s="19"/>
      <c r="S13" s="2"/>
      <c r="T13" s="2">
        <f>--211.2</f>
        <v>211.2</v>
      </c>
      <c r="U13" s="2"/>
      <c r="V13" s="19"/>
      <c r="W13" s="2"/>
      <c r="X13" s="2">
        <f t="shared" si="2"/>
        <v>-211.2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"4019", " - ", "TAXABLE SALES-BOOK RELATED")</f>
        <v xml:space="preserve">          4019 - TAXABLE SALES-BOOK RELATED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--42.85</f>
        <v>42.85</v>
      </c>
      <c r="U14" s="2"/>
      <c r="V14" s="19"/>
      <c r="W14" s="2"/>
      <c r="X14" s="2">
        <f t="shared" si="2"/>
        <v>-42.85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"4025", " - ", "TAXABLE SALES-TEST FORMS")</f>
        <v xml:space="preserve">          4025 - TAXABLE SALES-TEST FORMS</v>
      </c>
      <c r="C15" s="10"/>
      <c r="D15" s="2">
        <f t="shared" si="4"/>
        <v>0</v>
      </c>
      <c r="E15" s="2"/>
      <c r="F15" s="19"/>
      <c r="G15" s="2"/>
      <c r="H15" s="2">
        <f>--2695.91</f>
        <v>2695.91</v>
      </c>
      <c r="I15" s="2"/>
      <c r="J15" s="19"/>
      <c r="K15" s="2"/>
      <c r="L15" s="2">
        <f t="shared" si="0"/>
        <v>-2695.91</v>
      </c>
      <c r="M15" s="2"/>
      <c r="N15" s="19">
        <f t="shared" si="1"/>
        <v>-1</v>
      </c>
      <c r="O15" s="10"/>
      <c r="P15" s="2">
        <f t="shared" si="6"/>
        <v>0</v>
      </c>
      <c r="Q15" s="2"/>
      <c r="R15" s="19"/>
      <c r="S15" s="2"/>
      <c r="T15" s="2">
        <f>--52426.3</f>
        <v>52426.3</v>
      </c>
      <c r="U15" s="2"/>
      <c r="V15" s="19"/>
      <c r="W15" s="2"/>
      <c r="X15" s="2">
        <f t="shared" si="2"/>
        <v>-52426.3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"4026", " - ", "TAXABLE SALES-WRITING INSTRUME")</f>
        <v xml:space="preserve">          4026 - TAXABLE SALES-WRITING INSTRUME</v>
      </c>
      <c r="C16" s="10"/>
      <c r="D16" s="2">
        <f t="shared" si="4"/>
        <v>0</v>
      </c>
      <c r="E16" s="2"/>
      <c r="F16" s="19"/>
      <c r="G16" s="2"/>
      <c r="H16" s="2">
        <f>--4002.44</f>
        <v>4002.44</v>
      </c>
      <c r="I16" s="2"/>
      <c r="J16" s="19"/>
      <c r="K16" s="2"/>
      <c r="L16" s="2">
        <f t="shared" si="0"/>
        <v>-4002.44</v>
      </c>
      <c r="M16" s="2"/>
      <c r="N16" s="19">
        <f t="shared" si="1"/>
        <v>-1</v>
      </c>
      <c r="O16" s="10"/>
      <c r="P16" s="2">
        <f t="shared" si="6"/>
        <v>0</v>
      </c>
      <c r="Q16" s="2"/>
      <c r="R16" s="19"/>
      <c r="S16" s="2"/>
      <c r="T16" s="2">
        <f>--72975.17</f>
        <v>72975.17</v>
      </c>
      <c r="U16" s="2"/>
      <c r="V16" s="19"/>
      <c r="W16" s="2"/>
      <c r="X16" s="2">
        <f t="shared" si="2"/>
        <v>-72975.17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"4027", " - ", "TAXABLE SALES-SCHOOL SUPPLIES")</f>
        <v xml:space="preserve">          4027 - TAXABLE SALES-SCHOOL SUPPLIES</v>
      </c>
      <c r="C17" s="10"/>
      <c r="D17" s="2">
        <f t="shared" si="4"/>
        <v>0</v>
      </c>
      <c r="E17" s="2"/>
      <c r="F17" s="19"/>
      <c r="G17" s="2"/>
      <c r="H17" s="2">
        <f>--7917.49</f>
        <v>7917.49</v>
      </c>
      <c r="I17" s="2"/>
      <c r="J17" s="19"/>
      <c r="K17" s="2"/>
      <c r="L17" s="2">
        <f t="shared" si="0"/>
        <v>-7917.49</v>
      </c>
      <c r="M17" s="2"/>
      <c r="N17" s="19">
        <f t="shared" si="1"/>
        <v>-1</v>
      </c>
      <c r="O17" s="10"/>
      <c r="P17" s="2">
        <f t="shared" si="6"/>
        <v>0</v>
      </c>
      <c r="Q17" s="2"/>
      <c r="R17" s="19"/>
      <c r="S17" s="2"/>
      <c r="T17" s="2">
        <f>--260453.86</f>
        <v>260453.86</v>
      </c>
      <c r="U17" s="2"/>
      <c r="V17" s="19"/>
      <c r="W17" s="2"/>
      <c r="X17" s="2">
        <f t="shared" si="2"/>
        <v>-260453.86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"4028", " - ", "TAXABLE SALES-ART/TECH")</f>
        <v xml:space="preserve">          4028 - TAXABLE SALES-ART/TECH</v>
      </c>
      <c r="C18" s="10"/>
      <c r="D18" s="2">
        <f t="shared" si="4"/>
        <v>0</v>
      </c>
      <c r="E18" s="2"/>
      <c r="F18" s="19"/>
      <c r="G18" s="2"/>
      <c r="H18" s="2">
        <f>--471.51</f>
        <v>471.51</v>
      </c>
      <c r="I18" s="2"/>
      <c r="J18" s="19"/>
      <c r="K18" s="2"/>
      <c r="L18" s="2">
        <f t="shared" si="0"/>
        <v>-471.51</v>
      </c>
      <c r="M18" s="2"/>
      <c r="N18" s="19">
        <f t="shared" si="1"/>
        <v>-1</v>
      </c>
      <c r="O18" s="10"/>
      <c r="P18" s="2">
        <f t="shared" si="6"/>
        <v>0</v>
      </c>
      <c r="Q18" s="2"/>
      <c r="R18" s="19"/>
      <c r="S18" s="2"/>
      <c r="T18" s="2">
        <f>--12103.33</f>
        <v>12103.33</v>
      </c>
      <c r="U18" s="2"/>
      <c r="V18" s="19"/>
      <c r="W18" s="2"/>
      <c r="X18" s="2">
        <f t="shared" si="2"/>
        <v>-12103.33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"4031", " - ", "TAXABLE SALES-FOOD")</f>
        <v xml:space="preserve">          4031 - TAXABLE SALES-FOOD</v>
      </c>
      <c r="C19" s="10"/>
      <c r="D19" s="2">
        <f t="shared" si="4"/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 t="shared" si="6"/>
        <v>0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"4035", " - ", "TAXABLE SALES-HEALTH &amp; BEAUTY")</f>
        <v xml:space="preserve">          4035 - TAXABLE SALES-HEALTH &amp; BEAUTY</v>
      </c>
      <c r="C20" s="10"/>
      <c r="D20" s="2">
        <f t="shared" si="4"/>
        <v>0</v>
      </c>
      <c r="E20" s="2"/>
      <c r="F20" s="19"/>
      <c r="G20" s="2"/>
      <c r="H20" s="2">
        <f>--3.95</f>
        <v>3.95</v>
      </c>
      <c r="I20" s="2"/>
      <c r="J20" s="19"/>
      <c r="K20" s="2"/>
      <c r="L20" s="2">
        <f t="shared" si="0"/>
        <v>-3.95</v>
      </c>
      <c r="M20" s="2"/>
      <c r="N20" s="19">
        <f t="shared" si="1"/>
        <v>-1</v>
      </c>
      <c r="O20" s="10"/>
      <c r="P20" s="2">
        <f t="shared" si="6"/>
        <v>0</v>
      </c>
      <c r="Q20" s="2"/>
      <c r="R20" s="19"/>
      <c r="S20" s="2"/>
      <c r="T20" s="2">
        <f>--20.15</f>
        <v>20.149999999999999</v>
      </c>
      <c r="U20" s="2"/>
      <c r="V20" s="19"/>
      <c r="W20" s="2"/>
      <c r="X20" s="2">
        <f t="shared" si="2"/>
        <v>-20.149999999999999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"4125", " - ", "NON-TAXABLE SALES-TEST FORMS")</f>
        <v xml:space="preserve">          4125 - NON-TAXABLE SALES-TEST FORMS</v>
      </c>
      <c r="C21" s="10"/>
      <c r="D21" s="2">
        <f t="shared" si="4"/>
        <v>0</v>
      </c>
      <c r="E21" s="2"/>
      <c r="F21" s="19"/>
      <c r="G21" s="2"/>
      <c r="H21" s="2">
        <f>--4.54</f>
        <v>4.54</v>
      </c>
      <c r="I21" s="2"/>
      <c r="J21" s="19"/>
      <c r="K21" s="2"/>
      <c r="L21" s="2">
        <f t="shared" si="0"/>
        <v>-4.54</v>
      </c>
      <c r="M21" s="2"/>
      <c r="N21" s="19">
        <f t="shared" si="1"/>
        <v>-1</v>
      </c>
      <c r="O21" s="10"/>
      <c r="P21" s="2">
        <f t="shared" si="6"/>
        <v>0</v>
      </c>
      <c r="Q21" s="2"/>
      <c r="R21" s="19"/>
      <c r="S21" s="2"/>
      <c r="T21" s="2">
        <f>--267.61</f>
        <v>267.61</v>
      </c>
      <c r="U21" s="2"/>
      <c r="V21" s="19"/>
      <c r="W21" s="2"/>
      <c r="X21" s="2">
        <f t="shared" si="2"/>
        <v>-267.61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"4126", " - ", "NON-TAXABLE SALES-WRITING INST")</f>
        <v xml:space="preserve">          4126 - NON-TAXABLE SALES-WRITING INST</v>
      </c>
      <c r="C22" s="10"/>
      <c r="D22" s="2">
        <f t="shared" si="4"/>
        <v>0</v>
      </c>
      <c r="E22" s="2"/>
      <c r="F22" s="19"/>
      <c r="G22" s="2"/>
      <c r="H22" s="2">
        <f>--110.71</f>
        <v>110.71</v>
      </c>
      <c r="I22" s="2"/>
      <c r="J22" s="19"/>
      <c r="K22" s="2"/>
      <c r="L22" s="2">
        <f t="shared" si="0"/>
        <v>-110.71</v>
      </c>
      <c r="M22" s="2"/>
      <c r="N22" s="19">
        <f t="shared" si="1"/>
        <v>-1</v>
      </c>
      <c r="O22" s="10"/>
      <c r="P22" s="2">
        <f t="shared" si="6"/>
        <v>0</v>
      </c>
      <c r="Q22" s="2"/>
      <c r="R22" s="19"/>
      <c r="S22" s="2"/>
      <c r="T22" s="2">
        <f>--3014.8</f>
        <v>3014.8</v>
      </c>
      <c r="U22" s="2"/>
      <c r="V22" s="19"/>
      <c r="W22" s="2"/>
      <c r="X22" s="2">
        <f t="shared" si="2"/>
        <v>-3014.8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"4127", " - ", "NON-TAXABLE SALES-SCHOOL SUPPL")</f>
        <v xml:space="preserve">          4127 - NON-TAXABLE SALES-SCHOOL SUPPL</v>
      </c>
      <c r="C23" s="10"/>
      <c r="D23" s="2">
        <f t="shared" si="4"/>
        <v>0</v>
      </c>
      <c r="E23" s="2"/>
      <c r="F23" s="19"/>
      <c r="G23" s="2"/>
      <c r="H23" s="2">
        <f>--53.81</f>
        <v>53.81</v>
      </c>
      <c r="I23" s="2"/>
      <c r="J23" s="19"/>
      <c r="K23" s="2"/>
      <c r="L23" s="2">
        <f t="shared" si="0"/>
        <v>-53.81</v>
      </c>
      <c r="M23" s="2"/>
      <c r="N23" s="19">
        <f t="shared" si="1"/>
        <v>-1</v>
      </c>
      <c r="O23" s="10"/>
      <c r="P23" s="2">
        <f t="shared" si="6"/>
        <v>0</v>
      </c>
      <c r="Q23" s="2"/>
      <c r="R23" s="19"/>
      <c r="S23" s="2"/>
      <c r="T23" s="2">
        <f>--4699.77</f>
        <v>4699.7700000000004</v>
      </c>
      <c r="U23" s="2"/>
      <c r="V23" s="19"/>
      <c r="W23" s="2"/>
      <c r="X23" s="2">
        <f t="shared" si="2"/>
        <v>-4699.7700000000004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"4128", " - ", "NON-TAXABLE SALES-ART/TECH")</f>
        <v xml:space="preserve">          4128 - NON-TAXABLE SALES-ART/TECH</v>
      </c>
      <c r="C24" s="10"/>
      <c r="D24" s="2">
        <f t="shared" si="4"/>
        <v>0</v>
      </c>
      <c r="E24" s="2"/>
      <c r="F24" s="19"/>
      <c r="G24" s="2"/>
      <c r="H24" s="2">
        <f>--52.12</f>
        <v>52.12</v>
      </c>
      <c r="I24" s="2"/>
      <c r="J24" s="19"/>
      <c r="K24" s="2"/>
      <c r="L24" s="2">
        <f t="shared" si="0"/>
        <v>-52.12</v>
      </c>
      <c r="M24" s="2"/>
      <c r="N24" s="19">
        <f t="shared" si="1"/>
        <v>-1</v>
      </c>
      <c r="O24" s="10"/>
      <c r="P24" s="2">
        <f t="shared" si="6"/>
        <v>0</v>
      </c>
      <c r="Q24" s="2"/>
      <c r="R24" s="19"/>
      <c r="S24" s="2"/>
      <c r="T24" s="2">
        <f>--488.53</f>
        <v>488.53</v>
      </c>
      <c r="U24" s="2"/>
      <c r="V24" s="19"/>
      <c r="W24" s="2"/>
      <c r="X24" s="2">
        <f t="shared" si="2"/>
        <v>-488.53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"4131", " - ", "NON-TAXABLE SALES-FOOD")</f>
        <v xml:space="preserve">          4131 - NON-TAXABLE SALES-FOOD</v>
      </c>
      <c r="C25" s="10"/>
      <c r="D25" s="2">
        <f t="shared" si="4"/>
        <v>0</v>
      </c>
      <c r="E25" s="2"/>
      <c r="F25" s="19"/>
      <c r="G25" s="2"/>
      <c r="H25" s="2">
        <f>--134.57</f>
        <v>134.57</v>
      </c>
      <c r="I25" s="2"/>
      <c r="J25" s="19"/>
      <c r="K25" s="2"/>
      <c r="L25" s="2">
        <f t="shared" si="0"/>
        <v>-134.57</v>
      </c>
      <c r="M25" s="2"/>
      <c r="N25" s="19">
        <f t="shared" si="1"/>
        <v>-1</v>
      </c>
      <c r="O25" s="10"/>
      <c r="P25" s="2">
        <f t="shared" si="6"/>
        <v>0</v>
      </c>
      <c r="Q25" s="2"/>
      <c r="R25" s="19"/>
      <c r="S25" s="2"/>
      <c r="T25" s="2">
        <f>--1573.43</f>
        <v>1573.43</v>
      </c>
      <c r="U25" s="2"/>
      <c r="V25" s="19"/>
      <c r="W25" s="2"/>
      <c r="X25" s="2">
        <f t="shared" si="2"/>
        <v>-1573.43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"4133", " - ", "NON-TAXABLE SALES-CANDY")</f>
        <v xml:space="preserve">          4133 - NON-TAXABLE SALES-CANDY</v>
      </c>
      <c r="C26" s="10"/>
      <c r="D26" s="2">
        <f t="shared" si="4"/>
        <v>0</v>
      </c>
      <c r="E26" s="2"/>
      <c r="F26" s="19"/>
      <c r="G26" s="2"/>
      <c r="H26" s="2">
        <f>--140.71</f>
        <v>140.71</v>
      </c>
      <c r="I26" s="2"/>
      <c r="J26" s="19"/>
      <c r="K26" s="2"/>
      <c r="L26" s="2">
        <f t="shared" si="0"/>
        <v>-140.71</v>
      </c>
      <c r="M26" s="2"/>
      <c r="N26" s="19">
        <f t="shared" si="1"/>
        <v>-1</v>
      </c>
      <c r="O26" s="10"/>
      <c r="P26" s="2">
        <f t="shared" si="6"/>
        <v>0</v>
      </c>
      <c r="Q26" s="2"/>
      <c r="R26" s="19"/>
      <c r="S26" s="2"/>
      <c r="T26" s="2">
        <f>--2260.45</f>
        <v>2260.4499999999998</v>
      </c>
      <c r="U26" s="2"/>
      <c r="V26" s="19"/>
      <c r="W26" s="2"/>
      <c r="X26" s="2">
        <f t="shared" si="2"/>
        <v>-2260.4499999999998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"4135", " - ", "NON-TAXABLE SALES")</f>
        <v xml:space="preserve">          4135 - NON-TAXABLE SALES</v>
      </c>
      <c r="C27" s="10"/>
      <c r="D27" s="2">
        <f t="shared" si="4"/>
        <v>0</v>
      </c>
      <c r="E27" s="2"/>
      <c r="F27" s="19"/>
      <c r="G27" s="2"/>
      <c r="H27" s="2">
        <f t="shared" ref="H27:H28" si="7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6"/>
        <v>0</v>
      </c>
      <c r="Q27" s="2"/>
      <c r="R27" s="19"/>
      <c r="S27" s="2"/>
      <c r="T27" s="2">
        <f>--50.16</f>
        <v>50.16</v>
      </c>
      <c r="U27" s="2"/>
      <c r="V27" s="19"/>
      <c r="W27" s="2"/>
      <c r="X27" s="2">
        <f t="shared" si="2"/>
        <v>-50.16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"4217", " - ", "NON-TAXABLE SALES-DORM/HOUSEWA")</f>
        <v xml:space="preserve">          4217 - NON-TAXABLE SALES-DORM/HOUSEWA</v>
      </c>
      <c r="C28" s="10"/>
      <c r="D28" s="2">
        <f t="shared" si="4"/>
        <v>0</v>
      </c>
      <c r="E28" s="2"/>
      <c r="F28" s="19"/>
      <c r="G28" s="2"/>
      <c r="H28" s="2">
        <f t="shared" si="7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6"/>
        <v>0</v>
      </c>
      <c r="Q28" s="2"/>
      <c r="R28" s="19"/>
      <c r="S28" s="2"/>
      <c r="T28" s="2">
        <f>-2.98</f>
        <v>-2.98</v>
      </c>
      <c r="U28" s="2"/>
      <c r="V28" s="19"/>
      <c r="W28" s="2"/>
      <c r="X28" s="2">
        <f t="shared" si="2"/>
        <v>2.98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"4225", " - ", "SALES RETURN TAXABLE-TEST FORM")</f>
        <v xml:space="preserve">          4225 - SALES RETURN TAXABLE-TEST FORM</v>
      </c>
      <c r="C29" s="10"/>
      <c r="D29" s="2">
        <f t="shared" si="4"/>
        <v>0</v>
      </c>
      <c r="E29" s="2"/>
      <c r="F29" s="19"/>
      <c r="G29" s="2"/>
      <c r="H29" s="2">
        <f>-8.16</f>
        <v>-8.16</v>
      </c>
      <c r="I29" s="2"/>
      <c r="J29" s="19"/>
      <c r="K29" s="2"/>
      <c r="L29" s="2">
        <f t="shared" si="0"/>
        <v>8.16</v>
      </c>
      <c r="M29" s="2"/>
      <c r="N29" s="19">
        <f t="shared" si="1"/>
        <v>-1</v>
      </c>
      <c r="O29" s="10"/>
      <c r="P29" s="2">
        <f t="shared" si="6"/>
        <v>0</v>
      </c>
      <c r="Q29" s="2"/>
      <c r="R29" s="19"/>
      <c r="S29" s="2"/>
      <c r="T29" s="2">
        <f>-141.28</f>
        <v>-141.28</v>
      </c>
      <c r="U29" s="2"/>
      <c r="V29" s="19"/>
      <c r="W29" s="2"/>
      <c r="X29" s="2">
        <f t="shared" si="2"/>
        <v>141.28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"4226", " - ", "SALES RETURN TAXABLE-WRITING I")</f>
        <v xml:space="preserve">          4226 - SALES RETURN TAXABLE-WRITING I</v>
      </c>
      <c r="C30" s="10"/>
      <c r="D30" s="2">
        <f t="shared" si="4"/>
        <v>0</v>
      </c>
      <c r="E30" s="2"/>
      <c r="F30" s="19"/>
      <c r="G30" s="2"/>
      <c r="H30" s="2">
        <f>-8.96</f>
        <v>-8.9600000000000009</v>
      </c>
      <c r="I30" s="2"/>
      <c r="J30" s="19"/>
      <c r="K30" s="2"/>
      <c r="L30" s="2">
        <f t="shared" si="0"/>
        <v>8.9600000000000009</v>
      </c>
      <c r="M30" s="2"/>
      <c r="N30" s="19">
        <f t="shared" si="1"/>
        <v>-1</v>
      </c>
      <c r="O30" s="10"/>
      <c r="P30" s="2">
        <f t="shared" si="6"/>
        <v>0</v>
      </c>
      <c r="Q30" s="2"/>
      <c r="R30" s="19"/>
      <c r="S30" s="2"/>
      <c r="T30" s="2">
        <f>-619.19</f>
        <v>-619.19000000000005</v>
      </c>
      <c r="U30" s="2"/>
      <c r="V30" s="19"/>
      <c r="W30" s="2"/>
      <c r="X30" s="2">
        <f t="shared" si="2"/>
        <v>619.19000000000005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"4227", " - ", "SALES RETURN TAXABLE-SCHOOL SU")</f>
        <v xml:space="preserve">          4227 - SALES RETURN TAXABLE-SCHOOL SU</v>
      </c>
      <c r="C31" s="10"/>
      <c r="D31" s="2">
        <f t="shared" si="4"/>
        <v>0</v>
      </c>
      <c r="E31" s="2"/>
      <c r="F31" s="19"/>
      <c r="G31" s="2"/>
      <c r="H31" s="2">
        <f>-979.19</f>
        <v>-979.19</v>
      </c>
      <c r="I31" s="2"/>
      <c r="J31" s="19"/>
      <c r="K31" s="2"/>
      <c r="L31" s="2">
        <f t="shared" si="0"/>
        <v>979.19</v>
      </c>
      <c r="M31" s="2"/>
      <c r="N31" s="19">
        <f t="shared" si="1"/>
        <v>-1</v>
      </c>
      <c r="O31" s="10"/>
      <c r="P31" s="2">
        <f t="shared" si="6"/>
        <v>0</v>
      </c>
      <c r="Q31" s="2"/>
      <c r="R31" s="19"/>
      <c r="S31" s="2"/>
      <c r="T31" s="2">
        <f>-8551.55</f>
        <v>-8551.5499999999993</v>
      </c>
      <c r="U31" s="2"/>
      <c r="V31" s="19"/>
      <c r="W31" s="2"/>
      <c r="X31" s="2">
        <f t="shared" si="2"/>
        <v>8551.5499999999993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"4228", " - ", "SALES RETURN TAXABLE-ART/TECH")</f>
        <v xml:space="preserve">          4228 - SALES RETURN TAXABLE-ART/TECH</v>
      </c>
      <c r="C32" s="10"/>
      <c r="D32" s="2">
        <f t="shared" si="4"/>
        <v>0</v>
      </c>
      <c r="E32" s="2"/>
      <c r="F32" s="19"/>
      <c r="G32" s="2"/>
      <c r="H32" s="2">
        <f t="shared" ref="H32:H33" si="8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si="6"/>
        <v>0</v>
      </c>
      <c r="Q32" s="2"/>
      <c r="R32" s="19"/>
      <c r="S32" s="2"/>
      <c r="T32" s="2">
        <f>-259.98</f>
        <v>-259.98</v>
      </c>
      <c r="U32" s="2"/>
      <c r="V32" s="19"/>
      <c r="W32" s="2"/>
      <c r="X32" s="2">
        <f t="shared" si="2"/>
        <v>259.98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"4327", " - ", "SALES RETURN NON TAXABLE-SCHOO")</f>
        <v xml:space="preserve">          4327 - SALES RETURN NON TAXABLE-SCHOO</v>
      </c>
      <c r="C33" s="10"/>
      <c r="D33" s="2">
        <f t="shared" si="4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6"/>
        <v>0</v>
      </c>
      <c r="Q33" s="2"/>
      <c r="R33" s="19"/>
      <c r="S33" s="2"/>
      <c r="T33" s="2">
        <f>-21.87</f>
        <v>-21.87</v>
      </c>
      <c r="U33" s="2"/>
      <c r="V33" s="19"/>
      <c r="W33" s="2"/>
      <c r="X33" s="2">
        <f t="shared" si="2"/>
        <v>21.87</v>
      </c>
      <c r="Y33" s="2"/>
      <c r="Z33" s="19">
        <f t="shared" si="3"/>
        <v>-1</v>
      </c>
    </row>
    <row r="34" spans="1:26" x14ac:dyDescent="0.25">
      <c r="A34" s="9"/>
      <c r="B34" s="11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4" customFormat="1" collapsed="1" x14ac:dyDescent="0.25">
      <c r="A35" s="11"/>
      <c r="B35" s="28" t="s">
        <v>256</v>
      </c>
      <c r="C35" s="11"/>
      <c r="D35" s="4">
        <f>SUM(OSRRefD16x_0)</f>
        <v>0</v>
      </c>
      <c r="E35" s="4"/>
      <c r="F35" s="13">
        <f t="shared" ref="F35:F50" si="9">IF(D$12=0,0,D35/D$12)</f>
        <v>0</v>
      </c>
      <c r="G35" s="4"/>
      <c r="H35" s="4">
        <f>SUM(OSRRefH16x_0)</f>
        <v>6972.9100000000017</v>
      </c>
      <c r="I35" s="4"/>
      <c r="J35" s="13">
        <f t="shared" ref="J35:J50" si="10">IF(H$12=0,0,H35/H$12)</f>
        <v>0.47787642763399124</v>
      </c>
      <c r="K35" s="4"/>
      <c r="L35" s="4">
        <f t="shared" ref="L35:L50" si="11">+D35-H35</f>
        <v>-6972.9100000000017</v>
      </c>
      <c r="M35" s="4"/>
      <c r="N35" s="13">
        <f t="shared" ref="N35:N50" si="12">IF(H35=0,0,L35/H35)</f>
        <v>-1</v>
      </c>
      <c r="O35" s="11"/>
      <c r="P35" s="4">
        <f>SUM(OSRRefP16x_0)</f>
        <v>0</v>
      </c>
      <c r="Q35" s="4"/>
      <c r="R35" s="13">
        <f t="shared" ref="R35:R50" si="13">IF(P$12=0,0,P35/P$12)</f>
        <v>0</v>
      </c>
      <c r="S35" s="4"/>
      <c r="T35" s="4">
        <f>SUM(OSRRefT16x_0)</f>
        <v>190649.22</v>
      </c>
      <c r="U35" s="4"/>
      <c r="V35" s="13">
        <f t="shared" ref="V35:V50" si="14">IF(T$12=0,0,T35/T$12)</f>
        <v>0.47544541924108169</v>
      </c>
      <c r="W35" s="4"/>
      <c r="X35" s="4">
        <f t="shared" ref="X35:X50" si="15">+P35-T35</f>
        <v>-190649.22</v>
      </c>
      <c r="Y35" s="4"/>
      <c r="Z35" s="13">
        <f t="shared" ref="Z35:Z50" si="16">IF(T35=0,0,X35/T35)</f>
        <v>-1</v>
      </c>
    </row>
    <row r="36" spans="1:26" s="23" customFormat="1" hidden="1" outlineLevel="1" x14ac:dyDescent="0.25">
      <c r="A36" s="44"/>
      <c r="B36" s="10" t="str">
        <f>CONCATENATE("          ", "5017", " - ", "PURCHASES @ COST-DORM/HOUSEWAR")</f>
        <v xml:space="preserve">          5017 - PURCHASES @ COST-DORM/HOUSEWAR</v>
      </c>
      <c r="C36" s="10"/>
      <c r="D36" s="2"/>
      <c r="E36" s="2"/>
      <c r="F36" s="19">
        <f t="shared" si="9"/>
        <v>0</v>
      </c>
      <c r="G36" s="2"/>
      <c r="H36" s="2">
        <v>14.46</v>
      </c>
      <c r="I36" s="2"/>
      <c r="J36" s="19">
        <f t="shared" si="10"/>
        <v>9.9099129969948147E-4</v>
      </c>
      <c r="K36" s="2"/>
      <c r="L36" s="2">
        <f t="shared" si="11"/>
        <v>-14.46</v>
      </c>
      <c r="M36" s="2"/>
      <c r="N36" s="19">
        <f t="shared" si="12"/>
        <v>-1</v>
      </c>
      <c r="O36" s="10"/>
      <c r="P36" s="2"/>
      <c r="Q36" s="2"/>
      <c r="R36" s="19">
        <f t="shared" si="13"/>
        <v>0</v>
      </c>
      <c r="S36" s="2"/>
      <c r="T36" s="2">
        <v>14.46</v>
      </c>
      <c r="U36" s="2"/>
      <c r="V36" s="19">
        <f t="shared" si="14"/>
        <v>3.6060681298491761E-5</v>
      </c>
      <c r="W36" s="2"/>
      <c r="X36" s="2">
        <f t="shared" si="15"/>
        <v>-14.46</v>
      </c>
      <c r="Y36" s="2"/>
      <c r="Z36" s="19">
        <f t="shared" si="16"/>
        <v>-1</v>
      </c>
    </row>
    <row r="37" spans="1:26" s="23" customFormat="1" hidden="1" outlineLevel="1" x14ac:dyDescent="0.25">
      <c r="A37" s="44"/>
      <c r="B37" s="10" t="str">
        <f>CONCATENATE("          ", "5025", " - ", "PURCHASES @ COST-TEST FORMS")</f>
        <v xml:space="preserve">          5025 - PURCHASES @ COST-TEST FORMS</v>
      </c>
      <c r="C37" s="10"/>
      <c r="D37" s="2"/>
      <c r="E37" s="2"/>
      <c r="F37" s="19">
        <f t="shared" si="9"/>
        <v>0</v>
      </c>
      <c r="G37" s="2"/>
      <c r="H37" s="2">
        <v>-1</v>
      </c>
      <c r="I37" s="2"/>
      <c r="J37" s="19">
        <f t="shared" si="10"/>
        <v>-6.8533284903145336E-5</v>
      </c>
      <c r="K37" s="2"/>
      <c r="L37" s="2">
        <f t="shared" si="11"/>
        <v>1</v>
      </c>
      <c r="M37" s="2"/>
      <c r="N37" s="19">
        <f t="shared" si="12"/>
        <v>-1</v>
      </c>
      <c r="O37" s="10"/>
      <c r="P37" s="2"/>
      <c r="Q37" s="2"/>
      <c r="R37" s="19">
        <f t="shared" si="13"/>
        <v>0</v>
      </c>
      <c r="S37" s="2"/>
      <c r="T37" s="2">
        <v>25706.15</v>
      </c>
      <c r="U37" s="2"/>
      <c r="V37" s="19">
        <f t="shared" si="14"/>
        <v>6.4106589388743015E-2</v>
      </c>
      <c r="W37" s="2"/>
      <c r="X37" s="2">
        <f t="shared" si="15"/>
        <v>-25706.15</v>
      </c>
      <c r="Y37" s="2"/>
      <c r="Z37" s="19">
        <f t="shared" si="16"/>
        <v>-1</v>
      </c>
    </row>
    <row r="38" spans="1:26" s="23" customFormat="1" hidden="1" outlineLevel="1" x14ac:dyDescent="0.25">
      <c r="A38" s="44"/>
      <c r="B38" s="10" t="str">
        <f>CONCATENATE("          ", "5026", " - ", "PURCHASES @ COST-WRITING INSTR")</f>
        <v xml:space="preserve">          5026 - PURCHASES @ COST-WRITING INSTR</v>
      </c>
      <c r="C38" s="10"/>
      <c r="D38" s="2">
        <v>0</v>
      </c>
      <c r="E38" s="2"/>
      <c r="F38" s="19">
        <f t="shared" si="9"/>
        <v>0</v>
      </c>
      <c r="G38" s="2"/>
      <c r="H38" s="2">
        <v>3054.76</v>
      </c>
      <c r="I38" s="2"/>
      <c r="J38" s="19">
        <f t="shared" si="10"/>
        <v>0.20935273739073224</v>
      </c>
      <c r="K38" s="2"/>
      <c r="L38" s="2">
        <f t="shared" si="11"/>
        <v>-3054.76</v>
      </c>
      <c r="M38" s="2"/>
      <c r="N38" s="19">
        <f t="shared" si="12"/>
        <v>-1</v>
      </c>
      <c r="O38" s="10"/>
      <c r="P38" s="2">
        <v>0</v>
      </c>
      <c r="Q38" s="2"/>
      <c r="R38" s="19">
        <f t="shared" si="13"/>
        <v>0</v>
      </c>
      <c r="S38" s="2"/>
      <c r="T38" s="2">
        <v>43360.5</v>
      </c>
      <c r="U38" s="2"/>
      <c r="V38" s="19">
        <f t="shared" si="14"/>
        <v>0.10813341434600636</v>
      </c>
      <c r="W38" s="2"/>
      <c r="X38" s="2">
        <f t="shared" si="15"/>
        <v>-43360.5</v>
      </c>
      <c r="Y38" s="2"/>
      <c r="Z38" s="19">
        <f t="shared" si="16"/>
        <v>-1</v>
      </c>
    </row>
    <row r="39" spans="1:26" s="23" customFormat="1" hidden="1" outlineLevel="1" x14ac:dyDescent="0.25">
      <c r="A39" s="44"/>
      <c r="B39" s="10" t="str">
        <f>CONCATENATE("          ", "5027", " - ", "PURCHASES @ COST-SCHOOL SUPPLI")</f>
        <v xml:space="preserve">          5027 - PURCHASES @ COST-SCHOOL SUPPLI</v>
      </c>
      <c r="C39" s="10"/>
      <c r="D39" s="2"/>
      <c r="E39" s="2"/>
      <c r="F39" s="19">
        <f t="shared" si="9"/>
        <v>0</v>
      </c>
      <c r="G39" s="2"/>
      <c r="H39" s="2">
        <v>19232.96</v>
      </c>
      <c r="I39" s="2"/>
      <c r="J39" s="19">
        <f t="shared" si="10"/>
        <v>1.318097927210798</v>
      </c>
      <c r="K39" s="2"/>
      <c r="L39" s="2">
        <f t="shared" si="11"/>
        <v>-19232.96</v>
      </c>
      <c r="M39" s="2"/>
      <c r="N39" s="19">
        <f t="shared" si="12"/>
        <v>-1</v>
      </c>
      <c r="O39" s="10"/>
      <c r="P39" s="2">
        <v>0</v>
      </c>
      <c r="Q39" s="2"/>
      <c r="R39" s="19">
        <f t="shared" si="13"/>
        <v>0</v>
      </c>
      <c r="S39" s="2"/>
      <c r="T39" s="2">
        <v>133411.44</v>
      </c>
      <c r="U39" s="2"/>
      <c r="V39" s="19">
        <f t="shared" si="14"/>
        <v>0.3327045241640979</v>
      </c>
      <c r="W39" s="2"/>
      <c r="X39" s="2">
        <f t="shared" si="15"/>
        <v>-133411.44</v>
      </c>
      <c r="Y39" s="2"/>
      <c r="Z39" s="19">
        <f t="shared" si="16"/>
        <v>-1</v>
      </c>
    </row>
    <row r="40" spans="1:26" s="23" customFormat="1" hidden="1" outlineLevel="1" x14ac:dyDescent="0.25">
      <c r="A40" s="44"/>
      <c r="B40" s="10" t="str">
        <f>CONCATENATE("          ", "5028", " - ", "PURCHASES @ COST-ART/TECH")</f>
        <v xml:space="preserve">          5028 - PURCHASES @ COST-ART/TECH</v>
      </c>
      <c r="C40" s="10"/>
      <c r="D40" s="2"/>
      <c r="E40" s="2"/>
      <c r="F40" s="19">
        <f t="shared" si="9"/>
        <v>0</v>
      </c>
      <c r="G40" s="2"/>
      <c r="H40" s="2">
        <v>920.75</v>
      </c>
      <c r="I40" s="2"/>
      <c r="J40" s="19">
        <f t="shared" si="10"/>
        <v>6.3102022074571065E-2</v>
      </c>
      <c r="K40" s="2"/>
      <c r="L40" s="2">
        <f t="shared" si="11"/>
        <v>-920.75</v>
      </c>
      <c r="M40" s="2"/>
      <c r="N40" s="19">
        <f t="shared" si="12"/>
        <v>-1</v>
      </c>
      <c r="O40" s="10"/>
      <c r="P40" s="2">
        <v>0</v>
      </c>
      <c r="Q40" s="2"/>
      <c r="R40" s="19">
        <f t="shared" si="13"/>
        <v>0</v>
      </c>
      <c r="S40" s="2"/>
      <c r="T40" s="2">
        <v>6731.98</v>
      </c>
      <c r="U40" s="2"/>
      <c r="V40" s="19">
        <f t="shared" si="14"/>
        <v>1.6788366894040146E-2</v>
      </c>
      <c r="W40" s="2"/>
      <c r="X40" s="2">
        <f t="shared" si="15"/>
        <v>-6731.98</v>
      </c>
      <c r="Y40" s="2"/>
      <c r="Z40" s="19">
        <f t="shared" si="16"/>
        <v>-1</v>
      </c>
    </row>
    <row r="41" spans="1:26" s="23" customFormat="1" hidden="1" outlineLevel="1" x14ac:dyDescent="0.25">
      <c r="A41" s="44"/>
      <c r="B41" s="10" t="str">
        <f>CONCATENATE("          ", "5031", " - ", "PURCHASES @ COST-FOOD")</f>
        <v xml:space="preserve">          5031 - PURCHASES @ COST-FOOD</v>
      </c>
      <c r="C41" s="10"/>
      <c r="D41" s="2"/>
      <c r="E41" s="2"/>
      <c r="F41" s="19">
        <f t="shared" si="9"/>
        <v>0</v>
      </c>
      <c r="G41" s="2"/>
      <c r="H41" s="2">
        <v>290.79000000000002</v>
      </c>
      <c r="I41" s="2"/>
      <c r="J41" s="19">
        <f t="shared" si="10"/>
        <v>1.9928793916985633E-2</v>
      </c>
      <c r="K41" s="2"/>
      <c r="L41" s="2">
        <f t="shared" si="11"/>
        <v>-290.79000000000002</v>
      </c>
      <c r="M41" s="2"/>
      <c r="N41" s="19">
        <f t="shared" si="12"/>
        <v>-1</v>
      </c>
      <c r="O41" s="10"/>
      <c r="P41" s="2"/>
      <c r="Q41" s="2"/>
      <c r="R41" s="19">
        <f t="shared" si="13"/>
        <v>0</v>
      </c>
      <c r="S41" s="2"/>
      <c r="T41" s="2">
        <v>780.53</v>
      </c>
      <c r="U41" s="2"/>
      <c r="V41" s="19">
        <f t="shared" si="14"/>
        <v>1.9465037049731515E-3</v>
      </c>
      <c r="W41" s="2"/>
      <c r="X41" s="2">
        <f t="shared" si="15"/>
        <v>-780.53</v>
      </c>
      <c r="Y41" s="2"/>
      <c r="Z41" s="19">
        <f t="shared" si="16"/>
        <v>-1</v>
      </c>
    </row>
    <row r="42" spans="1:26" s="23" customFormat="1" hidden="1" outlineLevel="1" x14ac:dyDescent="0.25">
      <c r="A42" s="44"/>
      <c r="B42" s="10" t="str">
        <f>CONCATENATE("          ", "5033", " - ", "PURCHASES @ COST-CANDY")</f>
        <v xml:space="preserve">          5033 - PURCHASES @ COST-CANDY</v>
      </c>
      <c r="C42" s="10"/>
      <c r="D42" s="2"/>
      <c r="E42" s="2"/>
      <c r="F42" s="19">
        <f t="shared" si="9"/>
        <v>0</v>
      </c>
      <c r="G42" s="2"/>
      <c r="H42" s="2">
        <v>479.36</v>
      </c>
      <c r="I42" s="2"/>
      <c r="J42" s="19">
        <f t="shared" si="10"/>
        <v>3.2852115451171747E-2</v>
      </c>
      <c r="K42" s="2"/>
      <c r="L42" s="2">
        <f t="shared" si="11"/>
        <v>-479.36</v>
      </c>
      <c r="M42" s="2"/>
      <c r="N42" s="19">
        <f t="shared" si="12"/>
        <v>-1</v>
      </c>
      <c r="O42" s="10"/>
      <c r="P42" s="2"/>
      <c r="Q42" s="2"/>
      <c r="R42" s="19">
        <f t="shared" si="13"/>
        <v>0</v>
      </c>
      <c r="S42" s="2"/>
      <c r="T42" s="2">
        <v>1119.08</v>
      </c>
      <c r="U42" s="2"/>
      <c r="V42" s="19">
        <f t="shared" si="14"/>
        <v>2.7907874984451006E-3</v>
      </c>
      <c r="W42" s="2"/>
      <c r="X42" s="2">
        <f t="shared" si="15"/>
        <v>-1119.08</v>
      </c>
      <c r="Y42" s="2"/>
      <c r="Z42" s="19">
        <f t="shared" si="16"/>
        <v>-1</v>
      </c>
    </row>
    <row r="43" spans="1:26" s="23" customFormat="1" hidden="1" outlineLevel="1" x14ac:dyDescent="0.25">
      <c r="A43" s="44"/>
      <c r="B43" s="10" t="str">
        <f>CONCATENATE("          ", "5035", " - ", "PURCHASES @ COST-HEALTH &amp; BEAU")</f>
        <v xml:space="preserve">          5035 - PURCHASES @ COST-HEALTH &amp; BEAU</v>
      </c>
      <c r="C43" s="10"/>
      <c r="D43" s="2"/>
      <c r="E43" s="2"/>
      <c r="F43" s="19">
        <f t="shared" si="9"/>
        <v>0</v>
      </c>
      <c r="G43" s="2"/>
      <c r="H43" s="2"/>
      <c r="I43" s="2"/>
      <c r="J43" s="19">
        <f t="shared" si="10"/>
        <v>0</v>
      </c>
      <c r="K43" s="2"/>
      <c r="L43" s="2">
        <f t="shared" si="11"/>
        <v>0</v>
      </c>
      <c r="M43" s="2"/>
      <c r="N43" s="19">
        <f t="shared" si="12"/>
        <v>0</v>
      </c>
      <c r="O43" s="10"/>
      <c r="P43" s="2"/>
      <c r="Q43" s="2"/>
      <c r="R43" s="19">
        <f t="shared" si="13"/>
        <v>0</v>
      </c>
      <c r="S43" s="2"/>
      <c r="T43" s="2">
        <v>36.25</v>
      </c>
      <c r="U43" s="2"/>
      <c r="V43" s="19">
        <f t="shared" si="14"/>
        <v>9.0401085551198223E-5</v>
      </c>
      <c r="W43" s="2"/>
      <c r="X43" s="2">
        <f t="shared" si="15"/>
        <v>-36.25</v>
      </c>
      <c r="Y43" s="2"/>
      <c r="Z43" s="19">
        <f t="shared" si="16"/>
        <v>-1</v>
      </c>
    </row>
    <row r="44" spans="1:26" s="23" customFormat="1" hidden="1" outlineLevel="1" x14ac:dyDescent="0.25">
      <c r="A44" s="44"/>
      <c r="B44" s="10" t="str">
        <f>CONCATENATE("          ", "5200", " - ", "PURCHASES OFFSET")</f>
        <v xml:space="preserve">          5200 - PURCHASES OFFSET</v>
      </c>
      <c r="C44" s="10"/>
      <c r="D44" s="2"/>
      <c r="E44" s="2"/>
      <c r="F44" s="19">
        <f t="shared" si="9"/>
        <v>0</v>
      </c>
      <c r="G44" s="2"/>
      <c r="H44" s="2">
        <v>-24515</v>
      </c>
      <c r="I44" s="2"/>
      <c r="J44" s="19">
        <f t="shared" si="10"/>
        <v>-1.6800934794006077</v>
      </c>
      <c r="K44" s="2"/>
      <c r="L44" s="2">
        <f t="shared" si="11"/>
        <v>24515</v>
      </c>
      <c r="M44" s="2"/>
      <c r="N44" s="19">
        <f t="shared" si="12"/>
        <v>-1</v>
      </c>
      <c r="O44" s="10"/>
      <c r="P44" s="2"/>
      <c r="Q44" s="2"/>
      <c r="R44" s="19">
        <f t="shared" si="13"/>
        <v>0</v>
      </c>
      <c r="S44" s="2"/>
      <c r="T44" s="2">
        <v>-214344</v>
      </c>
      <c r="U44" s="2"/>
      <c r="V44" s="19">
        <f t="shared" si="14"/>
        <v>-0.53453600776237331</v>
      </c>
      <c r="W44" s="2"/>
      <c r="X44" s="2">
        <f t="shared" si="15"/>
        <v>214344</v>
      </c>
      <c r="Y44" s="2"/>
      <c r="Z44" s="19">
        <f t="shared" si="16"/>
        <v>-1</v>
      </c>
    </row>
    <row r="45" spans="1:26" s="23" customFormat="1" hidden="1" outlineLevel="1" x14ac:dyDescent="0.25">
      <c r="A45" s="44"/>
      <c r="B45" s="10" t="str">
        <f>CONCATENATE("          ", "5300", " - ", "COG$ OFFSET")</f>
        <v xml:space="preserve">          5300 - COG$ OFFSET</v>
      </c>
      <c r="C45" s="10"/>
      <c r="D45" s="2"/>
      <c r="E45" s="2"/>
      <c r="F45" s="19">
        <f t="shared" si="9"/>
        <v>0</v>
      </c>
      <c r="G45" s="2"/>
      <c r="H45" s="2">
        <v>6972</v>
      </c>
      <c r="I45" s="2"/>
      <c r="J45" s="19">
        <f t="shared" si="10"/>
        <v>0.47781406234472923</v>
      </c>
      <c r="K45" s="2"/>
      <c r="L45" s="2">
        <f t="shared" si="11"/>
        <v>-6972</v>
      </c>
      <c r="M45" s="2"/>
      <c r="N45" s="19">
        <f t="shared" si="12"/>
        <v>-1</v>
      </c>
      <c r="O45" s="10"/>
      <c r="P45" s="2"/>
      <c r="Q45" s="2"/>
      <c r="R45" s="19">
        <f t="shared" si="13"/>
        <v>0</v>
      </c>
      <c r="S45" s="2"/>
      <c r="T45" s="2">
        <v>190644</v>
      </c>
      <c r="U45" s="2"/>
      <c r="V45" s="19">
        <f t="shared" si="14"/>
        <v>0.47543240148476229</v>
      </c>
      <c r="W45" s="2"/>
      <c r="X45" s="2">
        <f t="shared" si="15"/>
        <v>-190644</v>
      </c>
      <c r="Y45" s="2"/>
      <c r="Z45" s="19">
        <f t="shared" si="16"/>
        <v>-1</v>
      </c>
    </row>
    <row r="46" spans="1:26" s="23" customFormat="1" hidden="1" outlineLevel="1" x14ac:dyDescent="0.25">
      <c r="A46" s="44"/>
      <c r="B46" s="10" t="str">
        <f>CONCATENATE("          ", "5500", " - ", "FREIGHT-IN")</f>
        <v xml:space="preserve">          5500 - FREIGHT-IN</v>
      </c>
      <c r="C46" s="10"/>
      <c r="D46" s="2"/>
      <c r="E46" s="2"/>
      <c r="F46" s="19">
        <f t="shared" si="9"/>
        <v>0</v>
      </c>
      <c r="G46" s="2"/>
      <c r="H46" s="2"/>
      <c r="I46" s="2"/>
      <c r="J46" s="19">
        <f t="shared" si="10"/>
        <v>0</v>
      </c>
      <c r="K46" s="2"/>
      <c r="L46" s="2">
        <f t="shared" si="11"/>
        <v>0</v>
      </c>
      <c r="M46" s="2"/>
      <c r="N46" s="19">
        <f t="shared" si="12"/>
        <v>0</v>
      </c>
      <c r="O46" s="10"/>
      <c r="P46" s="2"/>
      <c r="Q46" s="2"/>
      <c r="R46" s="19">
        <f t="shared" si="13"/>
        <v>0</v>
      </c>
      <c r="S46" s="2"/>
      <c r="T46" s="2">
        <v>6</v>
      </c>
      <c r="U46" s="2"/>
      <c r="V46" s="19">
        <f t="shared" si="14"/>
        <v>1.4962938298129361E-5</v>
      </c>
      <c r="W46" s="2"/>
      <c r="X46" s="2">
        <f t="shared" si="15"/>
        <v>-6</v>
      </c>
      <c r="Y46" s="2"/>
      <c r="Z46" s="19">
        <f t="shared" si="16"/>
        <v>-1</v>
      </c>
    </row>
    <row r="47" spans="1:26" s="23" customFormat="1" hidden="1" outlineLevel="1" x14ac:dyDescent="0.25">
      <c r="A47" s="44"/>
      <c r="B47" s="10" t="str">
        <f>CONCATENATE("          ", "5525", " - ", "FREIGHT-IN-TEST FORMS")</f>
        <v xml:space="preserve">          5525 - FREIGHT-IN-TEST FORMS</v>
      </c>
      <c r="C47" s="10"/>
      <c r="D47" s="2"/>
      <c r="E47" s="2"/>
      <c r="F47" s="19">
        <f t="shared" si="9"/>
        <v>0</v>
      </c>
      <c r="G47" s="2"/>
      <c r="H47" s="2">
        <v>82.2</v>
      </c>
      <c r="I47" s="2"/>
      <c r="J47" s="19">
        <f t="shared" si="10"/>
        <v>5.6334360190385463E-3</v>
      </c>
      <c r="K47" s="2"/>
      <c r="L47" s="2">
        <f t="shared" si="11"/>
        <v>-82.2</v>
      </c>
      <c r="M47" s="2"/>
      <c r="N47" s="19">
        <f t="shared" si="12"/>
        <v>-1</v>
      </c>
      <c r="O47" s="10"/>
      <c r="P47" s="2"/>
      <c r="Q47" s="2"/>
      <c r="R47" s="19">
        <f t="shared" si="13"/>
        <v>0</v>
      </c>
      <c r="S47" s="2"/>
      <c r="T47" s="2">
        <v>1237.22</v>
      </c>
      <c r="U47" s="2"/>
      <c r="V47" s="19">
        <f t="shared" si="14"/>
        <v>3.0854077535352681E-3</v>
      </c>
      <c r="W47" s="2"/>
      <c r="X47" s="2">
        <f t="shared" si="15"/>
        <v>-1237.22</v>
      </c>
      <c r="Y47" s="2"/>
      <c r="Z47" s="19">
        <f t="shared" si="16"/>
        <v>-1</v>
      </c>
    </row>
    <row r="48" spans="1:26" s="23" customFormat="1" hidden="1" outlineLevel="1" x14ac:dyDescent="0.25">
      <c r="A48" s="44"/>
      <c r="B48" s="10" t="str">
        <f>CONCATENATE("          ", "5526", " - ", "FREIGHT-IN-WRITING INSTRUMENTS")</f>
        <v xml:space="preserve">          5526 - FREIGHT-IN-WRITING INSTRUMENTS</v>
      </c>
      <c r="C48" s="10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0"/>
      <c r="P48" s="2"/>
      <c r="Q48" s="2"/>
      <c r="R48" s="19">
        <f t="shared" si="13"/>
        <v>0</v>
      </c>
      <c r="S48" s="2"/>
      <c r="T48" s="2">
        <v>260.35000000000002</v>
      </c>
      <c r="U48" s="2"/>
      <c r="V48" s="19">
        <f t="shared" si="14"/>
        <v>6.4926683098632989E-4</v>
      </c>
      <c r="W48" s="2"/>
      <c r="X48" s="2">
        <f t="shared" si="15"/>
        <v>-260.35000000000002</v>
      </c>
      <c r="Y48" s="2"/>
      <c r="Z48" s="19">
        <f t="shared" si="16"/>
        <v>-1</v>
      </c>
    </row>
    <row r="49" spans="1:26" s="23" customFormat="1" hidden="1" outlineLevel="1" x14ac:dyDescent="0.25">
      <c r="A49" s="44"/>
      <c r="B49" s="10" t="str">
        <f>CONCATENATE("          ", "5527", " - ", "FREIGHT-IN-SCHOOL SUPPLIES")</f>
        <v xml:space="preserve">          5527 - FREIGHT-IN-SCHOOL SUPPLIES</v>
      </c>
      <c r="C49" s="10"/>
      <c r="D49" s="2"/>
      <c r="E49" s="2"/>
      <c r="F49" s="19">
        <f t="shared" si="9"/>
        <v>0</v>
      </c>
      <c r="G49" s="2"/>
      <c r="H49" s="2">
        <v>407.31</v>
      </c>
      <c r="I49" s="2"/>
      <c r="J49" s="19">
        <f t="shared" si="10"/>
        <v>2.7914292273900125E-2</v>
      </c>
      <c r="K49" s="2"/>
      <c r="L49" s="2">
        <f t="shared" si="11"/>
        <v>-407.31</v>
      </c>
      <c r="M49" s="2"/>
      <c r="N49" s="19">
        <f t="shared" si="12"/>
        <v>-1</v>
      </c>
      <c r="O49" s="10"/>
      <c r="P49" s="2"/>
      <c r="Q49" s="2"/>
      <c r="R49" s="19">
        <f t="shared" si="13"/>
        <v>0</v>
      </c>
      <c r="S49" s="2"/>
      <c r="T49" s="2">
        <v>1594.03</v>
      </c>
      <c r="U49" s="2"/>
      <c r="V49" s="19">
        <f t="shared" si="14"/>
        <v>3.975228755894524E-3</v>
      </c>
      <c r="W49" s="2"/>
      <c r="X49" s="2">
        <f t="shared" si="15"/>
        <v>-1594.03</v>
      </c>
      <c r="Y49" s="2"/>
      <c r="Z49" s="19">
        <f t="shared" si="16"/>
        <v>-1</v>
      </c>
    </row>
    <row r="50" spans="1:26" s="23" customFormat="1" hidden="1" outlineLevel="1" x14ac:dyDescent="0.25">
      <c r="A50" s="44"/>
      <c r="B50" s="10" t="str">
        <f>CONCATENATE("          ", "5528", " - ", "FREIGHT-IN-ART/TECH")</f>
        <v xml:space="preserve">          5528 - FREIGHT-IN-ART/TECH</v>
      </c>
      <c r="C50" s="10"/>
      <c r="D50" s="2"/>
      <c r="E50" s="2"/>
      <c r="F50" s="19">
        <f t="shared" si="9"/>
        <v>0</v>
      </c>
      <c r="G50" s="2"/>
      <c r="H50" s="2">
        <v>34.32</v>
      </c>
      <c r="I50" s="2"/>
      <c r="J50" s="19">
        <f t="shared" si="10"/>
        <v>2.352062337875948E-3</v>
      </c>
      <c r="K50" s="2"/>
      <c r="L50" s="2">
        <f t="shared" si="11"/>
        <v>-34.32</v>
      </c>
      <c r="M50" s="2"/>
      <c r="N50" s="19">
        <f t="shared" si="12"/>
        <v>-1</v>
      </c>
      <c r="O50" s="10"/>
      <c r="P50" s="2"/>
      <c r="Q50" s="2"/>
      <c r="R50" s="19">
        <f t="shared" si="13"/>
        <v>0</v>
      </c>
      <c r="S50" s="2"/>
      <c r="T50" s="2">
        <v>91.23</v>
      </c>
      <c r="U50" s="2"/>
      <c r="V50" s="19">
        <f t="shared" si="14"/>
        <v>2.2751147682305693E-4</v>
      </c>
      <c r="W50" s="2"/>
      <c r="X50" s="2">
        <f t="shared" si="15"/>
        <v>-91.23</v>
      </c>
      <c r="Y50" s="2"/>
      <c r="Z50" s="19">
        <f t="shared" si="16"/>
        <v>-1</v>
      </c>
    </row>
    <row r="51" spans="1:26" x14ac:dyDescent="0.25">
      <c r="A51" s="9"/>
      <c r="B51" s="11"/>
      <c r="C51" s="11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1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4" customFormat="1" x14ac:dyDescent="0.25">
      <c r="A52" s="11"/>
      <c r="B52" s="29" t="s">
        <v>107</v>
      </c>
      <c r="C52" s="29"/>
      <c r="D52" s="22">
        <f>D12-D35</f>
        <v>0</v>
      </c>
      <c r="E52" s="14"/>
      <c r="F52" s="20">
        <f>IF(D$12=0,0,D52/D$12)</f>
        <v>0</v>
      </c>
      <c r="G52" s="14"/>
      <c r="H52" s="22">
        <f>H12-H35</f>
        <v>7618.5399999999991</v>
      </c>
      <c r="I52" s="14"/>
      <c r="J52" s="20">
        <f>IF(H$12=0,0,H52/H$12)</f>
        <v>0.52212357236600881</v>
      </c>
      <c r="K52" s="15"/>
      <c r="L52" s="22">
        <f>+D52-H52</f>
        <v>-7618.5399999999991</v>
      </c>
      <c r="M52" s="15"/>
      <c r="N52" s="20">
        <f>IF(H52=0,0,L52/H52)</f>
        <v>-1</v>
      </c>
      <c r="O52" s="28"/>
      <c r="P52" s="22">
        <f>P12-P35</f>
        <v>0</v>
      </c>
      <c r="Q52" s="14"/>
      <c r="R52" s="20">
        <f>IF(P$12=0,0,P52/P$12)</f>
        <v>0</v>
      </c>
      <c r="S52" s="14"/>
      <c r="T52" s="22">
        <f>T12-T35</f>
        <v>210341.54000000007</v>
      </c>
      <c r="U52" s="14"/>
      <c r="V52" s="20">
        <f>IF(T$12=0,0,T52/T$12)</f>
        <v>0.52455458075891837</v>
      </c>
      <c r="W52" s="15"/>
      <c r="X52" s="22">
        <f>+P52-T52</f>
        <v>-210341.54000000007</v>
      </c>
      <c r="Y52" s="15"/>
      <c r="Z52" s="20">
        <f>IF(T52=0,0,X52/T52)</f>
        <v>-1</v>
      </c>
    </row>
    <row r="53" spans="1:26" x14ac:dyDescent="0.25">
      <c r="A53" s="9"/>
      <c r="B53" s="11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4" customFormat="1" x14ac:dyDescent="0.25">
      <c r="A54" s="11"/>
      <c r="B54" s="28" t="s">
        <v>294</v>
      </c>
      <c r="C54" s="11"/>
      <c r="D54" s="21">
        <f>SUM(OSRRefD22x_0)</f>
        <v>0</v>
      </c>
      <c r="E54" s="21"/>
      <c r="F54" s="31">
        <f t="shared" ref="F54:F64" si="17">IF(D$12=0,0,D54/D$12)</f>
        <v>0</v>
      </c>
      <c r="G54" s="21"/>
      <c r="H54" s="21">
        <f>SUM(OSRRefH22x_0)</f>
        <v>7284.7800000000007</v>
      </c>
      <c r="I54" s="21"/>
      <c r="J54" s="31">
        <f t="shared" ref="J54:J64" si="18">IF(H$12=0,0,H54/H$12)</f>
        <v>0.49924990319673507</v>
      </c>
      <c r="K54" s="4"/>
      <c r="L54" s="21">
        <f t="shared" ref="L54:L64" si="19">+D54-H54</f>
        <v>-7284.7800000000007</v>
      </c>
      <c r="M54" s="4"/>
      <c r="N54" s="31">
        <f t="shared" ref="N54:N64" si="20">IF(H54=0,0,L54/H54)</f>
        <v>-1</v>
      </c>
      <c r="O54" s="11"/>
      <c r="P54" s="21">
        <f>SUM(OSRRefP22x_0)</f>
        <v>0</v>
      </c>
      <c r="Q54" s="21"/>
      <c r="R54" s="31">
        <f t="shared" ref="R54:R64" si="21">IF(P$12=0,0,P54/P$12)</f>
        <v>0</v>
      </c>
      <c r="S54" s="21"/>
      <c r="T54" s="21">
        <f>SUM(OSRRefT22x_0)</f>
        <v>92627.599999999977</v>
      </c>
      <c r="U54" s="21"/>
      <c r="V54" s="31">
        <f t="shared" ref="V54:V64" si="22">IF(T$12=0,0,T54/T$12)</f>
        <v>0.23099684391730113</v>
      </c>
      <c r="W54" s="4"/>
      <c r="X54" s="21">
        <f t="shared" ref="X54:X64" si="23">+P54-T54</f>
        <v>-92627.599999999977</v>
      </c>
      <c r="Y54" s="4"/>
      <c r="Z54" s="31">
        <f t="shared" ref="Z54:Z64" si="24">IF(T54=0,0,X54/T54)</f>
        <v>-1</v>
      </c>
    </row>
    <row r="55" spans="1:26" s="26" customFormat="1" outlineLevel="1" collapsed="1" x14ac:dyDescent="0.25">
      <c r="A55" s="27"/>
      <c r="B55" s="12" t="str">
        <f>CONCATENATE("     ","*Benefits                                         ")</f>
        <v xml:space="preserve">     *Benefits                                         </v>
      </c>
      <c r="C55" s="12"/>
      <c r="D55" s="1">
        <f>SUM(OSRRefD22_0x_0)</f>
        <v>0</v>
      </c>
      <c r="E55" s="1"/>
      <c r="F55" s="5">
        <f t="shared" si="17"/>
        <v>0</v>
      </c>
      <c r="G55" s="1"/>
      <c r="H55" s="1">
        <f>SUM(OSRRefH22_0x_0)</f>
        <v>-5592.5499999999993</v>
      </c>
      <c r="I55" s="1"/>
      <c r="J55" s="5">
        <f t="shared" si="18"/>
        <v>-0.38327582248508535</v>
      </c>
      <c r="K55" s="1"/>
      <c r="L55" s="1">
        <f t="shared" si="19"/>
        <v>5592.5499999999993</v>
      </c>
      <c r="M55" s="1"/>
      <c r="N55" s="5">
        <f t="shared" si="20"/>
        <v>-1</v>
      </c>
      <c r="O55" s="12"/>
      <c r="P55" s="1">
        <f>SUM(OSRRefP22_0x_0)</f>
        <v>0</v>
      </c>
      <c r="Q55" s="1"/>
      <c r="R55" s="5">
        <f t="shared" si="21"/>
        <v>0</v>
      </c>
      <c r="S55" s="1"/>
      <c r="T55" s="1">
        <f>SUM(OSRRefT22_0x_0)</f>
        <v>9840.6799999999985</v>
      </c>
      <c r="U55" s="1"/>
      <c r="V55" s="5">
        <f t="shared" si="22"/>
        <v>2.4540914608605937E-2</v>
      </c>
      <c r="W55" s="1"/>
      <c r="X55" s="1">
        <f t="shared" si="23"/>
        <v>-9840.6799999999985</v>
      </c>
      <c r="Y55" s="1"/>
      <c r="Z55" s="5">
        <f t="shared" si="24"/>
        <v>-1</v>
      </c>
    </row>
    <row r="56" spans="1:26" s="23" customFormat="1" hidden="1" outlineLevel="2" x14ac:dyDescent="0.25">
      <c r="A56" s="25"/>
      <c r="B56" s="10" t="str">
        <f>CONCATENATE("          ", "6111", " - ", "F.I.C.A.")</f>
        <v xml:space="preserve">          6111 - F.I.C.A.</v>
      </c>
      <c r="C56" s="10"/>
      <c r="D56" s="6"/>
      <c r="E56" s="2"/>
      <c r="F56" s="7">
        <f t="shared" si="17"/>
        <v>0</v>
      </c>
      <c r="G56" s="2"/>
      <c r="H56" s="6">
        <v>577.09</v>
      </c>
      <c r="I56" s="2"/>
      <c r="J56" s="7">
        <f t="shared" si="18"/>
        <v>3.9549873384756143E-2</v>
      </c>
      <c r="K56" s="2"/>
      <c r="L56" s="6">
        <f t="shared" si="19"/>
        <v>-577.09</v>
      </c>
      <c r="M56" s="2"/>
      <c r="N56" s="7">
        <f t="shared" si="20"/>
        <v>-1</v>
      </c>
      <c r="O56" s="10"/>
      <c r="P56" s="6"/>
      <c r="Q56" s="2"/>
      <c r="R56" s="7">
        <f t="shared" si="21"/>
        <v>0</v>
      </c>
      <c r="S56" s="2"/>
      <c r="T56" s="6">
        <v>2780.3</v>
      </c>
      <c r="U56" s="2"/>
      <c r="V56" s="7">
        <f t="shared" si="22"/>
        <v>6.9335762250481775E-3</v>
      </c>
      <c r="W56" s="2"/>
      <c r="X56" s="6">
        <f t="shared" si="23"/>
        <v>-2780.3</v>
      </c>
      <c r="Y56" s="2"/>
      <c r="Z56" s="7">
        <f t="shared" si="24"/>
        <v>-1</v>
      </c>
    </row>
    <row r="57" spans="1:26" s="23" customFormat="1" hidden="1" outlineLevel="2" x14ac:dyDescent="0.25">
      <c r="A57" s="25"/>
      <c r="B57" s="10" t="str">
        <f>CONCATENATE("          ", "6112", " - ", "COMPENSATION INSURANCE")</f>
        <v xml:space="preserve">          6112 - COMPENSATION INSURANCE</v>
      </c>
      <c r="C57" s="10"/>
      <c r="D57" s="6"/>
      <c r="E57" s="2"/>
      <c r="F57" s="7">
        <f t="shared" si="17"/>
        <v>0</v>
      </c>
      <c r="G57" s="2"/>
      <c r="H57" s="6">
        <v>221.95</v>
      </c>
      <c r="I57" s="2"/>
      <c r="J57" s="7">
        <f t="shared" si="18"/>
        <v>1.5210962584253106E-2</v>
      </c>
      <c r="K57" s="2"/>
      <c r="L57" s="6">
        <f t="shared" si="19"/>
        <v>-221.95</v>
      </c>
      <c r="M57" s="2"/>
      <c r="N57" s="7">
        <f t="shared" si="20"/>
        <v>-1</v>
      </c>
      <c r="O57" s="10"/>
      <c r="P57" s="6"/>
      <c r="Q57" s="2"/>
      <c r="R57" s="7">
        <f t="shared" si="21"/>
        <v>0</v>
      </c>
      <c r="S57" s="2"/>
      <c r="T57" s="6">
        <v>1231.77</v>
      </c>
      <c r="U57" s="2"/>
      <c r="V57" s="7">
        <f t="shared" si="22"/>
        <v>3.0718164179144671E-3</v>
      </c>
      <c r="W57" s="2"/>
      <c r="X57" s="6">
        <f t="shared" si="23"/>
        <v>-1231.77</v>
      </c>
      <c r="Y57" s="2"/>
      <c r="Z57" s="7">
        <f t="shared" si="24"/>
        <v>-1</v>
      </c>
    </row>
    <row r="58" spans="1:26" s="23" customFormat="1" hidden="1" outlineLevel="2" x14ac:dyDescent="0.25">
      <c r="A58" s="25"/>
      <c r="B58" s="10" t="str">
        <f>CONCATENATE("          ", "6113", " - ", "GROUP INSURANCE")</f>
        <v xml:space="preserve">          6113 - GROUP INSURANCE</v>
      </c>
      <c r="C58" s="10"/>
      <c r="D58" s="6"/>
      <c r="E58" s="2"/>
      <c r="F58" s="7">
        <f t="shared" si="17"/>
        <v>0</v>
      </c>
      <c r="G58" s="2"/>
      <c r="H58" s="6">
        <v>1216.43</v>
      </c>
      <c r="I58" s="2"/>
      <c r="J58" s="7">
        <f t="shared" si="18"/>
        <v>8.3365943754733079E-2</v>
      </c>
      <c r="K58" s="2"/>
      <c r="L58" s="6">
        <f t="shared" si="19"/>
        <v>-1216.43</v>
      </c>
      <c r="M58" s="2"/>
      <c r="N58" s="7">
        <f t="shared" si="20"/>
        <v>-1</v>
      </c>
      <c r="O58" s="10"/>
      <c r="P58" s="6">
        <v>0</v>
      </c>
      <c r="Q58" s="2"/>
      <c r="R58" s="7">
        <f t="shared" si="21"/>
        <v>0</v>
      </c>
      <c r="S58" s="2"/>
      <c r="T58" s="6">
        <v>8668.0499999999993</v>
      </c>
      <c r="U58" s="2"/>
      <c r="V58" s="7">
        <f t="shared" si="22"/>
        <v>2.1616582885850031E-2</v>
      </c>
      <c r="W58" s="2"/>
      <c r="X58" s="6">
        <f t="shared" si="23"/>
        <v>-8668.0499999999993</v>
      </c>
      <c r="Y58" s="2"/>
      <c r="Z58" s="7">
        <f t="shared" si="24"/>
        <v>-1</v>
      </c>
    </row>
    <row r="59" spans="1:26" s="23" customFormat="1" hidden="1" outlineLevel="2" x14ac:dyDescent="0.25">
      <c r="A59" s="25"/>
      <c r="B59" s="10" t="str">
        <f>CONCATENATE("          ", "6114", " - ", "STATE UNEMPLOYMENT INSURANCE")</f>
        <v xml:space="preserve">          6114 - STATE UNEMPLOYMENT INSURANCE</v>
      </c>
      <c r="C59" s="10"/>
      <c r="D59" s="6"/>
      <c r="E59" s="2"/>
      <c r="F59" s="7">
        <f t="shared" si="17"/>
        <v>0</v>
      </c>
      <c r="G59" s="2"/>
      <c r="H59" s="6">
        <v>30.37</v>
      </c>
      <c r="I59" s="2"/>
      <c r="J59" s="7">
        <f t="shared" si="18"/>
        <v>2.0813558625085238E-3</v>
      </c>
      <c r="K59" s="2"/>
      <c r="L59" s="6">
        <f t="shared" si="19"/>
        <v>-30.37</v>
      </c>
      <c r="M59" s="2"/>
      <c r="N59" s="7">
        <f t="shared" si="20"/>
        <v>-1</v>
      </c>
      <c r="O59" s="10"/>
      <c r="P59" s="6"/>
      <c r="Q59" s="2"/>
      <c r="R59" s="7">
        <f t="shared" si="21"/>
        <v>0</v>
      </c>
      <c r="S59" s="2"/>
      <c r="T59" s="6">
        <v>188.13</v>
      </c>
      <c r="U59" s="2"/>
      <c r="V59" s="7">
        <f t="shared" si="22"/>
        <v>4.6916293033784611E-4</v>
      </c>
      <c r="W59" s="2"/>
      <c r="X59" s="6">
        <f t="shared" si="23"/>
        <v>-188.13</v>
      </c>
      <c r="Y59" s="2"/>
      <c r="Z59" s="7">
        <f t="shared" si="24"/>
        <v>-1</v>
      </c>
    </row>
    <row r="60" spans="1:26" s="23" customFormat="1" hidden="1" outlineLevel="2" x14ac:dyDescent="0.25">
      <c r="A60" s="25"/>
      <c r="B60" s="10" t="str">
        <f>CONCATENATE("          ", "6115", " - ", "P.E.R.S.")</f>
        <v xml:space="preserve">          6115 - P.E.R.S.</v>
      </c>
      <c r="C60" s="10"/>
      <c r="D60" s="6"/>
      <c r="E60" s="2"/>
      <c r="F60" s="7">
        <f t="shared" si="17"/>
        <v>0</v>
      </c>
      <c r="G60" s="2"/>
      <c r="H60" s="6">
        <v>357.89</v>
      </c>
      <c r="I60" s="2"/>
      <c r="J60" s="7">
        <f t="shared" si="18"/>
        <v>2.4527377333986682E-2</v>
      </c>
      <c r="K60" s="2"/>
      <c r="L60" s="6">
        <f t="shared" si="19"/>
        <v>-357.89</v>
      </c>
      <c r="M60" s="2"/>
      <c r="N60" s="7">
        <f t="shared" si="20"/>
        <v>-1</v>
      </c>
      <c r="O60" s="10"/>
      <c r="P60" s="6"/>
      <c r="Q60" s="2"/>
      <c r="R60" s="7">
        <f t="shared" si="21"/>
        <v>0</v>
      </c>
      <c r="S60" s="2"/>
      <c r="T60" s="6">
        <v>1988.35</v>
      </c>
      <c r="U60" s="2"/>
      <c r="V60" s="7">
        <f t="shared" si="22"/>
        <v>4.9585930608475855E-3</v>
      </c>
      <c r="W60" s="2"/>
      <c r="X60" s="6">
        <f t="shared" si="23"/>
        <v>-1988.35</v>
      </c>
      <c r="Y60" s="2"/>
      <c r="Z60" s="7">
        <f t="shared" si="24"/>
        <v>-1</v>
      </c>
    </row>
    <row r="61" spans="1:26" s="23" customFormat="1" hidden="1" outlineLevel="2" x14ac:dyDescent="0.25">
      <c r="A61" s="25"/>
      <c r="B61" s="10" t="str">
        <f>CONCATENATE("          ", "6117", " - ", "RETIREMENT STAFF HOURLY")</f>
        <v xml:space="preserve">          6117 - RETIREMENT STAFF HOURLY</v>
      </c>
      <c r="C61" s="10"/>
      <c r="D61" s="6"/>
      <c r="E61" s="2"/>
      <c r="F61" s="7">
        <f t="shared" si="17"/>
        <v>0</v>
      </c>
      <c r="G61" s="2"/>
      <c r="H61" s="6"/>
      <c r="I61" s="2"/>
      <c r="J61" s="7">
        <f t="shared" si="18"/>
        <v>0</v>
      </c>
      <c r="K61" s="2"/>
      <c r="L61" s="6">
        <f t="shared" si="19"/>
        <v>0</v>
      </c>
      <c r="M61" s="2"/>
      <c r="N61" s="7">
        <f t="shared" si="20"/>
        <v>0</v>
      </c>
      <c r="O61" s="10"/>
      <c r="P61" s="6">
        <v>0</v>
      </c>
      <c r="Q61" s="2"/>
      <c r="R61" s="7">
        <f t="shared" si="21"/>
        <v>0</v>
      </c>
      <c r="S61" s="2"/>
      <c r="T61" s="6"/>
      <c r="U61" s="2"/>
      <c r="V61" s="7">
        <f t="shared" si="22"/>
        <v>0</v>
      </c>
      <c r="W61" s="2"/>
      <c r="X61" s="6">
        <f t="shared" si="23"/>
        <v>0</v>
      </c>
      <c r="Y61" s="2"/>
      <c r="Z61" s="7">
        <f t="shared" si="24"/>
        <v>0</v>
      </c>
    </row>
    <row r="62" spans="1:26" s="23" customFormat="1" hidden="1" outlineLevel="2" x14ac:dyDescent="0.25">
      <c r="A62" s="25"/>
      <c r="B62" s="10" t="str">
        <f>CONCATENATE("          ", "6118", " - ", "VACATION")</f>
        <v xml:space="preserve">          6118 - VACATION</v>
      </c>
      <c r="C62" s="10"/>
      <c r="D62" s="6"/>
      <c r="E62" s="2"/>
      <c r="F62" s="7">
        <f t="shared" si="17"/>
        <v>0</v>
      </c>
      <c r="G62" s="2"/>
      <c r="H62" s="6">
        <v>303.94</v>
      </c>
      <c r="I62" s="2"/>
      <c r="J62" s="7">
        <f t="shared" si="18"/>
        <v>2.0830006613461991E-2</v>
      </c>
      <c r="K62" s="2"/>
      <c r="L62" s="6">
        <f t="shared" si="19"/>
        <v>-303.94</v>
      </c>
      <c r="M62" s="2"/>
      <c r="N62" s="7">
        <f t="shared" si="20"/>
        <v>-1</v>
      </c>
      <c r="O62" s="10"/>
      <c r="P62" s="6"/>
      <c r="Q62" s="2"/>
      <c r="R62" s="7">
        <f t="shared" si="21"/>
        <v>0</v>
      </c>
      <c r="S62" s="2"/>
      <c r="T62" s="6">
        <v>1573.76</v>
      </c>
      <c r="U62" s="2"/>
      <c r="V62" s="7">
        <f t="shared" si="22"/>
        <v>3.9246789626773441E-3</v>
      </c>
      <c r="W62" s="2"/>
      <c r="X62" s="6">
        <f t="shared" si="23"/>
        <v>-1573.76</v>
      </c>
      <c r="Y62" s="2"/>
      <c r="Z62" s="7">
        <f t="shared" si="24"/>
        <v>-1</v>
      </c>
    </row>
    <row r="63" spans="1:26" s="23" customFormat="1" hidden="1" outlineLevel="2" x14ac:dyDescent="0.25">
      <c r="A63" s="25"/>
      <c r="B63" s="10" t="str">
        <f>CONCATENATE("          ", "6119", " - ", "SICK LEAVE")</f>
        <v xml:space="preserve">          6119 - SICK LEAVE</v>
      </c>
      <c r="C63" s="10"/>
      <c r="D63" s="6"/>
      <c r="E63" s="2"/>
      <c r="F63" s="7">
        <f t="shared" si="17"/>
        <v>0</v>
      </c>
      <c r="G63" s="2"/>
      <c r="H63" s="6">
        <v>-8381.3799999999992</v>
      </c>
      <c r="I63" s="2"/>
      <c r="J63" s="7">
        <f t="shared" si="18"/>
        <v>-0.57440350342152413</v>
      </c>
      <c r="K63" s="2"/>
      <c r="L63" s="6">
        <f t="shared" si="19"/>
        <v>8381.3799999999992</v>
      </c>
      <c r="M63" s="2"/>
      <c r="N63" s="7">
        <f t="shared" si="20"/>
        <v>-1</v>
      </c>
      <c r="O63" s="10"/>
      <c r="P63" s="6"/>
      <c r="Q63" s="2"/>
      <c r="R63" s="7">
        <f t="shared" si="21"/>
        <v>0</v>
      </c>
      <c r="S63" s="2"/>
      <c r="T63" s="6">
        <v>-6954.53</v>
      </c>
      <c r="U63" s="2"/>
      <c r="V63" s="7">
        <f t="shared" si="22"/>
        <v>-1.7343367213748264E-2</v>
      </c>
      <c r="W63" s="2"/>
      <c r="X63" s="6">
        <f t="shared" si="23"/>
        <v>6954.53</v>
      </c>
      <c r="Y63" s="2"/>
      <c r="Z63" s="7">
        <f t="shared" si="24"/>
        <v>-1</v>
      </c>
    </row>
    <row r="64" spans="1:26" s="23" customFormat="1" hidden="1" outlineLevel="2" x14ac:dyDescent="0.25">
      <c r="A64" s="25"/>
      <c r="B64" s="10" t="str">
        <f>CONCATENATE("          ", "6156", " - ", "EMPLOYEE MEALS")</f>
        <v xml:space="preserve">          6156 - EMPLOYEE MEALS</v>
      </c>
      <c r="C64" s="10"/>
      <c r="D64" s="6"/>
      <c r="E64" s="2"/>
      <c r="F64" s="7">
        <f t="shared" si="17"/>
        <v>0</v>
      </c>
      <c r="G64" s="2"/>
      <c r="H64" s="6">
        <v>81.16</v>
      </c>
      <c r="I64" s="2"/>
      <c r="J64" s="7">
        <f t="shared" si="18"/>
        <v>5.5621614027392746E-3</v>
      </c>
      <c r="K64" s="2"/>
      <c r="L64" s="6">
        <f t="shared" si="19"/>
        <v>-81.16</v>
      </c>
      <c r="M64" s="2"/>
      <c r="N64" s="7">
        <f t="shared" si="20"/>
        <v>-1</v>
      </c>
      <c r="O64" s="10"/>
      <c r="P64" s="6"/>
      <c r="Q64" s="2"/>
      <c r="R64" s="7">
        <f t="shared" si="21"/>
        <v>0</v>
      </c>
      <c r="S64" s="2"/>
      <c r="T64" s="6">
        <v>364.85</v>
      </c>
      <c r="U64" s="2"/>
      <c r="V64" s="7">
        <f t="shared" si="22"/>
        <v>9.0987133967874957E-4</v>
      </c>
      <c r="W64" s="2"/>
      <c r="X64" s="6">
        <f t="shared" si="23"/>
        <v>-364.85</v>
      </c>
      <c r="Y64" s="2"/>
      <c r="Z64" s="7">
        <f t="shared" si="24"/>
        <v>-1</v>
      </c>
    </row>
    <row r="65" spans="1:26" s="26" customFormat="1" outlineLevel="1" collapsed="1" x14ac:dyDescent="0.25">
      <c r="A65" s="27"/>
      <c r="B65" s="12" t="str">
        <f>CONCATENATE("     ","*Payroll                                          ")</f>
        <v xml:space="preserve">     *Payroll                                          </v>
      </c>
      <c r="C65" s="12"/>
      <c r="D65" s="1">
        <f>SUM(OSRRefD22_1x_0)</f>
        <v>0</v>
      </c>
      <c r="E65" s="1"/>
      <c r="F65" s="5">
        <f t="shared" ref="F65:F68" si="25">IF(D$12=0,0,D65/D$12)</f>
        <v>0</v>
      </c>
      <c r="G65" s="1"/>
      <c r="H65" s="1">
        <f>SUM(OSRRefH22_1x_0)</f>
        <v>11877.21</v>
      </c>
      <c r="I65" s="1"/>
      <c r="J65" s="5">
        <f t="shared" ref="J65:J68" si="26">IF(H$12=0,0,H65/H$12)</f>
        <v>0.81398421678448674</v>
      </c>
      <c r="K65" s="1"/>
      <c r="L65" s="1">
        <f t="shared" ref="L65:L68" si="27">+D65-H65</f>
        <v>-11877.21</v>
      </c>
      <c r="M65" s="1"/>
      <c r="N65" s="5">
        <f t="shared" ref="N65:N68" si="28">IF(H65=0,0,L65/H65)</f>
        <v>-1</v>
      </c>
      <c r="O65" s="12"/>
      <c r="P65" s="1">
        <f>SUM(OSRRefP22_1x_0)</f>
        <v>0</v>
      </c>
      <c r="Q65" s="1"/>
      <c r="R65" s="5">
        <f t="shared" ref="R65:R68" si="29">IF(P$12=0,0,P65/P$12)</f>
        <v>0</v>
      </c>
      <c r="S65" s="1"/>
      <c r="T65" s="1">
        <f>SUM(OSRRefT22_1x_0)</f>
        <v>71698.86</v>
      </c>
      <c r="U65" s="1"/>
      <c r="V65" s="5">
        <f t="shared" ref="V65:V68" si="30">IF(T$12=0,0,T65/T$12)</f>
        <v>0.17880426970436922</v>
      </c>
      <c r="W65" s="1"/>
      <c r="X65" s="1">
        <f t="shared" ref="X65:X68" si="31">+P65-T65</f>
        <v>-71698.86</v>
      </c>
      <c r="Y65" s="1"/>
      <c r="Z65" s="5">
        <f t="shared" ref="Z65:Z68" si="32">IF(T65=0,0,X65/T65)</f>
        <v>-1</v>
      </c>
    </row>
    <row r="66" spans="1:26" s="23" customFormat="1" hidden="1" outlineLevel="2" x14ac:dyDescent="0.25">
      <c r="A66" s="25"/>
      <c r="B66" s="10" t="str">
        <f>CONCATENATE("          ", "6002", " - ", "STAFF SALARIES")</f>
        <v xml:space="preserve">          6002 - STAFF SALARIES</v>
      </c>
      <c r="C66" s="10"/>
      <c r="D66" s="6"/>
      <c r="E66" s="2"/>
      <c r="F66" s="7">
        <f t="shared" si="25"/>
        <v>0</v>
      </c>
      <c r="G66" s="2"/>
      <c r="H66" s="6">
        <v>5638.7</v>
      </c>
      <c r="I66" s="2"/>
      <c r="J66" s="7">
        <f t="shared" si="26"/>
        <v>0.38643863358336555</v>
      </c>
      <c r="K66" s="2"/>
      <c r="L66" s="6">
        <f t="shared" si="27"/>
        <v>-5638.7</v>
      </c>
      <c r="M66" s="2"/>
      <c r="N66" s="7">
        <f t="shared" si="28"/>
        <v>-1</v>
      </c>
      <c r="O66" s="10"/>
      <c r="P66" s="6"/>
      <c r="Q66" s="2"/>
      <c r="R66" s="7">
        <f t="shared" si="29"/>
        <v>0</v>
      </c>
      <c r="S66" s="2"/>
      <c r="T66" s="6">
        <v>27497.01</v>
      </c>
      <c r="U66" s="2"/>
      <c r="V66" s="7">
        <f t="shared" si="30"/>
        <v>6.8572677335507662E-2</v>
      </c>
      <c r="W66" s="2"/>
      <c r="X66" s="6">
        <f t="shared" si="31"/>
        <v>-27497.01</v>
      </c>
      <c r="Y66" s="2"/>
      <c r="Z66" s="7">
        <f t="shared" si="32"/>
        <v>-1</v>
      </c>
    </row>
    <row r="67" spans="1:26" s="23" customFormat="1" hidden="1" outlineLevel="2" x14ac:dyDescent="0.25">
      <c r="A67" s="25"/>
      <c r="B67" s="10" t="str">
        <f>CONCATENATE("          ", "6004", " - ", "STAFF HOURLY")</f>
        <v xml:space="preserve">          6004 - STAFF HOURLY</v>
      </c>
      <c r="C67" s="10"/>
      <c r="D67" s="6"/>
      <c r="E67" s="2"/>
      <c r="F67" s="7">
        <f t="shared" si="25"/>
        <v>0</v>
      </c>
      <c r="G67" s="2"/>
      <c r="H67" s="6"/>
      <c r="I67" s="2"/>
      <c r="J67" s="7">
        <f t="shared" si="26"/>
        <v>0</v>
      </c>
      <c r="K67" s="2"/>
      <c r="L67" s="6">
        <f t="shared" si="27"/>
        <v>0</v>
      </c>
      <c r="M67" s="2"/>
      <c r="N67" s="7">
        <f t="shared" si="28"/>
        <v>0</v>
      </c>
      <c r="O67" s="10"/>
      <c r="P67" s="6"/>
      <c r="Q67" s="2"/>
      <c r="R67" s="7">
        <f t="shared" si="29"/>
        <v>0</v>
      </c>
      <c r="S67" s="2"/>
      <c r="T67" s="6">
        <v>-48</v>
      </c>
      <c r="U67" s="2"/>
      <c r="V67" s="7">
        <f t="shared" si="30"/>
        <v>-1.1970350638503489E-4</v>
      </c>
      <c r="W67" s="2"/>
      <c r="X67" s="6">
        <f t="shared" si="31"/>
        <v>48</v>
      </c>
      <c r="Y67" s="2"/>
      <c r="Z67" s="7">
        <f t="shared" si="32"/>
        <v>-1</v>
      </c>
    </row>
    <row r="68" spans="1:26" s="23" customFormat="1" hidden="1" outlineLevel="2" x14ac:dyDescent="0.25">
      <c r="A68" s="25"/>
      <c r="B68" s="10" t="str">
        <f>CONCATENATE("          ", "6007", " - ", "STUDENT HOURLY")</f>
        <v xml:space="preserve">          6007 - STUDENT HOURLY</v>
      </c>
      <c r="C68" s="10"/>
      <c r="D68" s="6"/>
      <c r="E68" s="2"/>
      <c r="F68" s="7">
        <f t="shared" si="25"/>
        <v>0</v>
      </c>
      <c r="G68" s="2"/>
      <c r="H68" s="6">
        <v>6238.51</v>
      </c>
      <c r="I68" s="2"/>
      <c r="J68" s="7">
        <f t="shared" si="26"/>
        <v>0.42754558320112118</v>
      </c>
      <c r="K68" s="2"/>
      <c r="L68" s="6">
        <f t="shared" si="27"/>
        <v>-6238.51</v>
      </c>
      <c r="M68" s="2"/>
      <c r="N68" s="7">
        <f t="shared" si="28"/>
        <v>-1</v>
      </c>
      <c r="O68" s="10"/>
      <c r="P68" s="6"/>
      <c r="Q68" s="2"/>
      <c r="R68" s="7">
        <f t="shared" si="29"/>
        <v>0</v>
      </c>
      <c r="S68" s="2"/>
      <c r="T68" s="6">
        <v>44249.85</v>
      </c>
      <c r="U68" s="2"/>
      <c r="V68" s="7">
        <f t="shared" si="30"/>
        <v>0.11035129587524659</v>
      </c>
      <c r="W68" s="2"/>
      <c r="X68" s="6">
        <f t="shared" si="31"/>
        <v>-44249.85</v>
      </c>
      <c r="Y68" s="2"/>
      <c r="Z68" s="7">
        <f t="shared" si="32"/>
        <v>-1</v>
      </c>
    </row>
    <row r="69" spans="1:26" s="26" customFormat="1" outlineLevel="1" collapsed="1" x14ac:dyDescent="0.25">
      <c r="A69" s="27"/>
      <c r="B69" s="12" t="str">
        <f>CONCATENATE("     ","Advertising/Promo                                 ")</f>
        <v xml:space="preserve">     Advertising/Promo                                 </v>
      </c>
      <c r="C69" s="12"/>
      <c r="D69" s="1">
        <f>SUM(OSRRefD22_2x_0)</f>
        <v>0</v>
      </c>
      <c r="E69" s="1"/>
      <c r="F69" s="5">
        <f t="shared" ref="F69:F73" si="33">IF(D$12=0,0,D69/D$12)</f>
        <v>0</v>
      </c>
      <c r="G69" s="1"/>
      <c r="H69" s="1">
        <f>SUM(OSRRefH22_2x_0)</f>
        <v>0</v>
      </c>
      <c r="I69" s="1"/>
      <c r="J69" s="5">
        <f t="shared" ref="J69:J73" si="34">IF(H$12=0,0,H69/H$12)</f>
        <v>0</v>
      </c>
      <c r="K69" s="1"/>
      <c r="L69" s="1">
        <f t="shared" ref="L69:L73" si="35">+D69-H69</f>
        <v>0</v>
      </c>
      <c r="M69" s="1"/>
      <c r="N69" s="5">
        <f t="shared" ref="N69:N73" si="36">IF(H69=0,0,L69/H69)</f>
        <v>0</v>
      </c>
      <c r="O69" s="12"/>
      <c r="P69" s="1">
        <f>SUM(OSRRefP22_2x_0)</f>
        <v>0</v>
      </c>
      <c r="Q69" s="1"/>
      <c r="R69" s="5">
        <f t="shared" ref="R69:R73" si="37">IF(P$12=0,0,P69/P$12)</f>
        <v>0</v>
      </c>
      <c r="S69" s="1"/>
      <c r="T69" s="1">
        <f>SUM(OSRRefT22_2x_0)</f>
        <v>1181.76</v>
      </c>
      <c r="U69" s="1"/>
      <c r="V69" s="5">
        <f t="shared" ref="V69:V73" si="38">IF(T$12=0,0,T69/T$12)</f>
        <v>2.9471003271995589E-3</v>
      </c>
      <c r="W69" s="1"/>
      <c r="X69" s="1">
        <f t="shared" ref="X69:X73" si="39">+P69-T69</f>
        <v>-1181.76</v>
      </c>
      <c r="Y69" s="1"/>
      <c r="Z69" s="5">
        <f t="shared" ref="Z69:Z73" si="40">IF(T69=0,0,X69/T69)</f>
        <v>-1</v>
      </c>
    </row>
    <row r="70" spans="1:26" s="23" customFormat="1" hidden="1" outlineLevel="2" x14ac:dyDescent="0.25">
      <c r="A70" s="25"/>
      <c r="B70" s="10" t="str">
        <f>CONCATENATE("          ", "6362", " - ", "ADVERTISING EXPENSE")</f>
        <v xml:space="preserve">          6362 - ADVERTISING EXPENSE</v>
      </c>
      <c r="C70" s="10"/>
      <c r="D70" s="6"/>
      <c r="E70" s="2"/>
      <c r="F70" s="7">
        <f t="shared" si="33"/>
        <v>0</v>
      </c>
      <c r="G70" s="2"/>
      <c r="H70" s="6"/>
      <c r="I70" s="2"/>
      <c r="J70" s="7">
        <f t="shared" si="34"/>
        <v>0</v>
      </c>
      <c r="K70" s="2"/>
      <c r="L70" s="6">
        <f t="shared" si="35"/>
        <v>0</v>
      </c>
      <c r="M70" s="2"/>
      <c r="N70" s="7">
        <f t="shared" si="36"/>
        <v>0</v>
      </c>
      <c r="O70" s="10"/>
      <c r="P70" s="6"/>
      <c r="Q70" s="2"/>
      <c r="R70" s="7">
        <f t="shared" si="37"/>
        <v>0</v>
      </c>
      <c r="S70" s="2"/>
      <c r="T70" s="6">
        <v>1181.76</v>
      </c>
      <c r="U70" s="2"/>
      <c r="V70" s="7">
        <f t="shared" si="38"/>
        <v>2.9471003271995589E-3</v>
      </c>
      <c r="W70" s="2"/>
      <c r="X70" s="6">
        <f t="shared" si="39"/>
        <v>-1181.76</v>
      </c>
      <c r="Y70" s="2"/>
      <c r="Z70" s="7">
        <f t="shared" si="40"/>
        <v>-1</v>
      </c>
    </row>
    <row r="71" spans="1:26" s="26" customFormat="1" outlineLevel="1" collapsed="1" x14ac:dyDescent="0.25">
      <c r="A71" s="27"/>
      <c r="B71" s="12" t="str">
        <f>CONCATENATE("     ","Discounts and Markdowns                           ")</f>
        <v xml:space="preserve">     Discounts and Markdowns                           </v>
      </c>
      <c r="C71" s="12"/>
      <c r="D71" s="1">
        <f>SUM(OSRRefD22_3x_0)</f>
        <v>0</v>
      </c>
      <c r="E71" s="1"/>
      <c r="F71" s="5">
        <f t="shared" si="33"/>
        <v>0</v>
      </c>
      <c r="G71" s="1"/>
      <c r="H71" s="1">
        <f>SUM(OSRRefH22_3x_0)</f>
        <v>1000.12</v>
      </c>
      <c r="I71" s="1"/>
      <c r="J71" s="5">
        <f t="shared" si="34"/>
        <v>6.8541508897333708E-2</v>
      </c>
      <c r="K71" s="1"/>
      <c r="L71" s="1">
        <f t="shared" si="35"/>
        <v>-1000.12</v>
      </c>
      <c r="M71" s="1"/>
      <c r="N71" s="5">
        <f t="shared" si="36"/>
        <v>-1</v>
      </c>
      <c r="O71" s="12"/>
      <c r="P71" s="1">
        <f>SUM(OSRRefP22_3x_0)</f>
        <v>0</v>
      </c>
      <c r="Q71" s="1"/>
      <c r="R71" s="5">
        <f t="shared" si="37"/>
        <v>0</v>
      </c>
      <c r="S71" s="1"/>
      <c r="T71" s="1">
        <f>SUM(OSRRefT22_3x_0)</f>
        <v>9781.2099999999991</v>
      </c>
      <c r="U71" s="1"/>
      <c r="V71" s="5">
        <f t="shared" si="38"/>
        <v>2.4392606951840978E-2</v>
      </c>
      <c r="W71" s="1"/>
      <c r="X71" s="1">
        <f t="shared" si="39"/>
        <v>-9781.2099999999991</v>
      </c>
      <c r="Y71" s="1"/>
      <c r="Z71" s="5">
        <f t="shared" si="40"/>
        <v>-1</v>
      </c>
    </row>
    <row r="72" spans="1:26" s="23" customFormat="1" hidden="1" outlineLevel="2" x14ac:dyDescent="0.25">
      <c r="A72" s="25"/>
      <c r="B72" s="10" t="str">
        <f>CONCATENATE("          ", "6382", " - ", "DISCOUNTS/MARK DOWNS")</f>
        <v xml:space="preserve">          6382 - DISCOUNTS/MARK DOWNS</v>
      </c>
      <c r="C72" s="10"/>
      <c r="D72" s="6"/>
      <c r="E72" s="2"/>
      <c r="F72" s="7">
        <f t="shared" si="33"/>
        <v>0</v>
      </c>
      <c r="G72" s="2"/>
      <c r="H72" s="6">
        <v>1000.12</v>
      </c>
      <c r="I72" s="2"/>
      <c r="J72" s="7">
        <f t="shared" si="34"/>
        <v>6.8541508897333708E-2</v>
      </c>
      <c r="K72" s="2"/>
      <c r="L72" s="6">
        <f t="shared" si="35"/>
        <v>-1000.12</v>
      </c>
      <c r="M72" s="2"/>
      <c r="N72" s="7">
        <f t="shared" si="36"/>
        <v>-1</v>
      </c>
      <c r="O72" s="10"/>
      <c r="P72" s="6">
        <v>0</v>
      </c>
      <c r="Q72" s="2"/>
      <c r="R72" s="7">
        <f t="shared" si="37"/>
        <v>0</v>
      </c>
      <c r="S72" s="2"/>
      <c r="T72" s="6">
        <v>9781.2099999999991</v>
      </c>
      <c r="U72" s="2"/>
      <c r="V72" s="7">
        <f t="shared" si="38"/>
        <v>2.4392606951840978E-2</v>
      </c>
      <c r="W72" s="2"/>
      <c r="X72" s="6">
        <f t="shared" si="39"/>
        <v>-9781.2099999999991</v>
      </c>
      <c r="Y72" s="2"/>
      <c r="Z72" s="7">
        <f t="shared" si="40"/>
        <v>-1</v>
      </c>
    </row>
    <row r="73" spans="1:26" s="23" customFormat="1" hidden="1" outlineLevel="2" x14ac:dyDescent="0.25">
      <c r="A73" s="25"/>
      <c r="B73" s="10" t="str">
        <f>CONCATENATE("          ", "9175", " - ", "EARNED DISCOUNTS")</f>
        <v xml:space="preserve">          9175 - EARNED DISCOUNTS</v>
      </c>
      <c r="C73" s="10"/>
      <c r="D73" s="6">
        <v>0</v>
      </c>
      <c r="E73" s="2"/>
      <c r="F73" s="7">
        <f t="shared" si="33"/>
        <v>0</v>
      </c>
      <c r="G73" s="2"/>
      <c r="H73" s="6">
        <v>0</v>
      </c>
      <c r="I73" s="2"/>
      <c r="J73" s="7">
        <f t="shared" si="34"/>
        <v>0</v>
      </c>
      <c r="K73" s="2"/>
      <c r="L73" s="6">
        <f t="shared" si="35"/>
        <v>0</v>
      </c>
      <c r="M73" s="2"/>
      <c r="N73" s="7">
        <f t="shared" si="36"/>
        <v>0</v>
      </c>
      <c r="O73" s="10"/>
      <c r="P73" s="6">
        <v>0</v>
      </c>
      <c r="Q73" s="2"/>
      <c r="R73" s="7">
        <f t="shared" si="37"/>
        <v>0</v>
      </c>
      <c r="S73" s="2"/>
      <c r="T73" s="6">
        <v>0</v>
      </c>
      <c r="U73" s="2"/>
      <c r="V73" s="7">
        <f t="shared" si="38"/>
        <v>0</v>
      </c>
      <c r="W73" s="2"/>
      <c r="X73" s="6">
        <f t="shared" si="39"/>
        <v>0</v>
      </c>
      <c r="Y73" s="2"/>
      <c r="Z73" s="7">
        <f t="shared" si="40"/>
        <v>0</v>
      </c>
    </row>
    <row r="74" spans="1:26" s="26" customFormat="1" outlineLevel="1" collapsed="1" x14ac:dyDescent="0.25">
      <c r="A74" s="27"/>
      <c r="B74" s="12" t="str">
        <f>CONCATENATE("     ","Freight out/Postage                               ")</f>
        <v xml:space="preserve">     Freight out/Postage                               </v>
      </c>
      <c r="C74" s="12"/>
      <c r="D74" s="1">
        <f>SUM(OSRRefD22_4x_0)</f>
        <v>0</v>
      </c>
      <c r="E74" s="1"/>
      <c r="F74" s="5">
        <f t="shared" ref="F74:F83" si="41">IF(D$12=0,0,D74/D$12)</f>
        <v>0</v>
      </c>
      <c r="G74" s="1"/>
      <c r="H74" s="1">
        <f>SUM(OSRRefH22_4x_0)</f>
        <v>0</v>
      </c>
      <c r="I74" s="1"/>
      <c r="J74" s="5">
        <f t="shared" ref="J74:J83" si="42">IF(H$12=0,0,H74/H$12)</f>
        <v>0</v>
      </c>
      <c r="K74" s="1"/>
      <c r="L74" s="1">
        <f t="shared" ref="L74:L83" si="43">+D74-H74</f>
        <v>0</v>
      </c>
      <c r="M74" s="1"/>
      <c r="N74" s="5">
        <f t="shared" ref="N74:N83" si="44">IF(H74=0,0,L74/H74)</f>
        <v>0</v>
      </c>
      <c r="O74" s="12"/>
      <c r="P74" s="1">
        <f>SUM(OSRRefP22_4x_0)</f>
        <v>0</v>
      </c>
      <c r="Q74" s="1"/>
      <c r="R74" s="5">
        <f t="shared" ref="R74:R83" si="45">IF(P$12=0,0,P74/P$12)</f>
        <v>0</v>
      </c>
      <c r="S74" s="1"/>
      <c r="T74" s="1">
        <f>SUM(OSRRefT22_4x_0)</f>
        <v>15.81</v>
      </c>
      <c r="U74" s="1"/>
      <c r="V74" s="5">
        <f t="shared" ref="V74:V83" si="46">IF(T$12=0,0,T74/T$12)</f>
        <v>3.9427342415570867E-5</v>
      </c>
      <c r="W74" s="1"/>
      <c r="X74" s="1">
        <f t="shared" ref="X74:X83" si="47">+P74-T74</f>
        <v>-15.81</v>
      </c>
      <c r="Y74" s="1"/>
      <c r="Z74" s="5">
        <f t="shared" ref="Z74:Z83" si="48">IF(T74=0,0,X74/T74)</f>
        <v>-1</v>
      </c>
    </row>
    <row r="75" spans="1:26" s="23" customFormat="1" hidden="1" outlineLevel="2" x14ac:dyDescent="0.25">
      <c r="A75" s="25"/>
      <c r="B75" s="10" t="str">
        <f>CONCATENATE("          ", "6305", " - ", "FREIGHT OUT")</f>
        <v xml:space="preserve">          6305 - FREIGHT OUT</v>
      </c>
      <c r="C75" s="10"/>
      <c r="D75" s="6"/>
      <c r="E75" s="2"/>
      <c r="F75" s="7">
        <f t="shared" si="41"/>
        <v>0</v>
      </c>
      <c r="G75" s="2"/>
      <c r="H75" s="6"/>
      <c r="I75" s="2"/>
      <c r="J75" s="7">
        <f t="shared" si="42"/>
        <v>0</v>
      </c>
      <c r="K75" s="2"/>
      <c r="L75" s="6">
        <f t="shared" si="43"/>
        <v>0</v>
      </c>
      <c r="M75" s="2"/>
      <c r="N75" s="7">
        <f t="shared" si="44"/>
        <v>0</v>
      </c>
      <c r="O75" s="10"/>
      <c r="P75" s="6">
        <v>0</v>
      </c>
      <c r="Q75" s="2"/>
      <c r="R75" s="7">
        <f t="shared" si="45"/>
        <v>0</v>
      </c>
      <c r="S75" s="2"/>
      <c r="T75" s="6">
        <v>15.81</v>
      </c>
      <c r="U75" s="2"/>
      <c r="V75" s="7">
        <f t="shared" si="46"/>
        <v>3.9427342415570867E-5</v>
      </c>
      <c r="W75" s="2"/>
      <c r="X75" s="6">
        <f t="shared" si="47"/>
        <v>-15.81</v>
      </c>
      <c r="Y75" s="2"/>
      <c r="Z75" s="7">
        <f t="shared" si="48"/>
        <v>-1</v>
      </c>
    </row>
    <row r="76" spans="1:26" s="26" customFormat="1" outlineLevel="1" collapsed="1" x14ac:dyDescent="0.25">
      <c r="A76" s="27"/>
      <c r="B76" s="12" t="str">
        <f>CONCATENATE("     ","Subscriptions &amp; Dues                              ")</f>
        <v xml:space="preserve">     Subscriptions &amp; Dues                              </v>
      </c>
      <c r="C76" s="12"/>
      <c r="D76" s="1">
        <f>SUM(OSRRefD22_5x_0)</f>
        <v>0</v>
      </c>
      <c r="E76" s="1"/>
      <c r="F76" s="5">
        <f t="shared" si="41"/>
        <v>0</v>
      </c>
      <c r="G76" s="1"/>
      <c r="H76" s="1">
        <f>SUM(OSRRefH22_5x_0)</f>
        <v>0</v>
      </c>
      <c r="I76" s="1"/>
      <c r="J76" s="5">
        <f t="shared" si="42"/>
        <v>0</v>
      </c>
      <c r="K76" s="1"/>
      <c r="L76" s="1">
        <f t="shared" si="43"/>
        <v>0</v>
      </c>
      <c r="M76" s="1"/>
      <c r="N76" s="5">
        <f t="shared" si="44"/>
        <v>0</v>
      </c>
      <c r="O76" s="12"/>
      <c r="P76" s="1">
        <f>SUM(OSRRefP22_5x_0)</f>
        <v>0</v>
      </c>
      <c r="Q76" s="1"/>
      <c r="R76" s="5">
        <f t="shared" si="45"/>
        <v>0</v>
      </c>
      <c r="S76" s="1"/>
      <c r="T76" s="1">
        <f>SUM(OSRRefT22_5x_0)</f>
        <v>120</v>
      </c>
      <c r="U76" s="1"/>
      <c r="V76" s="5">
        <f t="shared" si="46"/>
        <v>2.9925876596258719E-4</v>
      </c>
      <c r="W76" s="1"/>
      <c r="X76" s="1">
        <f t="shared" si="47"/>
        <v>-120</v>
      </c>
      <c r="Y76" s="1"/>
      <c r="Z76" s="5">
        <f t="shared" si="48"/>
        <v>-1</v>
      </c>
    </row>
    <row r="77" spans="1:26" s="23" customFormat="1" hidden="1" outlineLevel="2" x14ac:dyDescent="0.25">
      <c r="A77" s="25"/>
      <c r="B77" s="10" t="str">
        <f>CONCATENATE("          ", "6258", " - ", "MEMBERSHIP DUES")</f>
        <v xml:space="preserve">          6258 - MEMBERSHIP DUES</v>
      </c>
      <c r="C77" s="10"/>
      <c r="D77" s="6"/>
      <c r="E77" s="2"/>
      <c r="F77" s="7">
        <f t="shared" si="41"/>
        <v>0</v>
      </c>
      <c r="G77" s="2"/>
      <c r="H77" s="6"/>
      <c r="I77" s="2"/>
      <c r="J77" s="7">
        <f t="shared" si="42"/>
        <v>0</v>
      </c>
      <c r="K77" s="2"/>
      <c r="L77" s="6">
        <f t="shared" si="43"/>
        <v>0</v>
      </c>
      <c r="M77" s="2"/>
      <c r="N77" s="7">
        <f t="shared" si="44"/>
        <v>0</v>
      </c>
      <c r="O77" s="10"/>
      <c r="P77" s="6"/>
      <c r="Q77" s="2"/>
      <c r="R77" s="7">
        <f t="shared" si="45"/>
        <v>0</v>
      </c>
      <c r="S77" s="2"/>
      <c r="T77" s="6">
        <v>120</v>
      </c>
      <c r="U77" s="2"/>
      <c r="V77" s="7">
        <f t="shared" si="46"/>
        <v>2.9925876596258719E-4</v>
      </c>
      <c r="W77" s="2"/>
      <c r="X77" s="6">
        <f t="shared" si="47"/>
        <v>-120</v>
      </c>
      <c r="Y77" s="2"/>
      <c r="Z77" s="7">
        <f t="shared" si="48"/>
        <v>-1</v>
      </c>
    </row>
    <row r="78" spans="1:26" s="26" customFormat="1" outlineLevel="1" collapsed="1" x14ac:dyDescent="0.25">
      <c r="A78" s="27"/>
      <c r="B78" s="12" t="str">
        <f>CONCATENATE("     ","Supplies                                          ")</f>
        <v xml:space="preserve">     Supplies                                          </v>
      </c>
      <c r="C78" s="12"/>
      <c r="D78" s="1">
        <f>SUM(OSRRefD22_6x_0)</f>
        <v>0</v>
      </c>
      <c r="E78" s="1"/>
      <c r="F78" s="5">
        <f t="shared" si="41"/>
        <v>0</v>
      </c>
      <c r="G78" s="1"/>
      <c r="H78" s="1">
        <f>SUM(OSRRefH22_6x_0)</f>
        <v>0</v>
      </c>
      <c r="I78" s="1"/>
      <c r="J78" s="5">
        <f t="shared" si="42"/>
        <v>0</v>
      </c>
      <c r="K78" s="1"/>
      <c r="L78" s="1">
        <f t="shared" si="43"/>
        <v>0</v>
      </c>
      <c r="M78" s="1"/>
      <c r="N78" s="5">
        <f t="shared" si="44"/>
        <v>0</v>
      </c>
      <c r="O78" s="12"/>
      <c r="P78" s="1">
        <f>SUM(OSRRefP22_6x_0)</f>
        <v>0</v>
      </c>
      <c r="Q78" s="1"/>
      <c r="R78" s="5">
        <f t="shared" si="45"/>
        <v>0</v>
      </c>
      <c r="S78" s="1"/>
      <c r="T78" s="1">
        <f>SUM(OSRRefT22_6x_0)</f>
        <v>252.29</v>
      </c>
      <c r="U78" s="1"/>
      <c r="V78" s="5">
        <f t="shared" si="46"/>
        <v>6.2916661720584276E-4</v>
      </c>
      <c r="W78" s="1"/>
      <c r="X78" s="1">
        <f t="shared" si="47"/>
        <v>-252.29</v>
      </c>
      <c r="Y78" s="1"/>
      <c r="Z78" s="5">
        <f t="shared" si="48"/>
        <v>-1</v>
      </c>
    </row>
    <row r="79" spans="1:26" s="23" customFormat="1" hidden="1" outlineLevel="2" x14ac:dyDescent="0.25">
      <c r="A79" s="25"/>
      <c r="B79" s="10" t="str">
        <f>CONCATENATE("          ", "6241", " - ", "OFFICE EXPENSE")</f>
        <v xml:space="preserve">          6241 - OFFICE EXPENSE</v>
      </c>
      <c r="C79" s="10"/>
      <c r="D79" s="6"/>
      <c r="E79" s="2"/>
      <c r="F79" s="7">
        <f t="shared" si="41"/>
        <v>0</v>
      </c>
      <c r="G79" s="2"/>
      <c r="H79" s="6"/>
      <c r="I79" s="2"/>
      <c r="J79" s="7">
        <f t="shared" si="42"/>
        <v>0</v>
      </c>
      <c r="K79" s="2"/>
      <c r="L79" s="6">
        <f t="shared" si="43"/>
        <v>0</v>
      </c>
      <c r="M79" s="2"/>
      <c r="N79" s="7">
        <f t="shared" si="44"/>
        <v>0</v>
      </c>
      <c r="O79" s="10"/>
      <c r="P79" s="6"/>
      <c r="Q79" s="2"/>
      <c r="R79" s="7">
        <f t="shared" si="45"/>
        <v>0</v>
      </c>
      <c r="S79" s="2"/>
      <c r="T79" s="6">
        <v>252.29</v>
      </c>
      <c r="U79" s="2"/>
      <c r="V79" s="7">
        <f t="shared" si="46"/>
        <v>6.2916661720584276E-4</v>
      </c>
      <c r="W79" s="2"/>
      <c r="X79" s="6">
        <f t="shared" si="47"/>
        <v>-252.29</v>
      </c>
      <c r="Y79" s="2"/>
      <c r="Z79" s="7">
        <f t="shared" si="48"/>
        <v>-1</v>
      </c>
    </row>
    <row r="80" spans="1:26" s="26" customFormat="1" outlineLevel="1" collapsed="1" x14ac:dyDescent="0.25">
      <c r="A80" s="27"/>
      <c r="B80" s="12" t="str">
        <f>CONCATENATE("     ","Training                                          ")</f>
        <v xml:space="preserve">     Training                                          </v>
      </c>
      <c r="C80" s="12"/>
      <c r="D80" s="1">
        <f>SUM(OSRRefD22_7x_0)</f>
        <v>0</v>
      </c>
      <c r="E80" s="1"/>
      <c r="F80" s="5">
        <f t="shared" si="41"/>
        <v>0</v>
      </c>
      <c r="G80" s="1"/>
      <c r="H80" s="1">
        <f>SUM(OSRRefH22_7x_0)</f>
        <v>0</v>
      </c>
      <c r="I80" s="1"/>
      <c r="J80" s="5">
        <f t="shared" si="42"/>
        <v>0</v>
      </c>
      <c r="K80" s="1"/>
      <c r="L80" s="1">
        <f t="shared" si="43"/>
        <v>0</v>
      </c>
      <c r="M80" s="1"/>
      <c r="N80" s="5">
        <f t="shared" si="44"/>
        <v>0</v>
      </c>
      <c r="O80" s="12"/>
      <c r="P80" s="1">
        <f>SUM(OSRRefP22_7x_0)</f>
        <v>0</v>
      </c>
      <c r="Q80" s="1"/>
      <c r="R80" s="5">
        <f t="shared" si="45"/>
        <v>0</v>
      </c>
      <c r="S80" s="1"/>
      <c r="T80" s="1">
        <f>SUM(OSRRefT22_7x_0)</f>
        <v>60</v>
      </c>
      <c r="U80" s="1"/>
      <c r="V80" s="5">
        <f t="shared" si="46"/>
        <v>1.496293829812936E-4</v>
      </c>
      <c r="W80" s="1"/>
      <c r="X80" s="1">
        <f t="shared" si="47"/>
        <v>-60</v>
      </c>
      <c r="Y80" s="1"/>
      <c r="Z80" s="5">
        <f t="shared" si="48"/>
        <v>-1</v>
      </c>
    </row>
    <row r="81" spans="1:26" s="23" customFormat="1" hidden="1" outlineLevel="2" x14ac:dyDescent="0.25">
      <c r="A81" s="25"/>
      <c r="B81" s="10" t="str">
        <f>CONCATENATE("          ", "6376", " - ", "TRAINING")</f>
        <v xml:space="preserve">          6376 - TRAINING</v>
      </c>
      <c r="C81" s="10"/>
      <c r="D81" s="6"/>
      <c r="E81" s="2"/>
      <c r="F81" s="7">
        <f t="shared" si="41"/>
        <v>0</v>
      </c>
      <c r="G81" s="2"/>
      <c r="H81" s="6"/>
      <c r="I81" s="2"/>
      <c r="J81" s="7">
        <f t="shared" si="42"/>
        <v>0</v>
      </c>
      <c r="K81" s="2"/>
      <c r="L81" s="6">
        <f t="shared" si="43"/>
        <v>0</v>
      </c>
      <c r="M81" s="2"/>
      <c r="N81" s="7">
        <f t="shared" si="44"/>
        <v>0</v>
      </c>
      <c r="O81" s="10"/>
      <c r="P81" s="6"/>
      <c r="Q81" s="2"/>
      <c r="R81" s="7">
        <f t="shared" si="45"/>
        <v>0</v>
      </c>
      <c r="S81" s="2"/>
      <c r="T81" s="6">
        <v>60</v>
      </c>
      <c r="U81" s="2"/>
      <c r="V81" s="7">
        <f t="shared" si="46"/>
        <v>1.496293829812936E-4</v>
      </c>
      <c r="W81" s="2"/>
      <c r="X81" s="6">
        <f t="shared" si="47"/>
        <v>-60</v>
      </c>
      <c r="Y81" s="2"/>
      <c r="Z81" s="7">
        <f t="shared" si="48"/>
        <v>-1</v>
      </c>
    </row>
    <row r="82" spans="1:26" s="26" customFormat="1" outlineLevel="1" collapsed="1" x14ac:dyDescent="0.25">
      <c r="A82" s="27"/>
      <c r="B82" s="12" t="str">
        <f>CONCATENATE("     ","Travel                                            ")</f>
        <v xml:space="preserve">     Travel                                            </v>
      </c>
      <c r="C82" s="12"/>
      <c r="D82" s="1">
        <f>SUM(OSRRefD22_8x_0)</f>
        <v>0</v>
      </c>
      <c r="E82" s="1"/>
      <c r="F82" s="5">
        <f t="shared" si="41"/>
        <v>0</v>
      </c>
      <c r="G82" s="1"/>
      <c r="H82" s="1">
        <f>SUM(OSRRefH22_8x_0)</f>
        <v>0</v>
      </c>
      <c r="I82" s="1"/>
      <c r="J82" s="5">
        <f t="shared" si="42"/>
        <v>0</v>
      </c>
      <c r="K82" s="1"/>
      <c r="L82" s="1">
        <f t="shared" si="43"/>
        <v>0</v>
      </c>
      <c r="M82" s="1"/>
      <c r="N82" s="5">
        <f t="shared" si="44"/>
        <v>0</v>
      </c>
      <c r="O82" s="12"/>
      <c r="P82" s="1">
        <f>SUM(OSRRefP22_8x_0)</f>
        <v>0</v>
      </c>
      <c r="Q82" s="1"/>
      <c r="R82" s="5">
        <f t="shared" si="45"/>
        <v>0</v>
      </c>
      <c r="S82" s="1"/>
      <c r="T82" s="1">
        <f>SUM(OSRRefT22_8x_0)</f>
        <v>-323.01</v>
      </c>
      <c r="U82" s="1"/>
      <c r="V82" s="5">
        <f t="shared" si="46"/>
        <v>-8.0552978327979414E-4</v>
      </c>
      <c r="W82" s="1"/>
      <c r="X82" s="1">
        <f t="shared" si="47"/>
        <v>323.01</v>
      </c>
      <c r="Y82" s="1"/>
      <c r="Z82" s="5">
        <f t="shared" si="48"/>
        <v>-1</v>
      </c>
    </row>
    <row r="83" spans="1:26" s="23" customFormat="1" hidden="1" outlineLevel="2" x14ac:dyDescent="0.25">
      <c r="A83" s="25"/>
      <c r="B83" s="10" t="str">
        <f>CONCATENATE("          ", "6292", " - ", "TRAVEL/CONFERENCE")</f>
        <v xml:space="preserve">          6292 - TRAVEL/CONFERENCE</v>
      </c>
      <c r="C83" s="10"/>
      <c r="D83" s="6"/>
      <c r="E83" s="2"/>
      <c r="F83" s="7">
        <f t="shared" si="41"/>
        <v>0</v>
      </c>
      <c r="G83" s="2"/>
      <c r="H83" s="6"/>
      <c r="I83" s="2"/>
      <c r="J83" s="7">
        <f t="shared" si="42"/>
        <v>0</v>
      </c>
      <c r="K83" s="2"/>
      <c r="L83" s="6">
        <f t="shared" si="43"/>
        <v>0</v>
      </c>
      <c r="M83" s="2"/>
      <c r="N83" s="7">
        <f t="shared" si="44"/>
        <v>0</v>
      </c>
      <c r="O83" s="10"/>
      <c r="P83" s="6"/>
      <c r="Q83" s="2"/>
      <c r="R83" s="7">
        <f t="shared" si="45"/>
        <v>0</v>
      </c>
      <c r="S83" s="2"/>
      <c r="T83" s="6">
        <v>-323.01</v>
      </c>
      <c r="U83" s="2"/>
      <c r="V83" s="7">
        <f t="shared" si="46"/>
        <v>-8.0552978327979414E-4</v>
      </c>
      <c r="W83" s="2"/>
      <c r="X83" s="6">
        <f t="shared" si="47"/>
        <v>323.01</v>
      </c>
      <c r="Y83" s="2"/>
      <c r="Z83" s="7">
        <f t="shared" si="48"/>
        <v>-1</v>
      </c>
    </row>
    <row r="84" spans="1:26" s="60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4" customFormat="1" x14ac:dyDescent="0.25">
      <c r="A85" s="11"/>
      <c r="B85" s="28" t="s">
        <v>292</v>
      </c>
      <c r="C85" s="11"/>
      <c r="D85" s="4">
        <f>SUM(0)</f>
        <v>0</v>
      </c>
      <c r="E85" s="4"/>
      <c r="F85" s="13">
        <f>IF(D$12=0,0,D85/D$12)</f>
        <v>0</v>
      </c>
      <c r="G85" s="4"/>
      <c r="H85" s="4">
        <f>SUM(0)</f>
        <v>0</v>
      </c>
      <c r="I85" s="4"/>
      <c r="J85" s="13">
        <f>IF(H$12=0,0,H85/H$12)</f>
        <v>0</v>
      </c>
      <c r="K85" s="4"/>
      <c r="L85" s="4">
        <f>+D85-H85</f>
        <v>0</v>
      </c>
      <c r="M85" s="4"/>
      <c r="N85" s="13">
        <f>IF(H85=0,0,L85/H85)</f>
        <v>0</v>
      </c>
      <c r="O85" s="11"/>
      <c r="P85" s="4">
        <f>SUM(0)</f>
        <v>0</v>
      </c>
      <c r="Q85" s="4"/>
      <c r="R85" s="13">
        <f>IF(P$12=0,0,P85/P$12)</f>
        <v>0</v>
      </c>
      <c r="S85" s="4"/>
      <c r="T85" s="4">
        <f>SUM(0)</f>
        <v>0</v>
      </c>
      <c r="U85" s="4"/>
      <c r="V85" s="13">
        <f>IF(T$12=0,0,T85/T$12)</f>
        <v>0</v>
      </c>
      <c r="W85" s="4"/>
      <c r="X85" s="4">
        <f>+P85-T85</f>
        <v>0</v>
      </c>
      <c r="Y85" s="4"/>
      <c r="Z85" s="13">
        <f>IF(T85=0,0,X85/T85)</f>
        <v>0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x14ac:dyDescent="0.25">
      <c r="A87" s="11"/>
      <c r="B87" s="29" t="s">
        <v>276</v>
      </c>
      <c r="C87" s="29"/>
      <c r="D87" s="22">
        <f>+D52-D54+D85</f>
        <v>0</v>
      </c>
      <c r="E87" s="14"/>
      <c r="F87" s="20">
        <f>IF(D$12=0,0,D87/D$12)</f>
        <v>0</v>
      </c>
      <c r="G87" s="14"/>
      <c r="H87" s="22">
        <f>+H52-H54+H85</f>
        <v>333.7599999999984</v>
      </c>
      <c r="I87" s="14"/>
      <c r="J87" s="20">
        <f>IF(H$12=0,0,H87/H$12)</f>
        <v>2.2873669169273678E-2</v>
      </c>
      <c r="K87" s="15"/>
      <c r="L87" s="22">
        <f>+D87-H87</f>
        <v>-333.7599999999984</v>
      </c>
      <c r="M87" s="15"/>
      <c r="N87" s="20">
        <f>IF(H87=0,0,L87/H87)</f>
        <v>-1</v>
      </c>
      <c r="O87" s="28"/>
      <c r="P87" s="22">
        <f>+P52-P54+P85</f>
        <v>0</v>
      </c>
      <c r="Q87" s="14"/>
      <c r="R87" s="20">
        <f>IF(P$12=0,0,P87/P$12)</f>
        <v>0</v>
      </c>
      <c r="S87" s="14"/>
      <c r="T87" s="22">
        <f>+T52-T54+T85</f>
        <v>117713.94000000009</v>
      </c>
      <c r="U87" s="14"/>
      <c r="V87" s="20">
        <f>IF(T$12=0,0,T87/T$12)</f>
        <v>0.29355773684161718</v>
      </c>
      <c r="W87" s="15"/>
      <c r="X87" s="22">
        <f>+P87-T87</f>
        <v>-117713.94000000009</v>
      </c>
      <c r="Y87" s="15"/>
      <c r="Z87" s="20">
        <f>IF(T87=0,0,X87/T87)</f>
        <v>-1</v>
      </c>
    </row>
    <row r="88" spans="1:26" x14ac:dyDescent="0.25">
      <c r="A88" s="9"/>
      <c r="B88" s="11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x14ac:dyDescent="0.25">
      <c r="A89" s="51"/>
      <c r="B89" s="11" t="s">
        <v>127</v>
      </c>
      <c r="C89" s="11"/>
      <c r="D89" s="4"/>
      <c r="E89" s="4"/>
      <c r="F89" s="13">
        <f>IF(D$12=0,0,D89/D$12)</f>
        <v>0</v>
      </c>
      <c r="G89" s="4"/>
      <c r="H89" s="4">
        <v>3585.4</v>
      </c>
      <c r="I89" s="4"/>
      <c r="J89" s="13">
        <f>IF(H$12=0,0,H89/H$12)</f>
        <v>0.24571923969173728</v>
      </c>
      <c r="K89" s="4"/>
      <c r="L89" s="4">
        <f>+D89-H89</f>
        <v>-3585.4</v>
      </c>
      <c r="M89" s="4"/>
      <c r="N89" s="13">
        <f>IF(H89=0,0,L89/H89)</f>
        <v>-1</v>
      </c>
      <c r="O89" s="11"/>
      <c r="P89" s="4"/>
      <c r="Q89" s="4"/>
      <c r="R89" s="13">
        <f>IF(P$12=0,0,P89/P$12)</f>
        <v>0</v>
      </c>
      <c r="S89" s="4"/>
      <c r="T89" s="4">
        <v>42967.13</v>
      </c>
      <c r="U89" s="4"/>
      <c r="V89" s="13">
        <f>IF(T$12=0,0,T89/T$12)</f>
        <v>0.1071524191729505</v>
      </c>
      <c r="W89" s="4"/>
      <c r="X89" s="4">
        <f>+P89-T89</f>
        <v>-42967.13</v>
      </c>
      <c r="Y89" s="4"/>
      <c r="Z89" s="13">
        <f>IF(T89=0,0,X89/T89)</f>
        <v>-1</v>
      </c>
    </row>
    <row r="90" spans="1:26" x14ac:dyDescent="0.25">
      <c r="A90" s="9"/>
      <c r="B90" s="11"/>
      <c r="C90" s="11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1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ht="15.75" thickBot="1" x14ac:dyDescent="0.3">
      <c r="A91" s="11"/>
      <c r="B91" s="29" t="s">
        <v>125</v>
      </c>
      <c r="C91" s="29"/>
      <c r="D91" s="30">
        <f>+D87-D89</f>
        <v>0</v>
      </c>
      <c r="E91" s="14"/>
      <c r="F91" s="36">
        <f>IF(D$12=0,0,D91/D$12)</f>
        <v>0</v>
      </c>
      <c r="G91" s="14"/>
      <c r="H91" s="30">
        <f>+H87-H89</f>
        <v>-3251.6400000000017</v>
      </c>
      <c r="I91" s="14"/>
      <c r="J91" s="36">
        <f>IF(H$12=0,0,H91/H$12)</f>
        <v>-0.22284557052246359</v>
      </c>
      <c r="K91" s="15"/>
      <c r="L91" s="30">
        <f>D91-H91</f>
        <v>3251.6400000000017</v>
      </c>
      <c r="M91" s="15"/>
      <c r="N91" s="36">
        <f>IF(H91=0,0,L91/H91)</f>
        <v>-1</v>
      </c>
      <c r="O91" s="28"/>
      <c r="P91" s="30">
        <f>+P87-P89</f>
        <v>0</v>
      </c>
      <c r="Q91" s="14"/>
      <c r="R91" s="36">
        <f>IF(P$12=0,0,P91/P$12)</f>
        <v>0</v>
      </c>
      <c r="S91" s="14"/>
      <c r="T91" s="30">
        <f>+T87-T89</f>
        <v>74746.810000000085</v>
      </c>
      <c r="U91" s="14"/>
      <c r="V91" s="36">
        <f>IF(T$12=0,0,T91/T$12)</f>
        <v>0.18640531766866666</v>
      </c>
      <c r="W91" s="15"/>
      <c r="X91" s="30">
        <f>P91-T91</f>
        <v>-74746.810000000085</v>
      </c>
      <c r="Y91" s="15"/>
      <c r="Z91" s="36">
        <f>IF(T91=0,0,X91/T91)</f>
        <v>-1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ht="15.75" thickBot="1" x14ac:dyDescent="0.3">
      <c r="A94" s="11"/>
      <c r="B94" s="29" t="s">
        <v>293</v>
      </c>
      <c r="C94" s="29"/>
      <c r="D94" s="35">
        <f>SUM(D91:D93)</f>
        <v>0</v>
      </c>
      <c r="E94" s="14"/>
      <c r="F94" s="34">
        <f>IF(D$12=0,0,D94/D$12)</f>
        <v>0</v>
      </c>
      <c r="G94" s="14"/>
      <c r="H94" s="35">
        <f>SUM(H91:H93)</f>
        <v>-3251.6400000000017</v>
      </c>
      <c r="I94" s="14"/>
      <c r="J94" s="34">
        <f>IF(H$12=0,0,H94/H$12)</f>
        <v>-0.22284557052246359</v>
      </c>
      <c r="K94" s="15"/>
      <c r="L94" s="35">
        <f>+D94-H94</f>
        <v>3251.6400000000017</v>
      </c>
      <c r="M94" s="15"/>
      <c r="N94" s="34">
        <f>IF(H94=0,0,L94/H94)</f>
        <v>-1</v>
      </c>
      <c r="O94" s="28"/>
      <c r="P94" s="35">
        <f>SUM(P91:P93)</f>
        <v>0</v>
      </c>
      <c r="Q94" s="14"/>
      <c r="R94" s="34">
        <f>IF(P$12=0,0,P94/P$12)</f>
        <v>0</v>
      </c>
      <c r="S94" s="14"/>
      <c r="T94" s="35">
        <f>SUM(T91:T93)</f>
        <v>74746.810000000085</v>
      </c>
      <c r="U94" s="14"/>
      <c r="V94" s="34">
        <f>IF(T$12=0,0,T94/T$12)</f>
        <v>0.18640531766866666</v>
      </c>
      <c r="W94" s="15"/>
      <c r="X94" s="35">
        <f>+P94-T94</f>
        <v>-74746.810000000085</v>
      </c>
      <c r="Y94" s="15"/>
      <c r="Z94" s="34">
        <f>IF(T94=0,0,X94/T94)</f>
        <v>-1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4">
        <v>44295.963243634258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8" t="s">
        <v>56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2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21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14994.939999999999</v>
      </c>
      <c r="E12" s="4"/>
      <c r="F12" s="13"/>
      <c r="G12" s="4"/>
      <c r="H12" s="4">
        <f>SUM(OSRRefH13x_0)</f>
        <v>18503.29</v>
      </c>
      <c r="I12" s="4"/>
      <c r="J12" s="13"/>
      <c r="K12" s="4"/>
      <c r="L12" s="4">
        <f t="shared" ref="L12:L41" si="0">+D12-H12</f>
        <v>-3508.3500000000022</v>
      </c>
      <c r="M12" s="4"/>
      <c r="N12" s="13">
        <f t="shared" ref="N12:N41" si="1">IF(H12=0,0,L12/H12)</f>
        <v>-0.18960682127340608</v>
      </c>
      <c r="O12" s="11"/>
      <c r="P12" s="4">
        <f>SUM(OSRRefP13x_0)</f>
        <v>2653985.3899999997</v>
      </c>
      <c r="Q12" s="4"/>
      <c r="R12" s="13"/>
      <c r="S12" s="4"/>
      <c r="T12" s="4">
        <f>SUM(OSRRefT13x_0)</f>
        <v>4835860.0299999993</v>
      </c>
      <c r="U12" s="4"/>
      <c r="V12" s="13"/>
      <c r="W12" s="4"/>
      <c r="X12" s="4">
        <f t="shared" ref="X12:X41" si="2">+P12-T12</f>
        <v>-2181874.6399999997</v>
      </c>
      <c r="Y12" s="4"/>
      <c r="Z12" s="13">
        <f t="shared" ref="Z12:Z41" si="3">IF(T12=0,0,X12/T12)</f>
        <v>-0.45118647489058944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-301.5</f>
        <v>-301.5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-301.5</v>
      </c>
      <c r="M13" s="2"/>
      <c r="N13" s="19">
        <f t="shared" si="1"/>
        <v>0</v>
      </c>
      <c r="O13" s="10"/>
      <c r="P13" s="2">
        <f>-8358.81</f>
        <v>-8358.81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-8358.81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--7739.23</f>
        <v>7739.23</v>
      </c>
      <c r="E14" s="2"/>
      <c r="F14" s="19"/>
      <c r="G14" s="2"/>
      <c r="H14" s="2">
        <f>--6131.56</f>
        <v>6131.56</v>
      </c>
      <c r="I14" s="2"/>
      <c r="J14" s="19"/>
      <c r="K14" s="2"/>
      <c r="L14" s="2">
        <f t="shared" si="0"/>
        <v>1607.6699999999992</v>
      </c>
      <c r="M14" s="2"/>
      <c r="N14" s="19">
        <f t="shared" si="1"/>
        <v>0.26219591751528143</v>
      </c>
      <c r="O14" s="10"/>
      <c r="P14" s="2">
        <f>--1232463.24</f>
        <v>1232463.24</v>
      </c>
      <c r="Q14" s="2"/>
      <c r="R14" s="19"/>
      <c r="S14" s="2"/>
      <c r="T14" s="2">
        <f>--2396893.28</f>
        <v>2396893.2799999998</v>
      </c>
      <c r="U14" s="2"/>
      <c r="V14" s="19"/>
      <c r="W14" s="2"/>
      <c r="X14" s="2">
        <f t="shared" si="2"/>
        <v>-1164430.0399999998</v>
      </c>
      <c r="Y14" s="2"/>
      <c r="Z14" s="19">
        <f t="shared" si="3"/>
        <v>-0.48580804565483193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--1662.85</f>
        <v>1662.85</v>
      </c>
      <c r="E15" s="2"/>
      <c r="F15" s="19"/>
      <c r="G15" s="2"/>
      <c r="H15" s="2">
        <f>--4341.5</f>
        <v>4341.5</v>
      </c>
      <c r="I15" s="2"/>
      <c r="J15" s="19"/>
      <c r="K15" s="2"/>
      <c r="L15" s="2">
        <f t="shared" si="0"/>
        <v>-2678.65</v>
      </c>
      <c r="M15" s="2"/>
      <c r="N15" s="19">
        <f t="shared" si="1"/>
        <v>-0.61698721639986187</v>
      </c>
      <c r="O15" s="10"/>
      <c r="P15" s="2">
        <f>--576797.33</f>
        <v>576797.32999999996</v>
      </c>
      <c r="Q15" s="2"/>
      <c r="R15" s="19"/>
      <c r="S15" s="2"/>
      <c r="T15" s="2">
        <f>--1244314.69</f>
        <v>1244314.69</v>
      </c>
      <c r="U15" s="2"/>
      <c r="V15" s="19"/>
      <c r="W15" s="2"/>
      <c r="X15" s="2">
        <f t="shared" si="2"/>
        <v>-667517.36</v>
      </c>
      <c r="Y15" s="2"/>
      <c r="Z15" s="19">
        <f t="shared" si="3"/>
        <v>-0.53645381298198769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--49.99</f>
        <v>49.99</v>
      </c>
      <c r="E16" s="2"/>
      <c r="F16" s="19"/>
      <c r="G16" s="2"/>
      <c r="H16" s="2">
        <f>--78</f>
        <v>78</v>
      </c>
      <c r="I16" s="2"/>
      <c r="J16" s="19"/>
      <c r="K16" s="2"/>
      <c r="L16" s="2">
        <f t="shared" si="0"/>
        <v>-28.009999999999998</v>
      </c>
      <c r="M16" s="2"/>
      <c r="N16" s="19">
        <f t="shared" si="1"/>
        <v>-0.35910256410256408</v>
      </c>
      <c r="O16" s="10"/>
      <c r="P16" s="2">
        <f>--17977.88</f>
        <v>17977.88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-15717.009999999998</v>
      </c>
      <c r="Y16" s="2"/>
      <c r="Z16" s="19">
        <f t="shared" si="3"/>
        <v>-0.46645084759143002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>--253.6</f>
        <v>253.6</v>
      </c>
      <c r="I18" s="2"/>
      <c r="J18" s="19"/>
      <c r="K18" s="2"/>
      <c r="L18" s="2">
        <f t="shared" si="0"/>
        <v>-253.6</v>
      </c>
      <c r="M18" s="2"/>
      <c r="N18" s="19">
        <f t="shared" si="1"/>
        <v>-1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--29.21</f>
        <v>29.21</v>
      </c>
      <c r="E19" s="2"/>
      <c r="F19" s="19"/>
      <c r="G19" s="2"/>
      <c r="H19" s="2">
        <f>--412.75</f>
        <v>412.75</v>
      </c>
      <c r="I19" s="2"/>
      <c r="J19" s="19"/>
      <c r="K19" s="2"/>
      <c r="L19" s="2">
        <f t="shared" si="0"/>
        <v>-383.54</v>
      </c>
      <c r="M19" s="2"/>
      <c r="N19" s="19">
        <f t="shared" si="1"/>
        <v>-0.9292307692307693</v>
      </c>
      <c r="O19" s="10"/>
      <c r="P19" s="2">
        <f>--1202.02</f>
        <v>1202.02</v>
      </c>
      <c r="Q19" s="2"/>
      <c r="R19" s="19"/>
      <c r="S19" s="2"/>
      <c r="T19" s="2">
        <f>--2695</f>
        <v>2695</v>
      </c>
      <c r="U19" s="2"/>
      <c r="V19" s="19"/>
      <c r="W19" s="2"/>
      <c r="X19" s="2">
        <f t="shared" si="2"/>
        <v>-1492.98</v>
      </c>
      <c r="Y19" s="2"/>
      <c r="Z19" s="19">
        <f t="shared" si="3"/>
        <v>-0.5539814471243043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--35.82</f>
        <v>35.82</v>
      </c>
      <c r="E20" s="2"/>
      <c r="F20" s="19"/>
      <c r="G20" s="2"/>
      <c r="H20" s="2">
        <f>--67.24</f>
        <v>67.239999999999995</v>
      </c>
      <c r="I20" s="2"/>
      <c r="J20" s="19"/>
      <c r="K20" s="2"/>
      <c r="L20" s="2">
        <f t="shared" si="0"/>
        <v>-31.419999999999995</v>
      </c>
      <c r="M20" s="2"/>
      <c r="N20" s="19">
        <f t="shared" si="1"/>
        <v>-0.46728138013087445</v>
      </c>
      <c r="O20" s="10"/>
      <c r="P20" s="2">
        <f>--447.7</f>
        <v>447.7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-771.48</v>
      </c>
      <c r="Y20" s="2"/>
      <c r="Z20" s="19">
        <f t="shared" si="3"/>
        <v>-0.63278597089847277</v>
      </c>
    </row>
    <row r="21" spans="1:26" s="23" customFormat="1" hidden="1" outlineLevel="1" x14ac:dyDescent="0.25">
      <c r="A21" s="44"/>
      <c r="B21" s="10" t="str">
        <f>CONCATENATE("          ", "4018", " - ", "TAXABLE SALES-STUDY GUIDES")</f>
        <v xml:space="preserve">          4018 - TAXABLE SALES-STUDY GUIDES</v>
      </c>
      <c r="C21" s="10"/>
      <c r="D21" s="2">
        <f>--67.3</f>
        <v>67.3</v>
      </c>
      <c r="E21" s="2"/>
      <c r="F21" s="19"/>
      <c r="G21" s="2"/>
      <c r="H21" s="2">
        <f>--56.6</f>
        <v>56.6</v>
      </c>
      <c r="I21" s="2"/>
      <c r="J21" s="19"/>
      <c r="K21" s="2"/>
      <c r="L21" s="2">
        <f t="shared" si="0"/>
        <v>10.699999999999996</v>
      </c>
      <c r="M21" s="2"/>
      <c r="N21" s="19">
        <f t="shared" si="1"/>
        <v>0.18904593639575965</v>
      </c>
      <c r="O21" s="10"/>
      <c r="P21" s="2">
        <f>--400.14</f>
        <v>400.14</v>
      </c>
      <c r="Q21" s="2"/>
      <c r="R21" s="19"/>
      <c r="S21" s="2"/>
      <c r="T21" s="2">
        <f>--4154.31</f>
        <v>4154.3100000000004</v>
      </c>
      <c r="U21" s="2"/>
      <c r="V21" s="19"/>
      <c r="W21" s="2"/>
      <c r="X21" s="2">
        <f t="shared" si="2"/>
        <v>-3754.1700000000005</v>
      </c>
      <c r="Y21" s="2"/>
      <c r="Z21" s="19">
        <f t="shared" si="3"/>
        <v>-0.90368075564895256</v>
      </c>
    </row>
    <row r="22" spans="1:26" s="23" customFormat="1" hidden="1" outlineLevel="1" x14ac:dyDescent="0.25">
      <c r="A22" s="44"/>
      <c r="B22" s="10" t="str">
        <f>CONCATENATE("          ", "4100", " - ", "NON-TAXABLE SALES")</f>
        <v xml:space="preserve">          4100 - NON-TAXABLE SALES</v>
      </c>
      <c r="C22" s="10"/>
      <c r="D22" s="2">
        <f>--2050.54</f>
        <v>2050.54</v>
      </c>
      <c r="E22" s="2"/>
      <c r="F22" s="19"/>
      <c r="G22" s="2"/>
      <c r="H22" s="2">
        <f>--1572.53</f>
        <v>1572.53</v>
      </c>
      <c r="I22" s="2"/>
      <c r="J22" s="19"/>
      <c r="K22" s="2"/>
      <c r="L22" s="2">
        <f t="shared" si="0"/>
        <v>478.01</v>
      </c>
      <c r="M22" s="2"/>
      <c r="N22" s="19">
        <f t="shared" si="1"/>
        <v>0.30397512289113721</v>
      </c>
      <c r="O22" s="10"/>
      <c r="P22" s="2">
        <f>--286224.1</f>
        <v>286224.09999999998</v>
      </c>
      <c r="Q22" s="2"/>
      <c r="R22" s="19"/>
      <c r="S22" s="2"/>
      <c r="T22" s="2">
        <f>--574312.65</f>
        <v>574312.65</v>
      </c>
      <c r="U22" s="2"/>
      <c r="V22" s="19"/>
      <c r="W22" s="2"/>
      <c r="X22" s="2">
        <f t="shared" si="2"/>
        <v>-288088.55000000005</v>
      </c>
      <c r="Y22" s="2"/>
      <c r="Z22" s="19">
        <f t="shared" si="3"/>
        <v>-0.5016232012302011</v>
      </c>
    </row>
    <row r="23" spans="1:26" s="23" customFormat="1" hidden="1" outlineLevel="1" x14ac:dyDescent="0.25">
      <c r="A23" s="44"/>
      <c r="B23" s="10" t="str">
        <f>CONCATENATE("          ", "4101", " - ", "NON-TAXABLE SALES-NEW TEXT")</f>
        <v xml:space="preserve">          4101 - NON-TAXABLE SALES-NEW TEXT</v>
      </c>
      <c r="C23" s="10"/>
      <c r="D23" s="2">
        <f>--1044.17</f>
        <v>1044.17</v>
      </c>
      <c r="E23" s="2"/>
      <c r="F23" s="19"/>
      <c r="G23" s="2"/>
      <c r="H23" s="2">
        <f>--2453.65</f>
        <v>2453.65</v>
      </c>
      <c r="I23" s="2"/>
      <c r="J23" s="19"/>
      <c r="K23" s="2"/>
      <c r="L23" s="2">
        <f t="shared" si="0"/>
        <v>-1409.48</v>
      </c>
      <c r="M23" s="2"/>
      <c r="N23" s="19">
        <f t="shared" si="1"/>
        <v>-0.57444215760193995</v>
      </c>
      <c r="O23" s="10"/>
      <c r="P23" s="2">
        <f>--112055.71</f>
        <v>112055.71</v>
      </c>
      <c r="Q23" s="2"/>
      <c r="R23" s="19"/>
      <c r="S23" s="2"/>
      <c r="T23" s="2">
        <f>--142191.42</f>
        <v>142191.42000000001</v>
      </c>
      <c r="U23" s="2"/>
      <c r="V23" s="19"/>
      <c r="W23" s="2"/>
      <c r="X23" s="2">
        <f t="shared" si="2"/>
        <v>-30135.710000000006</v>
      </c>
      <c r="Y23" s="2"/>
      <c r="Z23" s="19">
        <f t="shared" si="3"/>
        <v>-0.21193761198812139</v>
      </c>
    </row>
    <row r="24" spans="1:26" s="23" customFormat="1" hidden="1" outlineLevel="1" x14ac:dyDescent="0.25">
      <c r="A24" s="44"/>
      <c r="B24" s="10" t="str">
        <f>CONCATENATE("          ", "4102", " - ", "NON-TAXABLE SALES-USED TEXT")</f>
        <v xml:space="preserve">          4102 - NON-TAXABLE SALES-USED TEXT</v>
      </c>
      <c r="C24" s="10"/>
      <c r="D24" s="2">
        <f>--1572.06</f>
        <v>1572.06</v>
      </c>
      <c r="E24" s="2"/>
      <c r="F24" s="19"/>
      <c r="G24" s="2"/>
      <c r="H24" s="2">
        <f>--388.84</f>
        <v>388.84</v>
      </c>
      <c r="I24" s="2"/>
      <c r="J24" s="19"/>
      <c r="K24" s="2"/>
      <c r="L24" s="2">
        <f t="shared" si="0"/>
        <v>1183.22</v>
      </c>
      <c r="M24" s="2"/>
      <c r="N24" s="19">
        <f t="shared" si="1"/>
        <v>3.0429482563522274</v>
      </c>
      <c r="O24" s="10"/>
      <c r="P24" s="2">
        <f>--47959.43</f>
        <v>47959.43</v>
      </c>
      <c r="Q24" s="2"/>
      <c r="R24" s="19"/>
      <c r="S24" s="2"/>
      <c r="T24" s="2">
        <f>--68855.7</f>
        <v>68855.7</v>
      </c>
      <c r="U24" s="2"/>
      <c r="V24" s="19"/>
      <c r="W24" s="2"/>
      <c r="X24" s="2">
        <f t="shared" si="2"/>
        <v>-20896.269999999997</v>
      </c>
      <c r="Y24" s="2"/>
      <c r="Z24" s="19">
        <f t="shared" si="3"/>
        <v>-0.30347916004049041</v>
      </c>
    </row>
    <row r="25" spans="1:26" s="23" customFormat="1" hidden="1" outlineLevel="1" x14ac:dyDescent="0.25">
      <c r="A25" s="44"/>
      <c r="B25" s="10" t="str">
        <f>CONCATENATE("          ", "4103", " - ", "NON-TAXABLE SALES-RENTAL TEXT")</f>
        <v xml:space="preserve">          4103 - NON-TAXABLE SALES-RENTAL TEXT</v>
      </c>
      <c r="C25" s="10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--1138.95</f>
        <v>1138.95</v>
      </c>
      <c r="Q25" s="2"/>
      <c r="R25" s="19"/>
      <c r="S25" s="2"/>
      <c r="T25" s="2">
        <f>--664.97</f>
        <v>664.97</v>
      </c>
      <c r="U25" s="2"/>
      <c r="V25" s="19"/>
      <c r="W25" s="2"/>
      <c r="X25" s="2">
        <f t="shared" si="2"/>
        <v>473.98</v>
      </c>
      <c r="Y25" s="2"/>
      <c r="Z25" s="19">
        <f t="shared" si="3"/>
        <v>0.71278403537001667</v>
      </c>
    </row>
    <row r="26" spans="1:26" s="23" customFormat="1" hidden="1" outlineLevel="1" x14ac:dyDescent="0.25">
      <c r="A26" s="44"/>
      <c r="B26" s="10" t="str">
        <f>CONCATENATE("          ", "4104", " - ", "NON-TAXABLE SALES-DIGITAL TEXT")</f>
        <v xml:space="preserve">          4104 - NON-TAXABLE SALES-DIGITAL TEXT</v>
      </c>
      <c r="C26" s="10"/>
      <c r="D26" s="2">
        <f>--1097.13</f>
        <v>1097.1300000000001</v>
      </c>
      <c r="E26" s="2"/>
      <c r="F26" s="19"/>
      <c r="G26" s="2"/>
      <c r="H26" s="2">
        <f>--961.31</f>
        <v>961.31</v>
      </c>
      <c r="I26" s="2"/>
      <c r="J26" s="19"/>
      <c r="K26" s="2"/>
      <c r="L26" s="2">
        <f t="shared" si="0"/>
        <v>135.82000000000016</v>
      </c>
      <c r="M26" s="2"/>
      <c r="N26" s="19">
        <f t="shared" si="1"/>
        <v>0.14128636964142699</v>
      </c>
      <c r="O26" s="10"/>
      <c r="P26" s="2">
        <f>--476971.18</f>
        <v>476971.18</v>
      </c>
      <c r="Q26" s="2"/>
      <c r="R26" s="19"/>
      <c r="S26" s="2"/>
      <c r="T26" s="2">
        <f>--524351.65</f>
        <v>524351.65</v>
      </c>
      <c r="U26" s="2"/>
      <c r="V26" s="19"/>
      <c r="W26" s="2"/>
      <c r="X26" s="2">
        <f t="shared" si="2"/>
        <v>-47380.47000000003</v>
      </c>
      <c r="Y26" s="2"/>
      <c r="Z26" s="19">
        <f t="shared" si="3"/>
        <v>-9.0360104712171749E-2</v>
      </c>
    </row>
    <row r="27" spans="1:26" s="23" customFormat="1" hidden="1" outlineLevel="1" x14ac:dyDescent="0.25">
      <c r="A27" s="44"/>
      <c r="B27" s="10" t="str">
        <f>CONCATENATE("          ", "4111", " - ", "NON-TAXABLE SALES-NO VALUE TEX")</f>
        <v xml:space="preserve">          4111 - NON-TAXABLE SALES-NO VALUE TEX</v>
      </c>
      <c r="C27" s="10"/>
      <c r="D27" s="2">
        <f>0</f>
        <v>0</v>
      </c>
      <c r="E27" s="2"/>
      <c r="F27" s="19"/>
      <c r="G27" s="2"/>
      <c r="H27" s="2">
        <f>--369.34</f>
        <v>369.34</v>
      </c>
      <c r="I27" s="2"/>
      <c r="J27" s="19"/>
      <c r="K27" s="2"/>
      <c r="L27" s="2">
        <f t="shared" si="0"/>
        <v>-369.34</v>
      </c>
      <c r="M27" s="2"/>
      <c r="N27" s="19">
        <f t="shared" si="1"/>
        <v>-1</v>
      </c>
      <c r="O27" s="10"/>
      <c r="P27" s="2">
        <f>0</f>
        <v>0</v>
      </c>
      <c r="Q27" s="2"/>
      <c r="R27" s="19"/>
      <c r="S27" s="2"/>
      <c r="T27" s="2">
        <f>--14729.33</f>
        <v>14729.33</v>
      </c>
      <c r="U27" s="2"/>
      <c r="V27" s="19"/>
      <c r="W27" s="2"/>
      <c r="X27" s="2">
        <f t="shared" si="2"/>
        <v>-14729.33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"4113", " - ", "NON-TAXABLE SALES-TRADE BOOKS")</f>
        <v xml:space="preserve">          4113 - NON-TAXABLE SALES-TRADE BOOKS</v>
      </c>
      <c r="C28" s="10"/>
      <c r="D28" s="2">
        <f>--1250</f>
        <v>1250</v>
      </c>
      <c r="E28" s="2"/>
      <c r="F28" s="19"/>
      <c r="G28" s="2"/>
      <c r="H28" s="2">
        <f>--2440</f>
        <v>2440</v>
      </c>
      <c r="I28" s="2"/>
      <c r="J28" s="19"/>
      <c r="K28" s="2"/>
      <c r="L28" s="2">
        <f t="shared" si="0"/>
        <v>-1190</v>
      </c>
      <c r="M28" s="2"/>
      <c r="N28" s="19">
        <f t="shared" si="1"/>
        <v>-0.48770491803278687</v>
      </c>
      <c r="O28" s="10"/>
      <c r="P28" s="2">
        <f>--11389.25</f>
        <v>11389.25</v>
      </c>
      <c r="Q28" s="2"/>
      <c r="R28" s="19"/>
      <c r="S28" s="2"/>
      <c r="T28" s="2">
        <f>--5801.92</f>
        <v>5801.92</v>
      </c>
      <c r="U28" s="2"/>
      <c r="V28" s="19"/>
      <c r="W28" s="2"/>
      <c r="X28" s="2">
        <f t="shared" si="2"/>
        <v>5587.33</v>
      </c>
      <c r="Y28" s="2"/>
      <c r="Z28" s="19">
        <f t="shared" si="3"/>
        <v>0.96301396778997295</v>
      </c>
    </row>
    <row r="29" spans="1:26" s="23" customFormat="1" hidden="1" outlineLevel="1" x14ac:dyDescent="0.25">
      <c r="A29" s="44"/>
      <c r="B29" s="10" t="str">
        <f>CONCATENATE("          ", "4118", " - ", "NON-TAXABLE SALES-STUDY GUIDES")</f>
        <v xml:space="preserve">          4118 - NON-TAXABLE SALES-STUDY GUIDES</v>
      </c>
      <c r="C29" s="10"/>
      <c r="D29" s="2">
        <f>0</f>
        <v>0</v>
      </c>
      <c r="E29" s="2"/>
      <c r="F29" s="19"/>
      <c r="G29" s="2"/>
      <c r="H29" s="2">
        <f>--7.02</f>
        <v>7.02</v>
      </c>
      <c r="I29" s="2"/>
      <c r="J29" s="19"/>
      <c r="K29" s="2"/>
      <c r="L29" s="2">
        <f t="shared" si="0"/>
        <v>-7.02</v>
      </c>
      <c r="M29" s="2"/>
      <c r="N29" s="19">
        <f t="shared" si="1"/>
        <v>-1</v>
      </c>
      <c r="O29" s="10"/>
      <c r="P29" s="2">
        <f>--771.73</f>
        <v>771.73</v>
      </c>
      <c r="Q29" s="2"/>
      <c r="R29" s="19"/>
      <c r="S29" s="2"/>
      <c r="T29" s="2">
        <f>--68.92</f>
        <v>68.92</v>
      </c>
      <c r="U29" s="2"/>
      <c r="V29" s="19"/>
      <c r="W29" s="2"/>
      <c r="X29" s="2">
        <f t="shared" si="2"/>
        <v>702.81000000000006</v>
      </c>
      <c r="Y29" s="2"/>
      <c r="Z29" s="19">
        <f t="shared" si="3"/>
        <v>10.197475333720256</v>
      </c>
    </row>
    <row r="30" spans="1:26" s="23" customFormat="1" hidden="1" outlineLevel="1" x14ac:dyDescent="0.25">
      <c r="A30" s="44"/>
      <c r="B30" s="10" t="str">
        <f>CONCATENATE("          ", "4201", " - ", "SALES RETURN TAXABLE-NEW TEXT")</f>
        <v xml:space="preserve">          4201 - SALES RETURN TAXABLE-NEW TEXT</v>
      </c>
      <c r="C30" s="10"/>
      <c r="D30" s="2">
        <f>-596.94</f>
        <v>-596.94000000000005</v>
      </c>
      <c r="E30" s="2"/>
      <c r="F30" s="19"/>
      <c r="G30" s="2"/>
      <c r="H30" s="2">
        <f>-420.3</f>
        <v>-420.3</v>
      </c>
      <c r="I30" s="2"/>
      <c r="J30" s="19"/>
      <c r="K30" s="2"/>
      <c r="L30" s="2">
        <f t="shared" si="0"/>
        <v>-176.64000000000004</v>
      </c>
      <c r="M30" s="2"/>
      <c r="N30" s="19">
        <f t="shared" si="1"/>
        <v>0.42027123483226275</v>
      </c>
      <c r="O30" s="10"/>
      <c r="P30" s="2">
        <f>-51261.17</f>
        <v>-51261.17</v>
      </c>
      <c r="Q30" s="2"/>
      <c r="R30" s="19"/>
      <c r="S30" s="2"/>
      <c r="T30" s="2">
        <f>-121160.71</f>
        <v>-121160.71</v>
      </c>
      <c r="U30" s="2"/>
      <c r="V30" s="19"/>
      <c r="W30" s="2"/>
      <c r="X30" s="2">
        <f t="shared" si="2"/>
        <v>69899.540000000008</v>
      </c>
      <c r="Y30" s="2"/>
      <c r="Z30" s="19">
        <f t="shared" si="3"/>
        <v>-0.57691589955192579</v>
      </c>
    </row>
    <row r="31" spans="1:26" s="23" customFormat="1" hidden="1" outlineLevel="1" x14ac:dyDescent="0.25">
      <c r="A31" s="44"/>
      <c r="B31" s="10" t="str">
        <f>CONCATENATE("          ", "4202", " - ", "SALES RETURN TAXABLE-USED TEXT")</f>
        <v xml:space="preserve">          4202 - SALES RETURN TAXABLE-USED TEXT</v>
      </c>
      <c r="C31" s="10"/>
      <c r="D31" s="2">
        <f>-153.8</f>
        <v>-153.80000000000001</v>
      </c>
      <c r="E31" s="2"/>
      <c r="F31" s="19"/>
      <c r="G31" s="2"/>
      <c r="H31" s="2">
        <f>-133.45</f>
        <v>-133.44999999999999</v>
      </c>
      <c r="I31" s="2"/>
      <c r="J31" s="19"/>
      <c r="K31" s="2"/>
      <c r="L31" s="2">
        <f t="shared" si="0"/>
        <v>-20.350000000000023</v>
      </c>
      <c r="M31" s="2"/>
      <c r="N31" s="19">
        <f t="shared" si="1"/>
        <v>0.15249156987635837</v>
      </c>
      <c r="O31" s="10"/>
      <c r="P31" s="2">
        <f>-19889.31</f>
        <v>-19889.310000000001</v>
      </c>
      <c r="Q31" s="2"/>
      <c r="R31" s="19"/>
      <c r="S31" s="2"/>
      <c r="T31" s="2">
        <f>-45520.76</f>
        <v>-45520.76</v>
      </c>
      <c r="U31" s="2"/>
      <c r="V31" s="19"/>
      <c r="W31" s="2"/>
      <c r="X31" s="2">
        <f t="shared" si="2"/>
        <v>25631.45</v>
      </c>
      <c r="Y31" s="2"/>
      <c r="Z31" s="19">
        <f t="shared" si="3"/>
        <v>-0.56307166224816985</v>
      </c>
    </row>
    <row r="32" spans="1:26" s="23" customFormat="1" hidden="1" outlineLevel="1" x14ac:dyDescent="0.25">
      <c r="A32" s="44"/>
      <c r="B32" s="10" t="str">
        <f>CONCATENATE("          ", "4203", " - ", "SALES RETURN TAXABLE-RENTAL TE")</f>
        <v xml:space="preserve">          4203 - SALES RETURN TAXABLE-RENTAL TE</v>
      </c>
      <c r="C32" s="10"/>
      <c r="D32" s="2">
        <f t="shared" ref="D32:D35" si="5">0</f>
        <v>0</v>
      </c>
      <c r="E32" s="2"/>
      <c r="F32" s="19"/>
      <c r="G32" s="2"/>
      <c r="H32" s="2">
        <f t="shared" ref="H32:H33" si="6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0</f>
        <v>0</v>
      </c>
      <c r="Q32" s="2"/>
      <c r="R32" s="19"/>
      <c r="S32" s="2"/>
      <c r="T32" s="2">
        <f>-144.99</f>
        <v>-144.99</v>
      </c>
      <c r="U32" s="2"/>
      <c r="V32" s="19"/>
      <c r="W32" s="2"/>
      <c r="X32" s="2">
        <f t="shared" si="2"/>
        <v>144.99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"4204", " - ", "SALES RETURN TAXABLE-DIGITAL T")</f>
        <v xml:space="preserve">          4204 - SALES RETURN TAXABLE-DIGITAL T</v>
      </c>
      <c r="C33" s="10"/>
      <c r="D33" s="2">
        <f t="shared" si="5"/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-1763.1</f>
        <v>-1763.1</v>
      </c>
      <c r="Q33" s="2"/>
      <c r="R33" s="19"/>
      <c r="S33" s="2"/>
      <c r="T33" s="2">
        <f>-17255.33</f>
        <v>-17255.330000000002</v>
      </c>
      <c r="U33" s="2"/>
      <c r="V33" s="19"/>
      <c r="W33" s="2"/>
      <c r="X33" s="2">
        <f t="shared" si="2"/>
        <v>15492.230000000001</v>
      </c>
      <c r="Y33" s="2"/>
      <c r="Z33" s="19">
        <f t="shared" si="3"/>
        <v>-0.89782287559843832</v>
      </c>
    </row>
    <row r="34" spans="1:26" s="23" customFormat="1" hidden="1" outlineLevel="1" x14ac:dyDescent="0.25">
      <c r="A34" s="44"/>
      <c r="B34" s="10" t="str">
        <f>CONCATENATE("          ", "4213", " - ", "NON-TAXABLE SALES-TRADE BOOKS")</f>
        <v xml:space="preserve">          4213 - NON-TAXABLE SALES-TRADE BOOKS</v>
      </c>
      <c r="C34" s="10"/>
      <c r="D34" s="2">
        <f t="shared" si="5"/>
        <v>0</v>
      </c>
      <c r="E34" s="2"/>
      <c r="F34" s="19"/>
      <c r="G34" s="2"/>
      <c r="H34" s="2">
        <f>-374.85</f>
        <v>-374.85</v>
      </c>
      <c r="I34" s="2"/>
      <c r="J34" s="19"/>
      <c r="K34" s="2"/>
      <c r="L34" s="2">
        <f t="shared" si="0"/>
        <v>374.85</v>
      </c>
      <c r="M34" s="2"/>
      <c r="N34" s="19">
        <f t="shared" si="1"/>
        <v>-1</v>
      </c>
      <c r="O34" s="10"/>
      <c r="P34" s="2">
        <f>-69.93</f>
        <v>-69.930000000000007</v>
      </c>
      <c r="Q34" s="2"/>
      <c r="R34" s="19"/>
      <c r="S34" s="2"/>
      <c r="T34" s="2">
        <f>-594.91</f>
        <v>-594.91</v>
      </c>
      <c r="U34" s="2"/>
      <c r="V34" s="19"/>
      <c r="W34" s="2"/>
      <c r="X34" s="2">
        <f t="shared" si="2"/>
        <v>524.98</v>
      </c>
      <c r="Y34" s="2"/>
      <c r="Z34" s="19">
        <f t="shared" si="3"/>
        <v>-0.88245280798776293</v>
      </c>
    </row>
    <row r="35" spans="1:26" s="23" customFormat="1" hidden="1" outlineLevel="1" x14ac:dyDescent="0.25">
      <c r="A35" s="44"/>
      <c r="B35" s="10" t="str">
        <f>CONCATENATE("          ", "4214", " - ", "SALES RETURN TAXABLE-REMAINDER")</f>
        <v xml:space="preserve">          4214 - SALES RETURN TAXABLE-REMAINDER</v>
      </c>
      <c r="C35" s="10"/>
      <c r="D35" s="2">
        <f t="shared" si="5"/>
        <v>0</v>
      </c>
      <c r="E35" s="2"/>
      <c r="F35" s="19"/>
      <c r="G35" s="2"/>
      <c r="H35" s="2">
        <f t="shared" ref="H35:H39" si="7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0</f>
        <v>0</v>
      </c>
      <c r="Q35" s="2"/>
      <c r="R35" s="19"/>
      <c r="S35" s="2"/>
      <c r="T35" s="2">
        <f>-11.94</f>
        <v>-11.94</v>
      </c>
      <c r="U35" s="2"/>
      <c r="V35" s="19"/>
      <c r="W35" s="2"/>
      <c r="X35" s="2">
        <f t="shared" si="2"/>
        <v>11.94</v>
      </c>
      <c r="Y35" s="2"/>
      <c r="Z35" s="19">
        <f t="shared" si="3"/>
        <v>-1</v>
      </c>
    </row>
    <row r="36" spans="1:26" s="23" customFormat="1" hidden="1" outlineLevel="1" x14ac:dyDescent="0.25">
      <c r="A36" s="44"/>
      <c r="B36" s="10" t="str">
        <f>CONCATENATE("          ", "4218", " - ", "SALES RETURN TAXABLE-STUDY GUI")</f>
        <v xml:space="preserve">          4218 - SALES RETURN TAXABLE-STUDY GUI</v>
      </c>
      <c r="C36" s="10"/>
      <c r="D36" s="2">
        <f>-5.21</f>
        <v>-5.21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-5.21</v>
      </c>
      <c r="M36" s="2"/>
      <c r="N36" s="19">
        <f t="shared" si="1"/>
        <v>0</v>
      </c>
      <c r="O36" s="10"/>
      <c r="P36" s="2">
        <f>-5.21</f>
        <v>-5.21</v>
      </c>
      <c r="Q36" s="2"/>
      <c r="R36" s="19"/>
      <c r="S36" s="2"/>
      <c r="T36" s="2">
        <f>-39.25</f>
        <v>-39.25</v>
      </c>
      <c r="U36" s="2"/>
      <c r="V36" s="19"/>
      <c r="W36" s="2"/>
      <c r="X36" s="2">
        <f t="shared" si="2"/>
        <v>34.04</v>
      </c>
      <c r="Y36" s="2"/>
      <c r="Z36" s="19">
        <f t="shared" si="3"/>
        <v>-0.86726114649681529</v>
      </c>
    </row>
    <row r="37" spans="1:26" s="23" customFormat="1" hidden="1" outlineLevel="1" x14ac:dyDescent="0.25">
      <c r="A37" s="44"/>
      <c r="B37" s="10" t="str">
        <f>CONCATENATE("          ", "4301", " - ", "SALES RETURN NON TAXABLE-NEW T")</f>
        <v xml:space="preserve">          4301 - SALES RETURN NON TAXABLE-NEW T</v>
      </c>
      <c r="C37" s="10"/>
      <c r="D37" s="2">
        <f>0</f>
        <v>0</v>
      </c>
      <c r="E37" s="2"/>
      <c r="F37" s="19"/>
      <c r="G37" s="2"/>
      <c r="H37" s="2">
        <f t="shared" si="7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-3237.29</f>
        <v>-3237.29</v>
      </c>
      <c r="Q37" s="2"/>
      <c r="R37" s="19"/>
      <c r="S37" s="2"/>
      <c r="T37" s="2">
        <f>-15221.62</f>
        <v>-15221.62</v>
      </c>
      <c r="U37" s="2"/>
      <c r="V37" s="19"/>
      <c r="W37" s="2"/>
      <c r="X37" s="2">
        <f t="shared" si="2"/>
        <v>11984.330000000002</v>
      </c>
      <c r="Y37" s="2"/>
      <c r="Z37" s="19">
        <f t="shared" si="3"/>
        <v>-0.78732289992786586</v>
      </c>
    </row>
    <row r="38" spans="1:26" s="23" customFormat="1" hidden="1" outlineLevel="1" x14ac:dyDescent="0.25">
      <c r="A38" s="44"/>
      <c r="B38" s="10" t="str">
        <f>CONCATENATE("          ", "4302", " - ", "SALES RETURN NON TAXABLE-TEXT")</f>
        <v xml:space="preserve">          4302 - SALES RETURN NON TAXABLE-TEXT</v>
      </c>
      <c r="C38" s="10"/>
      <c r="D38" s="2">
        <f>-270.87</f>
        <v>-270.87</v>
      </c>
      <c r="E38" s="2"/>
      <c r="F38" s="19"/>
      <c r="G38" s="2"/>
      <c r="H38" s="2">
        <f t="shared" si="7"/>
        <v>0</v>
      </c>
      <c r="I38" s="2"/>
      <c r="J38" s="19"/>
      <c r="K38" s="2"/>
      <c r="L38" s="2">
        <f t="shared" si="0"/>
        <v>-270.87</v>
      </c>
      <c r="M38" s="2"/>
      <c r="N38" s="19">
        <f t="shared" si="1"/>
        <v>0</v>
      </c>
      <c r="O38" s="10"/>
      <c r="P38" s="2">
        <f>-2344.35</f>
        <v>-2344.35</v>
      </c>
      <c r="Q38" s="2"/>
      <c r="R38" s="19"/>
      <c r="S38" s="2"/>
      <c r="T38" s="2">
        <f>-1312.37</f>
        <v>-1312.37</v>
      </c>
      <c r="U38" s="2"/>
      <c r="V38" s="19"/>
      <c r="W38" s="2"/>
      <c r="X38" s="2">
        <f t="shared" si="2"/>
        <v>-1031.98</v>
      </c>
      <c r="Y38" s="2"/>
      <c r="Z38" s="19">
        <f t="shared" si="3"/>
        <v>0.78634836212348658</v>
      </c>
    </row>
    <row r="39" spans="1:26" s="23" customFormat="1" hidden="1" outlineLevel="1" x14ac:dyDescent="0.25">
      <c r="A39" s="44"/>
      <c r="B39" s="10" t="str">
        <f>CONCATENATE("          ", "4303", " - ", "SALES RETURN NON-TAXABLE-RENTA")</f>
        <v xml:space="preserve">          4303 - SALES RETURN NON-TAXABLE-RENTA</v>
      </c>
      <c r="C39" s="10"/>
      <c r="D39" s="2">
        <f>0</f>
        <v>0</v>
      </c>
      <c r="E39" s="2"/>
      <c r="F39" s="19"/>
      <c r="G39" s="2"/>
      <c r="H39" s="2">
        <f t="shared" si="7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>0</f>
        <v>0</v>
      </c>
      <c r="Q39" s="2"/>
      <c r="R39" s="19"/>
      <c r="S39" s="2"/>
      <c r="T39" s="2">
        <f>-184.99</f>
        <v>-184.99</v>
      </c>
      <c r="U39" s="2"/>
      <c r="V39" s="19"/>
      <c r="W39" s="2"/>
      <c r="X39" s="2">
        <f t="shared" si="2"/>
        <v>184.99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"4304", " - ", "SALES RETURN NON TAXABLE-DIGIT")</f>
        <v xml:space="preserve">          4304 - SALES RETURN NON TAXABLE-DIGIT</v>
      </c>
      <c r="C40" s="10"/>
      <c r="D40" s="2">
        <f>-275.04</f>
        <v>-275.04000000000002</v>
      </c>
      <c r="E40" s="2"/>
      <c r="F40" s="19"/>
      <c r="G40" s="2"/>
      <c r="H40" s="2">
        <f>-44.15</f>
        <v>-44.15</v>
      </c>
      <c r="I40" s="2"/>
      <c r="J40" s="19"/>
      <c r="K40" s="2"/>
      <c r="L40" s="2">
        <f t="shared" si="0"/>
        <v>-230.89000000000001</v>
      </c>
      <c r="M40" s="2"/>
      <c r="N40" s="19">
        <f t="shared" si="1"/>
        <v>5.2296715741789361</v>
      </c>
      <c r="O40" s="10"/>
      <c r="P40" s="2">
        <f>-27543.76</f>
        <v>-27543.759999999998</v>
      </c>
      <c r="Q40" s="2"/>
      <c r="R40" s="19"/>
      <c r="S40" s="2"/>
      <c r="T40" s="2">
        <f>-19036.13</f>
        <v>-19036.13</v>
      </c>
      <c r="U40" s="2"/>
      <c r="V40" s="19"/>
      <c r="W40" s="2"/>
      <c r="X40" s="2">
        <f t="shared" si="2"/>
        <v>-8507.6299999999974</v>
      </c>
      <c r="Y40" s="2"/>
      <c r="Z40" s="19">
        <f t="shared" si="3"/>
        <v>0.44692014605909902</v>
      </c>
    </row>
    <row r="41" spans="1:26" s="23" customFormat="1" hidden="1" outlineLevel="1" x14ac:dyDescent="0.25">
      <c r="A41" s="44"/>
      <c r="B41" s="10" t="str">
        <f>CONCATENATE("          ", "4311", " - ", "SALES RETURN NON TAXABLE-NO VA")</f>
        <v xml:space="preserve">          4311 - SALES RETURN NON TAXABLE-NO VA</v>
      </c>
      <c r="C41" s="10"/>
      <c r="D41" s="2">
        <f>0</f>
        <v>0</v>
      </c>
      <c r="E41" s="2"/>
      <c r="F41" s="19"/>
      <c r="G41" s="2"/>
      <c r="H41" s="2">
        <f>-57.9</f>
        <v>-57.9</v>
      </c>
      <c r="I41" s="2"/>
      <c r="J41" s="19"/>
      <c r="K41" s="2"/>
      <c r="L41" s="2">
        <f t="shared" si="0"/>
        <v>57.9</v>
      </c>
      <c r="M41" s="2"/>
      <c r="N41" s="19">
        <f t="shared" si="1"/>
        <v>-1</v>
      </c>
      <c r="O41" s="10"/>
      <c r="P41" s="2">
        <f>0</f>
        <v>0</v>
      </c>
      <c r="Q41" s="2"/>
      <c r="R41" s="19"/>
      <c r="S41" s="2"/>
      <c r="T41" s="2">
        <f>-852.66</f>
        <v>-852.66</v>
      </c>
      <c r="U41" s="2"/>
      <c r="V41" s="19"/>
      <c r="W41" s="2"/>
      <c r="X41" s="2">
        <f t="shared" si="2"/>
        <v>852.66</v>
      </c>
      <c r="Y41" s="2"/>
      <c r="Z41" s="19">
        <f t="shared" si="3"/>
        <v>-1</v>
      </c>
    </row>
    <row r="42" spans="1:26" x14ac:dyDescent="0.25">
      <c r="A42" s="9"/>
      <c r="B42" s="11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4" customFormat="1" collapsed="1" x14ac:dyDescent="0.25">
      <c r="A43" s="11"/>
      <c r="B43" s="28" t="s">
        <v>256</v>
      </c>
      <c r="C43" s="11"/>
      <c r="D43" s="4">
        <f>SUM(OSRRefD16x_0)</f>
        <v>9743.3700000000135</v>
      </c>
      <c r="E43" s="4"/>
      <c r="F43" s="13">
        <f t="shared" ref="F43:F60" si="8">IF(D$12=0,0,D43/D$12)</f>
        <v>0.6497771915059356</v>
      </c>
      <c r="G43" s="4"/>
      <c r="H43" s="4">
        <f>SUM(OSRRefH16x_0)</f>
        <v>12803.030000000055</v>
      </c>
      <c r="I43" s="4"/>
      <c r="J43" s="13">
        <f t="shared" ref="J43:J60" si="9">IF(H$12=0,0,H43/H$12)</f>
        <v>0.69193262387391941</v>
      </c>
      <c r="K43" s="4"/>
      <c r="L43" s="4">
        <f t="shared" ref="L43:L60" si="10">+D43-H43</f>
        <v>-3059.6600000000417</v>
      </c>
      <c r="M43" s="4"/>
      <c r="N43" s="13">
        <f t="shared" ref="N43:N60" si="11">IF(H43=0,0,L43/H43)</f>
        <v>-0.23897936660306415</v>
      </c>
      <c r="O43" s="11"/>
      <c r="P43" s="4">
        <f>SUM(OSRRefP16x_0)</f>
        <v>1873250.72</v>
      </c>
      <c r="Q43" s="4"/>
      <c r="R43" s="13">
        <f t="shared" ref="R43:R60" si="12">IF(P$12=0,0,P43/P$12)</f>
        <v>0.70582555844438921</v>
      </c>
      <c r="S43" s="4"/>
      <c r="T43" s="4">
        <f>SUM(OSRRefT16x_0)</f>
        <v>3464383.22</v>
      </c>
      <c r="U43" s="4"/>
      <c r="V43" s="13">
        <f t="shared" ref="V43:V60" si="13">IF(T$12=0,0,T43/T$12)</f>
        <v>0.71639443625501309</v>
      </c>
      <c r="W43" s="4"/>
      <c r="X43" s="4">
        <f t="shared" ref="X43:X60" si="14">+P43-T43</f>
        <v>-1591132.5000000002</v>
      </c>
      <c r="Y43" s="4"/>
      <c r="Z43" s="13">
        <f t="shared" ref="Z43:Z60" si="15">IF(T43=0,0,X43/T43)</f>
        <v>-0.45928305241011996</v>
      </c>
    </row>
    <row r="44" spans="1:26" s="23" customFormat="1" hidden="1" outlineLevel="1" x14ac:dyDescent="0.25">
      <c r="A44" s="44"/>
      <c r="B44" s="10" t="str">
        <f>CONCATENATE("          ", "5000", " - ", "PURCHASES @ COST")</f>
        <v xml:space="preserve">          5000 - PURCHASES @ COST</v>
      </c>
      <c r="C44" s="10"/>
      <c r="D44" s="2">
        <v>0</v>
      </c>
      <c r="E44" s="2"/>
      <c r="F44" s="19">
        <f t="shared" si="8"/>
        <v>0</v>
      </c>
      <c r="G44" s="2"/>
      <c r="H44" s="2"/>
      <c r="I44" s="2"/>
      <c r="J44" s="19">
        <f t="shared" si="9"/>
        <v>0</v>
      </c>
      <c r="K44" s="2"/>
      <c r="L44" s="2">
        <f t="shared" si="10"/>
        <v>0</v>
      </c>
      <c r="M44" s="2"/>
      <c r="N44" s="19">
        <f t="shared" si="11"/>
        <v>0</v>
      </c>
      <c r="O44" s="10"/>
      <c r="P44" s="2">
        <v>0</v>
      </c>
      <c r="Q44" s="2"/>
      <c r="R44" s="19">
        <f t="shared" si="12"/>
        <v>0</v>
      </c>
      <c r="S44" s="2"/>
      <c r="T44" s="2">
        <v>0</v>
      </c>
      <c r="U44" s="2"/>
      <c r="V44" s="19">
        <f t="shared" si="13"/>
        <v>0</v>
      </c>
      <c r="W44" s="2"/>
      <c r="X44" s="2">
        <f t="shared" si="14"/>
        <v>0</v>
      </c>
      <c r="Y44" s="2"/>
      <c r="Z44" s="19">
        <f t="shared" si="15"/>
        <v>0</v>
      </c>
    </row>
    <row r="45" spans="1:26" s="23" customFormat="1" hidden="1" outlineLevel="1" x14ac:dyDescent="0.25">
      <c r="A45" s="44"/>
      <c r="B45" s="10" t="str">
        <f>CONCATENATE("          ", "5001", " - ", "PURCHASES @ COST-NEW TEXT")</f>
        <v xml:space="preserve">          5001 - PURCHASES @ COST-NEW TEXT</v>
      </c>
      <c r="C45" s="10"/>
      <c r="D45" s="2">
        <v>-290899.24</v>
      </c>
      <c r="E45" s="2"/>
      <c r="F45" s="19">
        <f t="shared" si="8"/>
        <v>-19.399826874932479</v>
      </c>
      <c r="G45" s="2"/>
      <c r="H45" s="2">
        <v>-921934.35</v>
      </c>
      <c r="I45" s="2"/>
      <c r="J45" s="19">
        <f t="shared" si="9"/>
        <v>-49.825428342743365</v>
      </c>
      <c r="K45" s="2"/>
      <c r="L45" s="2">
        <f t="shared" si="10"/>
        <v>631035.11</v>
      </c>
      <c r="M45" s="2"/>
      <c r="N45" s="19">
        <f t="shared" si="11"/>
        <v>-0.68446859583873843</v>
      </c>
      <c r="O45" s="10"/>
      <c r="P45" s="2">
        <v>1035516.4</v>
      </c>
      <c r="Q45" s="2"/>
      <c r="R45" s="19">
        <f t="shared" si="12"/>
        <v>0.39017411471130975</v>
      </c>
      <c r="S45" s="2"/>
      <c r="T45" s="2">
        <v>1594665.12</v>
      </c>
      <c r="U45" s="2"/>
      <c r="V45" s="19">
        <f t="shared" si="13"/>
        <v>0.32975832842705338</v>
      </c>
      <c r="W45" s="2"/>
      <c r="X45" s="2">
        <f t="shared" si="14"/>
        <v>-559148.72000000009</v>
      </c>
      <c r="Y45" s="2"/>
      <c r="Z45" s="19">
        <f t="shared" si="15"/>
        <v>-0.35063707921322068</v>
      </c>
    </row>
    <row r="46" spans="1:26" s="23" customFormat="1" hidden="1" outlineLevel="1" x14ac:dyDescent="0.25">
      <c r="A46" s="44"/>
      <c r="B46" s="10" t="str">
        <f>CONCATENATE("          ", "5002", " - ", "PURCHASES @ COST-USED TEXT")</f>
        <v xml:space="preserve">          5002 - PURCHASES @ COST-USED TEXT</v>
      </c>
      <c r="C46" s="10"/>
      <c r="D46" s="2">
        <v>14728.45</v>
      </c>
      <c r="E46" s="2"/>
      <c r="F46" s="19">
        <f t="shared" si="8"/>
        <v>0.98222800491365769</v>
      </c>
      <c r="G46" s="2"/>
      <c r="H46" s="2">
        <v>74144.740000000005</v>
      </c>
      <c r="I46" s="2"/>
      <c r="J46" s="19">
        <f t="shared" si="9"/>
        <v>4.0071111677977269</v>
      </c>
      <c r="K46" s="2"/>
      <c r="L46" s="2">
        <f t="shared" si="10"/>
        <v>-59416.290000000008</v>
      </c>
      <c r="M46" s="2"/>
      <c r="N46" s="19">
        <f t="shared" si="11"/>
        <v>-0.80135542993339792</v>
      </c>
      <c r="O46" s="10"/>
      <c r="P46" s="2">
        <v>397052.67</v>
      </c>
      <c r="Q46" s="2"/>
      <c r="R46" s="19">
        <f t="shared" si="12"/>
        <v>0.14960620035666436</v>
      </c>
      <c r="S46" s="2"/>
      <c r="T46" s="2">
        <v>598700.11</v>
      </c>
      <c r="U46" s="2"/>
      <c r="V46" s="19">
        <f t="shared" si="13"/>
        <v>0.12380426775917253</v>
      </c>
      <c r="W46" s="2"/>
      <c r="X46" s="2">
        <f t="shared" si="14"/>
        <v>-201647.44</v>
      </c>
      <c r="Y46" s="2"/>
      <c r="Z46" s="19">
        <f t="shared" si="15"/>
        <v>-0.3368087572257169</v>
      </c>
    </row>
    <row r="47" spans="1:26" s="23" customFormat="1" hidden="1" outlineLevel="1" x14ac:dyDescent="0.25">
      <c r="A47" s="44"/>
      <c r="B47" s="10" t="str">
        <f>CONCATENATE("          ", "5003", " - ", "PURCHASES @ COST-RENTAL TEXT")</f>
        <v xml:space="preserve">          5003 - PURCHASES @ COST-RENTAL TEXT</v>
      </c>
      <c r="C47" s="10"/>
      <c r="D47" s="2"/>
      <c r="E47" s="2"/>
      <c r="F47" s="19">
        <f t="shared" si="8"/>
        <v>0</v>
      </c>
      <c r="G47" s="2"/>
      <c r="H47" s="2"/>
      <c r="I47" s="2"/>
      <c r="J47" s="19">
        <f t="shared" si="9"/>
        <v>0</v>
      </c>
      <c r="K47" s="2"/>
      <c r="L47" s="2">
        <f t="shared" si="10"/>
        <v>0</v>
      </c>
      <c r="M47" s="2"/>
      <c r="N47" s="19">
        <f t="shared" si="11"/>
        <v>0</v>
      </c>
      <c r="O47" s="10"/>
      <c r="P47" s="2">
        <v>32.520000000000003</v>
      </c>
      <c r="Q47" s="2"/>
      <c r="R47" s="19">
        <f t="shared" si="12"/>
        <v>1.2253270165891911E-5</v>
      </c>
      <c r="S47" s="2"/>
      <c r="T47" s="2">
        <v>-78.400000000000006</v>
      </c>
      <c r="U47" s="2"/>
      <c r="V47" s="19">
        <f t="shared" si="13"/>
        <v>-1.6212214479665165E-5</v>
      </c>
      <c r="W47" s="2"/>
      <c r="X47" s="2">
        <f t="shared" si="14"/>
        <v>110.92000000000002</v>
      </c>
      <c r="Y47" s="2"/>
      <c r="Z47" s="19">
        <f t="shared" si="15"/>
        <v>-1.4147959183673471</v>
      </c>
    </row>
    <row r="48" spans="1:26" s="23" customFormat="1" hidden="1" outlineLevel="1" x14ac:dyDescent="0.25">
      <c r="A48" s="44"/>
      <c r="B48" s="10" t="str">
        <f>CONCATENATE("          ", "5004", " - ", "PURCHASES @ COST-DIGITAL TEXT")</f>
        <v xml:space="preserve">          5004 - PURCHASES @ COST-DIGITAL TEXT</v>
      </c>
      <c r="C48" s="10"/>
      <c r="D48" s="2">
        <v>-13446.08</v>
      </c>
      <c r="E48" s="2"/>
      <c r="F48" s="19">
        <f t="shared" si="8"/>
        <v>-0.89670782277221528</v>
      </c>
      <c r="G48" s="2"/>
      <c r="H48" s="2">
        <v>-96834.95</v>
      </c>
      <c r="I48" s="2"/>
      <c r="J48" s="19">
        <f t="shared" si="9"/>
        <v>-5.2333909266946579</v>
      </c>
      <c r="K48" s="2"/>
      <c r="L48" s="2">
        <f t="shared" si="10"/>
        <v>83388.87</v>
      </c>
      <c r="M48" s="2"/>
      <c r="N48" s="19">
        <f t="shared" si="11"/>
        <v>-0.8611443492251506</v>
      </c>
      <c r="O48" s="10"/>
      <c r="P48" s="2">
        <v>206562.5</v>
      </c>
      <c r="Q48" s="2"/>
      <c r="R48" s="19">
        <f t="shared" si="12"/>
        <v>7.7831061458857556E-2</v>
      </c>
      <c r="S48" s="2"/>
      <c r="T48" s="2">
        <v>438322.88</v>
      </c>
      <c r="U48" s="2"/>
      <c r="V48" s="19">
        <f t="shared" si="13"/>
        <v>9.0640108952863979E-2</v>
      </c>
      <c r="W48" s="2"/>
      <c r="X48" s="2">
        <f t="shared" si="14"/>
        <v>-231760.38</v>
      </c>
      <c r="Y48" s="2"/>
      <c r="Z48" s="19">
        <f t="shared" si="15"/>
        <v>-0.52874351437004607</v>
      </c>
    </row>
    <row r="49" spans="1:26" s="23" customFormat="1" hidden="1" outlineLevel="1" x14ac:dyDescent="0.25">
      <c r="A49" s="44"/>
      <c r="B49" s="10" t="str">
        <f>CONCATENATE("          ", "5011", " - ", "PURCHASES @ COST-NO VALUE TEXT")</f>
        <v xml:space="preserve">          5011 - PURCHASES @ COST-NO VALUE TEXT</v>
      </c>
      <c r="C49" s="10"/>
      <c r="D49" s="2"/>
      <c r="E49" s="2"/>
      <c r="F49" s="19">
        <f t="shared" si="8"/>
        <v>0</v>
      </c>
      <c r="G49" s="2"/>
      <c r="H49" s="2">
        <v>588</v>
      </c>
      <c r="I49" s="2"/>
      <c r="J49" s="19">
        <f t="shared" si="9"/>
        <v>3.1778132429422012E-2</v>
      </c>
      <c r="K49" s="2"/>
      <c r="L49" s="2">
        <f t="shared" si="10"/>
        <v>-588</v>
      </c>
      <c r="M49" s="2"/>
      <c r="N49" s="19">
        <f t="shared" si="11"/>
        <v>-1</v>
      </c>
      <c r="O49" s="10"/>
      <c r="P49" s="2">
        <v>67.17</v>
      </c>
      <c r="Q49" s="2"/>
      <c r="R49" s="19">
        <f t="shared" si="12"/>
        <v>2.530910692014021E-5</v>
      </c>
      <c r="S49" s="2"/>
      <c r="T49" s="2">
        <v>6321</v>
      </c>
      <c r="U49" s="2"/>
      <c r="V49" s="19">
        <f t="shared" si="13"/>
        <v>1.3071097924230038E-3</v>
      </c>
      <c r="W49" s="2"/>
      <c r="X49" s="2">
        <f t="shared" si="14"/>
        <v>-6253.83</v>
      </c>
      <c r="Y49" s="2"/>
      <c r="Z49" s="19">
        <f t="shared" si="15"/>
        <v>-0.98937351684859987</v>
      </c>
    </row>
    <row r="50" spans="1:26" s="23" customFormat="1" hidden="1" outlineLevel="1" x14ac:dyDescent="0.25">
      <c r="A50" s="44"/>
      <c r="B50" s="10" t="str">
        <f>CONCATENATE("          ", "5013", " - ", "PURCHASES @ COST-TRADE BOOKS")</f>
        <v xml:space="preserve">          5013 - PURCHASES @ COST-TRADE BOOKS</v>
      </c>
      <c r="C50" s="10"/>
      <c r="D50" s="2">
        <v>2907.93</v>
      </c>
      <c r="E50" s="2"/>
      <c r="F50" s="19">
        <f t="shared" si="8"/>
        <v>0.1939274181824002</v>
      </c>
      <c r="G50" s="2"/>
      <c r="H50" s="2">
        <v>3297.82</v>
      </c>
      <c r="I50" s="2"/>
      <c r="J50" s="19">
        <f t="shared" si="9"/>
        <v>0.17822884470815731</v>
      </c>
      <c r="K50" s="2"/>
      <c r="L50" s="2">
        <f t="shared" si="10"/>
        <v>-389.89000000000033</v>
      </c>
      <c r="M50" s="2"/>
      <c r="N50" s="19">
        <f t="shared" si="11"/>
        <v>-0.11822658604775285</v>
      </c>
      <c r="O50" s="10"/>
      <c r="P50" s="2">
        <v>8870.02</v>
      </c>
      <c r="Q50" s="2"/>
      <c r="R50" s="19">
        <f t="shared" si="12"/>
        <v>3.3421510281938672E-3</v>
      </c>
      <c r="S50" s="2"/>
      <c r="T50" s="2">
        <v>6348.54</v>
      </c>
      <c r="U50" s="2"/>
      <c r="V50" s="19">
        <f t="shared" si="13"/>
        <v>1.3128047463358862E-3</v>
      </c>
      <c r="W50" s="2"/>
      <c r="X50" s="2">
        <f t="shared" si="14"/>
        <v>2521.4800000000005</v>
      </c>
      <c r="Y50" s="2"/>
      <c r="Z50" s="19">
        <f t="shared" si="15"/>
        <v>0.39717478349352775</v>
      </c>
    </row>
    <row r="51" spans="1:26" s="23" customFormat="1" hidden="1" outlineLevel="1" x14ac:dyDescent="0.25">
      <c r="A51" s="44"/>
      <c r="B51" s="10" t="str">
        <f>CONCATENATE("          ", "5014", " - ", "PURCHASES @ COST-REMAINDERS")</f>
        <v xml:space="preserve">          5014 - PURCHASES @ COST-REMAINDERS</v>
      </c>
      <c r="C51" s="10"/>
      <c r="D51" s="2"/>
      <c r="E51" s="2"/>
      <c r="F51" s="19">
        <f t="shared" si="8"/>
        <v>0</v>
      </c>
      <c r="G51" s="2"/>
      <c r="H51" s="2">
        <v>13.9</v>
      </c>
      <c r="I51" s="2"/>
      <c r="J51" s="19">
        <f t="shared" si="9"/>
        <v>7.5121775640980598E-4</v>
      </c>
      <c r="K51" s="2"/>
      <c r="L51" s="2">
        <f t="shared" si="10"/>
        <v>-13.9</v>
      </c>
      <c r="M51" s="2"/>
      <c r="N51" s="19">
        <f t="shared" si="11"/>
        <v>-1</v>
      </c>
      <c r="O51" s="10"/>
      <c r="P51" s="2">
        <v>111.57</v>
      </c>
      <c r="Q51" s="2"/>
      <c r="R51" s="19">
        <f t="shared" si="12"/>
        <v>4.2038663973202957E-5</v>
      </c>
      <c r="S51" s="2"/>
      <c r="T51" s="2">
        <v>600.61</v>
      </c>
      <c r="U51" s="2"/>
      <c r="V51" s="19">
        <f t="shared" si="13"/>
        <v>1.2419921095193487E-4</v>
      </c>
      <c r="W51" s="2"/>
      <c r="X51" s="2">
        <f t="shared" si="14"/>
        <v>-489.04</v>
      </c>
      <c r="Y51" s="2"/>
      <c r="Z51" s="19">
        <f t="shared" si="15"/>
        <v>-0.81423885716188549</v>
      </c>
    </row>
    <row r="52" spans="1:26" s="23" customFormat="1" hidden="1" outlineLevel="1" x14ac:dyDescent="0.25">
      <c r="A52" s="44"/>
      <c r="B52" s="10" t="str">
        <f>CONCATENATE("          ", "5018", " - ", "PURCHASES @ COST-STUDY GUIDES")</f>
        <v xml:space="preserve">          5018 - PURCHASES @ COST-STUDY GUIDES</v>
      </c>
      <c r="C52" s="10"/>
      <c r="D52" s="2">
        <v>444.87</v>
      </c>
      <c r="E52" s="2"/>
      <c r="F52" s="19">
        <f t="shared" si="8"/>
        <v>2.9668008008034714E-2</v>
      </c>
      <c r="G52" s="2"/>
      <c r="H52" s="2">
        <v>108.9</v>
      </c>
      <c r="I52" s="2"/>
      <c r="J52" s="19">
        <f t="shared" si="9"/>
        <v>5.8854398325919339E-3</v>
      </c>
      <c r="K52" s="2"/>
      <c r="L52" s="2">
        <f t="shared" si="10"/>
        <v>335.97</v>
      </c>
      <c r="M52" s="2"/>
      <c r="N52" s="19">
        <f t="shared" si="11"/>
        <v>3.0851239669421489</v>
      </c>
      <c r="O52" s="10"/>
      <c r="P52" s="2">
        <v>967.21</v>
      </c>
      <c r="Q52" s="2"/>
      <c r="R52" s="19">
        <f t="shared" si="12"/>
        <v>3.6443682156064926E-4</v>
      </c>
      <c r="S52" s="2"/>
      <c r="T52" s="2">
        <v>2377.33</v>
      </c>
      <c r="U52" s="2"/>
      <c r="V52" s="19">
        <f t="shared" si="13"/>
        <v>4.9160438582834668E-4</v>
      </c>
      <c r="W52" s="2"/>
      <c r="X52" s="2">
        <f t="shared" si="14"/>
        <v>-1410.12</v>
      </c>
      <c r="Y52" s="2"/>
      <c r="Z52" s="19">
        <f t="shared" si="15"/>
        <v>-0.59315282270446257</v>
      </c>
    </row>
    <row r="53" spans="1:26" s="23" customFormat="1" hidden="1" outlineLevel="1" x14ac:dyDescent="0.25">
      <c r="A53" s="44"/>
      <c r="B53" s="10" t="str">
        <f>CONCATENATE("          ", "5200", " - ", "PURCHASES OFFSET")</f>
        <v xml:space="preserve">          5200 - PURCHASES OFFSET</v>
      </c>
      <c r="C53" s="10"/>
      <c r="D53" s="2">
        <v>285586.77</v>
      </c>
      <c r="E53" s="2"/>
      <c r="F53" s="19">
        <f t="shared" si="8"/>
        <v>19.045542696402922</v>
      </c>
      <c r="G53" s="2"/>
      <c r="H53" s="2">
        <v>941682</v>
      </c>
      <c r="I53" s="2"/>
      <c r="J53" s="19">
        <f t="shared" si="9"/>
        <v>50.892679085719351</v>
      </c>
      <c r="K53" s="2"/>
      <c r="L53" s="2">
        <f t="shared" si="10"/>
        <v>-656095.23</v>
      </c>
      <c r="M53" s="2"/>
      <c r="N53" s="19">
        <f t="shared" si="11"/>
        <v>-0.69672695241068638</v>
      </c>
      <c r="O53" s="10"/>
      <c r="P53" s="2">
        <v>-1174214.1299999999</v>
      </c>
      <c r="Q53" s="2"/>
      <c r="R53" s="19">
        <f t="shared" si="12"/>
        <v>-0.44243428559341091</v>
      </c>
      <c r="S53" s="2"/>
      <c r="T53" s="2">
        <v>-1579900</v>
      </c>
      <c r="U53" s="2"/>
      <c r="V53" s="19">
        <f t="shared" si="13"/>
        <v>-0.32670507214825245</v>
      </c>
      <c r="W53" s="2"/>
      <c r="X53" s="2">
        <f t="shared" si="14"/>
        <v>405685.87000000011</v>
      </c>
      <c r="Y53" s="2"/>
      <c r="Z53" s="19">
        <f t="shared" si="15"/>
        <v>-0.25677946072536245</v>
      </c>
    </row>
    <row r="54" spans="1:26" s="23" customFormat="1" hidden="1" outlineLevel="1" x14ac:dyDescent="0.25">
      <c r="A54" s="44"/>
      <c r="B54" s="10" t="str">
        <f>CONCATENATE("          ", "5300", " - ", "COG$ OFFSET")</f>
        <v xml:space="preserve">          5300 - COG$ OFFSET</v>
      </c>
      <c r="C54" s="10"/>
      <c r="D54" s="2">
        <v>8920</v>
      </c>
      <c r="E54" s="2"/>
      <c r="F54" s="19">
        <f t="shared" si="8"/>
        <v>0.59486733524775692</v>
      </c>
      <c r="G54" s="2"/>
      <c r="H54" s="2">
        <v>9893</v>
      </c>
      <c r="I54" s="2"/>
      <c r="J54" s="19">
        <f t="shared" si="9"/>
        <v>0.53466167368073458</v>
      </c>
      <c r="K54" s="2"/>
      <c r="L54" s="2">
        <f t="shared" si="10"/>
        <v>-973</v>
      </c>
      <c r="M54" s="2"/>
      <c r="N54" s="19">
        <f t="shared" si="11"/>
        <v>-9.8352370362882843E-2</v>
      </c>
      <c r="O54" s="10"/>
      <c r="P54" s="2">
        <v>1330328</v>
      </c>
      <c r="Q54" s="2"/>
      <c r="R54" s="19">
        <f t="shared" si="12"/>
        <v>0.50125671565961416</v>
      </c>
      <c r="S54" s="2"/>
      <c r="T54" s="2">
        <v>2314209.4700000002</v>
      </c>
      <c r="U54" s="2"/>
      <c r="V54" s="19">
        <f t="shared" si="13"/>
        <v>0.47855178926673786</v>
      </c>
      <c r="W54" s="2"/>
      <c r="X54" s="2">
        <f t="shared" si="14"/>
        <v>-983881.4700000002</v>
      </c>
      <c r="Y54" s="2"/>
      <c r="Z54" s="19">
        <f t="shared" si="15"/>
        <v>-0.42514797504480012</v>
      </c>
    </row>
    <row r="55" spans="1:26" s="23" customFormat="1" hidden="1" outlineLevel="1" x14ac:dyDescent="0.25">
      <c r="A55" s="44"/>
      <c r="B55" s="10" t="str">
        <f>CONCATENATE("          ", "5500", " - ", "FREIGHT-IN")</f>
        <v xml:space="preserve">          5500 - FREIGHT-IN</v>
      </c>
      <c r="C55" s="10"/>
      <c r="D55" s="2"/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0</v>
      </c>
      <c r="M55" s="2"/>
      <c r="N55" s="19">
        <f t="shared" si="11"/>
        <v>0</v>
      </c>
      <c r="O55" s="10"/>
      <c r="P55" s="2">
        <v>0</v>
      </c>
      <c r="Q55" s="2"/>
      <c r="R55" s="19">
        <f t="shared" si="12"/>
        <v>0</v>
      </c>
      <c r="S55" s="2"/>
      <c r="T55" s="2">
        <v>41.25</v>
      </c>
      <c r="U55" s="2"/>
      <c r="V55" s="19">
        <f t="shared" si="13"/>
        <v>8.530023562323826E-6</v>
      </c>
      <c r="W55" s="2"/>
      <c r="X55" s="2">
        <f t="shared" si="14"/>
        <v>-41.25</v>
      </c>
      <c r="Y55" s="2"/>
      <c r="Z55" s="19">
        <f t="shared" si="15"/>
        <v>-1</v>
      </c>
    </row>
    <row r="56" spans="1:26" s="23" customFormat="1" hidden="1" outlineLevel="1" x14ac:dyDescent="0.25">
      <c r="A56" s="44"/>
      <c r="B56" s="10" t="str">
        <f>CONCATENATE("          ", "5501", " - ", "FREIGHT-IN-NEW TEXT")</f>
        <v xml:space="preserve">          5501 - FREIGHT-IN-NEW TEXT</v>
      </c>
      <c r="C56" s="10"/>
      <c r="D56" s="2">
        <v>785.54</v>
      </c>
      <c r="E56" s="2"/>
      <c r="F56" s="19">
        <f t="shared" si="8"/>
        <v>5.2387005216426343E-2</v>
      </c>
      <c r="G56" s="2"/>
      <c r="H56" s="2">
        <v>1315.81</v>
      </c>
      <c r="I56" s="2"/>
      <c r="J56" s="19">
        <f t="shared" si="9"/>
        <v>7.1112218421696891E-2</v>
      </c>
      <c r="K56" s="2"/>
      <c r="L56" s="2">
        <f t="shared" si="10"/>
        <v>-530.27</v>
      </c>
      <c r="M56" s="2"/>
      <c r="N56" s="19">
        <f t="shared" si="11"/>
        <v>-0.4029989132169538</v>
      </c>
      <c r="O56" s="10"/>
      <c r="P56" s="2">
        <v>50042.46</v>
      </c>
      <c r="Q56" s="2"/>
      <c r="R56" s="19">
        <f t="shared" si="12"/>
        <v>1.8855589856883126E-2</v>
      </c>
      <c r="S56" s="2"/>
      <c r="T56" s="2">
        <v>67340.55</v>
      </c>
      <c r="U56" s="2"/>
      <c r="V56" s="19">
        <f t="shared" si="13"/>
        <v>1.3925247956359897E-2</v>
      </c>
      <c r="W56" s="2"/>
      <c r="X56" s="2">
        <f t="shared" si="14"/>
        <v>-17298.090000000004</v>
      </c>
      <c r="Y56" s="2"/>
      <c r="Z56" s="19">
        <f t="shared" si="15"/>
        <v>-0.25687479534990437</v>
      </c>
    </row>
    <row r="57" spans="1:26" s="23" customFormat="1" hidden="1" outlineLevel="1" x14ac:dyDescent="0.25">
      <c r="A57" s="44"/>
      <c r="B57" s="10" t="str">
        <f>CONCATENATE("          ", "5502", " - ", "FREIGHT-IN-USED TEXT")</f>
        <v xml:space="preserve">          5502 - FREIGHT-IN-USED TEXT</v>
      </c>
      <c r="C57" s="10"/>
      <c r="D57" s="2">
        <v>663.37</v>
      </c>
      <c r="E57" s="2"/>
      <c r="F57" s="19">
        <f t="shared" si="8"/>
        <v>4.4239590155078987E-2</v>
      </c>
      <c r="G57" s="2"/>
      <c r="H57" s="2">
        <v>506.55</v>
      </c>
      <c r="I57" s="2"/>
      <c r="J57" s="19">
        <f t="shared" si="9"/>
        <v>2.7376212554632174E-2</v>
      </c>
      <c r="K57" s="2"/>
      <c r="L57" s="2">
        <f t="shared" si="10"/>
        <v>156.82</v>
      </c>
      <c r="M57" s="2"/>
      <c r="N57" s="19">
        <f t="shared" si="11"/>
        <v>0.30958444378639816</v>
      </c>
      <c r="O57" s="10"/>
      <c r="P57" s="2">
        <v>17800.13</v>
      </c>
      <c r="Q57" s="2"/>
      <c r="R57" s="19">
        <f t="shared" si="12"/>
        <v>6.7069434771831974E-3</v>
      </c>
      <c r="S57" s="2"/>
      <c r="T57" s="2">
        <v>15264.64</v>
      </c>
      <c r="U57" s="2"/>
      <c r="V57" s="19">
        <f t="shared" si="13"/>
        <v>3.1565512453428065E-3</v>
      </c>
      <c r="W57" s="2"/>
      <c r="X57" s="2">
        <f t="shared" si="14"/>
        <v>2535.4900000000016</v>
      </c>
      <c r="Y57" s="2"/>
      <c r="Z57" s="19">
        <f t="shared" si="15"/>
        <v>0.16610218125026216</v>
      </c>
    </row>
    <row r="58" spans="1:26" s="23" customFormat="1" hidden="1" outlineLevel="1" x14ac:dyDescent="0.25">
      <c r="A58" s="44"/>
      <c r="B58" s="10" t="str">
        <f>CONCATENATE("          ", "5504", " - ", "FREIGHT-IN-DIGITAL TEXT")</f>
        <v xml:space="preserve">          5504 - FREIGHT-IN-DIGITAL TEXT</v>
      </c>
      <c r="C58" s="10"/>
      <c r="D58" s="2"/>
      <c r="E58" s="2"/>
      <c r="F58" s="19">
        <f t="shared" si="8"/>
        <v>0</v>
      </c>
      <c r="G58" s="2"/>
      <c r="H58" s="2">
        <v>12.78</v>
      </c>
      <c r="I58" s="2"/>
      <c r="J58" s="19">
        <f t="shared" si="9"/>
        <v>6.9068798035376404E-4</v>
      </c>
      <c r="K58" s="2"/>
      <c r="L58" s="2">
        <f t="shared" si="10"/>
        <v>-12.78</v>
      </c>
      <c r="M58" s="2"/>
      <c r="N58" s="19">
        <f t="shared" si="11"/>
        <v>-1</v>
      </c>
      <c r="O58" s="10"/>
      <c r="P58" s="2">
        <v>28.92</v>
      </c>
      <c r="Q58" s="2"/>
      <c r="R58" s="19">
        <f t="shared" si="12"/>
        <v>1.0896819594021957E-5</v>
      </c>
      <c r="S58" s="2"/>
      <c r="T58" s="2">
        <v>118.75</v>
      </c>
      <c r="U58" s="2"/>
      <c r="V58" s="19">
        <f t="shared" si="13"/>
        <v>2.4556128436992832E-5</v>
      </c>
      <c r="W58" s="2"/>
      <c r="X58" s="2">
        <f t="shared" si="14"/>
        <v>-89.83</v>
      </c>
      <c r="Y58" s="2"/>
      <c r="Z58" s="19">
        <f t="shared" si="15"/>
        <v>-0.75646315789473684</v>
      </c>
    </row>
    <row r="59" spans="1:26" s="23" customFormat="1" hidden="1" outlineLevel="1" x14ac:dyDescent="0.25">
      <c r="A59" s="44"/>
      <c r="B59" s="10" t="str">
        <f>CONCATENATE("          ", "5513", " - ", "FREIGHT-IN-TRADE BOOKS")</f>
        <v xml:space="preserve">          5513 - FREIGHT-IN-TRADE BOOKS</v>
      </c>
      <c r="C59" s="10"/>
      <c r="D59" s="2">
        <v>51.76</v>
      </c>
      <c r="E59" s="2"/>
      <c r="F59" s="19">
        <f t="shared" si="8"/>
        <v>3.451831084352455E-3</v>
      </c>
      <c r="G59" s="2"/>
      <c r="H59" s="2">
        <v>8.83</v>
      </c>
      <c r="I59" s="2"/>
      <c r="J59" s="19">
        <f t="shared" si="9"/>
        <v>4.7721243087040194E-4</v>
      </c>
      <c r="K59" s="2"/>
      <c r="L59" s="2">
        <f t="shared" si="10"/>
        <v>42.93</v>
      </c>
      <c r="M59" s="2"/>
      <c r="N59" s="19">
        <f t="shared" si="11"/>
        <v>4.8618346545866364</v>
      </c>
      <c r="O59" s="10"/>
      <c r="P59" s="2">
        <v>85.28</v>
      </c>
      <c r="Q59" s="2"/>
      <c r="R59" s="19">
        <f t="shared" si="12"/>
        <v>3.2132806880297112E-5</v>
      </c>
      <c r="S59" s="2"/>
      <c r="T59" s="2">
        <v>30.24</v>
      </c>
      <c r="U59" s="2"/>
      <c r="V59" s="19">
        <f t="shared" si="13"/>
        <v>6.2532827278708486E-6</v>
      </c>
      <c r="W59" s="2"/>
      <c r="X59" s="2">
        <f t="shared" si="14"/>
        <v>55.040000000000006</v>
      </c>
      <c r="Y59" s="2"/>
      <c r="Z59" s="19">
        <f t="shared" si="15"/>
        <v>1.8201058201058204</v>
      </c>
    </row>
    <row r="60" spans="1:26" s="23" customFormat="1" hidden="1" outlineLevel="1" x14ac:dyDescent="0.25">
      <c r="A60" s="44"/>
      <c r="B60" s="10" t="str">
        <f>CONCATENATE("          ", "5518", " - ", "FREIGHT-IN-STUDY GUIDES")</f>
        <v xml:space="preserve">          5518 - FREIGHT-IN-STUDY GUIDES</v>
      </c>
      <c r="C60" s="10"/>
      <c r="D60" s="2"/>
      <c r="E60" s="2"/>
      <c r="F60" s="19">
        <f t="shared" si="8"/>
        <v>0</v>
      </c>
      <c r="G60" s="2"/>
      <c r="H60" s="2"/>
      <c r="I60" s="2"/>
      <c r="J60" s="19">
        <f t="shared" si="9"/>
        <v>0</v>
      </c>
      <c r="K60" s="2"/>
      <c r="L60" s="2">
        <f t="shared" si="10"/>
        <v>0</v>
      </c>
      <c r="M60" s="2"/>
      <c r="N60" s="19">
        <f t="shared" si="11"/>
        <v>0</v>
      </c>
      <c r="O60" s="10"/>
      <c r="P60" s="2"/>
      <c r="Q60" s="2"/>
      <c r="R60" s="19">
        <f t="shared" si="12"/>
        <v>0</v>
      </c>
      <c r="S60" s="2"/>
      <c r="T60" s="2">
        <v>21.13</v>
      </c>
      <c r="U60" s="2"/>
      <c r="V60" s="19">
        <f t="shared" si="13"/>
        <v>4.3694399484097561E-6</v>
      </c>
      <c r="W60" s="2"/>
      <c r="X60" s="2">
        <f t="shared" si="14"/>
        <v>-21.13</v>
      </c>
      <c r="Y60" s="2"/>
      <c r="Z60" s="19">
        <f t="shared" si="15"/>
        <v>-1</v>
      </c>
    </row>
    <row r="61" spans="1:26" x14ac:dyDescent="0.25">
      <c r="A61" s="9"/>
      <c r="B61" s="11"/>
      <c r="C61" s="11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1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4" customFormat="1" x14ac:dyDescent="0.25">
      <c r="A62" s="11"/>
      <c r="B62" s="29" t="s">
        <v>107</v>
      </c>
      <c r="C62" s="29"/>
      <c r="D62" s="22">
        <f>D12-D43</f>
        <v>5251.5699999999852</v>
      </c>
      <c r="E62" s="14"/>
      <c r="F62" s="20">
        <f>IF(D$12=0,0,D62/D$12)</f>
        <v>0.3502228084940644</v>
      </c>
      <c r="G62" s="14"/>
      <c r="H62" s="22">
        <f>H12-H43</f>
        <v>5700.2599999999456</v>
      </c>
      <c r="I62" s="14"/>
      <c r="J62" s="20">
        <f>IF(H$12=0,0,H62/H$12)</f>
        <v>0.30806737612608059</v>
      </c>
      <c r="K62" s="15"/>
      <c r="L62" s="22">
        <f>+D62-H62</f>
        <v>-448.68999999996049</v>
      </c>
      <c r="M62" s="15"/>
      <c r="N62" s="20">
        <f>IF(H62=0,0,L62/H62)</f>
        <v>-7.8713953398610731E-2</v>
      </c>
      <c r="O62" s="28"/>
      <c r="P62" s="22">
        <f>P12-P43</f>
        <v>780734.66999999969</v>
      </c>
      <c r="Q62" s="14"/>
      <c r="R62" s="20">
        <f>IF(P$12=0,0,P62/P$12)</f>
        <v>0.29417444155561073</v>
      </c>
      <c r="S62" s="14"/>
      <c r="T62" s="22">
        <f>T12-T43</f>
        <v>1371476.8099999991</v>
      </c>
      <c r="U62" s="14"/>
      <c r="V62" s="20">
        <f>IF(T$12=0,0,T62/T$12)</f>
        <v>0.28360556374498691</v>
      </c>
      <c r="W62" s="15"/>
      <c r="X62" s="22">
        <f>+P62-T62</f>
        <v>-590742.13999999943</v>
      </c>
      <c r="Y62" s="15"/>
      <c r="Z62" s="20">
        <f>IF(T62=0,0,X62/T62)</f>
        <v>-0.43073432645208182</v>
      </c>
    </row>
    <row r="63" spans="1:26" x14ac:dyDescent="0.25">
      <c r="A63" s="9"/>
      <c r="B63" s="11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4" customFormat="1" x14ac:dyDescent="0.25">
      <c r="A64" s="11"/>
      <c r="B64" s="28" t="s">
        <v>294</v>
      </c>
      <c r="C64" s="11"/>
      <c r="D64" s="21">
        <f>SUM(OSRRefD22x_0)</f>
        <v>47009.95</v>
      </c>
      <c r="E64" s="21"/>
      <c r="F64" s="31">
        <f t="shared" ref="F64:F74" si="16">IF(D$12=0,0,D64/D$12)</f>
        <v>3.1350542249585529</v>
      </c>
      <c r="G64" s="21"/>
      <c r="H64" s="21">
        <f>SUM(OSRRefH22x_0)</f>
        <v>41992.920000000006</v>
      </c>
      <c r="I64" s="21"/>
      <c r="J64" s="31">
        <f t="shared" ref="J64:J74" si="17">IF(H$12=0,0,H64/H$12)</f>
        <v>2.2694839674457894</v>
      </c>
      <c r="K64" s="4"/>
      <c r="L64" s="21">
        <f t="shared" ref="L64:L74" si="18">+D64-H64</f>
        <v>5017.0299999999916</v>
      </c>
      <c r="M64" s="4"/>
      <c r="N64" s="31">
        <f t="shared" ref="N64:N74" si="19">IF(H64=0,0,L64/H64)</f>
        <v>0.11947323501199704</v>
      </c>
      <c r="O64" s="11"/>
      <c r="P64" s="21">
        <f>SUM(OSRRefP22x_0)</f>
        <v>409270.19</v>
      </c>
      <c r="Q64" s="21"/>
      <c r="R64" s="31">
        <f t="shared" ref="R64:R74" si="20">IF(P$12=0,0,P64/P$12)</f>
        <v>0.15420966202078454</v>
      </c>
      <c r="S64" s="21"/>
      <c r="T64" s="21">
        <f>SUM(OSRRefT22x_0)</f>
        <v>419135.60000000003</v>
      </c>
      <c r="U64" s="21"/>
      <c r="V64" s="31">
        <f t="shared" ref="V64:V74" si="21">IF(T$12=0,0,T64/T$12)</f>
        <v>8.6672401062029933E-2</v>
      </c>
      <c r="W64" s="4"/>
      <c r="X64" s="21">
        <f t="shared" ref="X64:X74" si="22">+P64-T64</f>
        <v>-9865.4100000000326</v>
      </c>
      <c r="Y64" s="4"/>
      <c r="Z64" s="31">
        <f t="shared" ref="Z64:Z74" si="23">IF(T64=0,0,X64/T64)</f>
        <v>-2.3537513873791757E-2</v>
      </c>
    </row>
    <row r="65" spans="1:26" s="26" customFormat="1" outlineLevel="1" collapsed="1" x14ac:dyDescent="0.25">
      <c r="A65" s="27"/>
      <c r="B65" s="12" t="str">
        <f>CONCATENATE("     ","*Benefits                                         ")</f>
        <v xml:space="preserve">     *Benefits                                         </v>
      </c>
      <c r="C65" s="12"/>
      <c r="D65" s="1">
        <f>SUM(OSRRefD22_0x_0)</f>
        <v>12084.359999999999</v>
      </c>
      <c r="E65" s="1"/>
      <c r="F65" s="5">
        <f t="shared" si="16"/>
        <v>0.80589585553526721</v>
      </c>
      <c r="G65" s="1"/>
      <c r="H65" s="1">
        <f>SUM(OSRRefH22_0x_0)</f>
        <v>12490.220000000001</v>
      </c>
      <c r="I65" s="1"/>
      <c r="J65" s="5">
        <f t="shared" si="17"/>
        <v>0.67502698168812147</v>
      </c>
      <c r="K65" s="1"/>
      <c r="L65" s="1">
        <f t="shared" si="18"/>
        <v>-405.8600000000024</v>
      </c>
      <c r="M65" s="1"/>
      <c r="N65" s="5">
        <f t="shared" si="19"/>
        <v>-3.2494223480451292E-2</v>
      </c>
      <c r="O65" s="12"/>
      <c r="P65" s="1">
        <f>SUM(OSRRefP22_0x_0)</f>
        <v>105810.70000000001</v>
      </c>
      <c r="Q65" s="1"/>
      <c r="R65" s="5">
        <f t="shared" si="20"/>
        <v>3.9868606812488903E-2</v>
      </c>
      <c r="S65" s="1"/>
      <c r="T65" s="1">
        <f>SUM(OSRRefT22_0x_0)</f>
        <v>94155.520000000004</v>
      </c>
      <c r="U65" s="1"/>
      <c r="V65" s="5">
        <f t="shared" si="21"/>
        <v>1.9470274039341873E-2</v>
      </c>
      <c r="W65" s="1"/>
      <c r="X65" s="1">
        <f t="shared" si="22"/>
        <v>11655.180000000008</v>
      </c>
      <c r="Y65" s="1"/>
      <c r="Z65" s="5">
        <f t="shared" si="23"/>
        <v>0.12378647582212925</v>
      </c>
    </row>
    <row r="66" spans="1:26" s="23" customFormat="1" hidden="1" outlineLevel="2" x14ac:dyDescent="0.25">
      <c r="A66" s="25"/>
      <c r="B66" s="10" t="str">
        <f>CONCATENATE("          ", "6111", " - ", "F.I.C.A.")</f>
        <v xml:space="preserve">          6111 - F.I.C.A.</v>
      </c>
      <c r="C66" s="10"/>
      <c r="D66" s="6">
        <v>1910.57</v>
      </c>
      <c r="E66" s="2"/>
      <c r="F66" s="7">
        <f t="shared" si="16"/>
        <v>0.12741431442873397</v>
      </c>
      <c r="G66" s="2"/>
      <c r="H66" s="6">
        <v>1726.4</v>
      </c>
      <c r="I66" s="2"/>
      <c r="J66" s="7">
        <f t="shared" si="17"/>
        <v>9.3302326234956059E-2</v>
      </c>
      <c r="K66" s="2"/>
      <c r="L66" s="6">
        <f t="shared" si="18"/>
        <v>184.16999999999985</v>
      </c>
      <c r="M66" s="2"/>
      <c r="N66" s="7">
        <f t="shared" si="19"/>
        <v>0.10667863762743271</v>
      </c>
      <c r="O66" s="10"/>
      <c r="P66" s="6">
        <v>18911.77</v>
      </c>
      <c r="Q66" s="2"/>
      <c r="R66" s="7">
        <f t="shared" si="20"/>
        <v>7.1258003421036178E-3</v>
      </c>
      <c r="S66" s="2"/>
      <c r="T66" s="6">
        <v>15759.3</v>
      </c>
      <c r="U66" s="2"/>
      <c r="V66" s="7">
        <f t="shared" si="21"/>
        <v>3.2588412200176939E-3</v>
      </c>
      <c r="W66" s="2"/>
      <c r="X66" s="6">
        <f t="shared" si="22"/>
        <v>3152.4700000000012</v>
      </c>
      <c r="Y66" s="2"/>
      <c r="Z66" s="7">
        <f t="shared" si="23"/>
        <v>0.20003870730298942</v>
      </c>
    </row>
    <row r="67" spans="1:26" s="23" customFormat="1" hidden="1" outlineLevel="2" x14ac:dyDescent="0.25">
      <c r="A67" s="25"/>
      <c r="B67" s="10" t="str">
        <f>CONCATENATE("          ", "6112", " - ", "COMPENSATION INSURANCE")</f>
        <v xml:space="preserve">          6112 - COMPENSATION INSURANCE</v>
      </c>
      <c r="C67" s="10"/>
      <c r="D67" s="6">
        <v>103.76</v>
      </c>
      <c r="E67" s="2"/>
      <c r="F67" s="7">
        <f t="shared" si="16"/>
        <v>6.9196675678595589E-3</v>
      </c>
      <c r="G67" s="2"/>
      <c r="H67" s="6">
        <v>153.57</v>
      </c>
      <c r="I67" s="2"/>
      <c r="J67" s="7">
        <f t="shared" si="17"/>
        <v>8.2996050972556773E-3</v>
      </c>
      <c r="K67" s="2"/>
      <c r="L67" s="6">
        <f t="shared" si="18"/>
        <v>-49.809999999999988</v>
      </c>
      <c r="M67" s="2"/>
      <c r="N67" s="7">
        <f t="shared" si="19"/>
        <v>-0.32434720322979743</v>
      </c>
      <c r="O67" s="10"/>
      <c r="P67" s="6">
        <v>1047.72</v>
      </c>
      <c r="Q67" s="2"/>
      <c r="R67" s="7">
        <f t="shared" si="20"/>
        <v>3.947723314332187E-4</v>
      </c>
      <c r="S67" s="2"/>
      <c r="T67" s="6">
        <v>710.35</v>
      </c>
      <c r="U67" s="2"/>
      <c r="V67" s="7">
        <f t="shared" si="21"/>
        <v>1.468921754544662E-4</v>
      </c>
      <c r="W67" s="2"/>
      <c r="X67" s="6">
        <f t="shared" si="22"/>
        <v>337.37</v>
      </c>
      <c r="Y67" s="2"/>
      <c r="Z67" s="7">
        <f t="shared" si="23"/>
        <v>0.47493489125079186</v>
      </c>
    </row>
    <row r="68" spans="1:26" s="23" customFormat="1" hidden="1" outlineLevel="2" x14ac:dyDescent="0.25">
      <c r="A68" s="25"/>
      <c r="B68" s="10" t="str">
        <f>CONCATENATE("          ", "6113", " - ", "GROUP INSURANCE")</f>
        <v xml:space="preserve">          6113 - GROUP INSURANCE</v>
      </c>
      <c r="C68" s="10"/>
      <c r="D68" s="6">
        <v>4943.91</v>
      </c>
      <c r="E68" s="2"/>
      <c r="F68" s="7">
        <f t="shared" si="16"/>
        <v>0.32970522056106927</v>
      </c>
      <c r="G68" s="2"/>
      <c r="H68" s="6">
        <v>4248.21</v>
      </c>
      <c r="I68" s="2"/>
      <c r="J68" s="7">
        <f t="shared" si="17"/>
        <v>0.22959214280271237</v>
      </c>
      <c r="K68" s="2"/>
      <c r="L68" s="6">
        <f t="shared" si="18"/>
        <v>695.69999999999982</v>
      </c>
      <c r="M68" s="2"/>
      <c r="N68" s="7">
        <f t="shared" si="19"/>
        <v>0.16376309080765777</v>
      </c>
      <c r="O68" s="10"/>
      <c r="P68" s="6">
        <v>40219.949999999997</v>
      </c>
      <c r="Q68" s="2"/>
      <c r="R68" s="7">
        <f t="shared" si="20"/>
        <v>1.5154548382800254E-2</v>
      </c>
      <c r="S68" s="2"/>
      <c r="T68" s="6">
        <v>37756.050000000003</v>
      </c>
      <c r="U68" s="2"/>
      <c r="V68" s="7">
        <f t="shared" si="21"/>
        <v>7.8075150574612494E-3</v>
      </c>
      <c r="W68" s="2"/>
      <c r="X68" s="6">
        <f t="shared" si="22"/>
        <v>2463.8999999999942</v>
      </c>
      <c r="Y68" s="2"/>
      <c r="Z68" s="7">
        <f t="shared" si="23"/>
        <v>6.5258415538701584E-2</v>
      </c>
    </row>
    <row r="69" spans="1:26" s="23" customFormat="1" hidden="1" outlineLevel="2" x14ac:dyDescent="0.25">
      <c r="A69" s="25"/>
      <c r="B69" s="10" t="str">
        <f>CONCATENATE("          ", "6114", " - ", "STATE UNEMPLOYMENT INSURANCE")</f>
        <v xml:space="preserve">          6114 - STATE UNEMPLOYMENT INSURANCE</v>
      </c>
      <c r="C69" s="10"/>
      <c r="D69" s="6">
        <v>70.17</v>
      </c>
      <c r="E69" s="2"/>
      <c r="F69" s="7">
        <f t="shared" si="16"/>
        <v>4.6795785778402585E-3</v>
      </c>
      <c r="G69" s="2"/>
      <c r="H69" s="6">
        <v>65.510000000000005</v>
      </c>
      <c r="I69" s="2"/>
      <c r="J69" s="7">
        <f t="shared" si="17"/>
        <v>3.5404514548493808E-3</v>
      </c>
      <c r="K69" s="2"/>
      <c r="L69" s="6">
        <f t="shared" si="18"/>
        <v>4.6599999999999966</v>
      </c>
      <c r="M69" s="2"/>
      <c r="N69" s="7">
        <f t="shared" si="19"/>
        <v>7.1134177988093364E-2</v>
      </c>
      <c r="O69" s="10"/>
      <c r="P69" s="6">
        <v>670.86</v>
      </c>
      <c r="Q69" s="2"/>
      <c r="R69" s="7">
        <f t="shared" si="20"/>
        <v>2.5277456406796577E-4</v>
      </c>
      <c r="S69" s="2"/>
      <c r="T69" s="6">
        <v>589.73</v>
      </c>
      <c r="U69" s="2"/>
      <c r="V69" s="7">
        <f t="shared" si="21"/>
        <v>1.2194935261598134E-4</v>
      </c>
      <c r="W69" s="2"/>
      <c r="X69" s="6">
        <f t="shared" si="22"/>
        <v>81.13</v>
      </c>
      <c r="Y69" s="2"/>
      <c r="Z69" s="7">
        <f t="shared" si="23"/>
        <v>0.13757143099384464</v>
      </c>
    </row>
    <row r="70" spans="1:26" s="23" customFormat="1" hidden="1" outlineLevel="2" x14ac:dyDescent="0.25">
      <c r="A70" s="25"/>
      <c r="B70" s="10" t="str">
        <f>CONCATENATE("          ", "6115", " - ", "P.E.R.S.")</f>
        <v xml:space="preserve">          6115 - P.E.R.S.</v>
      </c>
      <c r="C70" s="10"/>
      <c r="D70" s="6">
        <v>1783.22</v>
      </c>
      <c r="E70" s="2"/>
      <c r="F70" s="7">
        <f t="shared" si="16"/>
        <v>0.11892144950229878</v>
      </c>
      <c r="G70" s="2"/>
      <c r="H70" s="6">
        <v>1348.87</v>
      </c>
      <c r="I70" s="2"/>
      <c r="J70" s="7">
        <f t="shared" si="17"/>
        <v>7.2898927704208263E-2</v>
      </c>
      <c r="K70" s="2"/>
      <c r="L70" s="6">
        <f t="shared" si="18"/>
        <v>434.35000000000014</v>
      </c>
      <c r="M70" s="2"/>
      <c r="N70" s="7">
        <f t="shared" si="19"/>
        <v>0.32201027526744619</v>
      </c>
      <c r="O70" s="10"/>
      <c r="P70" s="6">
        <v>16741.73</v>
      </c>
      <c r="Q70" s="2"/>
      <c r="R70" s="7">
        <f t="shared" si="20"/>
        <v>6.3081470090534299E-3</v>
      </c>
      <c r="S70" s="2"/>
      <c r="T70" s="6">
        <v>13112.89</v>
      </c>
      <c r="U70" s="2"/>
      <c r="V70" s="7">
        <f t="shared" si="21"/>
        <v>2.7115941980644966E-3</v>
      </c>
      <c r="W70" s="2"/>
      <c r="X70" s="6">
        <f t="shared" si="22"/>
        <v>3628.84</v>
      </c>
      <c r="Y70" s="2"/>
      <c r="Z70" s="7">
        <f t="shared" si="23"/>
        <v>0.27673838490218405</v>
      </c>
    </row>
    <row r="71" spans="1:26" s="23" customFormat="1" hidden="1" outlineLevel="2" x14ac:dyDescent="0.25">
      <c r="A71" s="25"/>
      <c r="B71" s="10" t="str">
        <f>CONCATENATE("          ", "6117", " - ", "RETIREMENT STAFF HOURLY")</f>
        <v xml:space="preserve">          6117 - RETIREMENT STAFF HOURLY</v>
      </c>
      <c r="C71" s="10"/>
      <c r="D71" s="6">
        <v>368.6</v>
      </c>
      <c r="E71" s="2"/>
      <c r="F71" s="7">
        <f t="shared" si="16"/>
        <v>2.4581625535013814E-2</v>
      </c>
      <c r="G71" s="2"/>
      <c r="H71" s="6">
        <v>110.54</v>
      </c>
      <c r="I71" s="2"/>
      <c r="J71" s="7">
        <f t="shared" si="17"/>
        <v>5.974072718959709E-3</v>
      </c>
      <c r="K71" s="2"/>
      <c r="L71" s="6">
        <f t="shared" si="18"/>
        <v>258.06</v>
      </c>
      <c r="M71" s="2"/>
      <c r="N71" s="7">
        <f t="shared" si="19"/>
        <v>2.3345395332006511</v>
      </c>
      <c r="O71" s="10"/>
      <c r="P71" s="6">
        <v>2509.58</v>
      </c>
      <c r="Q71" s="2"/>
      <c r="R71" s="7">
        <f t="shared" si="20"/>
        <v>9.4558922948705462E-4</v>
      </c>
      <c r="S71" s="2"/>
      <c r="T71" s="6">
        <v>1174.1099999999999</v>
      </c>
      <c r="U71" s="2"/>
      <c r="V71" s="7">
        <f t="shared" si="21"/>
        <v>2.4279238702448549E-4</v>
      </c>
      <c r="W71" s="2"/>
      <c r="X71" s="6">
        <f t="shared" si="22"/>
        <v>1335.47</v>
      </c>
      <c r="Y71" s="2"/>
      <c r="Z71" s="7">
        <f t="shared" si="23"/>
        <v>1.1374317568200596</v>
      </c>
    </row>
    <row r="72" spans="1:26" s="23" customFormat="1" hidden="1" outlineLevel="2" x14ac:dyDescent="0.25">
      <c r="A72" s="25"/>
      <c r="B72" s="10" t="str">
        <f>CONCATENATE("          ", "6118", " - ", "VACATION")</f>
        <v xml:space="preserve">          6118 - VACATION</v>
      </c>
      <c r="C72" s="10"/>
      <c r="D72" s="6">
        <v>1345.02</v>
      </c>
      <c r="E72" s="2"/>
      <c r="F72" s="7">
        <f t="shared" si="16"/>
        <v>8.9698258212437001E-2</v>
      </c>
      <c r="G72" s="2"/>
      <c r="H72" s="6">
        <v>1777.06</v>
      </c>
      <c r="I72" s="2"/>
      <c r="J72" s="7">
        <f t="shared" si="17"/>
        <v>9.6040217712633796E-2</v>
      </c>
      <c r="K72" s="2"/>
      <c r="L72" s="6">
        <f t="shared" si="18"/>
        <v>-432.03999999999996</v>
      </c>
      <c r="M72" s="2"/>
      <c r="N72" s="7">
        <f t="shared" si="19"/>
        <v>-0.24312065996646146</v>
      </c>
      <c r="O72" s="10"/>
      <c r="P72" s="6">
        <v>12034.68</v>
      </c>
      <c r="Q72" s="2"/>
      <c r="R72" s="7">
        <f t="shared" si="20"/>
        <v>4.5345690467421913E-3</v>
      </c>
      <c r="S72" s="2"/>
      <c r="T72" s="6">
        <v>8823.7800000000007</v>
      </c>
      <c r="U72" s="2"/>
      <c r="V72" s="7">
        <f t="shared" si="21"/>
        <v>1.8246557893033149E-3</v>
      </c>
      <c r="W72" s="2"/>
      <c r="X72" s="6">
        <f t="shared" si="22"/>
        <v>3210.8999999999996</v>
      </c>
      <c r="Y72" s="2"/>
      <c r="Z72" s="7">
        <f t="shared" si="23"/>
        <v>0.36389166547670038</v>
      </c>
    </row>
    <row r="73" spans="1:26" s="23" customFormat="1" hidden="1" outlineLevel="2" x14ac:dyDescent="0.25">
      <c r="A73" s="25"/>
      <c r="B73" s="10" t="str">
        <f>CONCATENATE("          ", "6119", " - ", "SICK LEAVE")</f>
        <v xml:space="preserve">          6119 - SICK LEAVE</v>
      </c>
      <c r="C73" s="10"/>
      <c r="D73" s="6">
        <v>1147.56</v>
      </c>
      <c r="E73" s="2"/>
      <c r="F73" s="7">
        <f t="shared" si="16"/>
        <v>7.6529816057950215E-2</v>
      </c>
      <c r="G73" s="2"/>
      <c r="H73" s="6">
        <v>2626.44</v>
      </c>
      <c r="I73" s="2"/>
      <c r="J73" s="7">
        <f t="shared" si="17"/>
        <v>0.14194448662913459</v>
      </c>
      <c r="K73" s="2"/>
      <c r="L73" s="6">
        <f t="shared" si="18"/>
        <v>-1478.88</v>
      </c>
      <c r="M73" s="2"/>
      <c r="N73" s="7">
        <f t="shared" si="19"/>
        <v>-0.56307397085027644</v>
      </c>
      <c r="O73" s="10"/>
      <c r="P73" s="6">
        <v>9887.02</v>
      </c>
      <c r="Q73" s="2"/>
      <c r="R73" s="7">
        <f t="shared" si="20"/>
        <v>3.7253483147471288E-3</v>
      </c>
      <c r="S73" s="2"/>
      <c r="T73" s="6">
        <v>10597.39</v>
      </c>
      <c r="U73" s="2"/>
      <c r="V73" s="7">
        <f t="shared" si="21"/>
        <v>2.19141785210024E-3</v>
      </c>
      <c r="W73" s="2"/>
      <c r="X73" s="6">
        <f t="shared" si="22"/>
        <v>-710.36999999999898</v>
      </c>
      <c r="Y73" s="2"/>
      <c r="Z73" s="7">
        <f t="shared" si="23"/>
        <v>-6.7032542918586471E-2</v>
      </c>
    </row>
    <row r="74" spans="1:26" s="23" customFormat="1" hidden="1" outlineLevel="2" x14ac:dyDescent="0.25">
      <c r="A74" s="25"/>
      <c r="B74" s="10" t="str">
        <f>CONCATENATE("          ", "6156", " - ", "EMPLOYEE MEALS")</f>
        <v xml:space="preserve">          6156 - EMPLOYEE MEALS</v>
      </c>
      <c r="C74" s="10"/>
      <c r="D74" s="6">
        <v>411.55</v>
      </c>
      <c r="E74" s="2"/>
      <c r="F74" s="7">
        <f t="shared" si="16"/>
        <v>2.7445925092064394E-2</v>
      </c>
      <c r="G74" s="2"/>
      <c r="H74" s="6">
        <v>433.62</v>
      </c>
      <c r="I74" s="2"/>
      <c r="J74" s="7">
        <f t="shared" si="17"/>
        <v>2.3434751333411517E-2</v>
      </c>
      <c r="K74" s="2"/>
      <c r="L74" s="6">
        <f t="shared" si="18"/>
        <v>-22.069999999999993</v>
      </c>
      <c r="M74" s="2"/>
      <c r="N74" s="7">
        <f t="shared" si="19"/>
        <v>-5.0897098842304304E-2</v>
      </c>
      <c r="O74" s="10"/>
      <c r="P74" s="6">
        <v>3787.39</v>
      </c>
      <c r="Q74" s="2"/>
      <c r="R74" s="7">
        <f t="shared" si="20"/>
        <v>1.4270575920540393E-3</v>
      </c>
      <c r="S74" s="2"/>
      <c r="T74" s="6">
        <v>5631.92</v>
      </c>
      <c r="U74" s="2"/>
      <c r="V74" s="7">
        <f t="shared" si="21"/>
        <v>1.1646160072999467E-3</v>
      </c>
      <c r="W74" s="2"/>
      <c r="X74" s="6">
        <f t="shared" si="22"/>
        <v>-1844.5300000000002</v>
      </c>
      <c r="Y74" s="2"/>
      <c r="Z74" s="7">
        <f t="shared" si="23"/>
        <v>-0.32751353002173328</v>
      </c>
    </row>
    <row r="75" spans="1:26" s="26" customFormat="1" outlineLevel="1" collapsed="1" x14ac:dyDescent="0.25">
      <c r="A75" s="27"/>
      <c r="B75" s="12" t="str">
        <f>CONCATENATE("     ","*Payroll                                          ")</f>
        <v xml:space="preserve">     *Payroll                                          </v>
      </c>
      <c r="C75" s="12"/>
      <c r="D75" s="1">
        <f>SUM(OSRRefD22_1x_0)</f>
        <v>25735.149999999998</v>
      </c>
      <c r="E75" s="1"/>
      <c r="F75" s="5">
        <f t="shared" ref="F75:F82" si="24">IF(D$12=0,0,D75/D$12)</f>
        <v>1.7162556168947658</v>
      </c>
      <c r="G75" s="1"/>
      <c r="H75" s="1">
        <f>SUM(OSRRefH22_1x_0)</f>
        <v>23850.33</v>
      </c>
      <c r="I75" s="1"/>
      <c r="J75" s="5">
        <f t="shared" ref="J75:J82" si="25">IF(H$12=0,0,H75/H$12)</f>
        <v>1.2889777980024093</v>
      </c>
      <c r="K75" s="1"/>
      <c r="L75" s="1">
        <f t="shared" ref="L75:L82" si="26">+D75-H75</f>
        <v>1884.8199999999961</v>
      </c>
      <c r="M75" s="1"/>
      <c r="N75" s="5">
        <f t="shared" ref="N75:N82" si="27">IF(H75=0,0,L75/H75)</f>
        <v>7.9026998787857267E-2</v>
      </c>
      <c r="O75" s="12"/>
      <c r="P75" s="1">
        <f>SUM(OSRRefP22_1x_0)</f>
        <v>253133.52000000002</v>
      </c>
      <c r="Q75" s="1"/>
      <c r="R75" s="5">
        <f t="shared" ref="R75:R82" si="28">IF(P$12=0,0,P75/P$12)</f>
        <v>9.5378641100959505E-2</v>
      </c>
      <c r="S75" s="1"/>
      <c r="T75" s="1">
        <f>SUM(OSRRefT22_1x_0)</f>
        <v>256814.09000000003</v>
      </c>
      <c r="U75" s="1"/>
      <c r="V75" s="5">
        <f t="shared" ref="V75:V82" si="29">IF(T$12=0,0,T75/T$12)</f>
        <v>5.3106187608163685E-2</v>
      </c>
      <c r="W75" s="1"/>
      <c r="X75" s="1">
        <f t="shared" ref="X75:X82" si="30">+P75-T75</f>
        <v>-3680.570000000007</v>
      </c>
      <c r="Y75" s="1"/>
      <c r="Z75" s="5">
        <f t="shared" ref="Z75:Z82" si="31">IF(T75=0,0,X75/T75)</f>
        <v>-1.4331651351372531E-2</v>
      </c>
    </row>
    <row r="76" spans="1:26" s="23" customFormat="1" hidden="1" outlineLevel="2" x14ac:dyDescent="0.25">
      <c r="A76" s="25"/>
      <c r="B76" s="10" t="str">
        <f>CONCATENATE("          ", "6001", " - ", "ADMINISTRATIVE SALARIES")</f>
        <v xml:space="preserve">          6001 - ADMINISTRATIVE SALARIES</v>
      </c>
      <c r="C76" s="10"/>
      <c r="D76" s="6"/>
      <c r="E76" s="2"/>
      <c r="F76" s="7">
        <f t="shared" si="24"/>
        <v>0</v>
      </c>
      <c r="G76" s="2"/>
      <c r="H76" s="6"/>
      <c r="I76" s="2"/>
      <c r="J76" s="7">
        <f t="shared" si="25"/>
        <v>0</v>
      </c>
      <c r="K76" s="2"/>
      <c r="L76" s="6">
        <f t="shared" si="26"/>
        <v>0</v>
      </c>
      <c r="M76" s="2"/>
      <c r="N76" s="7">
        <f t="shared" si="27"/>
        <v>0</v>
      </c>
      <c r="O76" s="10"/>
      <c r="P76" s="6">
        <v>-311.32</v>
      </c>
      <c r="Q76" s="2"/>
      <c r="R76" s="7">
        <f t="shared" si="28"/>
        <v>-1.1730283112070939E-4</v>
      </c>
      <c r="S76" s="2"/>
      <c r="T76" s="6">
        <v>0</v>
      </c>
      <c r="U76" s="2"/>
      <c r="V76" s="7">
        <f t="shared" si="29"/>
        <v>0</v>
      </c>
      <c r="W76" s="2"/>
      <c r="X76" s="6">
        <f t="shared" si="30"/>
        <v>-311.32</v>
      </c>
      <c r="Y76" s="2"/>
      <c r="Z76" s="7">
        <f t="shared" si="31"/>
        <v>0</v>
      </c>
    </row>
    <row r="77" spans="1:26" s="23" customFormat="1" hidden="1" outlineLevel="2" x14ac:dyDescent="0.25">
      <c r="A77" s="25"/>
      <c r="B77" s="10" t="str">
        <f>CONCATENATE("          ", "6002", " - ", "STAFF SALARIES")</f>
        <v xml:space="preserve">          6002 - STAFF SALARIES</v>
      </c>
      <c r="C77" s="10"/>
      <c r="D77" s="6">
        <v>16589.439999999999</v>
      </c>
      <c r="E77" s="2"/>
      <c r="F77" s="7">
        <f t="shared" si="24"/>
        <v>1.1063358706336939</v>
      </c>
      <c r="G77" s="2"/>
      <c r="H77" s="6">
        <v>12572.28</v>
      </c>
      <c r="I77" s="2"/>
      <c r="J77" s="7">
        <f t="shared" si="25"/>
        <v>0.67946186867308467</v>
      </c>
      <c r="K77" s="2"/>
      <c r="L77" s="6">
        <f t="shared" si="26"/>
        <v>4017.159999999998</v>
      </c>
      <c r="M77" s="2"/>
      <c r="N77" s="7">
        <f t="shared" si="27"/>
        <v>0.31952517761297061</v>
      </c>
      <c r="O77" s="10"/>
      <c r="P77" s="6">
        <v>154715.68</v>
      </c>
      <c r="Q77" s="2"/>
      <c r="R77" s="7">
        <f t="shared" si="28"/>
        <v>5.8295603503680182E-2</v>
      </c>
      <c r="S77" s="2"/>
      <c r="T77" s="6">
        <v>142536.42000000001</v>
      </c>
      <c r="U77" s="2"/>
      <c r="V77" s="7">
        <f t="shared" si="29"/>
        <v>2.9474885359740247E-2</v>
      </c>
      <c r="W77" s="2"/>
      <c r="X77" s="6">
        <f t="shared" si="30"/>
        <v>12179.25999999998</v>
      </c>
      <c r="Y77" s="2"/>
      <c r="Z77" s="7">
        <f t="shared" si="31"/>
        <v>8.5446652862475284E-2</v>
      </c>
    </row>
    <row r="78" spans="1:26" s="23" customFormat="1" hidden="1" outlineLevel="2" x14ac:dyDescent="0.25">
      <c r="A78" s="25"/>
      <c r="B78" s="10" t="str">
        <f>CONCATENATE("          ", "6004", " - ", "STAFF HOURLY")</f>
        <v xml:space="preserve">          6004 - STAFF HOURLY</v>
      </c>
      <c r="C78" s="10"/>
      <c r="D78" s="6">
        <v>5806.54</v>
      </c>
      <c r="E78" s="2"/>
      <c r="F78" s="7">
        <f t="shared" si="24"/>
        <v>0.38723329336429491</v>
      </c>
      <c r="G78" s="2"/>
      <c r="H78" s="6">
        <v>5563.51</v>
      </c>
      <c r="I78" s="2"/>
      <c r="J78" s="7">
        <f t="shared" si="25"/>
        <v>0.30067679855852664</v>
      </c>
      <c r="K78" s="2"/>
      <c r="L78" s="6">
        <f t="shared" si="26"/>
        <v>243.02999999999975</v>
      </c>
      <c r="M78" s="2"/>
      <c r="N78" s="7">
        <f t="shared" si="27"/>
        <v>4.368285488837078E-2</v>
      </c>
      <c r="O78" s="10"/>
      <c r="P78" s="6">
        <v>59739.26</v>
      </c>
      <c r="Q78" s="2"/>
      <c r="R78" s="7">
        <f t="shared" si="28"/>
        <v>2.250926483057995E-2</v>
      </c>
      <c r="S78" s="2"/>
      <c r="T78" s="6">
        <v>31860.78</v>
      </c>
      <c r="U78" s="2"/>
      <c r="V78" s="7">
        <f t="shared" si="29"/>
        <v>6.588441311854926E-3</v>
      </c>
      <c r="W78" s="2"/>
      <c r="X78" s="6">
        <f t="shared" si="30"/>
        <v>27878.480000000003</v>
      </c>
      <c r="Y78" s="2"/>
      <c r="Z78" s="7">
        <f t="shared" si="31"/>
        <v>0.87500933749895649</v>
      </c>
    </row>
    <row r="79" spans="1:26" s="23" customFormat="1" hidden="1" outlineLevel="2" x14ac:dyDescent="0.25">
      <c r="A79" s="25"/>
      <c r="B79" s="10" t="str">
        <f>CONCATENATE("          ", "6005", " - ", "TEMPORARY WAGES-HOURLY")</f>
        <v xml:space="preserve">          6005 - TEMPORARY WAGES-HOURLY</v>
      </c>
      <c r="C79" s="10"/>
      <c r="D79" s="6">
        <v>478.89</v>
      </c>
      <c r="E79" s="2"/>
      <c r="F79" s="7">
        <f t="shared" si="24"/>
        <v>3.193677333820609E-2</v>
      </c>
      <c r="G79" s="2"/>
      <c r="H79" s="6">
        <v>1613.95</v>
      </c>
      <c r="I79" s="2"/>
      <c r="J79" s="7">
        <f t="shared" si="25"/>
        <v>8.7225028630043625E-2</v>
      </c>
      <c r="K79" s="2"/>
      <c r="L79" s="6">
        <f t="shared" si="26"/>
        <v>-1135.06</v>
      </c>
      <c r="M79" s="2"/>
      <c r="N79" s="7">
        <f t="shared" si="27"/>
        <v>-0.70328077077976392</v>
      </c>
      <c r="O79" s="10"/>
      <c r="P79" s="6">
        <v>13316.89</v>
      </c>
      <c r="Q79" s="2"/>
      <c r="R79" s="7">
        <f t="shared" si="28"/>
        <v>5.0176952933414605E-3</v>
      </c>
      <c r="S79" s="2"/>
      <c r="T79" s="6">
        <v>22392.29</v>
      </c>
      <c r="U79" s="2"/>
      <c r="V79" s="7">
        <f t="shared" si="29"/>
        <v>4.6304669409548659E-3</v>
      </c>
      <c r="W79" s="2"/>
      <c r="X79" s="6">
        <f t="shared" si="30"/>
        <v>-9075.4000000000015</v>
      </c>
      <c r="Y79" s="2"/>
      <c r="Z79" s="7">
        <f t="shared" si="31"/>
        <v>-0.40529128552729538</v>
      </c>
    </row>
    <row r="80" spans="1:26" s="23" customFormat="1" hidden="1" outlineLevel="2" x14ac:dyDescent="0.25">
      <c r="A80" s="25"/>
      <c r="B80" s="10" t="str">
        <f>CONCATENATE("          ", "6006", " - ", "TEMPORARY PART TIME")</f>
        <v xml:space="preserve">          6006 - TEMPORARY PART TIME</v>
      </c>
      <c r="C80" s="10"/>
      <c r="D80" s="6"/>
      <c r="E80" s="2"/>
      <c r="F80" s="7">
        <f t="shared" si="24"/>
        <v>0</v>
      </c>
      <c r="G80" s="2"/>
      <c r="H80" s="6">
        <v>1482.33</v>
      </c>
      <c r="I80" s="2"/>
      <c r="J80" s="7">
        <f t="shared" si="25"/>
        <v>8.0111699054600555E-2</v>
      </c>
      <c r="K80" s="2"/>
      <c r="L80" s="6">
        <f t="shared" si="26"/>
        <v>-1482.33</v>
      </c>
      <c r="M80" s="2"/>
      <c r="N80" s="7">
        <f t="shared" si="27"/>
        <v>-1</v>
      </c>
      <c r="O80" s="10"/>
      <c r="P80" s="6">
        <v>502.29</v>
      </c>
      <c r="Q80" s="2"/>
      <c r="R80" s="7">
        <f t="shared" si="28"/>
        <v>1.892587660401552E-4</v>
      </c>
      <c r="S80" s="2"/>
      <c r="T80" s="6">
        <v>2309.21</v>
      </c>
      <c r="U80" s="2"/>
      <c r="V80" s="7">
        <f t="shared" si="29"/>
        <v>4.7751795661463766E-4</v>
      </c>
      <c r="W80" s="2"/>
      <c r="X80" s="6">
        <f t="shared" si="30"/>
        <v>-1806.92</v>
      </c>
      <c r="Y80" s="2"/>
      <c r="Z80" s="7">
        <f t="shared" si="31"/>
        <v>-0.78248405298781831</v>
      </c>
    </row>
    <row r="81" spans="1:26" s="23" customFormat="1" hidden="1" outlineLevel="2" x14ac:dyDescent="0.25">
      <c r="A81" s="25"/>
      <c r="B81" s="10" t="str">
        <f>CONCATENATE("          ", "6007", " - ", "STUDENT HOURLY")</f>
        <v xml:space="preserve">          6007 - STUDENT HOURLY</v>
      </c>
      <c r="C81" s="10"/>
      <c r="D81" s="6">
        <v>2860.28</v>
      </c>
      <c r="E81" s="2"/>
      <c r="F81" s="7">
        <f t="shared" si="24"/>
        <v>0.19074967955857111</v>
      </c>
      <c r="G81" s="2"/>
      <c r="H81" s="6">
        <v>2618.2600000000002</v>
      </c>
      <c r="I81" s="2"/>
      <c r="J81" s="7">
        <f t="shared" si="25"/>
        <v>0.14150240308615386</v>
      </c>
      <c r="K81" s="2"/>
      <c r="L81" s="6">
        <f t="shared" si="26"/>
        <v>242.01999999999998</v>
      </c>
      <c r="M81" s="2"/>
      <c r="N81" s="7">
        <f t="shared" si="27"/>
        <v>9.2435434219672596E-2</v>
      </c>
      <c r="O81" s="10"/>
      <c r="P81" s="6">
        <v>24203.46</v>
      </c>
      <c r="Q81" s="2"/>
      <c r="R81" s="7">
        <f t="shared" si="28"/>
        <v>9.1196658772865376E-3</v>
      </c>
      <c r="S81" s="2"/>
      <c r="T81" s="6">
        <v>57715.39</v>
      </c>
      <c r="U81" s="2"/>
      <c r="V81" s="7">
        <f t="shared" si="29"/>
        <v>1.1934876038999004E-2</v>
      </c>
      <c r="W81" s="2"/>
      <c r="X81" s="6">
        <f t="shared" si="30"/>
        <v>-33511.93</v>
      </c>
      <c r="Y81" s="2"/>
      <c r="Z81" s="7">
        <f t="shared" si="31"/>
        <v>-0.58064114268308675</v>
      </c>
    </row>
    <row r="82" spans="1:26" s="23" customFormat="1" hidden="1" outlineLevel="2" x14ac:dyDescent="0.25">
      <c r="A82" s="25"/>
      <c r="B82" s="10" t="str">
        <f>CONCATENATE("          ", "6008", " - ", "STUDENT HOURLY-FICA EXEMPT")</f>
        <v xml:space="preserve">          6008 - STUDENT HOURLY-FICA EXEMPT</v>
      </c>
      <c r="C82" s="10"/>
      <c r="D82" s="6"/>
      <c r="E82" s="2"/>
      <c r="F82" s="7">
        <f t="shared" si="24"/>
        <v>0</v>
      </c>
      <c r="G82" s="2"/>
      <c r="H82" s="6"/>
      <c r="I82" s="2"/>
      <c r="J82" s="7">
        <f t="shared" si="25"/>
        <v>0</v>
      </c>
      <c r="K82" s="2"/>
      <c r="L82" s="6">
        <f t="shared" si="26"/>
        <v>0</v>
      </c>
      <c r="M82" s="2"/>
      <c r="N82" s="7">
        <f t="shared" si="27"/>
        <v>0</v>
      </c>
      <c r="O82" s="10"/>
      <c r="P82" s="6">
        <v>967.26</v>
      </c>
      <c r="Q82" s="2"/>
      <c r="R82" s="7">
        <f t="shared" si="28"/>
        <v>3.6445566115192522E-4</v>
      </c>
      <c r="S82" s="2"/>
      <c r="T82" s="6"/>
      <c r="U82" s="2"/>
      <c r="V82" s="7">
        <f t="shared" si="29"/>
        <v>0</v>
      </c>
      <c r="W82" s="2"/>
      <c r="X82" s="6">
        <f t="shared" si="30"/>
        <v>967.26</v>
      </c>
      <c r="Y82" s="2"/>
      <c r="Z82" s="7">
        <f t="shared" si="31"/>
        <v>0</v>
      </c>
    </row>
    <row r="83" spans="1:26" s="26" customFormat="1" outlineLevel="1" collapsed="1" x14ac:dyDescent="0.25">
      <c r="A83" s="27"/>
      <c r="B83" s="12" t="str">
        <f>CONCATENATE("     ","Advertising/Promo                                 ")</f>
        <v xml:space="preserve">     Advertising/Promo                                 </v>
      </c>
      <c r="C83" s="12"/>
      <c r="D83" s="1">
        <f>SUM(OSRRefD22_2x_0)</f>
        <v>30.83</v>
      </c>
      <c r="E83" s="1"/>
      <c r="F83" s="5">
        <f t="shared" ref="F83:F87" si="32">IF(D$12=0,0,D83/D$12)</f>
        <v>2.0560268997408459E-3</v>
      </c>
      <c r="G83" s="1"/>
      <c r="H83" s="1">
        <f>SUM(OSRRefH22_2x_0)</f>
        <v>0</v>
      </c>
      <c r="I83" s="1"/>
      <c r="J83" s="5">
        <f t="shared" ref="J83:J87" si="33">IF(H$12=0,0,H83/H$12)</f>
        <v>0</v>
      </c>
      <c r="K83" s="1"/>
      <c r="L83" s="1">
        <f t="shared" ref="L83:L87" si="34">+D83-H83</f>
        <v>30.83</v>
      </c>
      <c r="M83" s="1"/>
      <c r="N83" s="5">
        <f t="shared" ref="N83:N87" si="35">IF(H83=0,0,L83/H83)</f>
        <v>0</v>
      </c>
      <c r="O83" s="12"/>
      <c r="P83" s="1">
        <f>SUM(OSRRefP22_2x_0)</f>
        <v>2030.38</v>
      </c>
      <c r="Q83" s="1"/>
      <c r="R83" s="5">
        <f t="shared" ref="R83:R87" si="36">IF(P$12=0,0,P83/P$12)</f>
        <v>7.6503058669814318E-4</v>
      </c>
      <c r="S83" s="1"/>
      <c r="T83" s="1">
        <f>SUM(OSRRefT22_2x_0)</f>
        <v>3981.59</v>
      </c>
      <c r="U83" s="1"/>
      <c r="V83" s="5">
        <f t="shared" ref="V83:V87" si="37">IF(T$12=0,0,T83/T$12)</f>
        <v>8.233468246184951E-4</v>
      </c>
      <c r="W83" s="1"/>
      <c r="X83" s="1">
        <f t="shared" ref="X83:X87" si="38">+P83-T83</f>
        <v>-1951.21</v>
      </c>
      <c r="Y83" s="1"/>
      <c r="Z83" s="5">
        <f t="shared" ref="Z83:Z87" si="39">IF(T83=0,0,X83/T83)</f>
        <v>-0.49005799190775545</v>
      </c>
    </row>
    <row r="84" spans="1:26" s="23" customFormat="1" hidden="1" outlineLevel="2" x14ac:dyDescent="0.25">
      <c r="A84" s="25"/>
      <c r="B84" s="10" t="str">
        <f>CONCATENATE("          ", "6362", " - ", "ADVERTISING EXPENSE")</f>
        <v xml:space="preserve">          6362 - ADVERTISING EXPENSE</v>
      </c>
      <c r="C84" s="10"/>
      <c r="D84" s="6">
        <v>30.83</v>
      </c>
      <c r="E84" s="2"/>
      <c r="F84" s="7">
        <f t="shared" si="32"/>
        <v>2.0560268997408459E-3</v>
      </c>
      <c r="G84" s="2"/>
      <c r="H84" s="6"/>
      <c r="I84" s="2"/>
      <c r="J84" s="7">
        <f t="shared" si="33"/>
        <v>0</v>
      </c>
      <c r="K84" s="2"/>
      <c r="L84" s="6">
        <f t="shared" si="34"/>
        <v>30.83</v>
      </c>
      <c r="M84" s="2"/>
      <c r="N84" s="7">
        <f t="shared" si="35"/>
        <v>0</v>
      </c>
      <c r="O84" s="10"/>
      <c r="P84" s="6">
        <v>2030.38</v>
      </c>
      <c r="Q84" s="2"/>
      <c r="R84" s="7">
        <f t="shared" si="36"/>
        <v>7.6503058669814318E-4</v>
      </c>
      <c r="S84" s="2"/>
      <c r="T84" s="6">
        <v>3981.59</v>
      </c>
      <c r="U84" s="2"/>
      <c r="V84" s="7">
        <f t="shared" si="37"/>
        <v>8.233468246184951E-4</v>
      </c>
      <c r="W84" s="2"/>
      <c r="X84" s="6">
        <f t="shared" si="38"/>
        <v>-1951.21</v>
      </c>
      <c r="Y84" s="2"/>
      <c r="Z84" s="7">
        <f t="shared" si="39"/>
        <v>-0.49005799190775545</v>
      </c>
    </row>
    <row r="85" spans="1:26" s="26" customFormat="1" outlineLevel="1" collapsed="1" x14ac:dyDescent="0.25">
      <c r="A85" s="27"/>
      <c r="B85" s="12" t="str">
        <f>CONCATENATE("     ","Discounts and Markdowns                           ")</f>
        <v xml:space="preserve">     Discounts and Markdowns                           </v>
      </c>
      <c r="C85" s="12"/>
      <c r="D85" s="1">
        <f>SUM(OSRRefD22_3x_0)</f>
        <v>0</v>
      </c>
      <c r="E85" s="1"/>
      <c r="F85" s="5">
        <f t="shared" si="32"/>
        <v>0</v>
      </c>
      <c r="G85" s="1"/>
      <c r="H85" s="1">
        <f>SUM(OSRRefH22_3x_0)</f>
        <v>-581.66</v>
      </c>
      <c r="I85" s="1"/>
      <c r="J85" s="5">
        <f t="shared" si="33"/>
        <v>-3.1435490661390487E-2</v>
      </c>
      <c r="K85" s="1"/>
      <c r="L85" s="1">
        <f t="shared" si="34"/>
        <v>581.66</v>
      </c>
      <c r="M85" s="1"/>
      <c r="N85" s="5">
        <f t="shared" si="35"/>
        <v>-1</v>
      </c>
      <c r="O85" s="12"/>
      <c r="P85" s="1">
        <f>SUM(OSRRefP22_3x_0)</f>
        <v>0</v>
      </c>
      <c r="Q85" s="1"/>
      <c r="R85" s="5">
        <f t="shared" si="36"/>
        <v>0</v>
      </c>
      <c r="S85" s="1"/>
      <c r="T85" s="1">
        <f>SUM(OSRRefT22_3x_0)</f>
        <v>-249.98</v>
      </c>
      <c r="U85" s="1"/>
      <c r="V85" s="5">
        <f t="shared" si="37"/>
        <v>-5.1692976729932366E-5</v>
      </c>
      <c r="W85" s="1"/>
      <c r="X85" s="1">
        <f t="shared" si="38"/>
        <v>249.98</v>
      </c>
      <c r="Y85" s="1"/>
      <c r="Z85" s="5">
        <f t="shared" si="39"/>
        <v>-1</v>
      </c>
    </row>
    <row r="86" spans="1:26" s="23" customFormat="1" hidden="1" outlineLevel="2" x14ac:dyDescent="0.25">
      <c r="A86" s="25"/>
      <c r="B86" s="10" t="str">
        <f>CONCATENATE("          ", "6382", " - ", "DISCOUNTS/MARK DOWNS")</f>
        <v xml:space="preserve">          6382 - DISCOUNTS/MARK DOWNS</v>
      </c>
      <c r="C86" s="10"/>
      <c r="D86" s="6">
        <v>0</v>
      </c>
      <c r="E86" s="2"/>
      <c r="F86" s="7">
        <f t="shared" si="32"/>
        <v>0</v>
      </c>
      <c r="G86" s="2"/>
      <c r="H86" s="6">
        <v>-581.66</v>
      </c>
      <c r="I86" s="2"/>
      <c r="J86" s="7">
        <f t="shared" si="33"/>
        <v>-3.1435490661390487E-2</v>
      </c>
      <c r="K86" s="2"/>
      <c r="L86" s="6">
        <f t="shared" si="34"/>
        <v>581.66</v>
      </c>
      <c r="M86" s="2"/>
      <c r="N86" s="7">
        <f t="shared" si="35"/>
        <v>-1</v>
      </c>
      <c r="O86" s="10"/>
      <c r="P86" s="6">
        <v>0</v>
      </c>
      <c r="Q86" s="2"/>
      <c r="R86" s="7">
        <f t="shared" si="36"/>
        <v>0</v>
      </c>
      <c r="S86" s="2"/>
      <c r="T86" s="6">
        <v>202.29</v>
      </c>
      <c r="U86" s="2"/>
      <c r="V86" s="7">
        <f t="shared" si="37"/>
        <v>4.1831235549636043E-5</v>
      </c>
      <c r="W86" s="2"/>
      <c r="X86" s="6">
        <f t="shared" si="38"/>
        <v>-202.29</v>
      </c>
      <c r="Y86" s="2"/>
      <c r="Z86" s="7">
        <f t="shared" si="39"/>
        <v>-1</v>
      </c>
    </row>
    <row r="87" spans="1:26" s="23" customFormat="1" hidden="1" outlineLevel="2" x14ac:dyDescent="0.25">
      <c r="A87" s="25"/>
      <c r="B87" s="10" t="str">
        <f>CONCATENATE("          ", "9175", " - ", "EARNED DISCOUNTS")</f>
        <v xml:space="preserve">          9175 - EARNED DISCOUNTS</v>
      </c>
      <c r="C87" s="10"/>
      <c r="D87" s="6"/>
      <c r="E87" s="2"/>
      <c r="F87" s="7">
        <f t="shared" si="32"/>
        <v>0</v>
      </c>
      <c r="G87" s="2"/>
      <c r="H87" s="6"/>
      <c r="I87" s="2"/>
      <c r="J87" s="7">
        <f t="shared" si="33"/>
        <v>0</v>
      </c>
      <c r="K87" s="2"/>
      <c r="L87" s="6">
        <f t="shared" si="34"/>
        <v>0</v>
      </c>
      <c r="M87" s="2"/>
      <c r="N87" s="7">
        <f t="shared" si="35"/>
        <v>0</v>
      </c>
      <c r="O87" s="10"/>
      <c r="P87" s="6">
        <v>0</v>
      </c>
      <c r="Q87" s="2"/>
      <c r="R87" s="7">
        <f t="shared" si="36"/>
        <v>0</v>
      </c>
      <c r="S87" s="2"/>
      <c r="T87" s="6">
        <v>-452.27</v>
      </c>
      <c r="U87" s="2"/>
      <c r="V87" s="7">
        <f t="shared" si="37"/>
        <v>-9.3524212279568402E-5</v>
      </c>
      <c r="W87" s="2"/>
      <c r="X87" s="6">
        <f t="shared" si="38"/>
        <v>452.27</v>
      </c>
      <c r="Y87" s="2"/>
      <c r="Z87" s="7">
        <f t="shared" si="39"/>
        <v>-1</v>
      </c>
    </row>
    <row r="88" spans="1:26" s="26" customFormat="1" outlineLevel="1" collapsed="1" x14ac:dyDescent="0.25">
      <c r="A88" s="27"/>
      <c r="B88" s="12" t="str">
        <f>CONCATENATE("     ","Employees' Appreciation                           ")</f>
        <v xml:space="preserve">     Employees' Appreciation                           </v>
      </c>
      <c r="C88" s="12"/>
      <c r="D88" s="1">
        <f>SUM(OSRRefD22_4x_0)</f>
        <v>0</v>
      </c>
      <c r="E88" s="1"/>
      <c r="F88" s="5">
        <f t="shared" ref="F88:F94" si="40">IF(D$12=0,0,D88/D$12)</f>
        <v>0</v>
      </c>
      <c r="G88" s="1"/>
      <c r="H88" s="1">
        <f>SUM(OSRRefH22_4x_0)</f>
        <v>82.3</v>
      </c>
      <c r="I88" s="1"/>
      <c r="J88" s="5">
        <f t="shared" ref="J88:J94" si="41">IF(H$12=0,0,H88/H$12)</f>
        <v>4.4478576512609379E-3</v>
      </c>
      <c r="K88" s="1"/>
      <c r="L88" s="1">
        <f t="shared" ref="L88:L94" si="42">+D88-H88</f>
        <v>-82.3</v>
      </c>
      <c r="M88" s="1"/>
      <c r="N88" s="5">
        <f t="shared" ref="N88:N94" si="43">IF(H88=0,0,L88/H88)</f>
        <v>-1</v>
      </c>
      <c r="O88" s="12"/>
      <c r="P88" s="1">
        <f>SUM(OSRRefP22_4x_0)</f>
        <v>107.7</v>
      </c>
      <c r="Q88" s="1"/>
      <c r="R88" s="5">
        <f t="shared" ref="R88:R94" si="44">IF(P$12=0,0,P88/P$12)</f>
        <v>4.0580479608442765E-5</v>
      </c>
      <c r="S88" s="1"/>
      <c r="T88" s="1">
        <f>SUM(OSRRefT22_4x_0)</f>
        <v>120.18</v>
      </c>
      <c r="U88" s="1"/>
      <c r="V88" s="5">
        <f t="shared" ref="V88:V94" si="45">IF(T$12=0,0,T88/T$12)</f>
        <v>2.4851835920486727E-5</v>
      </c>
      <c r="W88" s="1"/>
      <c r="X88" s="1">
        <f t="shared" ref="X88:X94" si="46">+P88-T88</f>
        <v>-12.480000000000004</v>
      </c>
      <c r="Y88" s="1"/>
      <c r="Z88" s="5">
        <f t="shared" ref="Z88:Z94" si="47">IF(T88=0,0,X88/T88)</f>
        <v>-0.10384423364952573</v>
      </c>
    </row>
    <row r="89" spans="1:26" s="23" customFormat="1" hidden="1" outlineLevel="2" x14ac:dyDescent="0.25">
      <c r="A89" s="25"/>
      <c r="B89" s="10" t="str">
        <f>CONCATENATE("          ", "6277", " - ", "EMPLOYEE APPRECIATION")</f>
        <v xml:space="preserve">          6277 - EMPLOYEE APPRECIATION</v>
      </c>
      <c r="C89" s="10"/>
      <c r="D89" s="6"/>
      <c r="E89" s="2"/>
      <c r="F89" s="7">
        <f t="shared" si="40"/>
        <v>0</v>
      </c>
      <c r="G89" s="2"/>
      <c r="H89" s="6">
        <v>82.3</v>
      </c>
      <c r="I89" s="2"/>
      <c r="J89" s="7">
        <f t="shared" si="41"/>
        <v>4.4478576512609379E-3</v>
      </c>
      <c r="K89" s="2"/>
      <c r="L89" s="6">
        <f t="shared" si="42"/>
        <v>-82.3</v>
      </c>
      <c r="M89" s="2"/>
      <c r="N89" s="7">
        <f t="shared" si="43"/>
        <v>-1</v>
      </c>
      <c r="O89" s="10"/>
      <c r="P89" s="6">
        <v>107.7</v>
      </c>
      <c r="Q89" s="2"/>
      <c r="R89" s="7">
        <f t="shared" si="44"/>
        <v>4.0580479608442765E-5</v>
      </c>
      <c r="S89" s="2"/>
      <c r="T89" s="6">
        <v>120.18</v>
      </c>
      <c r="U89" s="2"/>
      <c r="V89" s="7">
        <f t="shared" si="45"/>
        <v>2.4851835920486727E-5</v>
      </c>
      <c r="W89" s="2"/>
      <c r="X89" s="6">
        <f t="shared" si="46"/>
        <v>-12.480000000000004</v>
      </c>
      <c r="Y89" s="2"/>
      <c r="Z89" s="7">
        <f t="shared" si="47"/>
        <v>-0.10384423364952573</v>
      </c>
    </row>
    <row r="90" spans="1:26" s="26" customFormat="1" outlineLevel="1" collapsed="1" x14ac:dyDescent="0.25">
      <c r="A90" s="27"/>
      <c r="B90" s="12" t="str">
        <f>CONCATENATE("     ","Equipment Rental                                  ")</f>
        <v xml:space="preserve">     Equipment Rental                                  </v>
      </c>
      <c r="C90" s="12"/>
      <c r="D90" s="1">
        <f>SUM(OSRRefD22_5x_0)</f>
        <v>91.26</v>
      </c>
      <c r="E90" s="1"/>
      <c r="F90" s="5">
        <f t="shared" si="40"/>
        <v>6.0860530285549667E-3</v>
      </c>
      <c r="G90" s="1"/>
      <c r="H90" s="1">
        <f>SUM(OSRRefH22_5x_0)</f>
        <v>91.26</v>
      </c>
      <c r="I90" s="1"/>
      <c r="J90" s="5">
        <f t="shared" si="41"/>
        <v>4.9320958597092734E-3</v>
      </c>
      <c r="K90" s="1"/>
      <c r="L90" s="1">
        <f t="shared" si="42"/>
        <v>0</v>
      </c>
      <c r="M90" s="1"/>
      <c r="N90" s="5">
        <f t="shared" si="43"/>
        <v>0</v>
      </c>
      <c r="O90" s="12"/>
      <c r="P90" s="1">
        <f>SUM(OSRRefP22_5x_0)</f>
        <v>821.34</v>
      </c>
      <c r="Q90" s="1"/>
      <c r="R90" s="5">
        <f t="shared" si="44"/>
        <v>3.094741979721298E-4</v>
      </c>
      <c r="S90" s="1"/>
      <c r="T90" s="1">
        <f>SUM(OSRRefT22_5x_0)</f>
        <v>821.34</v>
      </c>
      <c r="U90" s="1"/>
      <c r="V90" s="5">
        <f t="shared" si="45"/>
        <v>1.6984362551949217E-4</v>
      </c>
      <c r="W90" s="1"/>
      <c r="X90" s="1">
        <f t="shared" si="46"/>
        <v>0</v>
      </c>
      <c r="Y90" s="1"/>
      <c r="Z90" s="5">
        <f t="shared" si="47"/>
        <v>0</v>
      </c>
    </row>
    <row r="91" spans="1:26" s="23" customFormat="1" hidden="1" outlineLevel="2" x14ac:dyDescent="0.25">
      <c r="A91" s="25"/>
      <c r="B91" s="10" t="str">
        <f>CONCATENATE("          ", "6351", " - ", "EQUIPMENT RENTAL")</f>
        <v xml:space="preserve">          6351 - EQUIPMENT RENTAL</v>
      </c>
      <c r="C91" s="10"/>
      <c r="D91" s="6">
        <v>91.26</v>
      </c>
      <c r="E91" s="2"/>
      <c r="F91" s="7">
        <f t="shared" si="40"/>
        <v>6.0860530285549667E-3</v>
      </c>
      <c r="G91" s="2"/>
      <c r="H91" s="6">
        <v>91.26</v>
      </c>
      <c r="I91" s="2"/>
      <c r="J91" s="7">
        <f t="shared" si="41"/>
        <v>4.9320958597092734E-3</v>
      </c>
      <c r="K91" s="2"/>
      <c r="L91" s="6">
        <f t="shared" si="42"/>
        <v>0</v>
      </c>
      <c r="M91" s="2"/>
      <c r="N91" s="7">
        <f t="shared" si="43"/>
        <v>0</v>
      </c>
      <c r="O91" s="10"/>
      <c r="P91" s="6">
        <v>821.34</v>
      </c>
      <c r="Q91" s="2"/>
      <c r="R91" s="7">
        <f t="shared" si="44"/>
        <v>3.094741979721298E-4</v>
      </c>
      <c r="S91" s="2"/>
      <c r="T91" s="6">
        <v>821.34</v>
      </c>
      <c r="U91" s="2"/>
      <c r="V91" s="7">
        <f t="shared" si="45"/>
        <v>1.6984362551949217E-4</v>
      </c>
      <c r="W91" s="2"/>
      <c r="X91" s="6">
        <f t="shared" si="46"/>
        <v>0</v>
      </c>
      <c r="Y91" s="2"/>
      <c r="Z91" s="7">
        <f t="shared" si="47"/>
        <v>0</v>
      </c>
    </row>
    <row r="92" spans="1:26" s="26" customFormat="1" outlineLevel="1" collapsed="1" x14ac:dyDescent="0.25">
      <c r="A92" s="27"/>
      <c r="B92" s="12" t="str">
        <f>CONCATENATE("     ","Freight out/Postage                               ")</f>
        <v xml:space="preserve">     Freight out/Postage                               </v>
      </c>
      <c r="C92" s="12"/>
      <c r="D92" s="1">
        <f>SUM(OSRRefD22_6x_0)</f>
        <v>7217.53</v>
      </c>
      <c r="E92" s="1"/>
      <c r="F92" s="5">
        <f t="shared" si="40"/>
        <v>0.4813310356693658</v>
      </c>
      <c r="G92" s="1"/>
      <c r="H92" s="1">
        <f>SUM(OSRRefH22_6x_0)</f>
        <v>2959.5</v>
      </c>
      <c r="I92" s="1"/>
      <c r="J92" s="5">
        <f t="shared" si="41"/>
        <v>0.15994452878380006</v>
      </c>
      <c r="K92" s="1"/>
      <c r="L92" s="1">
        <f t="shared" si="42"/>
        <v>4258.03</v>
      </c>
      <c r="M92" s="1"/>
      <c r="N92" s="5">
        <f t="shared" si="43"/>
        <v>1.4387666835614124</v>
      </c>
      <c r="O92" s="12"/>
      <c r="P92" s="1">
        <f>SUM(OSRRefP22_6x_0)</f>
        <v>17681.86</v>
      </c>
      <c r="Q92" s="1"/>
      <c r="R92" s="5">
        <f t="shared" si="44"/>
        <v>6.6623803079790137E-3</v>
      </c>
      <c r="S92" s="1"/>
      <c r="T92" s="1">
        <f>SUM(OSRRefT22_6x_0)</f>
        <v>15248.400000000001</v>
      </c>
      <c r="U92" s="1"/>
      <c r="V92" s="5">
        <f t="shared" si="45"/>
        <v>3.1531930009148761E-3</v>
      </c>
      <c r="W92" s="1"/>
      <c r="X92" s="1">
        <f t="shared" si="46"/>
        <v>2433.4599999999991</v>
      </c>
      <c r="Y92" s="1"/>
      <c r="Z92" s="5">
        <f t="shared" si="47"/>
        <v>0.15958789118858366</v>
      </c>
    </row>
    <row r="93" spans="1:26" s="23" customFormat="1" hidden="1" outlineLevel="2" x14ac:dyDescent="0.25">
      <c r="A93" s="25"/>
      <c r="B93" s="10" t="str">
        <f>CONCATENATE("          ", "6305", " - ", "FREIGHT OUT")</f>
        <v xml:space="preserve">          6305 - FREIGHT OUT</v>
      </c>
      <c r="C93" s="10"/>
      <c r="D93" s="6">
        <v>7217.53</v>
      </c>
      <c r="E93" s="2"/>
      <c r="F93" s="7">
        <f t="shared" si="40"/>
        <v>0.4813310356693658</v>
      </c>
      <c r="G93" s="2"/>
      <c r="H93" s="6">
        <v>2959</v>
      </c>
      <c r="I93" s="2"/>
      <c r="J93" s="7">
        <f t="shared" si="41"/>
        <v>0.15991750656234646</v>
      </c>
      <c r="K93" s="2"/>
      <c r="L93" s="6">
        <f t="shared" si="42"/>
        <v>4258.53</v>
      </c>
      <c r="M93" s="2"/>
      <c r="N93" s="7">
        <f t="shared" si="43"/>
        <v>1.4391787766137207</v>
      </c>
      <c r="O93" s="10"/>
      <c r="P93" s="6">
        <v>17681.36</v>
      </c>
      <c r="Q93" s="2"/>
      <c r="R93" s="7">
        <f t="shared" si="44"/>
        <v>6.6621919120662537E-3</v>
      </c>
      <c r="S93" s="2"/>
      <c r="T93" s="6">
        <v>15246.45</v>
      </c>
      <c r="U93" s="2"/>
      <c r="V93" s="7">
        <f t="shared" si="45"/>
        <v>3.1527897634373845E-3</v>
      </c>
      <c r="W93" s="2"/>
      <c r="X93" s="6">
        <f t="shared" si="46"/>
        <v>2434.91</v>
      </c>
      <c r="Y93" s="2"/>
      <c r="Z93" s="7">
        <f t="shared" si="47"/>
        <v>0.15970340636672797</v>
      </c>
    </row>
    <row r="94" spans="1:26" s="23" customFormat="1" hidden="1" outlineLevel="2" x14ac:dyDescent="0.25">
      <c r="A94" s="25"/>
      <c r="B94" s="10" t="str">
        <f>CONCATENATE("          ", "6307", " - ", "POSTAGE")</f>
        <v xml:space="preserve">          6307 - POSTAGE</v>
      </c>
      <c r="C94" s="10"/>
      <c r="D94" s="6"/>
      <c r="E94" s="2"/>
      <c r="F94" s="7">
        <f t="shared" si="40"/>
        <v>0</v>
      </c>
      <c r="G94" s="2"/>
      <c r="H94" s="6">
        <v>0.5</v>
      </c>
      <c r="I94" s="2"/>
      <c r="J94" s="7">
        <f t="shared" si="41"/>
        <v>2.7022221453590146E-5</v>
      </c>
      <c r="K94" s="2"/>
      <c r="L94" s="6">
        <f t="shared" si="42"/>
        <v>-0.5</v>
      </c>
      <c r="M94" s="2"/>
      <c r="N94" s="7">
        <f t="shared" si="43"/>
        <v>-1</v>
      </c>
      <c r="O94" s="10"/>
      <c r="P94" s="6">
        <v>0.5</v>
      </c>
      <c r="Q94" s="2"/>
      <c r="R94" s="7">
        <f t="shared" si="44"/>
        <v>1.883959127597157E-7</v>
      </c>
      <c r="S94" s="2"/>
      <c r="T94" s="6">
        <v>1.95</v>
      </c>
      <c r="U94" s="2"/>
      <c r="V94" s="7">
        <f t="shared" si="45"/>
        <v>4.0323747749167177E-7</v>
      </c>
      <c r="W94" s="2"/>
      <c r="X94" s="6">
        <f t="shared" si="46"/>
        <v>-1.45</v>
      </c>
      <c r="Y94" s="2"/>
      <c r="Z94" s="7">
        <f t="shared" si="47"/>
        <v>-0.74358974358974361</v>
      </c>
    </row>
    <row r="95" spans="1:26" s="26" customFormat="1" outlineLevel="1" collapsed="1" x14ac:dyDescent="0.25">
      <c r="A95" s="27"/>
      <c r="B95" s="12" t="str">
        <f>CONCATENATE("     ","General                                           ")</f>
        <v xml:space="preserve">     General                                           </v>
      </c>
      <c r="C95" s="12"/>
      <c r="D95" s="1">
        <f>SUM(OSRRefD22_7x_0)</f>
        <v>0</v>
      </c>
      <c r="E95" s="1"/>
      <c r="F95" s="5">
        <f t="shared" ref="F95:F99" si="48">IF(D$12=0,0,D95/D$12)</f>
        <v>0</v>
      </c>
      <c r="G95" s="1"/>
      <c r="H95" s="1">
        <f>SUM(OSRRefH22_7x_0)</f>
        <v>0</v>
      </c>
      <c r="I95" s="1"/>
      <c r="J95" s="5">
        <f t="shared" ref="J95:J99" si="49">IF(H$12=0,0,H95/H$12)</f>
        <v>0</v>
      </c>
      <c r="K95" s="1"/>
      <c r="L95" s="1">
        <f t="shared" ref="L95:L99" si="50">+D95-H95</f>
        <v>0</v>
      </c>
      <c r="M95" s="1"/>
      <c r="N95" s="5">
        <f t="shared" ref="N95:N99" si="51">IF(H95=0,0,L95/H95)</f>
        <v>0</v>
      </c>
      <c r="O95" s="12"/>
      <c r="P95" s="1">
        <f>SUM(OSRRefP22_7x_0)</f>
        <v>-1042.03</v>
      </c>
      <c r="Q95" s="1"/>
      <c r="R95" s="5">
        <f t="shared" ref="R95:R99" si="52">IF(P$12=0,0,P95/P$12)</f>
        <v>-3.9262838594601311E-4</v>
      </c>
      <c r="S95" s="1"/>
      <c r="T95" s="1">
        <f>SUM(OSRRefT22_7x_0)</f>
        <v>8253.06</v>
      </c>
      <c r="U95" s="1"/>
      <c r="V95" s="5">
        <f t="shared" ref="V95:V99" si="53">IF(T$12=0,0,T95/T$12)</f>
        <v>1.706637485121752E-3</v>
      </c>
      <c r="W95" s="1"/>
      <c r="X95" s="1">
        <f t="shared" ref="X95:X99" si="54">+P95-T95</f>
        <v>-9295.09</v>
      </c>
      <c r="Y95" s="1"/>
      <c r="Z95" s="5">
        <f t="shared" ref="Z95:Z99" si="55">IF(T95=0,0,X95/T95)</f>
        <v>-1.126259835745772</v>
      </c>
    </row>
    <row r="96" spans="1:26" s="23" customFormat="1" hidden="1" outlineLevel="2" x14ac:dyDescent="0.25">
      <c r="A96" s="25"/>
      <c r="B96" s="10" t="str">
        <f>CONCATENATE("          ", "6279", " - ", "GENERAL EXPENSE")</f>
        <v xml:space="preserve">          6279 - GENERAL EXPENSE</v>
      </c>
      <c r="C96" s="10"/>
      <c r="D96" s="6">
        <v>0</v>
      </c>
      <c r="E96" s="2"/>
      <c r="F96" s="7">
        <f t="shared" si="48"/>
        <v>0</v>
      </c>
      <c r="G96" s="2"/>
      <c r="H96" s="6"/>
      <c r="I96" s="2"/>
      <c r="J96" s="7">
        <f t="shared" si="49"/>
        <v>0</v>
      </c>
      <c r="K96" s="2"/>
      <c r="L96" s="6">
        <f t="shared" si="50"/>
        <v>0</v>
      </c>
      <c r="M96" s="2"/>
      <c r="N96" s="7">
        <f t="shared" si="51"/>
        <v>0</v>
      </c>
      <c r="O96" s="10"/>
      <c r="P96" s="6">
        <v>-1042.03</v>
      </c>
      <c r="Q96" s="2"/>
      <c r="R96" s="7">
        <f t="shared" si="52"/>
        <v>-3.9262838594601311E-4</v>
      </c>
      <c r="S96" s="2"/>
      <c r="T96" s="6">
        <v>8253.06</v>
      </c>
      <c r="U96" s="2"/>
      <c r="V96" s="7">
        <f t="shared" si="53"/>
        <v>1.706637485121752E-3</v>
      </c>
      <c r="W96" s="2"/>
      <c r="X96" s="6">
        <f t="shared" si="54"/>
        <v>-9295.09</v>
      </c>
      <c r="Y96" s="2"/>
      <c r="Z96" s="7">
        <f t="shared" si="55"/>
        <v>-1.126259835745772</v>
      </c>
    </row>
    <row r="97" spans="1:26" s="26" customFormat="1" outlineLevel="1" collapsed="1" x14ac:dyDescent="0.25">
      <c r="A97" s="27"/>
      <c r="B97" s="12" t="str">
        <f>CONCATENATE("     ","Inventory Adjustment                              ")</f>
        <v xml:space="preserve">     Inventory Adjustment                              </v>
      </c>
      <c r="C97" s="12"/>
      <c r="D97" s="1">
        <f>SUM(OSRRefD22_8x_0)</f>
        <v>1000</v>
      </c>
      <c r="E97" s="1"/>
      <c r="F97" s="5">
        <f t="shared" si="48"/>
        <v>6.6689163144367375E-2</v>
      </c>
      <c r="G97" s="1"/>
      <c r="H97" s="1">
        <f>SUM(OSRRefH22_8x_0)</f>
        <v>1000</v>
      </c>
      <c r="I97" s="1"/>
      <c r="J97" s="5">
        <f t="shared" si="49"/>
        <v>5.4044442907180287E-2</v>
      </c>
      <c r="K97" s="1"/>
      <c r="L97" s="1">
        <f t="shared" si="50"/>
        <v>0</v>
      </c>
      <c r="M97" s="1"/>
      <c r="N97" s="5">
        <f t="shared" si="51"/>
        <v>0</v>
      </c>
      <c r="O97" s="12"/>
      <c r="P97" s="1">
        <f>SUM(OSRRefP22_8x_0)</f>
        <v>14000</v>
      </c>
      <c r="Q97" s="1"/>
      <c r="R97" s="5">
        <f t="shared" si="52"/>
        <v>5.2750855572720398E-3</v>
      </c>
      <c r="S97" s="1"/>
      <c r="T97" s="1">
        <f>SUM(OSRRefT22_8x_0)</f>
        <v>14800</v>
      </c>
      <c r="U97" s="1"/>
      <c r="V97" s="5">
        <f t="shared" si="53"/>
        <v>3.0604690599367909E-3</v>
      </c>
      <c r="W97" s="1"/>
      <c r="X97" s="1">
        <f t="shared" si="54"/>
        <v>-800</v>
      </c>
      <c r="Y97" s="1"/>
      <c r="Z97" s="5">
        <f t="shared" si="55"/>
        <v>-5.4054054054054057E-2</v>
      </c>
    </row>
    <row r="98" spans="1:26" s="23" customFormat="1" hidden="1" outlineLevel="2" x14ac:dyDescent="0.25">
      <c r="A98" s="25"/>
      <c r="B98" s="10" t="str">
        <f>CONCATENATE("          ", "6408", " - ", "INVENTORY ADJUSTMENT")</f>
        <v xml:space="preserve">          6408 - INVENTORY ADJUSTMENT</v>
      </c>
      <c r="C98" s="10"/>
      <c r="D98" s="6">
        <v>1000</v>
      </c>
      <c r="E98" s="2"/>
      <c r="F98" s="7">
        <f t="shared" si="48"/>
        <v>6.6689163144367375E-2</v>
      </c>
      <c r="G98" s="2"/>
      <c r="H98" s="6">
        <v>1000</v>
      </c>
      <c r="I98" s="2"/>
      <c r="J98" s="7">
        <f t="shared" si="49"/>
        <v>5.4044442907180287E-2</v>
      </c>
      <c r="K98" s="2"/>
      <c r="L98" s="6">
        <f t="shared" si="50"/>
        <v>0</v>
      </c>
      <c r="M98" s="2"/>
      <c r="N98" s="7">
        <f t="shared" si="51"/>
        <v>0</v>
      </c>
      <c r="O98" s="10"/>
      <c r="P98" s="6">
        <v>14000</v>
      </c>
      <c r="Q98" s="2"/>
      <c r="R98" s="7">
        <f t="shared" si="52"/>
        <v>5.2750855572720398E-3</v>
      </c>
      <c r="S98" s="2"/>
      <c r="T98" s="6">
        <v>14800</v>
      </c>
      <c r="U98" s="2"/>
      <c r="V98" s="7">
        <f t="shared" si="53"/>
        <v>3.0604690599367909E-3</v>
      </c>
      <c r="W98" s="2"/>
      <c r="X98" s="6">
        <f t="shared" si="54"/>
        <v>-800</v>
      </c>
      <c r="Y98" s="2"/>
      <c r="Z98" s="7">
        <f t="shared" si="55"/>
        <v>-5.4054054054054057E-2</v>
      </c>
    </row>
    <row r="99" spans="1:26" s="23" customFormat="1" hidden="1" outlineLevel="2" x14ac:dyDescent="0.25">
      <c r="A99" s="25"/>
      <c r="B99" s="10" t="str">
        <f>CONCATENATE("          ", "7701", " - ", "INV. SHRINKAGE-NEW TEXT")</f>
        <v xml:space="preserve">          7701 - INV. SHRINKAGE-NEW TEXT</v>
      </c>
      <c r="C99" s="10"/>
      <c r="D99" s="6"/>
      <c r="E99" s="2"/>
      <c r="F99" s="7">
        <f t="shared" si="48"/>
        <v>0</v>
      </c>
      <c r="G99" s="2"/>
      <c r="H99" s="6"/>
      <c r="I99" s="2"/>
      <c r="J99" s="7">
        <f t="shared" si="49"/>
        <v>0</v>
      </c>
      <c r="K99" s="2"/>
      <c r="L99" s="6">
        <f t="shared" si="50"/>
        <v>0</v>
      </c>
      <c r="M99" s="2"/>
      <c r="N99" s="7">
        <f t="shared" si="51"/>
        <v>0</v>
      </c>
      <c r="O99" s="10"/>
      <c r="P99" s="6"/>
      <c r="Q99" s="2"/>
      <c r="R99" s="7">
        <f t="shared" si="52"/>
        <v>0</v>
      </c>
      <c r="S99" s="2"/>
      <c r="T99" s="6">
        <v>0</v>
      </c>
      <c r="U99" s="2"/>
      <c r="V99" s="7">
        <f t="shared" si="53"/>
        <v>0</v>
      </c>
      <c r="W99" s="2"/>
      <c r="X99" s="6">
        <f t="shared" si="54"/>
        <v>0</v>
      </c>
      <c r="Y99" s="2"/>
      <c r="Z99" s="7">
        <f t="shared" si="55"/>
        <v>0</v>
      </c>
    </row>
    <row r="100" spans="1:26" s="26" customFormat="1" outlineLevel="1" collapsed="1" x14ac:dyDescent="0.25">
      <c r="A100" s="27"/>
      <c r="B100" s="12" t="str">
        <f>CONCATENATE("     ","Repair and Maintenance                            ")</f>
        <v xml:space="preserve">     Repair and Maintenance                            </v>
      </c>
      <c r="C100" s="12"/>
      <c r="D100" s="1">
        <f>SUM(OSRRefD22_9x_0)</f>
        <v>24.47</v>
      </c>
      <c r="E100" s="1"/>
      <c r="F100" s="5">
        <f t="shared" ref="F100:F102" si="56">IF(D$12=0,0,D100/D$12)</f>
        <v>1.6318838221426695E-3</v>
      </c>
      <c r="G100" s="1"/>
      <c r="H100" s="1">
        <f>SUM(OSRRefH22_9x_0)</f>
        <v>23.52</v>
      </c>
      <c r="I100" s="1"/>
      <c r="J100" s="5">
        <f t="shared" ref="J100:J102" si="57">IF(H$12=0,0,H100/H$12)</f>
        <v>1.2711252971768804E-3</v>
      </c>
      <c r="K100" s="1"/>
      <c r="L100" s="1">
        <f t="shared" ref="L100:L102" si="58">+D100-H100</f>
        <v>0.94999999999999929</v>
      </c>
      <c r="M100" s="1"/>
      <c r="N100" s="5">
        <f t="shared" ref="N100:N102" si="59">IF(H100=0,0,L100/H100)</f>
        <v>4.0391156462585003E-2</v>
      </c>
      <c r="O100" s="12"/>
      <c r="P100" s="1">
        <f>SUM(OSRRefP22_9x_0)</f>
        <v>207.32</v>
      </c>
      <c r="Q100" s="1"/>
      <c r="R100" s="5">
        <f t="shared" ref="R100:R102" si="60">IF(P$12=0,0,P100/P$12)</f>
        <v>7.8116481266688511E-5</v>
      </c>
      <c r="S100" s="1"/>
      <c r="T100" s="1">
        <f>SUM(OSRRefT22_9x_0)</f>
        <v>210.3</v>
      </c>
      <c r="U100" s="1"/>
      <c r="V100" s="5">
        <f t="shared" ref="V100:V102" si="61">IF(T$12=0,0,T100/T$12)</f>
        <v>4.3487611034101835E-5</v>
      </c>
      <c r="W100" s="1"/>
      <c r="X100" s="1">
        <f t="shared" ref="X100:X102" si="62">+P100-T100</f>
        <v>-2.9800000000000182</v>
      </c>
      <c r="Y100" s="1"/>
      <c r="Z100" s="5">
        <f t="shared" ref="Z100:Z102" si="63">IF(T100=0,0,X100/T100)</f>
        <v>-1.4170233000475596E-2</v>
      </c>
    </row>
    <row r="101" spans="1:26" s="23" customFormat="1" hidden="1" outlineLevel="2" x14ac:dyDescent="0.25">
      <c r="A101" s="25"/>
      <c r="B101" s="10" t="str">
        <f>CONCATENATE("          ", "6373", " - ", "MAINTENANCE CONTRACTS")</f>
        <v xml:space="preserve">          6373 - MAINTENANCE CONTRACTS</v>
      </c>
      <c r="C101" s="10"/>
      <c r="D101" s="6">
        <v>24.47</v>
      </c>
      <c r="E101" s="2"/>
      <c r="F101" s="7">
        <f t="shared" si="56"/>
        <v>1.6318838221426695E-3</v>
      </c>
      <c r="G101" s="2"/>
      <c r="H101" s="6">
        <v>23.52</v>
      </c>
      <c r="I101" s="2"/>
      <c r="J101" s="7">
        <f t="shared" si="57"/>
        <v>1.2711252971768804E-3</v>
      </c>
      <c r="K101" s="2"/>
      <c r="L101" s="6">
        <f t="shared" si="58"/>
        <v>0.94999999999999929</v>
      </c>
      <c r="M101" s="2"/>
      <c r="N101" s="7">
        <f t="shared" si="59"/>
        <v>4.0391156462585003E-2</v>
      </c>
      <c r="O101" s="10"/>
      <c r="P101" s="6">
        <v>182.21</v>
      </c>
      <c r="Q101" s="2"/>
      <c r="R101" s="7">
        <f t="shared" si="60"/>
        <v>6.8655238527895595E-5</v>
      </c>
      <c r="S101" s="2"/>
      <c r="T101" s="6">
        <v>210.3</v>
      </c>
      <c r="U101" s="2"/>
      <c r="V101" s="7">
        <f t="shared" si="61"/>
        <v>4.3487611034101835E-5</v>
      </c>
      <c r="W101" s="2"/>
      <c r="X101" s="6">
        <f t="shared" si="62"/>
        <v>-28.090000000000003</v>
      </c>
      <c r="Y101" s="2"/>
      <c r="Z101" s="7">
        <f t="shared" si="63"/>
        <v>-0.13357108892058964</v>
      </c>
    </row>
    <row r="102" spans="1:26" s="23" customFormat="1" hidden="1" outlineLevel="2" x14ac:dyDescent="0.25">
      <c r="A102" s="25"/>
      <c r="B102" s="10" t="str">
        <f>CONCATENATE("          ", "6375", " - ", "OUTSIDE REPAIRS &amp; MAINTENANCE")</f>
        <v xml:space="preserve">          6375 - OUTSIDE REPAIRS &amp; MAINTENANCE</v>
      </c>
      <c r="C102" s="10"/>
      <c r="D102" s="6"/>
      <c r="E102" s="2"/>
      <c r="F102" s="7">
        <f t="shared" si="56"/>
        <v>0</v>
      </c>
      <c r="G102" s="2"/>
      <c r="H102" s="6"/>
      <c r="I102" s="2"/>
      <c r="J102" s="7">
        <f t="shared" si="57"/>
        <v>0</v>
      </c>
      <c r="K102" s="2"/>
      <c r="L102" s="6">
        <f t="shared" si="58"/>
        <v>0</v>
      </c>
      <c r="M102" s="2"/>
      <c r="N102" s="7">
        <f t="shared" si="59"/>
        <v>0</v>
      </c>
      <c r="O102" s="10"/>
      <c r="P102" s="6">
        <v>25.11</v>
      </c>
      <c r="Q102" s="2"/>
      <c r="R102" s="7">
        <f t="shared" si="60"/>
        <v>9.4612427387929228E-6</v>
      </c>
      <c r="S102" s="2"/>
      <c r="T102" s="6"/>
      <c r="U102" s="2"/>
      <c r="V102" s="7">
        <f t="shared" si="61"/>
        <v>0</v>
      </c>
      <c r="W102" s="2"/>
      <c r="X102" s="6">
        <f t="shared" si="62"/>
        <v>25.11</v>
      </c>
      <c r="Y102" s="2"/>
      <c r="Z102" s="7">
        <f t="shared" si="63"/>
        <v>0</v>
      </c>
    </row>
    <row r="103" spans="1:26" s="26" customFormat="1" outlineLevel="1" collapsed="1" x14ac:dyDescent="0.25">
      <c r="A103" s="27"/>
      <c r="B103" s="12" t="str">
        <f>CONCATENATE("     ","Subscriptions &amp; Dues                              ")</f>
        <v xml:space="preserve">     Subscriptions &amp; Dues                              </v>
      </c>
      <c r="C103" s="12"/>
      <c r="D103" s="1">
        <f>SUM(OSRRefD22_10x_0)</f>
        <v>232.79</v>
      </c>
      <c r="E103" s="1"/>
      <c r="F103" s="5">
        <f t="shared" ref="F103:F105" si="64">IF(D$12=0,0,D103/D$12)</f>
        <v>1.552457028837728E-2</v>
      </c>
      <c r="G103" s="1"/>
      <c r="H103" s="1">
        <f>SUM(OSRRefH22_10x_0)</f>
        <v>626.54</v>
      </c>
      <c r="I103" s="1"/>
      <c r="J103" s="5">
        <f t="shared" ref="J103:J105" si="65">IF(H$12=0,0,H103/H$12)</f>
        <v>3.3861005259064735E-2</v>
      </c>
      <c r="K103" s="1"/>
      <c r="L103" s="1">
        <f t="shared" ref="L103:L105" si="66">+D103-H103</f>
        <v>-393.75</v>
      </c>
      <c r="M103" s="1"/>
      <c r="N103" s="5">
        <f t="shared" ref="N103:N105" si="67">IF(H103=0,0,L103/H103)</f>
        <v>-0.62845149551505097</v>
      </c>
      <c r="O103" s="12"/>
      <c r="P103" s="1">
        <f>SUM(OSRRefP22_10x_0)</f>
        <v>4326.63</v>
      </c>
      <c r="Q103" s="1"/>
      <c r="R103" s="5">
        <f t="shared" ref="R103:R105" si="68">IF(P$12=0,0,P103/P$12)</f>
        <v>1.6302388160471376E-3</v>
      </c>
      <c r="S103" s="1"/>
      <c r="T103" s="1">
        <f>SUM(OSRRefT22_10x_0)</f>
        <v>2948.48</v>
      </c>
      <c r="U103" s="1"/>
      <c r="V103" s="5">
        <f t="shared" ref="V103:V105" si="69">IF(T$12=0,0,T103/T$12)</f>
        <v>6.0971160904340737E-4</v>
      </c>
      <c r="W103" s="1"/>
      <c r="X103" s="1">
        <f t="shared" ref="X103:X105" si="70">+P103-T103</f>
        <v>1378.15</v>
      </c>
      <c r="Y103" s="1"/>
      <c r="Z103" s="5">
        <f t="shared" ref="Z103:Z105" si="71">IF(T103=0,0,X103/T103)</f>
        <v>0.46741032667679622</v>
      </c>
    </row>
    <row r="104" spans="1:26" s="23" customFormat="1" hidden="1" outlineLevel="2" x14ac:dyDescent="0.25">
      <c r="A104" s="25"/>
      <c r="B104" s="10" t="str">
        <f>CONCATENATE("          ", "6258", " - ", "MEMBERSHIP DUES")</f>
        <v xml:space="preserve">          6258 - MEMBERSHIP DUES</v>
      </c>
      <c r="C104" s="10"/>
      <c r="D104" s="6">
        <v>232.79</v>
      </c>
      <c r="E104" s="2"/>
      <c r="F104" s="7">
        <f t="shared" si="64"/>
        <v>1.552457028837728E-2</v>
      </c>
      <c r="G104" s="2"/>
      <c r="H104" s="6">
        <v>626.54</v>
      </c>
      <c r="I104" s="2"/>
      <c r="J104" s="7">
        <f t="shared" si="65"/>
        <v>3.3861005259064735E-2</v>
      </c>
      <c r="K104" s="2"/>
      <c r="L104" s="6">
        <f t="shared" si="66"/>
        <v>-393.75</v>
      </c>
      <c r="M104" s="2"/>
      <c r="N104" s="7">
        <f t="shared" si="67"/>
        <v>-0.62845149551505097</v>
      </c>
      <c r="O104" s="10"/>
      <c r="P104" s="6">
        <v>2474.5500000000002</v>
      </c>
      <c r="Q104" s="2"/>
      <c r="R104" s="7">
        <f t="shared" si="68"/>
        <v>9.3239021183910903E-4</v>
      </c>
      <c r="S104" s="2"/>
      <c r="T104" s="6">
        <v>2948.48</v>
      </c>
      <c r="U104" s="2"/>
      <c r="V104" s="7">
        <f t="shared" si="69"/>
        <v>6.0971160904340737E-4</v>
      </c>
      <c r="W104" s="2"/>
      <c r="X104" s="6">
        <f t="shared" si="70"/>
        <v>-473.92999999999984</v>
      </c>
      <c r="Y104" s="2"/>
      <c r="Z104" s="7">
        <f t="shared" si="71"/>
        <v>-0.16073705773822439</v>
      </c>
    </row>
    <row r="105" spans="1:26" s="23" customFormat="1" hidden="1" outlineLevel="2" x14ac:dyDescent="0.25">
      <c r="A105" s="25"/>
      <c r="B105" s="10" t="str">
        <f>CONCATENATE("          ", "6275", " - ", "SUBSCRIPTIONS")</f>
        <v xml:space="preserve">          6275 - SUBSCRIPTIONS</v>
      </c>
      <c r="C105" s="10"/>
      <c r="D105" s="6"/>
      <c r="E105" s="2"/>
      <c r="F105" s="7">
        <f t="shared" si="64"/>
        <v>0</v>
      </c>
      <c r="G105" s="2"/>
      <c r="H105" s="6"/>
      <c r="I105" s="2"/>
      <c r="J105" s="7">
        <f t="shared" si="65"/>
        <v>0</v>
      </c>
      <c r="K105" s="2"/>
      <c r="L105" s="6">
        <f t="shared" si="66"/>
        <v>0</v>
      </c>
      <c r="M105" s="2"/>
      <c r="N105" s="7">
        <f t="shared" si="67"/>
        <v>0</v>
      </c>
      <c r="O105" s="10"/>
      <c r="P105" s="6">
        <v>1852.08</v>
      </c>
      <c r="Q105" s="2"/>
      <c r="R105" s="7">
        <f t="shared" si="68"/>
        <v>6.9784860420802849E-4</v>
      </c>
      <c r="S105" s="2"/>
      <c r="T105" s="6"/>
      <c r="U105" s="2"/>
      <c r="V105" s="7">
        <f t="shared" si="69"/>
        <v>0</v>
      </c>
      <c r="W105" s="2"/>
      <c r="X105" s="6">
        <f t="shared" si="70"/>
        <v>1852.08</v>
      </c>
      <c r="Y105" s="2"/>
      <c r="Z105" s="7">
        <f t="shared" si="71"/>
        <v>0</v>
      </c>
    </row>
    <row r="106" spans="1:26" s="26" customFormat="1" outlineLevel="1" collapsed="1" x14ac:dyDescent="0.25">
      <c r="A106" s="27"/>
      <c r="B106" s="12" t="str">
        <f>CONCATENATE("     ","Supplies                                          ")</f>
        <v xml:space="preserve">     Supplies                                          </v>
      </c>
      <c r="C106" s="12"/>
      <c r="D106" s="1">
        <f>SUM(OSRRefD22_11x_0)</f>
        <v>175.16</v>
      </c>
      <c r="E106" s="1"/>
      <c r="F106" s="5">
        <f t="shared" ref="F106:F109" si="72">IF(D$12=0,0,D106/D$12)</f>
        <v>1.1681273816367389E-2</v>
      </c>
      <c r="G106" s="1"/>
      <c r="H106" s="1">
        <f>SUM(OSRRefH22_11x_0)</f>
        <v>82.71</v>
      </c>
      <c r="I106" s="1"/>
      <c r="J106" s="5">
        <f t="shared" ref="J106:J109" si="73">IF(H$12=0,0,H106/H$12)</f>
        <v>4.470015872852881E-3</v>
      </c>
      <c r="K106" s="1"/>
      <c r="L106" s="1">
        <f t="shared" ref="L106:L109" si="74">+D106-H106</f>
        <v>92.45</v>
      </c>
      <c r="M106" s="1"/>
      <c r="N106" s="5">
        <f t="shared" ref="N106:N109" si="75">IF(H106=0,0,L106/H106)</f>
        <v>1.1177608511667272</v>
      </c>
      <c r="O106" s="12"/>
      <c r="P106" s="1">
        <f>SUM(OSRRefP22_11x_0)</f>
        <v>5010.66</v>
      </c>
      <c r="Q106" s="1"/>
      <c r="R106" s="5">
        <f t="shared" ref="R106:R109" si="76">IF(P$12=0,0,P106/P$12)</f>
        <v>1.8879757284571942E-3</v>
      </c>
      <c r="S106" s="1"/>
      <c r="T106" s="1">
        <f>SUM(OSRRefT22_11x_0)</f>
        <v>11119.900000000001</v>
      </c>
      <c r="U106" s="1"/>
      <c r="V106" s="5">
        <f t="shared" ref="V106:V109" si="77">IF(T$12=0,0,T106/T$12)</f>
        <v>2.2994668851075086E-3</v>
      </c>
      <c r="W106" s="1"/>
      <c r="X106" s="1">
        <f t="shared" ref="X106:X109" si="78">+P106-T106</f>
        <v>-6109.2400000000016</v>
      </c>
      <c r="Y106" s="1"/>
      <c r="Z106" s="5">
        <f t="shared" ref="Z106:Z109" si="79">IF(T106=0,0,X106/T106)</f>
        <v>-0.54939702695168124</v>
      </c>
    </row>
    <row r="107" spans="1:26" s="23" customFormat="1" hidden="1" outlineLevel="2" x14ac:dyDescent="0.25">
      <c r="A107" s="25"/>
      <c r="B107" s="10" t="str">
        <f>CONCATENATE("          ", "6241", " - ", "OFFICE EXPENSE")</f>
        <v xml:space="preserve">          6241 - OFFICE EXPENSE</v>
      </c>
      <c r="C107" s="10"/>
      <c r="D107" s="6">
        <v>160.69999999999999</v>
      </c>
      <c r="E107" s="2"/>
      <c r="F107" s="7">
        <f t="shared" si="72"/>
        <v>1.0716948517299835E-2</v>
      </c>
      <c r="G107" s="2"/>
      <c r="H107" s="6">
        <v>82.71</v>
      </c>
      <c r="I107" s="2"/>
      <c r="J107" s="7">
        <f t="shared" si="73"/>
        <v>4.470015872852881E-3</v>
      </c>
      <c r="K107" s="2"/>
      <c r="L107" s="6">
        <f t="shared" si="74"/>
        <v>77.989999999999995</v>
      </c>
      <c r="M107" s="2"/>
      <c r="N107" s="7">
        <f t="shared" si="75"/>
        <v>0.94293313988634986</v>
      </c>
      <c r="O107" s="10"/>
      <c r="P107" s="6">
        <v>1415.3</v>
      </c>
      <c r="Q107" s="2"/>
      <c r="R107" s="7">
        <f t="shared" si="76"/>
        <v>5.3327347065765121E-4</v>
      </c>
      <c r="S107" s="2"/>
      <c r="T107" s="6">
        <v>4027.86</v>
      </c>
      <c r="U107" s="2"/>
      <c r="V107" s="7">
        <f t="shared" si="77"/>
        <v>8.3291492619979755E-4</v>
      </c>
      <c r="W107" s="2"/>
      <c r="X107" s="6">
        <f t="shared" si="78"/>
        <v>-2612.5600000000004</v>
      </c>
      <c r="Y107" s="2"/>
      <c r="Z107" s="7">
        <f t="shared" si="79"/>
        <v>-0.64862234536453611</v>
      </c>
    </row>
    <row r="108" spans="1:26" s="23" customFormat="1" hidden="1" outlineLevel="2" x14ac:dyDescent="0.25">
      <c r="A108" s="25"/>
      <c r="B108" s="10" t="str">
        <f>CONCATENATE("          ", "6245", " - ", "PRINTING")</f>
        <v xml:space="preserve">          6245 - PRINTING</v>
      </c>
      <c r="C108" s="10"/>
      <c r="D108" s="6"/>
      <c r="E108" s="2"/>
      <c r="F108" s="7">
        <f t="shared" si="72"/>
        <v>0</v>
      </c>
      <c r="G108" s="2"/>
      <c r="H108" s="6"/>
      <c r="I108" s="2"/>
      <c r="J108" s="7">
        <f t="shared" si="73"/>
        <v>0</v>
      </c>
      <c r="K108" s="2"/>
      <c r="L108" s="6">
        <f t="shared" si="74"/>
        <v>0</v>
      </c>
      <c r="M108" s="2"/>
      <c r="N108" s="7">
        <f t="shared" si="75"/>
        <v>0</v>
      </c>
      <c r="O108" s="10"/>
      <c r="P108" s="6"/>
      <c r="Q108" s="2"/>
      <c r="R108" s="7">
        <f t="shared" si="76"/>
        <v>0</v>
      </c>
      <c r="S108" s="2"/>
      <c r="T108" s="6">
        <v>4978.08</v>
      </c>
      <c r="U108" s="2"/>
      <c r="V108" s="7">
        <f t="shared" si="77"/>
        <v>1.0294094471547392E-3</v>
      </c>
      <c r="W108" s="2"/>
      <c r="X108" s="6">
        <f t="shared" si="78"/>
        <v>-4978.08</v>
      </c>
      <c r="Y108" s="2"/>
      <c r="Z108" s="7">
        <f t="shared" si="79"/>
        <v>-1</v>
      </c>
    </row>
    <row r="109" spans="1:26" s="23" customFormat="1" hidden="1" outlineLevel="2" x14ac:dyDescent="0.25">
      <c r="A109" s="25"/>
      <c r="B109" s="10" t="str">
        <f>CONCATENATE("          ", "6247", " - ", "STORE SUPPLIES")</f>
        <v xml:space="preserve">          6247 - STORE SUPPLIES</v>
      </c>
      <c r="C109" s="10"/>
      <c r="D109" s="6">
        <v>14.46</v>
      </c>
      <c r="E109" s="2"/>
      <c r="F109" s="7">
        <f t="shared" si="72"/>
        <v>9.6432529906755222E-4</v>
      </c>
      <c r="G109" s="2"/>
      <c r="H109" s="6"/>
      <c r="I109" s="2"/>
      <c r="J109" s="7">
        <f t="shared" si="73"/>
        <v>0</v>
      </c>
      <c r="K109" s="2"/>
      <c r="L109" s="6">
        <f t="shared" si="74"/>
        <v>14.46</v>
      </c>
      <c r="M109" s="2"/>
      <c r="N109" s="7">
        <f t="shared" si="75"/>
        <v>0</v>
      </c>
      <c r="O109" s="10"/>
      <c r="P109" s="6">
        <v>3595.36</v>
      </c>
      <c r="Q109" s="2"/>
      <c r="R109" s="7">
        <f t="shared" si="76"/>
        <v>1.3547022577995429E-3</v>
      </c>
      <c r="S109" s="2"/>
      <c r="T109" s="6">
        <v>2113.96</v>
      </c>
      <c r="U109" s="2"/>
      <c r="V109" s="7">
        <f t="shared" si="77"/>
        <v>4.3714251175297155E-4</v>
      </c>
      <c r="W109" s="2"/>
      <c r="X109" s="6">
        <f t="shared" si="78"/>
        <v>1481.4</v>
      </c>
      <c r="Y109" s="2"/>
      <c r="Z109" s="7">
        <f t="shared" si="79"/>
        <v>0.70077011863989858</v>
      </c>
    </row>
    <row r="110" spans="1:26" s="26" customFormat="1" outlineLevel="1" collapsed="1" x14ac:dyDescent="0.25">
      <c r="A110" s="27"/>
      <c r="B110" s="12" t="str">
        <f>CONCATENATE("     ","Telephone/Data Lines                              ")</f>
        <v xml:space="preserve">     Telephone/Data Lines                              </v>
      </c>
      <c r="C110" s="12"/>
      <c r="D110" s="1">
        <f>SUM(OSRRefD22_12x_0)</f>
        <v>418.4</v>
      </c>
      <c r="E110" s="1"/>
      <c r="F110" s="5">
        <f t="shared" ref="F110:F112" si="80">IF(D$12=0,0,D110/D$12)</f>
        <v>2.7902745859603308E-2</v>
      </c>
      <c r="G110" s="1"/>
      <c r="H110" s="1">
        <f>SUM(OSRRefH22_12x_0)</f>
        <v>471.4</v>
      </c>
      <c r="I110" s="1"/>
      <c r="J110" s="5">
        <f t="shared" ref="J110:J112" si="81">IF(H$12=0,0,H110/H$12)</f>
        <v>2.5476550386444786E-2</v>
      </c>
      <c r="K110" s="1"/>
      <c r="L110" s="1">
        <f t="shared" ref="L110:L112" si="82">+D110-H110</f>
        <v>-53</v>
      </c>
      <c r="M110" s="1"/>
      <c r="N110" s="5">
        <f t="shared" ref="N110:N112" si="83">IF(H110=0,0,L110/H110)</f>
        <v>-0.11243105642766228</v>
      </c>
      <c r="O110" s="12"/>
      <c r="P110" s="1">
        <f>SUM(OSRRefP22_12x_0)</f>
        <v>7181.95</v>
      </c>
      <c r="Q110" s="1"/>
      <c r="R110" s="5">
        <f t="shared" ref="R110:R112" si="84">IF(P$12=0,0,P110/P$12)</f>
        <v>2.7061000512892805E-3</v>
      </c>
      <c r="S110" s="1"/>
      <c r="T110" s="1">
        <f>SUM(OSRRefT22_12x_0)</f>
        <v>6671.64</v>
      </c>
      <c r="U110" s="1"/>
      <c r="V110" s="5">
        <f t="shared" ref="V110:V112" si="85">IF(T$12=0,0,T110/T$12)</f>
        <v>1.3796180945295064E-3</v>
      </c>
      <c r="W110" s="1"/>
      <c r="X110" s="1">
        <f t="shared" ref="X110:X112" si="86">+P110-T110</f>
        <v>510.30999999999949</v>
      </c>
      <c r="Y110" s="1"/>
      <c r="Z110" s="5">
        <f t="shared" ref="Z110:Z112" si="87">IF(T110=0,0,X110/T110)</f>
        <v>7.648943887859648E-2</v>
      </c>
    </row>
    <row r="111" spans="1:26" s="23" customFormat="1" hidden="1" outlineLevel="2" x14ac:dyDescent="0.25">
      <c r="A111" s="25"/>
      <c r="B111" s="10" t="str">
        <f>CONCATENATE("          ", "6303", " - ", "DATA PHONE LINES")</f>
        <v xml:space="preserve">          6303 - DATA PHONE LINES</v>
      </c>
      <c r="C111" s="10"/>
      <c r="D111" s="6"/>
      <c r="E111" s="2"/>
      <c r="F111" s="7">
        <f t="shared" si="80"/>
        <v>0</v>
      </c>
      <c r="G111" s="2"/>
      <c r="H111" s="6"/>
      <c r="I111" s="2"/>
      <c r="J111" s="7">
        <f t="shared" si="81"/>
        <v>0</v>
      </c>
      <c r="K111" s="2"/>
      <c r="L111" s="6">
        <f t="shared" si="82"/>
        <v>0</v>
      </c>
      <c r="M111" s="2"/>
      <c r="N111" s="7">
        <f t="shared" si="83"/>
        <v>0</v>
      </c>
      <c r="O111" s="10"/>
      <c r="P111" s="6">
        <v>2950</v>
      </c>
      <c r="Q111" s="2"/>
      <c r="R111" s="7">
        <f t="shared" si="84"/>
        <v>1.1115358852823226E-3</v>
      </c>
      <c r="S111" s="2"/>
      <c r="T111" s="6">
        <v>2360</v>
      </c>
      <c r="U111" s="2"/>
      <c r="V111" s="7">
        <f t="shared" si="85"/>
        <v>4.8802074198992071E-4</v>
      </c>
      <c r="W111" s="2"/>
      <c r="X111" s="6">
        <f t="shared" si="86"/>
        <v>590</v>
      </c>
      <c r="Y111" s="2"/>
      <c r="Z111" s="7">
        <f t="shared" si="87"/>
        <v>0.25</v>
      </c>
    </row>
    <row r="112" spans="1:26" s="23" customFormat="1" hidden="1" outlineLevel="2" x14ac:dyDescent="0.25">
      <c r="A112" s="25"/>
      <c r="B112" s="10" t="str">
        <f>CONCATENATE("          ", "6309", " - ", "TELEPHONE")</f>
        <v xml:space="preserve">          6309 - TELEPHONE</v>
      </c>
      <c r="C112" s="10"/>
      <c r="D112" s="6">
        <v>418.4</v>
      </c>
      <c r="E112" s="2"/>
      <c r="F112" s="7">
        <f t="shared" si="80"/>
        <v>2.7902745859603308E-2</v>
      </c>
      <c r="G112" s="2"/>
      <c r="H112" s="6">
        <v>471.4</v>
      </c>
      <c r="I112" s="2"/>
      <c r="J112" s="7">
        <f t="shared" si="81"/>
        <v>2.5476550386444786E-2</v>
      </c>
      <c r="K112" s="2"/>
      <c r="L112" s="6">
        <f t="shared" si="82"/>
        <v>-53</v>
      </c>
      <c r="M112" s="2"/>
      <c r="N112" s="7">
        <f t="shared" si="83"/>
        <v>-0.11243105642766228</v>
      </c>
      <c r="O112" s="10"/>
      <c r="P112" s="6">
        <v>4231.95</v>
      </c>
      <c r="Q112" s="2"/>
      <c r="R112" s="7">
        <f t="shared" si="84"/>
        <v>1.5945641660069577E-3</v>
      </c>
      <c r="S112" s="2"/>
      <c r="T112" s="6">
        <v>4311.6400000000003</v>
      </c>
      <c r="U112" s="2"/>
      <c r="V112" s="7">
        <f t="shared" si="85"/>
        <v>8.9159735253958557E-4</v>
      </c>
      <c r="W112" s="2"/>
      <c r="X112" s="6">
        <f t="shared" si="86"/>
        <v>-79.690000000000509</v>
      </c>
      <c r="Y112" s="2"/>
      <c r="Z112" s="7">
        <f t="shared" si="87"/>
        <v>-1.8482526370476315E-2</v>
      </c>
    </row>
    <row r="113" spans="1:26" s="26" customFormat="1" outlineLevel="1" collapsed="1" x14ac:dyDescent="0.25">
      <c r="A113" s="27"/>
      <c r="B113" s="12" t="str">
        <f>CONCATENATE("     ","Training                                          ")</f>
        <v xml:space="preserve">     Training                                          </v>
      </c>
      <c r="C113" s="12"/>
      <c r="D113" s="1">
        <f>SUM(OSRRefD22_13x_0)</f>
        <v>0</v>
      </c>
      <c r="E113" s="1"/>
      <c r="F113" s="5">
        <f t="shared" ref="F113:F116" si="88">IF(D$12=0,0,D113/D$12)</f>
        <v>0</v>
      </c>
      <c r="G113" s="1"/>
      <c r="H113" s="1">
        <f>SUM(OSRRefH22_13x_0)</f>
        <v>896.8</v>
      </c>
      <c r="I113" s="1"/>
      <c r="J113" s="5">
        <f t="shared" ref="J113:J116" si="89">IF(H$12=0,0,H113/H$12)</f>
        <v>4.8467056399159276E-2</v>
      </c>
      <c r="K113" s="1"/>
      <c r="L113" s="1">
        <f t="shared" ref="L113:L116" si="90">+D113-H113</f>
        <v>-896.8</v>
      </c>
      <c r="M113" s="1"/>
      <c r="N113" s="5">
        <f t="shared" ref="N113:N116" si="91">IF(H113=0,0,L113/H113)</f>
        <v>-1</v>
      </c>
      <c r="O113" s="12"/>
      <c r="P113" s="1">
        <f>SUM(OSRRefP22_13x_0)</f>
        <v>0</v>
      </c>
      <c r="Q113" s="1"/>
      <c r="R113" s="5">
        <f t="shared" ref="R113:R116" si="92">IF(P$12=0,0,P113/P$12)</f>
        <v>0</v>
      </c>
      <c r="S113" s="1"/>
      <c r="T113" s="1">
        <f>SUM(OSRRefT22_13x_0)</f>
        <v>4157.1499999999996</v>
      </c>
      <c r="U113" s="1"/>
      <c r="V113" s="5">
        <f t="shared" ref="V113:V116" si="93">IF(T$12=0,0,T113/T$12)</f>
        <v>8.596506048997452E-4</v>
      </c>
      <c r="W113" s="1"/>
      <c r="X113" s="1">
        <f t="shared" ref="X113:X116" si="94">+P113-T113</f>
        <v>-4157.1499999999996</v>
      </c>
      <c r="Y113" s="1"/>
      <c r="Z113" s="5">
        <f t="shared" ref="Z113:Z116" si="95">IF(T113=0,0,X113/T113)</f>
        <v>-1</v>
      </c>
    </row>
    <row r="114" spans="1:26" s="23" customFormat="1" hidden="1" outlineLevel="2" x14ac:dyDescent="0.25">
      <c r="A114" s="25"/>
      <c r="B114" s="10" t="str">
        <f>CONCATENATE("          ", "6376", " - ", "TRAINING")</f>
        <v xml:space="preserve">          6376 - TRAINING</v>
      </c>
      <c r="C114" s="10"/>
      <c r="D114" s="6"/>
      <c r="E114" s="2"/>
      <c r="F114" s="7">
        <f t="shared" si="88"/>
        <v>0</v>
      </c>
      <c r="G114" s="2"/>
      <c r="H114" s="6">
        <v>896.8</v>
      </c>
      <c r="I114" s="2"/>
      <c r="J114" s="7">
        <f t="shared" si="89"/>
        <v>4.8467056399159276E-2</v>
      </c>
      <c r="K114" s="2"/>
      <c r="L114" s="6">
        <f t="shared" si="90"/>
        <v>-896.8</v>
      </c>
      <c r="M114" s="2"/>
      <c r="N114" s="7">
        <f t="shared" si="91"/>
        <v>-1</v>
      </c>
      <c r="O114" s="10"/>
      <c r="P114" s="6"/>
      <c r="Q114" s="2"/>
      <c r="R114" s="7">
        <f t="shared" si="92"/>
        <v>0</v>
      </c>
      <c r="S114" s="2"/>
      <c r="T114" s="6">
        <v>4157.1499999999996</v>
      </c>
      <c r="U114" s="2"/>
      <c r="V114" s="7">
        <f t="shared" si="93"/>
        <v>8.596506048997452E-4</v>
      </c>
      <c r="W114" s="2"/>
      <c r="X114" s="6">
        <f t="shared" si="94"/>
        <v>-4157.1499999999996</v>
      </c>
      <c r="Y114" s="2"/>
      <c r="Z114" s="7">
        <f t="shared" si="95"/>
        <v>-1</v>
      </c>
    </row>
    <row r="115" spans="1:26" s="26" customFormat="1" outlineLevel="1" collapsed="1" x14ac:dyDescent="0.25">
      <c r="A115" s="27"/>
      <c r="B115" s="12" t="str">
        <f>CONCATENATE("     ","Travel                                            ")</f>
        <v xml:space="preserve">     Travel                                            </v>
      </c>
      <c r="C115" s="12"/>
      <c r="D115" s="1">
        <f>SUM(OSRRefD22_14x_0)</f>
        <v>0</v>
      </c>
      <c r="E115" s="1"/>
      <c r="F115" s="5">
        <f t="shared" si="88"/>
        <v>0</v>
      </c>
      <c r="G115" s="1"/>
      <c r="H115" s="1">
        <f>SUM(OSRRefH22_14x_0)</f>
        <v>0</v>
      </c>
      <c r="I115" s="1"/>
      <c r="J115" s="5">
        <f t="shared" si="89"/>
        <v>0</v>
      </c>
      <c r="K115" s="1"/>
      <c r="L115" s="1">
        <f t="shared" si="90"/>
        <v>0</v>
      </c>
      <c r="M115" s="1"/>
      <c r="N115" s="5">
        <f t="shared" si="91"/>
        <v>0</v>
      </c>
      <c r="O115" s="12"/>
      <c r="P115" s="1">
        <f>SUM(OSRRefP22_14x_0)</f>
        <v>0.16</v>
      </c>
      <c r="Q115" s="1"/>
      <c r="R115" s="5">
        <f t="shared" si="92"/>
        <v>6.028669208310903E-8</v>
      </c>
      <c r="S115" s="1"/>
      <c r="T115" s="1">
        <f>SUM(OSRRefT22_14x_0)</f>
        <v>83.93</v>
      </c>
      <c r="U115" s="1"/>
      <c r="V115" s="5">
        <f t="shared" si="93"/>
        <v>1.7355754608141546E-5</v>
      </c>
      <c r="W115" s="1"/>
      <c r="X115" s="1">
        <f t="shared" si="94"/>
        <v>-83.77000000000001</v>
      </c>
      <c r="Y115" s="1"/>
      <c r="Z115" s="5">
        <f t="shared" si="95"/>
        <v>-0.99809364946979628</v>
      </c>
    </row>
    <row r="116" spans="1:26" s="23" customFormat="1" hidden="1" outlineLevel="2" x14ac:dyDescent="0.25">
      <c r="A116" s="25"/>
      <c r="B116" s="10" t="str">
        <f>CONCATENATE("          ", "6292", " - ", "TRAVEL/CONFERENCE")</f>
        <v xml:space="preserve">          6292 - TRAVEL/CONFERENCE</v>
      </c>
      <c r="C116" s="10"/>
      <c r="D116" s="6"/>
      <c r="E116" s="2"/>
      <c r="F116" s="7">
        <f t="shared" si="88"/>
        <v>0</v>
      </c>
      <c r="G116" s="2"/>
      <c r="H116" s="6"/>
      <c r="I116" s="2"/>
      <c r="J116" s="7">
        <f t="shared" si="89"/>
        <v>0</v>
      </c>
      <c r="K116" s="2"/>
      <c r="L116" s="6">
        <f t="shared" si="90"/>
        <v>0</v>
      </c>
      <c r="M116" s="2"/>
      <c r="N116" s="7">
        <f t="shared" si="91"/>
        <v>0</v>
      </c>
      <c r="O116" s="10"/>
      <c r="P116" s="6">
        <v>0.16</v>
      </c>
      <c r="Q116" s="2"/>
      <c r="R116" s="7">
        <f t="shared" si="92"/>
        <v>6.028669208310903E-8</v>
      </c>
      <c r="S116" s="2"/>
      <c r="T116" s="6">
        <v>83.93</v>
      </c>
      <c r="U116" s="2"/>
      <c r="V116" s="7">
        <f t="shared" si="93"/>
        <v>1.7355754608141546E-5</v>
      </c>
      <c r="W116" s="2"/>
      <c r="X116" s="6">
        <f t="shared" si="94"/>
        <v>-83.77000000000001</v>
      </c>
      <c r="Y116" s="2"/>
      <c r="Z116" s="7">
        <f t="shared" si="95"/>
        <v>-0.99809364946979628</v>
      </c>
    </row>
    <row r="117" spans="1:26" s="60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4" customFormat="1" collapsed="1" x14ac:dyDescent="0.25">
      <c r="A118" s="11"/>
      <c r="B118" s="28" t="s">
        <v>292</v>
      </c>
      <c r="C118" s="11"/>
      <c r="D118" s="4">
        <f>SUM(OSRRefD25x_0)</f>
        <v>4864.2299999999996</v>
      </c>
      <c r="E118" s="4"/>
      <c r="F118" s="13">
        <f t="shared" ref="F118:F121" si="96">IF(D$12=0,0,D118/D$12)</f>
        <v>0.32439142804172605</v>
      </c>
      <c r="G118" s="4"/>
      <c r="H118" s="4">
        <f>SUM(OSRRefH25x_0)</f>
        <v>117.11</v>
      </c>
      <c r="I118" s="4"/>
      <c r="J118" s="13">
        <f t="shared" ref="J118:J121" si="97">IF(H$12=0,0,H118/H$12)</f>
        <v>6.3291447088598832E-3</v>
      </c>
      <c r="K118" s="4"/>
      <c r="L118" s="4">
        <f t="shared" ref="L118:L121" si="98">+D118-H118</f>
        <v>4747.12</v>
      </c>
      <c r="M118" s="4"/>
      <c r="N118" s="13">
        <f t="shared" ref="N118:N121" si="99">IF(H118=0,0,L118/H118)</f>
        <v>40.535564853556487</v>
      </c>
      <c r="O118" s="11"/>
      <c r="P118" s="4">
        <f>SUM(OSRRefP25x_0)</f>
        <v>330802.13</v>
      </c>
      <c r="Q118" s="4"/>
      <c r="R118" s="13">
        <f t="shared" ref="R118:R121" si="100">IF(P$12=0,0,P118/P$12)</f>
        <v>0.12464353844841627</v>
      </c>
      <c r="S118" s="4"/>
      <c r="T118" s="4">
        <f>SUM(OSRRefT25x_0)</f>
        <v>187856.39999999997</v>
      </c>
      <c r="U118" s="4"/>
      <c r="V118" s="13">
        <f t="shared" ref="V118:V121" si="101">IF(T$12=0,0,T118/T$12)</f>
        <v>3.8846533777777678E-2</v>
      </c>
      <c r="W118" s="4"/>
      <c r="X118" s="4">
        <f t="shared" ref="X118:X121" si="102">+P118-T118</f>
        <v>142945.73000000004</v>
      </c>
      <c r="Y118" s="4"/>
      <c r="Z118" s="13">
        <f t="shared" ref="Z118:Z121" si="103">IF(T118=0,0,X118/T118)</f>
        <v>0.76093084930830179</v>
      </c>
    </row>
    <row r="119" spans="1:26" s="23" customFormat="1" hidden="1" outlineLevel="1" x14ac:dyDescent="0.25">
      <c r="A119" s="44"/>
      <c r="B119" s="10" t="str">
        <f>CONCATENATE("          ", "9150", " - ", "MISC. INCOME")</f>
        <v xml:space="preserve">          9150 - MISC. INCOME</v>
      </c>
      <c r="C119" s="10"/>
      <c r="D119" s="2">
        <f>--6749.36</f>
        <v>6749.36</v>
      </c>
      <c r="E119" s="2"/>
      <c r="F119" s="19">
        <f t="shared" si="96"/>
        <v>0.45010917016006735</v>
      </c>
      <c r="G119" s="2"/>
      <c r="H119" s="2">
        <f>--117.11</f>
        <v>117.11</v>
      </c>
      <c r="I119" s="2"/>
      <c r="J119" s="19">
        <f t="shared" si="97"/>
        <v>6.3291447088598832E-3</v>
      </c>
      <c r="K119" s="2"/>
      <c r="L119" s="2">
        <f t="shared" si="98"/>
        <v>6632.25</v>
      </c>
      <c r="M119" s="2"/>
      <c r="N119" s="19">
        <f t="shared" si="99"/>
        <v>56.632653061224488</v>
      </c>
      <c r="O119" s="10"/>
      <c r="P119" s="2">
        <f>--31463.11</f>
        <v>31463.11</v>
      </c>
      <c r="Q119" s="2"/>
      <c r="R119" s="19">
        <f t="shared" si="100"/>
        <v>1.1855042653418678E-2</v>
      </c>
      <c r="S119" s="2"/>
      <c r="T119" s="2">
        <f>--20412.24</f>
        <v>20412.240000000002</v>
      </c>
      <c r="U119" s="2"/>
      <c r="V119" s="19">
        <f t="shared" si="101"/>
        <v>4.2210154705408223E-3</v>
      </c>
      <c r="W119" s="2"/>
      <c r="X119" s="2">
        <f t="shared" si="102"/>
        <v>11050.869999999999</v>
      </c>
      <c r="Y119" s="2"/>
      <c r="Z119" s="19">
        <f t="shared" si="103"/>
        <v>0.54138448303566866</v>
      </c>
    </row>
    <row r="120" spans="1:26" s="23" customFormat="1" hidden="1" outlineLevel="1" x14ac:dyDescent="0.25">
      <c r="A120" s="44"/>
      <c r="B120" s="10" t="str">
        <f>CONCATENATE("          ", "9151", " - ", "MISC. INCOME")</f>
        <v xml:space="preserve">          9151 - MISC. INCOME</v>
      </c>
      <c r="C120" s="10"/>
      <c r="D120" s="2">
        <f>-2282.24</f>
        <v>-2282.2399999999998</v>
      </c>
      <c r="E120" s="2"/>
      <c r="F120" s="19">
        <f t="shared" si="96"/>
        <v>-0.15220067569460097</v>
      </c>
      <c r="G120" s="2"/>
      <c r="H120" s="2">
        <f t="shared" ref="H120:H121" si="104">0</f>
        <v>0</v>
      </c>
      <c r="I120" s="2"/>
      <c r="J120" s="19">
        <f t="shared" si="97"/>
        <v>0</v>
      </c>
      <c r="K120" s="2"/>
      <c r="L120" s="2">
        <f t="shared" si="98"/>
        <v>-2282.2399999999998</v>
      </c>
      <c r="M120" s="2"/>
      <c r="N120" s="19">
        <f t="shared" si="99"/>
        <v>0</v>
      </c>
      <c r="O120" s="10"/>
      <c r="P120" s="2">
        <f>--295628.46</f>
        <v>295628.46000000002</v>
      </c>
      <c r="Q120" s="2"/>
      <c r="R120" s="19">
        <f t="shared" si="100"/>
        <v>0.11139038711889822</v>
      </c>
      <c r="S120" s="2"/>
      <c r="T120" s="2">
        <f>--162744.3</f>
        <v>162744.29999999999</v>
      </c>
      <c r="U120" s="2"/>
      <c r="V120" s="19">
        <f t="shared" si="101"/>
        <v>3.3653641542639938E-2</v>
      </c>
      <c r="W120" s="2"/>
      <c r="X120" s="2">
        <f t="shared" si="102"/>
        <v>132884.16000000003</v>
      </c>
      <c r="Y120" s="2"/>
      <c r="Z120" s="19">
        <f t="shared" si="103"/>
        <v>0.81652113161566975</v>
      </c>
    </row>
    <row r="121" spans="1:26" s="23" customFormat="1" hidden="1" outlineLevel="1" x14ac:dyDescent="0.25">
      <c r="A121" s="44"/>
      <c r="B121" s="10" t="str">
        <f>CONCATENATE("          ", "9152", " - ", "MISC. INCOME")</f>
        <v xml:space="preserve">          9152 - MISC. INCOME</v>
      </c>
      <c r="C121" s="10"/>
      <c r="D121" s="2">
        <f>--397.11</f>
        <v>397.11</v>
      </c>
      <c r="E121" s="2"/>
      <c r="F121" s="19">
        <f t="shared" si="96"/>
        <v>2.6482933576259728E-2</v>
      </c>
      <c r="G121" s="2"/>
      <c r="H121" s="2">
        <f t="shared" si="104"/>
        <v>0</v>
      </c>
      <c r="I121" s="2"/>
      <c r="J121" s="19">
        <f t="shared" si="97"/>
        <v>0</v>
      </c>
      <c r="K121" s="2"/>
      <c r="L121" s="2">
        <f t="shared" si="98"/>
        <v>397.11</v>
      </c>
      <c r="M121" s="2"/>
      <c r="N121" s="19">
        <f t="shared" si="99"/>
        <v>0</v>
      </c>
      <c r="O121" s="10"/>
      <c r="P121" s="2">
        <f>--3710.56</f>
        <v>3710.56</v>
      </c>
      <c r="Q121" s="2"/>
      <c r="R121" s="19">
        <f t="shared" si="100"/>
        <v>1.3981086760993815E-3</v>
      </c>
      <c r="S121" s="2"/>
      <c r="T121" s="2">
        <f>--4699.86</f>
        <v>4699.8599999999997</v>
      </c>
      <c r="U121" s="2"/>
      <c r="V121" s="19">
        <f t="shared" si="101"/>
        <v>9.7187676459692743E-4</v>
      </c>
      <c r="W121" s="2"/>
      <c r="X121" s="2">
        <f t="shared" si="102"/>
        <v>-989.29999999999973</v>
      </c>
      <c r="Y121" s="2"/>
      <c r="Z121" s="19">
        <f t="shared" si="103"/>
        <v>-0.21049563178477654</v>
      </c>
    </row>
    <row r="122" spans="1:26" x14ac:dyDescent="0.25">
      <c r="A122" s="9"/>
      <c r="B122" s="11"/>
      <c r="C122" s="11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1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4" customFormat="1" x14ac:dyDescent="0.25">
      <c r="A123" s="11"/>
      <c r="B123" s="29" t="s">
        <v>276</v>
      </c>
      <c r="C123" s="29"/>
      <c r="D123" s="22">
        <f>+D62-D64+D118</f>
        <v>-36894.150000000009</v>
      </c>
      <c r="E123" s="14"/>
      <c r="F123" s="20">
        <f>IF(D$12=0,0,D123/D$12)</f>
        <v>-2.4604399884227619</v>
      </c>
      <c r="G123" s="14"/>
      <c r="H123" s="22">
        <f>+H62-H64+H118</f>
        <v>-36175.550000000061</v>
      </c>
      <c r="I123" s="14"/>
      <c r="J123" s="20">
        <f>IF(H$12=0,0,H123/H$12)</f>
        <v>-1.9550874466108492</v>
      </c>
      <c r="K123" s="15"/>
      <c r="L123" s="22">
        <f>+D123-H123</f>
        <v>-718.59999999994761</v>
      </c>
      <c r="M123" s="15"/>
      <c r="N123" s="20">
        <f>IF(H123=0,0,L123/H123)</f>
        <v>1.9864245325916161E-2</v>
      </c>
      <c r="O123" s="28"/>
      <c r="P123" s="22">
        <f>+P62-P64+P118</f>
        <v>702266.60999999964</v>
      </c>
      <c r="Q123" s="14"/>
      <c r="R123" s="20">
        <f>IF(P$12=0,0,P123/P$12)</f>
        <v>0.26460831798324247</v>
      </c>
      <c r="S123" s="14"/>
      <c r="T123" s="22">
        <f>+T62-T64+T118</f>
        <v>1140197.6099999989</v>
      </c>
      <c r="U123" s="14"/>
      <c r="V123" s="20">
        <f>IF(T$12=0,0,T123/T$12)</f>
        <v>0.23577969646073463</v>
      </c>
      <c r="W123" s="15"/>
      <c r="X123" s="22">
        <f>+P123-T123</f>
        <v>-437930.9999999993</v>
      </c>
      <c r="Y123" s="15"/>
      <c r="Z123" s="20">
        <f>IF(T123=0,0,X123/T123)</f>
        <v>-0.38408342217100394</v>
      </c>
    </row>
    <row r="124" spans="1:26" x14ac:dyDescent="0.25">
      <c r="A124" s="9"/>
      <c r="B124" s="11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4" customFormat="1" x14ac:dyDescent="0.25">
      <c r="A125" s="51"/>
      <c r="B125" s="11" t="s">
        <v>127</v>
      </c>
      <c r="C125" s="11"/>
      <c r="D125" s="4">
        <v>24349.35</v>
      </c>
      <c r="E125" s="4"/>
      <c r="F125" s="13">
        <f>IF(D$12=0,0,D125/D$12)</f>
        <v>1.6238377746093016</v>
      </c>
      <c r="G125" s="4"/>
      <c r="H125" s="4">
        <v>27190.21</v>
      </c>
      <c r="I125" s="4"/>
      <c r="J125" s="13">
        <f>IF(H$12=0,0,H125/H$12)</f>
        <v>1.4694797519792424</v>
      </c>
      <c r="K125" s="4"/>
      <c r="L125" s="4">
        <f>+D125-H125</f>
        <v>-2840.8600000000006</v>
      </c>
      <c r="M125" s="4"/>
      <c r="N125" s="13">
        <f>IF(H125=0,0,L125/H125)</f>
        <v>-0.10448098782613303</v>
      </c>
      <c r="O125" s="11"/>
      <c r="P125" s="4">
        <v>546963.85</v>
      </c>
      <c r="Q125" s="4"/>
      <c r="R125" s="13">
        <f>IF(P$12=0,0,P125/P$12)</f>
        <v>0.20609150753463645</v>
      </c>
      <c r="S125" s="4"/>
      <c r="T125" s="4">
        <v>518174.12</v>
      </c>
      <c r="U125" s="4"/>
      <c r="V125" s="13">
        <f>IF(T$12=0,0,T125/T$12)</f>
        <v>0.10715242310270094</v>
      </c>
      <c r="W125" s="4"/>
      <c r="X125" s="4">
        <f>+P125-T125</f>
        <v>28789.729999999981</v>
      </c>
      <c r="Y125" s="4"/>
      <c r="Z125" s="13">
        <f>IF(T125=0,0,X125/T125)</f>
        <v>5.5559953476642138E-2</v>
      </c>
    </row>
    <row r="126" spans="1:26" x14ac:dyDescent="0.25">
      <c r="A126" s="9"/>
      <c r="B126" s="11"/>
      <c r="C126" s="11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1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4" customFormat="1" ht="15.75" thickBot="1" x14ac:dyDescent="0.3">
      <c r="A127" s="11"/>
      <c r="B127" s="29" t="s">
        <v>125</v>
      </c>
      <c r="C127" s="29"/>
      <c r="D127" s="30">
        <f>+D123-D125</f>
        <v>-61243.500000000007</v>
      </c>
      <c r="E127" s="14"/>
      <c r="F127" s="36">
        <f>IF(D$12=0,0,D127/D$12)</f>
        <v>-4.0842777630320635</v>
      </c>
      <c r="G127" s="14"/>
      <c r="H127" s="30">
        <f>+H123-H125</f>
        <v>-63365.76000000006</v>
      </c>
      <c r="I127" s="14"/>
      <c r="J127" s="36">
        <f>IF(H$12=0,0,H127/H$12)</f>
        <v>-3.4245671985900916</v>
      </c>
      <c r="K127" s="15"/>
      <c r="L127" s="30">
        <f>D127-H127</f>
        <v>2122.260000000053</v>
      </c>
      <c r="M127" s="15"/>
      <c r="N127" s="36">
        <f>IF(H127=0,0,L127/H127)</f>
        <v>-3.3492220404206484E-2</v>
      </c>
      <c r="O127" s="28"/>
      <c r="P127" s="30">
        <f>+P123-P125</f>
        <v>155302.75999999966</v>
      </c>
      <c r="Q127" s="14"/>
      <c r="R127" s="36">
        <f>IF(P$12=0,0,P127/P$12)</f>
        <v>5.8516810448606002E-2</v>
      </c>
      <c r="S127" s="14"/>
      <c r="T127" s="30">
        <f>+T123-T125</f>
        <v>622023.48999999894</v>
      </c>
      <c r="U127" s="14"/>
      <c r="V127" s="36">
        <f>IF(T$12=0,0,T127/T$12)</f>
        <v>0.1286272733580337</v>
      </c>
      <c r="W127" s="15"/>
      <c r="X127" s="30">
        <f>P127-T127</f>
        <v>-466720.72999999928</v>
      </c>
      <c r="Y127" s="15"/>
      <c r="Z127" s="36">
        <f>IF(T127=0,0,X127/T127)</f>
        <v>-0.7503265350959657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4" customFormat="1" ht="15.75" thickBot="1" x14ac:dyDescent="0.3">
      <c r="A130" s="11"/>
      <c r="B130" s="29" t="s">
        <v>293</v>
      </c>
      <c r="C130" s="29"/>
      <c r="D130" s="35">
        <f>SUM(D127:D129)</f>
        <v>-61243.500000000007</v>
      </c>
      <c r="E130" s="14"/>
      <c r="F130" s="34">
        <f>IF(D$12=0,0,D130/D$12)</f>
        <v>-4.0842777630320635</v>
      </c>
      <c r="G130" s="14"/>
      <c r="H130" s="35">
        <f>SUM(H127:H129)</f>
        <v>-63365.76000000006</v>
      </c>
      <c r="I130" s="14"/>
      <c r="J130" s="34">
        <f>IF(H$12=0,0,H130/H$12)</f>
        <v>-3.4245671985900916</v>
      </c>
      <c r="K130" s="15"/>
      <c r="L130" s="35">
        <f>+D130-H130</f>
        <v>2122.260000000053</v>
      </c>
      <c r="M130" s="15"/>
      <c r="N130" s="34">
        <f>IF(H130=0,0,L130/H130)</f>
        <v>-3.3492220404206484E-2</v>
      </c>
      <c r="O130" s="28"/>
      <c r="P130" s="35">
        <f>SUM(P127:P129)</f>
        <v>155302.75999999966</v>
      </c>
      <c r="Q130" s="14"/>
      <c r="R130" s="34">
        <f>IF(P$12=0,0,P130/P$12)</f>
        <v>5.8516810448606002E-2</v>
      </c>
      <c r="S130" s="14"/>
      <c r="T130" s="35">
        <f>SUM(T127:T129)</f>
        <v>622023.48999999894</v>
      </c>
      <c r="U130" s="14"/>
      <c r="V130" s="34">
        <f>IF(T$12=0,0,T130/T$12)</f>
        <v>0.1286272733580337</v>
      </c>
      <c r="W130" s="15"/>
      <c r="X130" s="35">
        <f>+P130-T130</f>
        <v>-466720.72999999928</v>
      </c>
      <c r="Y130" s="15"/>
      <c r="Z130" s="34">
        <f>IF(T130=0,0,X130/T130)</f>
        <v>-0.7503265350959657</v>
      </c>
    </row>
    <row r="131" spans="1:26" ht="15.75" thickTop="1" x14ac:dyDescent="0.25">
      <c r="A131" s="9"/>
      <c r="C131" s="9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25">
      <c r="A132" s="9"/>
      <c r="B132" s="54">
        <v>44295.963176736113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8" t="s">
        <v>56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62"/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","311", " - ", "Textbooks")</f>
        <v>Department 311 - Textbooks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11679.949999999997</v>
      </c>
      <c r="E12" s="4"/>
      <c r="F12" s="13"/>
      <c r="G12" s="4"/>
      <c r="H12" s="4">
        <f>SUM(OSRRefH13x_0)</f>
        <v>14579.810000000001</v>
      </c>
      <c r="I12" s="4"/>
      <c r="J12" s="13"/>
      <c r="K12" s="4"/>
      <c r="L12" s="4">
        <f t="shared" ref="L12:L40" si="0">+D12-H12</f>
        <v>-2899.8600000000042</v>
      </c>
      <c r="M12" s="4"/>
      <c r="N12" s="13">
        <f t="shared" ref="N12:N40" si="1">IF(H12=0,0,L12/H12)</f>
        <v>-0.19889559603314474</v>
      </c>
      <c r="O12" s="11"/>
      <c r="P12" s="4">
        <f>SUM(OSRRefP13x_0)</f>
        <v>1877753.3999999994</v>
      </c>
      <c r="Q12" s="4"/>
      <c r="R12" s="13"/>
      <c r="S12" s="4"/>
      <c r="T12" s="4">
        <f>SUM(OSRRefT13x_0)</f>
        <v>3288304.4299999997</v>
      </c>
      <c r="U12" s="4"/>
      <c r="V12" s="13"/>
      <c r="W12" s="4"/>
      <c r="X12" s="4">
        <f t="shared" ref="X12:X40" si="2">+P12-T12</f>
        <v>-1410551.0300000003</v>
      </c>
      <c r="Y12" s="4"/>
      <c r="Z12" s="13">
        <f t="shared" ref="Z12:Z40" si="3">IF(T12=0,0,X12/T12)</f>
        <v>-0.42895998835484961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-301.5</f>
        <v>-301.5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-301.5</v>
      </c>
      <c r="M13" s="2"/>
      <c r="N13" s="19">
        <f t="shared" si="1"/>
        <v>0</v>
      </c>
      <c r="O13" s="10"/>
      <c r="P13" s="2">
        <f>-8358.81</f>
        <v>-8358.81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-8358.81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--6992.23</f>
        <v>6992.23</v>
      </c>
      <c r="E14" s="2"/>
      <c r="F14" s="19"/>
      <c r="G14" s="2"/>
      <c r="H14" s="2">
        <f>--4855.96</f>
        <v>4855.96</v>
      </c>
      <c r="I14" s="2"/>
      <c r="J14" s="19"/>
      <c r="K14" s="2"/>
      <c r="L14" s="2">
        <f t="shared" si="0"/>
        <v>2136.2699999999995</v>
      </c>
      <c r="M14" s="2"/>
      <c r="N14" s="19">
        <f t="shared" si="1"/>
        <v>0.43992742938574442</v>
      </c>
      <c r="O14" s="10"/>
      <c r="P14" s="2">
        <f>--969010.31</f>
        <v>969010.31</v>
      </c>
      <c r="Q14" s="2"/>
      <c r="R14" s="19"/>
      <c r="S14" s="2"/>
      <c r="T14" s="2">
        <f>--1988621.52</f>
        <v>1988621.52</v>
      </c>
      <c r="U14" s="2"/>
      <c r="V14" s="19"/>
      <c r="W14" s="2"/>
      <c r="X14" s="2">
        <f t="shared" si="2"/>
        <v>-1019611.21</v>
      </c>
      <c r="Y14" s="2"/>
      <c r="Z14" s="19">
        <f t="shared" si="3"/>
        <v>-0.51272260696444638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--1145.4</f>
        <v>1145.4000000000001</v>
      </c>
      <c r="E15" s="2"/>
      <c r="F15" s="19"/>
      <c r="G15" s="2"/>
      <c r="H15" s="2">
        <f>--3266.15</f>
        <v>3266.15</v>
      </c>
      <c r="I15" s="2"/>
      <c r="J15" s="19"/>
      <c r="K15" s="2"/>
      <c r="L15" s="2">
        <f t="shared" si="0"/>
        <v>-2120.75</v>
      </c>
      <c r="M15" s="2"/>
      <c r="N15" s="19">
        <f t="shared" si="1"/>
        <v>-0.6493118809607642</v>
      </c>
      <c r="O15" s="10"/>
      <c r="P15" s="2">
        <f>--350242.37</f>
        <v>350242.37</v>
      </c>
      <c r="Q15" s="2"/>
      <c r="R15" s="19"/>
      <c r="S15" s="2"/>
      <c r="T15" s="2">
        <f>--679343.5</f>
        <v>679343.5</v>
      </c>
      <c r="U15" s="2"/>
      <c r="V15" s="19"/>
      <c r="W15" s="2"/>
      <c r="X15" s="2">
        <f t="shared" si="2"/>
        <v>-329101.13</v>
      </c>
      <c r="Y15" s="2"/>
      <c r="Z15" s="19">
        <f t="shared" si="3"/>
        <v>-0.4844399482735906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--49.99</f>
        <v>49.99</v>
      </c>
      <c r="E16" s="2"/>
      <c r="F16" s="19"/>
      <c r="G16" s="2"/>
      <c r="H16" s="2">
        <f>--78</f>
        <v>78</v>
      </c>
      <c r="I16" s="2"/>
      <c r="J16" s="19"/>
      <c r="K16" s="2"/>
      <c r="L16" s="2">
        <f t="shared" si="0"/>
        <v>-28.009999999999998</v>
      </c>
      <c r="M16" s="2"/>
      <c r="N16" s="19">
        <f t="shared" si="1"/>
        <v>-0.35910256410256408</v>
      </c>
      <c r="O16" s="10"/>
      <c r="P16" s="2">
        <f>--17977.88</f>
        <v>17977.88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-15717.009999999998</v>
      </c>
      <c r="Y16" s="2"/>
      <c r="Z16" s="19">
        <f t="shared" si="3"/>
        <v>-0.46645084759143002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>--253.6</f>
        <v>253.6</v>
      </c>
      <c r="I18" s="2"/>
      <c r="J18" s="19"/>
      <c r="K18" s="2"/>
      <c r="L18" s="2">
        <f t="shared" si="0"/>
        <v>-253.6</v>
      </c>
      <c r="M18" s="2"/>
      <c r="N18" s="19">
        <f t="shared" si="1"/>
        <v>-1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--29.21</f>
        <v>29.21</v>
      </c>
      <c r="E19" s="2"/>
      <c r="F19" s="19"/>
      <c r="G19" s="2"/>
      <c r="H19" s="2">
        <f>--412.75</f>
        <v>412.75</v>
      </c>
      <c r="I19" s="2"/>
      <c r="J19" s="19"/>
      <c r="K19" s="2"/>
      <c r="L19" s="2">
        <f t="shared" si="0"/>
        <v>-383.54</v>
      </c>
      <c r="M19" s="2"/>
      <c r="N19" s="19">
        <f t="shared" si="1"/>
        <v>-0.9292307692307693</v>
      </c>
      <c r="O19" s="10"/>
      <c r="P19" s="2">
        <f>--1202.02</f>
        <v>1202.02</v>
      </c>
      <c r="Q19" s="2"/>
      <c r="R19" s="19"/>
      <c r="S19" s="2"/>
      <c r="T19" s="2">
        <f>--2695</f>
        <v>2695</v>
      </c>
      <c r="U19" s="2"/>
      <c r="V19" s="19"/>
      <c r="W19" s="2"/>
      <c r="X19" s="2">
        <f t="shared" si="2"/>
        <v>-1492.98</v>
      </c>
      <c r="Y19" s="2"/>
      <c r="Z19" s="19">
        <f t="shared" si="3"/>
        <v>-0.5539814471243043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--35.82</f>
        <v>35.82</v>
      </c>
      <c r="E20" s="2"/>
      <c r="F20" s="19"/>
      <c r="G20" s="2"/>
      <c r="H20" s="2">
        <f>--67.24</f>
        <v>67.239999999999995</v>
      </c>
      <c r="I20" s="2"/>
      <c r="J20" s="19"/>
      <c r="K20" s="2"/>
      <c r="L20" s="2">
        <f t="shared" si="0"/>
        <v>-31.419999999999995</v>
      </c>
      <c r="M20" s="2"/>
      <c r="N20" s="19">
        <f t="shared" si="1"/>
        <v>-0.46728138013087445</v>
      </c>
      <c r="O20" s="10"/>
      <c r="P20" s="2">
        <f>--447.7</f>
        <v>447.7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-771.48</v>
      </c>
      <c r="Y20" s="2"/>
      <c r="Z20" s="19">
        <f t="shared" si="3"/>
        <v>-0.63278597089847277</v>
      </c>
    </row>
    <row r="21" spans="1:26" s="23" customFormat="1" hidden="1" outlineLevel="1" x14ac:dyDescent="0.25">
      <c r="A21" s="44"/>
      <c r="B21" s="10" t="str">
        <f>CONCATENATE("          ", "4018", " - ", "TAXABLE SALES-STUDY GUIDES")</f>
        <v xml:space="preserve">          4018 - TAXABLE SALES-STUDY GUIDES</v>
      </c>
      <c r="C21" s="10"/>
      <c r="D21" s="2">
        <f>--67.3</f>
        <v>67.3</v>
      </c>
      <c r="E21" s="2"/>
      <c r="F21" s="19"/>
      <c r="G21" s="2"/>
      <c r="H21" s="2">
        <f>--56.6</f>
        <v>56.6</v>
      </c>
      <c r="I21" s="2"/>
      <c r="J21" s="19"/>
      <c r="K21" s="2"/>
      <c r="L21" s="2">
        <f t="shared" si="0"/>
        <v>10.699999999999996</v>
      </c>
      <c r="M21" s="2"/>
      <c r="N21" s="19">
        <f t="shared" si="1"/>
        <v>0.18904593639575965</v>
      </c>
      <c r="O21" s="10"/>
      <c r="P21" s="2">
        <f>--400.14</f>
        <v>400.14</v>
      </c>
      <c r="Q21" s="2"/>
      <c r="R21" s="19"/>
      <c r="S21" s="2"/>
      <c r="T21" s="2">
        <f>--4154.31</f>
        <v>4154.3100000000004</v>
      </c>
      <c r="U21" s="2"/>
      <c r="V21" s="19"/>
      <c r="W21" s="2"/>
      <c r="X21" s="2">
        <f t="shared" si="2"/>
        <v>-3754.1700000000005</v>
      </c>
      <c r="Y21" s="2"/>
      <c r="Z21" s="19">
        <f t="shared" si="3"/>
        <v>-0.90368075564895256</v>
      </c>
    </row>
    <row r="22" spans="1:26" s="23" customFormat="1" hidden="1" outlineLevel="1" x14ac:dyDescent="0.25">
      <c r="A22" s="44"/>
      <c r="B22" s="10" t="str">
        <f>CONCATENATE("          ", "4101", " - ", "NON-TAXABLE SALES-NEW TEXT")</f>
        <v xml:space="preserve">          4101 - NON-TAXABLE SALES-NEW TEXT</v>
      </c>
      <c r="C22" s="10"/>
      <c r="D22" s="2">
        <f>--1044.17</f>
        <v>1044.17</v>
      </c>
      <c r="E22" s="2"/>
      <c r="F22" s="19"/>
      <c r="G22" s="2"/>
      <c r="H22" s="2">
        <f>--2453.65</f>
        <v>2453.65</v>
      </c>
      <c r="I22" s="2"/>
      <c r="J22" s="19"/>
      <c r="K22" s="2"/>
      <c r="L22" s="2">
        <f t="shared" si="0"/>
        <v>-1409.48</v>
      </c>
      <c r="M22" s="2"/>
      <c r="N22" s="19">
        <f t="shared" si="1"/>
        <v>-0.57444215760193995</v>
      </c>
      <c r="O22" s="10"/>
      <c r="P22" s="2">
        <f>--112055.71</f>
        <v>112055.71</v>
      </c>
      <c r="Q22" s="2"/>
      <c r="R22" s="19"/>
      <c r="S22" s="2"/>
      <c r="T22" s="2">
        <f>--142191.42</f>
        <v>142191.42000000001</v>
      </c>
      <c r="U22" s="2"/>
      <c r="V22" s="19"/>
      <c r="W22" s="2"/>
      <c r="X22" s="2">
        <f t="shared" si="2"/>
        <v>-30135.710000000006</v>
      </c>
      <c r="Y22" s="2"/>
      <c r="Z22" s="19">
        <f t="shared" si="3"/>
        <v>-0.21193761198812139</v>
      </c>
    </row>
    <row r="23" spans="1:26" s="23" customFormat="1" hidden="1" outlineLevel="1" x14ac:dyDescent="0.25">
      <c r="A23" s="44"/>
      <c r="B23" s="10" t="str">
        <f>CONCATENATE("          ", "4102", " - ", "NON-TAXABLE SALES-USED TEXT")</f>
        <v xml:space="preserve">          4102 - NON-TAXABLE SALES-USED TEXT</v>
      </c>
      <c r="C23" s="10"/>
      <c r="D23" s="2">
        <f>--1572.06</f>
        <v>1572.06</v>
      </c>
      <c r="E23" s="2"/>
      <c r="F23" s="19"/>
      <c r="G23" s="2"/>
      <c r="H23" s="2">
        <f>--388.84</f>
        <v>388.84</v>
      </c>
      <c r="I23" s="2"/>
      <c r="J23" s="19"/>
      <c r="K23" s="2"/>
      <c r="L23" s="2">
        <f t="shared" si="0"/>
        <v>1183.22</v>
      </c>
      <c r="M23" s="2"/>
      <c r="N23" s="19">
        <f t="shared" si="1"/>
        <v>3.0429482563522274</v>
      </c>
      <c r="O23" s="10"/>
      <c r="P23" s="2">
        <f>--47959.43</f>
        <v>47959.43</v>
      </c>
      <c r="Q23" s="2"/>
      <c r="R23" s="19"/>
      <c r="S23" s="2"/>
      <c r="T23" s="2">
        <f>--68855.7</f>
        <v>68855.7</v>
      </c>
      <c r="U23" s="2"/>
      <c r="V23" s="19"/>
      <c r="W23" s="2"/>
      <c r="X23" s="2">
        <f t="shared" si="2"/>
        <v>-20896.269999999997</v>
      </c>
      <c r="Y23" s="2"/>
      <c r="Z23" s="19">
        <f t="shared" si="3"/>
        <v>-0.30347916004049041</v>
      </c>
    </row>
    <row r="24" spans="1:26" s="23" customFormat="1" hidden="1" outlineLevel="1" x14ac:dyDescent="0.25">
      <c r="A24" s="44"/>
      <c r="B24" s="10" t="str">
        <f>CONCATENATE("          ", "4103", " - ", "NON-TAXABLE SALES-RENTAL TEXT")</f>
        <v xml:space="preserve">          4103 - NON-TAXABLE SALES-RENTAL TEXT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--1138.95</f>
        <v>1138.95</v>
      </c>
      <c r="Q24" s="2"/>
      <c r="R24" s="19"/>
      <c r="S24" s="2"/>
      <c r="T24" s="2">
        <f>--664.97</f>
        <v>664.97</v>
      </c>
      <c r="U24" s="2"/>
      <c r="V24" s="19"/>
      <c r="W24" s="2"/>
      <c r="X24" s="2">
        <f t="shared" si="2"/>
        <v>473.98</v>
      </c>
      <c r="Y24" s="2"/>
      <c r="Z24" s="19">
        <f t="shared" si="3"/>
        <v>0.71278403537001667</v>
      </c>
    </row>
    <row r="25" spans="1:26" s="23" customFormat="1" hidden="1" outlineLevel="1" x14ac:dyDescent="0.25">
      <c r="A25" s="44"/>
      <c r="B25" s="10" t="str">
        <f>CONCATENATE("          ", "4104", " - ", "NON-TAXABLE SALES-DIGITAL TEXT")</f>
        <v xml:space="preserve">          4104 - NON-TAXABLE SALES-DIGITAL TEXT</v>
      </c>
      <c r="C25" s="10"/>
      <c r="D25" s="2">
        <f>--1097.13</f>
        <v>1097.1300000000001</v>
      </c>
      <c r="E25" s="2"/>
      <c r="F25" s="19"/>
      <c r="G25" s="2"/>
      <c r="H25" s="2">
        <f>--961.31</f>
        <v>961.31</v>
      </c>
      <c r="I25" s="2"/>
      <c r="J25" s="19"/>
      <c r="K25" s="2"/>
      <c r="L25" s="2">
        <f t="shared" si="0"/>
        <v>135.82000000000016</v>
      </c>
      <c r="M25" s="2"/>
      <c r="N25" s="19">
        <f t="shared" si="1"/>
        <v>0.14128636964142699</v>
      </c>
      <c r="O25" s="10"/>
      <c r="P25" s="2">
        <f>--476971.18</f>
        <v>476971.18</v>
      </c>
      <c r="Q25" s="2"/>
      <c r="R25" s="19"/>
      <c r="S25" s="2"/>
      <c r="T25" s="2">
        <f>--524351.65</f>
        <v>524351.65</v>
      </c>
      <c r="U25" s="2"/>
      <c r="V25" s="19"/>
      <c r="W25" s="2"/>
      <c r="X25" s="2">
        <f t="shared" si="2"/>
        <v>-47380.47000000003</v>
      </c>
      <c r="Y25" s="2"/>
      <c r="Z25" s="19">
        <f t="shared" si="3"/>
        <v>-9.0360104712171749E-2</v>
      </c>
    </row>
    <row r="26" spans="1:26" s="23" customFormat="1" hidden="1" outlineLevel="1" x14ac:dyDescent="0.25">
      <c r="A26" s="44"/>
      <c r="B26" s="10" t="str">
        <f>CONCATENATE("          ", "4111", " - ", "NON-TAXABLE SALES-NO VALUE TEX")</f>
        <v xml:space="preserve">          4111 - NON-TAXABLE SALES-NO VALUE TEX</v>
      </c>
      <c r="C26" s="10"/>
      <c r="D26" s="2">
        <f>0</f>
        <v>0</v>
      </c>
      <c r="E26" s="2"/>
      <c r="F26" s="19"/>
      <c r="G26" s="2"/>
      <c r="H26" s="2">
        <f>--369.34</f>
        <v>369.34</v>
      </c>
      <c r="I26" s="2"/>
      <c r="J26" s="19"/>
      <c r="K26" s="2"/>
      <c r="L26" s="2">
        <f t="shared" si="0"/>
        <v>-369.34</v>
      </c>
      <c r="M26" s="2"/>
      <c r="N26" s="19">
        <f t="shared" si="1"/>
        <v>-1</v>
      </c>
      <c r="O26" s="10"/>
      <c r="P26" s="2">
        <f>0</f>
        <v>0</v>
      </c>
      <c r="Q26" s="2"/>
      <c r="R26" s="19"/>
      <c r="S26" s="2"/>
      <c r="T26" s="2">
        <f>--14729.33</f>
        <v>14729.33</v>
      </c>
      <c r="U26" s="2"/>
      <c r="V26" s="19"/>
      <c r="W26" s="2"/>
      <c r="X26" s="2">
        <f t="shared" si="2"/>
        <v>-14729.33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"4113", " - ", "NON-TAXABLE SALES-TRADE BOOKS")</f>
        <v xml:space="preserve">          4113 - NON-TAXABLE SALES-TRADE BOOKS</v>
      </c>
      <c r="C27" s="10"/>
      <c r="D27" s="2">
        <f>--1250</f>
        <v>1250</v>
      </c>
      <c r="E27" s="2"/>
      <c r="F27" s="19"/>
      <c r="G27" s="2"/>
      <c r="H27" s="2">
        <f>--2440</f>
        <v>2440</v>
      </c>
      <c r="I27" s="2"/>
      <c r="J27" s="19"/>
      <c r="K27" s="2"/>
      <c r="L27" s="2">
        <f t="shared" si="0"/>
        <v>-1190</v>
      </c>
      <c r="M27" s="2"/>
      <c r="N27" s="19">
        <f t="shared" si="1"/>
        <v>-0.48770491803278687</v>
      </c>
      <c r="O27" s="10"/>
      <c r="P27" s="2">
        <f>--11389.25</f>
        <v>11389.25</v>
      </c>
      <c r="Q27" s="2"/>
      <c r="R27" s="19"/>
      <c r="S27" s="2"/>
      <c r="T27" s="2">
        <f>--5801.92</f>
        <v>5801.92</v>
      </c>
      <c r="U27" s="2"/>
      <c r="V27" s="19"/>
      <c r="W27" s="2"/>
      <c r="X27" s="2">
        <f t="shared" si="2"/>
        <v>5587.33</v>
      </c>
      <c r="Y27" s="2"/>
      <c r="Z27" s="19">
        <f t="shared" si="3"/>
        <v>0.96301396778997295</v>
      </c>
    </row>
    <row r="28" spans="1:26" s="23" customFormat="1" hidden="1" outlineLevel="1" x14ac:dyDescent="0.25">
      <c r="A28" s="44"/>
      <c r="B28" s="10" t="str">
        <f>CONCATENATE("          ", "4118", " - ", "NON-TAXABLE SALES-STUDY GUIDES")</f>
        <v xml:space="preserve">          4118 - NON-TAXABLE SALES-STUDY GUIDES</v>
      </c>
      <c r="C28" s="10"/>
      <c r="D28" s="2">
        <f>0</f>
        <v>0</v>
      </c>
      <c r="E28" s="2"/>
      <c r="F28" s="19"/>
      <c r="G28" s="2"/>
      <c r="H28" s="2">
        <f>--7.02</f>
        <v>7.02</v>
      </c>
      <c r="I28" s="2"/>
      <c r="J28" s="19"/>
      <c r="K28" s="2"/>
      <c r="L28" s="2">
        <f t="shared" si="0"/>
        <v>-7.02</v>
      </c>
      <c r="M28" s="2"/>
      <c r="N28" s="19">
        <f t="shared" si="1"/>
        <v>-1</v>
      </c>
      <c r="O28" s="10"/>
      <c r="P28" s="2">
        <f>--771.73</f>
        <v>771.73</v>
      </c>
      <c r="Q28" s="2"/>
      <c r="R28" s="19"/>
      <c r="S28" s="2"/>
      <c r="T28" s="2">
        <f>--68.92</f>
        <v>68.92</v>
      </c>
      <c r="U28" s="2"/>
      <c r="V28" s="19"/>
      <c r="W28" s="2"/>
      <c r="X28" s="2">
        <f t="shared" si="2"/>
        <v>702.81000000000006</v>
      </c>
      <c r="Y28" s="2"/>
      <c r="Z28" s="19">
        <f t="shared" si="3"/>
        <v>10.197475333720256</v>
      </c>
    </row>
    <row r="29" spans="1:26" s="23" customFormat="1" hidden="1" outlineLevel="1" x14ac:dyDescent="0.25">
      <c r="A29" s="44"/>
      <c r="B29" s="10" t="str">
        <f>CONCATENATE("          ", "4201", " - ", "SALES RETURN TAXABLE-NEW TEXT")</f>
        <v xml:space="preserve">          4201 - SALES RETURN TAXABLE-NEW TEXT</v>
      </c>
      <c r="C29" s="10"/>
      <c r="D29" s="2">
        <f>-596.94</f>
        <v>-596.94000000000005</v>
      </c>
      <c r="E29" s="2"/>
      <c r="F29" s="19"/>
      <c r="G29" s="2"/>
      <c r="H29" s="2">
        <f>-420.3</f>
        <v>-420.3</v>
      </c>
      <c r="I29" s="2"/>
      <c r="J29" s="19"/>
      <c r="K29" s="2"/>
      <c r="L29" s="2">
        <f t="shared" si="0"/>
        <v>-176.64000000000004</v>
      </c>
      <c r="M29" s="2"/>
      <c r="N29" s="19">
        <f t="shared" si="1"/>
        <v>0.42027123483226275</v>
      </c>
      <c r="O29" s="10"/>
      <c r="P29" s="2">
        <f>-51261.17</f>
        <v>-51261.17</v>
      </c>
      <c r="Q29" s="2"/>
      <c r="R29" s="19"/>
      <c r="S29" s="2"/>
      <c r="T29" s="2">
        <f>-121160.71</f>
        <v>-121160.71</v>
      </c>
      <c r="U29" s="2"/>
      <c r="V29" s="19"/>
      <c r="W29" s="2"/>
      <c r="X29" s="2">
        <f t="shared" si="2"/>
        <v>69899.540000000008</v>
      </c>
      <c r="Y29" s="2"/>
      <c r="Z29" s="19">
        <f t="shared" si="3"/>
        <v>-0.57691589955192579</v>
      </c>
    </row>
    <row r="30" spans="1:26" s="23" customFormat="1" hidden="1" outlineLevel="1" x14ac:dyDescent="0.25">
      <c r="A30" s="44"/>
      <c r="B30" s="10" t="str">
        <f>CONCATENATE("          ", "4202", " - ", "SALES RETURN TAXABLE-USED TEXT")</f>
        <v xml:space="preserve">          4202 - SALES RETURN TAXABLE-USED TEXT</v>
      </c>
      <c r="C30" s="10"/>
      <c r="D30" s="2">
        <f>-153.8</f>
        <v>-153.80000000000001</v>
      </c>
      <c r="E30" s="2"/>
      <c r="F30" s="19"/>
      <c r="G30" s="2"/>
      <c r="H30" s="2">
        <f>-133.45</f>
        <v>-133.44999999999999</v>
      </c>
      <c r="I30" s="2"/>
      <c r="J30" s="19"/>
      <c r="K30" s="2"/>
      <c r="L30" s="2">
        <f t="shared" si="0"/>
        <v>-20.350000000000023</v>
      </c>
      <c r="M30" s="2"/>
      <c r="N30" s="19">
        <f t="shared" si="1"/>
        <v>0.15249156987635837</v>
      </c>
      <c r="O30" s="10"/>
      <c r="P30" s="2">
        <f>-19889.31</f>
        <v>-19889.310000000001</v>
      </c>
      <c r="Q30" s="2"/>
      <c r="R30" s="19"/>
      <c r="S30" s="2"/>
      <c r="T30" s="2">
        <f>-45520.76</f>
        <v>-45520.76</v>
      </c>
      <c r="U30" s="2"/>
      <c r="V30" s="19"/>
      <c r="W30" s="2"/>
      <c r="X30" s="2">
        <f t="shared" si="2"/>
        <v>25631.45</v>
      </c>
      <c r="Y30" s="2"/>
      <c r="Z30" s="19">
        <f t="shared" si="3"/>
        <v>-0.56307166224816985</v>
      </c>
    </row>
    <row r="31" spans="1:26" s="23" customFormat="1" hidden="1" outlineLevel="1" x14ac:dyDescent="0.25">
      <c r="A31" s="44"/>
      <c r="B31" s="10" t="str">
        <f>CONCATENATE("          ", "4203", " - ", "SALES RETURN TAXABLE-RENTAL TE")</f>
        <v xml:space="preserve">          4203 - SALES RETURN TAXABLE-RENTAL TE</v>
      </c>
      <c r="C31" s="10"/>
      <c r="D31" s="2">
        <f t="shared" ref="D31:D34" si="5">0</f>
        <v>0</v>
      </c>
      <c r="E31" s="2"/>
      <c r="F31" s="19"/>
      <c r="G31" s="2"/>
      <c r="H31" s="2">
        <f t="shared" ref="H31:H32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0</f>
        <v>0</v>
      </c>
      <c r="Q31" s="2"/>
      <c r="R31" s="19"/>
      <c r="S31" s="2"/>
      <c r="T31" s="2">
        <f>-144.99</f>
        <v>-144.99</v>
      </c>
      <c r="U31" s="2"/>
      <c r="V31" s="19"/>
      <c r="W31" s="2"/>
      <c r="X31" s="2">
        <f t="shared" si="2"/>
        <v>144.99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"4204", " - ", "SALES RETURN TAXABLE-DIGITAL T")</f>
        <v xml:space="preserve">          4204 - SALES RETURN TAXABLE-DIGITAL T</v>
      </c>
      <c r="C32" s="10"/>
      <c r="D32" s="2">
        <f t="shared" si="5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-1763.1</f>
        <v>-1763.1</v>
      </c>
      <c r="Q32" s="2"/>
      <c r="R32" s="19"/>
      <c r="S32" s="2"/>
      <c r="T32" s="2">
        <f>-17255.33</f>
        <v>-17255.330000000002</v>
      </c>
      <c r="U32" s="2"/>
      <c r="V32" s="19"/>
      <c r="W32" s="2"/>
      <c r="X32" s="2">
        <f t="shared" si="2"/>
        <v>15492.230000000001</v>
      </c>
      <c r="Y32" s="2"/>
      <c r="Z32" s="19">
        <f t="shared" si="3"/>
        <v>-0.89782287559843832</v>
      </c>
    </row>
    <row r="33" spans="1:26" s="23" customFormat="1" hidden="1" outlineLevel="1" x14ac:dyDescent="0.25">
      <c r="A33" s="44"/>
      <c r="B33" s="10" t="str">
        <f>CONCATENATE("          ", "4213", " - ", "NON-TAXABLE SALES-TRADE BOOKS")</f>
        <v xml:space="preserve">          4213 - NON-TAXABLE SALES-TRADE BOOKS</v>
      </c>
      <c r="C33" s="10"/>
      <c r="D33" s="2">
        <f t="shared" si="5"/>
        <v>0</v>
      </c>
      <c r="E33" s="2"/>
      <c r="F33" s="19"/>
      <c r="G33" s="2"/>
      <c r="H33" s="2">
        <f>-374.85</f>
        <v>-374.85</v>
      </c>
      <c r="I33" s="2"/>
      <c r="J33" s="19"/>
      <c r="K33" s="2"/>
      <c r="L33" s="2">
        <f t="shared" si="0"/>
        <v>374.85</v>
      </c>
      <c r="M33" s="2"/>
      <c r="N33" s="19">
        <f t="shared" si="1"/>
        <v>-1</v>
      </c>
      <c r="O33" s="10"/>
      <c r="P33" s="2">
        <f>-69.93</f>
        <v>-69.930000000000007</v>
      </c>
      <c r="Q33" s="2"/>
      <c r="R33" s="19"/>
      <c r="S33" s="2"/>
      <c r="T33" s="2">
        <f>-594.91</f>
        <v>-594.91</v>
      </c>
      <c r="U33" s="2"/>
      <c r="V33" s="19"/>
      <c r="W33" s="2"/>
      <c r="X33" s="2">
        <f t="shared" si="2"/>
        <v>524.98</v>
      </c>
      <c r="Y33" s="2"/>
      <c r="Z33" s="19">
        <f t="shared" si="3"/>
        <v>-0.88245280798776293</v>
      </c>
    </row>
    <row r="34" spans="1:26" s="23" customFormat="1" hidden="1" outlineLevel="1" x14ac:dyDescent="0.25">
      <c r="A34" s="44"/>
      <c r="B34" s="10" t="str">
        <f>CONCATENATE("          ", "4214", " - ", "SALES RETURN TAXABLE-REMAINDER")</f>
        <v xml:space="preserve">          4214 - SALES RETURN TAXABLE-REMAINDER</v>
      </c>
      <c r="C34" s="10"/>
      <c r="D34" s="2">
        <f t="shared" si="5"/>
        <v>0</v>
      </c>
      <c r="E34" s="2"/>
      <c r="F34" s="19"/>
      <c r="G34" s="2"/>
      <c r="H34" s="2">
        <f t="shared" ref="H34:H38" si="7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0</f>
        <v>0</v>
      </c>
      <c r="Q34" s="2"/>
      <c r="R34" s="19"/>
      <c r="S34" s="2"/>
      <c r="T34" s="2">
        <f>-11.94</f>
        <v>-11.94</v>
      </c>
      <c r="U34" s="2"/>
      <c r="V34" s="19"/>
      <c r="W34" s="2"/>
      <c r="X34" s="2">
        <f t="shared" si="2"/>
        <v>11.94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"4218", " - ", "SALES RETURN TAXABLE-STUDY GUI")</f>
        <v xml:space="preserve">          4218 - SALES RETURN TAXABLE-STUDY GUI</v>
      </c>
      <c r="C35" s="10"/>
      <c r="D35" s="2">
        <f>-5.21</f>
        <v>-5.21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-5.21</v>
      </c>
      <c r="M35" s="2"/>
      <c r="N35" s="19">
        <f t="shared" si="1"/>
        <v>0</v>
      </c>
      <c r="O35" s="10"/>
      <c r="P35" s="2">
        <f>-5.21</f>
        <v>-5.21</v>
      </c>
      <c r="Q35" s="2"/>
      <c r="R35" s="19"/>
      <c r="S35" s="2"/>
      <c r="T35" s="2">
        <f>-39.25</f>
        <v>-39.25</v>
      </c>
      <c r="U35" s="2"/>
      <c r="V35" s="19"/>
      <c r="W35" s="2"/>
      <c r="X35" s="2">
        <f t="shared" si="2"/>
        <v>34.04</v>
      </c>
      <c r="Y35" s="2"/>
      <c r="Z35" s="19">
        <f t="shared" si="3"/>
        <v>-0.86726114649681529</v>
      </c>
    </row>
    <row r="36" spans="1:26" s="23" customFormat="1" hidden="1" outlineLevel="1" x14ac:dyDescent="0.25">
      <c r="A36" s="44"/>
      <c r="B36" s="10" t="str">
        <f>CONCATENATE("          ", "4301", " - ", "SALES RETURN NON TAXABLE-NEW T")</f>
        <v xml:space="preserve">          4301 - SALES RETURN NON TAXABLE-NEW T</v>
      </c>
      <c r="C36" s="10"/>
      <c r="D36" s="2">
        <f>0</f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>-3237.29</f>
        <v>-3237.29</v>
      </c>
      <c r="Q36" s="2"/>
      <c r="R36" s="19"/>
      <c r="S36" s="2"/>
      <c r="T36" s="2">
        <f>-15221.62</f>
        <v>-15221.62</v>
      </c>
      <c r="U36" s="2"/>
      <c r="V36" s="19"/>
      <c r="W36" s="2"/>
      <c r="X36" s="2">
        <f t="shared" si="2"/>
        <v>11984.330000000002</v>
      </c>
      <c r="Y36" s="2"/>
      <c r="Z36" s="19">
        <f t="shared" si="3"/>
        <v>-0.78732289992786586</v>
      </c>
    </row>
    <row r="37" spans="1:26" s="23" customFormat="1" hidden="1" outlineLevel="1" x14ac:dyDescent="0.25">
      <c r="A37" s="44"/>
      <c r="B37" s="10" t="str">
        <f>CONCATENATE("          ", "4302", " - ", "SALES RETURN NON TAXABLE-TEXT")</f>
        <v xml:space="preserve">          4302 - SALES RETURN NON TAXABLE-TEXT</v>
      </c>
      <c r="C37" s="10"/>
      <c r="D37" s="2">
        <f>-270.87</f>
        <v>-270.87</v>
      </c>
      <c r="E37" s="2"/>
      <c r="F37" s="19"/>
      <c r="G37" s="2"/>
      <c r="H37" s="2">
        <f t="shared" si="7"/>
        <v>0</v>
      </c>
      <c r="I37" s="2"/>
      <c r="J37" s="19"/>
      <c r="K37" s="2"/>
      <c r="L37" s="2">
        <f t="shared" si="0"/>
        <v>-270.87</v>
      </c>
      <c r="M37" s="2"/>
      <c r="N37" s="19">
        <f t="shared" si="1"/>
        <v>0</v>
      </c>
      <c r="O37" s="10"/>
      <c r="P37" s="2">
        <f>-2344.35</f>
        <v>-2344.35</v>
      </c>
      <c r="Q37" s="2"/>
      <c r="R37" s="19"/>
      <c r="S37" s="2"/>
      <c r="T37" s="2">
        <f>-1312.37</f>
        <v>-1312.37</v>
      </c>
      <c r="U37" s="2"/>
      <c r="V37" s="19"/>
      <c r="W37" s="2"/>
      <c r="X37" s="2">
        <f t="shared" si="2"/>
        <v>-1031.98</v>
      </c>
      <c r="Y37" s="2"/>
      <c r="Z37" s="19">
        <f t="shared" si="3"/>
        <v>0.78634836212348658</v>
      </c>
    </row>
    <row r="38" spans="1:26" s="23" customFormat="1" hidden="1" outlineLevel="1" x14ac:dyDescent="0.25">
      <c r="A38" s="44"/>
      <c r="B38" s="10" t="str">
        <f>CONCATENATE("          ", "4303", " - ", "SALES RETURN NON-TAXABLE-RENTA")</f>
        <v xml:space="preserve">          4303 - SALES RETURN NON-TAXABLE-RENTA</v>
      </c>
      <c r="C38" s="10"/>
      <c r="D38" s="2">
        <f>0</f>
        <v>0</v>
      </c>
      <c r="E38" s="2"/>
      <c r="F38" s="19"/>
      <c r="G38" s="2"/>
      <c r="H38" s="2">
        <f t="shared" si="7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>0</f>
        <v>0</v>
      </c>
      <c r="Q38" s="2"/>
      <c r="R38" s="19"/>
      <c r="S38" s="2"/>
      <c r="T38" s="2">
        <f>-184.99</f>
        <v>-184.99</v>
      </c>
      <c r="U38" s="2"/>
      <c r="V38" s="19"/>
      <c r="W38" s="2"/>
      <c r="X38" s="2">
        <f t="shared" si="2"/>
        <v>184.99</v>
      </c>
      <c r="Y38" s="2"/>
      <c r="Z38" s="19">
        <f t="shared" si="3"/>
        <v>-1</v>
      </c>
    </row>
    <row r="39" spans="1:26" s="23" customFormat="1" hidden="1" outlineLevel="1" x14ac:dyDescent="0.25">
      <c r="A39" s="44"/>
      <c r="B39" s="10" t="str">
        <f>CONCATENATE("          ", "4304", " - ", "SALES RETURN NON TAXABLE-DIGIT")</f>
        <v xml:space="preserve">          4304 - SALES RETURN NON TAXABLE-DIGIT</v>
      </c>
      <c r="C39" s="10"/>
      <c r="D39" s="2">
        <f>-275.04</f>
        <v>-275.04000000000002</v>
      </c>
      <c r="E39" s="2"/>
      <c r="F39" s="19"/>
      <c r="G39" s="2"/>
      <c r="H39" s="2">
        <f>-44.15</f>
        <v>-44.15</v>
      </c>
      <c r="I39" s="2"/>
      <c r="J39" s="19"/>
      <c r="K39" s="2"/>
      <c r="L39" s="2">
        <f t="shared" si="0"/>
        <v>-230.89000000000001</v>
      </c>
      <c r="M39" s="2"/>
      <c r="N39" s="19">
        <f t="shared" si="1"/>
        <v>5.2296715741789361</v>
      </c>
      <c r="O39" s="10"/>
      <c r="P39" s="2">
        <f>-27543.76</f>
        <v>-27543.759999999998</v>
      </c>
      <c r="Q39" s="2"/>
      <c r="R39" s="19"/>
      <c r="S39" s="2"/>
      <c r="T39" s="2">
        <f>-19036.13</f>
        <v>-19036.13</v>
      </c>
      <c r="U39" s="2"/>
      <c r="V39" s="19"/>
      <c r="W39" s="2"/>
      <c r="X39" s="2">
        <f t="shared" si="2"/>
        <v>-8507.6299999999974</v>
      </c>
      <c r="Y39" s="2"/>
      <c r="Z39" s="19">
        <f t="shared" si="3"/>
        <v>0.44692014605909902</v>
      </c>
    </row>
    <row r="40" spans="1:26" s="23" customFormat="1" hidden="1" outlineLevel="1" x14ac:dyDescent="0.25">
      <c r="A40" s="44"/>
      <c r="B40" s="10" t="str">
        <f>CONCATENATE("          ", "4311", " - ", "SALES RETURN NON TAXABLE-NO VA")</f>
        <v xml:space="preserve">          4311 - SALES RETURN NON TAXABLE-NO VA</v>
      </c>
      <c r="C40" s="10"/>
      <c r="D40" s="2">
        <f>0</f>
        <v>0</v>
      </c>
      <c r="E40" s="2"/>
      <c r="F40" s="19"/>
      <c r="G40" s="2"/>
      <c r="H40" s="2">
        <f>-57.9</f>
        <v>-57.9</v>
      </c>
      <c r="I40" s="2"/>
      <c r="J40" s="19"/>
      <c r="K40" s="2"/>
      <c r="L40" s="2">
        <f t="shared" si="0"/>
        <v>57.9</v>
      </c>
      <c r="M40" s="2"/>
      <c r="N40" s="19">
        <f t="shared" si="1"/>
        <v>-1</v>
      </c>
      <c r="O40" s="10"/>
      <c r="P40" s="2">
        <f>0</f>
        <v>0</v>
      </c>
      <c r="Q40" s="2"/>
      <c r="R40" s="19"/>
      <c r="S40" s="2"/>
      <c r="T40" s="2">
        <f>-852.66</f>
        <v>-852.66</v>
      </c>
      <c r="U40" s="2"/>
      <c r="V40" s="19"/>
      <c r="W40" s="2"/>
      <c r="X40" s="2">
        <f t="shared" si="2"/>
        <v>852.66</v>
      </c>
      <c r="Y40" s="2"/>
      <c r="Z40" s="19">
        <f t="shared" si="3"/>
        <v>-1</v>
      </c>
    </row>
    <row r="41" spans="1:26" x14ac:dyDescent="0.25">
      <c r="A41" s="9"/>
      <c r="B41" s="11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4" customFormat="1" collapsed="1" x14ac:dyDescent="0.25">
      <c r="A42" s="11"/>
      <c r="B42" s="28" t="s">
        <v>256</v>
      </c>
      <c r="C42" s="11"/>
      <c r="D42" s="4">
        <f>SUM(OSRRefD16x_0)</f>
        <v>8920.0000000000182</v>
      </c>
      <c r="E42" s="4"/>
      <c r="F42" s="13">
        <f t="shared" ref="F42:F59" si="8">IF(D$12=0,0,D42/D$12)</f>
        <v>0.76370189940881772</v>
      </c>
      <c r="G42" s="4"/>
      <c r="H42" s="4">
        <f>SUM(OSRRefH16x_0)</f>
        <v>9891.8800000000319</v>
      </c>
      <c r="I42" s="4"/>
      <c r="J42" s="13">
        <f t="shared" ref="J42:J59" si="9">IF(H$12=0,0,H42/H$12)</f>
        <v>0.67846425982231806</v>
      </c>
      <c r="K42" s="4"/>
      <c r="L42" s="4">
        <f t="shared" ref="L42:L59" si="10">+D42-H42</f>
        <v>-971.88000000001375</v>
      </c>
      <c r="M42" s="4"/>
      <c r="N42" s="13">
        <f t="shared" ref="N42:N59" si="11">IF(H42=0,0,L42/H42)</f>
        <v>-9.8250282049520479E-2</v>
      </c>
      <c r="O42" s="11"/>
      <c r="P42" s="4">
        <f>SUM(OSRRefP16x_0)</f>
        <v>1330328</v>
      </c>
      <c r="Q42" s="4"/>
      <c r="R42" s="13">
        <f t="shared" ref="R42:R59" si="12">IF(P$12=0,0,P42/P$12)</f>
        <v>0.70846789573114366</v>
      </c>
      <c r="S42" s="4"/>
      <c r="T42" s="4">
        <f>SUM(OSRRefT16x_0)</f>
        <v>2314246.1800000002</v>
      </c>
      <c r="U42" s="4"/>
      <c r="V42" s="13">
        <f t="shared" ref="V42:V59" si="13">IF(T$12=0,0,T42/T$12)</f>
        <v>0.70378099998484644</v>
      </c>
      <c r="W42" s="4"/>
      <c r="X42" s="4">
        <f t="shared" ref="X42:X59" si="14">+P42-T42</f>
        <v>-983918.18000000017</v>
      </c>
      <c r="Y42" s="4"/>
      <c r="Z42" s="13">
        <f t="shared" ref="Z42:Z59" si="15">IF(T42=0,0,X42/T42)</f>
        <v>-0.42515709370210569</v>
      </c>
    </row>
    <row r="43" spans="1:26" s="23" customFormat="1" hidden="1" outlineLevel="1" x14ac:dyDescent="0.25">
      <c r="A43" s="44"/>
      <c r="B43" s="10" t="str">
        <f>CONCATENATE("          ", "5000", " - ", "PURCHASES @ COST")</f>
        <v xml:space="preserve">          5000 - PURCHASES @ COST</v>
      </c>
      <c r="C43" s="10"/>
      <c r="D43" s="2">
        <v>0</v>
      </c>
      <c r="E43" s="2"/>
      <c r="F43" s="19">
        <f t="shared" si="8"/>
        <v>0</v>
      </c>
      <c r="G43" s="2"/>
      <c r="H43" s="2"/>
      <c r="I43" s="2"/>
      <c r="J43" s="19">
        <f t="shared" si="9"/>
        <v>0</v>
      </c>
      <c r="K43" s="2"/>
      <c r="L43" s="2">
        <f t="shared" si="10"/>
        <v>0</v>
      </c>
      <c r="M43" s="2"/>
      <c r="N43" s="19">
        <f t="shared" si="11"/>
        <v>0</v>
      </c>
      <c r="O43" s="10"/>
      <c r="P43" s="2">
        <v>0</v>
      </c>
      <c r="Q43" s="2"/>
      <c r="R43" s="19">
        <f t="shared" si="12"/>
        <v>0</v>
      </c>
      <c r="S43" s="2"/>
      <c r="T43" s="2">
        <v>0</v>
      </c>
      <c r="U43" s="2"/>
      <c r="V43" s="19">
        <f t="shared" si="13"/>
        <v>0</v>
      </c>
      <c r="W43" s="2"/>
      <c r="X43" s="2">
        <f t="shared" si="14"/>
        <v>0</v>
      </c>
      <c r="Y43" s="2"/>
      <c r="Z43" s="19">
        <f t="shared" si="15"/>
        <v>0</v>
      </c>
    </row>
    <row r="44" spans="1:26" s="23" customFormat="1" hidden="1" outlineLevel="1" x14ac:dyDescent="0.25">
      <c r="A44" s="44"/>
      <c r="B44" s="10" t="str">
        <f>CONCATENATE("          ", "5001", " - ", "PURCHASES @ COST-NEW TEXT")</f>
        <v xml:space="preserve">          5001 - PURCHASES @ COST-NEW TEXT</v>
      </c>
      <c r="C44" s="10"/>
      <c r="D44" s="2">
        <v>-291124.47999999998</v>
      </c>
      <c r="E44" s="2"/>
      <c r="F44" s="19">
        <f t="shared" si="8"/>
        <v>-24.925147796009405</v>
      </c>
      <c r="G44" s="2"/>
      <c r="H44" s="2">
        <v>-923386.3</v>
      </c>
      <c r="I44" s="2"/>
      <c r="J44" s="19">
        <f t="shared" si="9"/>
        <v>-63.333219020000946</v>
      </c>
      <c r="K44" s="2"/>
      <c r="L44" s="2">
        <f t="shared" si="10"/>
        <v>632261.82000000007</v>
      </c>
      <c r="M44" s="2"/>
      <c r="N44" s="19">
        <f t="shared" si="11"/>
        <v>-0.68472081511280813</v>
      </c>
      <c r="O44" s="10"/>
      <c r="P44" s="2">
        <v>735086.26</v>
      </c>
      <c r="Q44" s="2"/>
      <c r="R44" s="19">
        <f t="shared" si="12"/>
        <v>0.39147113779690146</v>
      </c>
      <c r="S44" s="2"/>
      <c r="T44" s="2">
        <v>1117443.2</v>
      </c>
      <c r="U44" s="2"/>
      <c r="V44" s="19">
        <f t="shared" si="13"/>
        <v>0.33982352418629319</v>
      </c>
      <c r="W44" s="2"/>
      <c r="X44" s="2">
        <f t="shared" si="14"/>
        <v>-382356.93999999994</v>
      </c>
      <c r="Y44" s="2"/>
      <c r="Z44" s="19">
        <f t="shared" si="15"/>
        <v>-0.34217125308919499</v>
      </c>
    </row>
    <row r="45" spans="1:26" s="23" customFormat="1" hidden="1" outlineLevel="1" x14ac:dyDescent="0.25">
      <c r="A45" s="44"/>
      <c r="B45" s="10" t="str">
        <f>CONCATENATE("          ", "5002", " - ", "PURCHASES @ COST-USED TEXT")</f>
        <v xml:space="preserve">          5002 - PURCHASES @ COST-USED TEXT</v>
      </c>
      <c r="C45" s="10"/>
      <c r="D45" s="2">
        <v>14130.32</v>
      </c>
      <c r="E45" s="2"/>
      <c r="F45" s="19">
        <f t="shared" si="8"/>
        <v>1.2097928501406259</v>
      </c>
      <c r="G45" s="2"/>
      <c r="H45" s="2">
        <v>72685.539999999994</v>
      </c>
      <c r="I45" s="2"/>
      <c r="J45" s="19">
        <f t="shared" si="9"/>
        <v>4.9853557762412537</v>
      </c>
      <c r="K45" s="2"/>
      <c r="L45" s="2">
        <f t="shared" si="10"/>
        <v>-58555.219999999994</v>
      </c>
      <c r="M45" s="2"/>
      <c r="N45" s="19">
        <f t="shared" si="11"/>
        <v>-0.80559654643825995</v>
      </c>
      <c r="O45" s="10"/>
      <c r="P45" s="2">
        <v>154560.09</v>
      </c>
      <c r="Q45" s="2"/>
      <c r="R45" s="19">
        <f t="shared" si="12"/>
        <v>8.2311175684730509E-2</v>
      </c>
      <c r="S45" s="2"/>
      <c r="T45" s="2">
        <v>-74215.009999999995</v>
      </c>
      <c r="U45" s="2"/>
      <c r="V45" s="19">
        <f t="shared" si="13"/>
        <v>-2.2569385402068751E-2</v>
      </c>
      <c r="W45" s="2"/>
      <c r="X45" s="2">
        <f t="shared" si="14"/>
        <v>228775.09999999998</v>
      </c>
      <c r="Y45" s="2"/>
      <c r="Z45" s="19">
        <f t="shared" si="15"/>
        <v>-3.0825987896518505</v>
      </c>
    </row>
    <row r="46" spans="1:26" s="23" customFormat="1" hidden="1" outlineLevel="1" x14ac:dyDescent="0.25">
      <c r="A46" s="44"/>
      <c r="B46" s="10" t="str">
        <f>CONCATENATE("          ", "5003", " - ", "PURCHASES @ COST-RENTAL TEXT")</f>
        <v xml:space="preserve">          5003 - PURCHASES @ COST-RENTAL TEXT</v>
      </c>
      <c r="C46" s="10"/>
      <c r="D46" s="2"/>
      <c r="E46" s="2"/>
      <c r="F46" s="19">
        <f t="shared" si="8"/>
        <v>0</v>
      </c>
      <c r="G46" s="2"/>
      <c r="H46" s="2"/>
      <c r="I46" s="2"/>
      <c r="J46" s="19">
        <f t="shared" si="9"/>
        <v>0</v>
      </c>
      <c r="K46" s="2"/>
      <c r="L46" s="2">
        <f t="shared" si="10"/>
        <v>0</v>
      </c>
      <c r="M46" s="2"/>
      <c r="N46" s="19">
        <f t="shared" si="11"/>
        <v>0</v>
      </c>
      <c r="O46" s="10"/>
      <c r="P46" s="2">
        <v>32.520000000000003</v>
      </c>
      <c r="Q46" s="2"/>
      <c r="R46" s="19">
        <f t="shared" si="12"/>
        <v>1.7318568029220458E-5</v>
      </c>
      <c r="S46" s="2"/>
      <c r="T46" s="2">
        <v>-78.400000000000006</v>
      </c>
      <c r="U46" s="2"/>
      <c r="V46" s="19">
        <f t="shared" si="13"/>
        <v>-2.3842074743669648E-5</v>
      </c>
      <c r="W46" s="2"/>
      <c r="X46" s="2">
        <f t="shared" si="14"/>
        <v>110.92000000000002</v>
      </c>
      <c r="Y46" s="2"/>
      <c r="Z46" s="19">
        <f t="shared" si="15"/>
        <v>-1.4147959183673471</v>
      </c>
    </row>
    <row r="47" spans="1:26" s="23" customFormat="1" hidden="1" outlineLevel="1" x14ac:dyDescent="0.25">
      <c r="A47" s="44"/>
      <c r="B47" s="10" t="str">
        <f>CONCATENATE("          ", "5004", " - ", "PURCHASES @ COST-DIGITAL TEXT")</f>
        <v xml:space="preserve">          5004 - PURCHASES @ COST-DIGITAL TEXT</v>
      </c>
      <c r="C47" s="10"/>
      <c r="D47" s="2">
        <v>-13446.08</v>
      </c>
      <c r="E47" s="2"/>
      <c r="F47" s="19">
        <f t="shared" si="8"/>
        <v>-1.1512104075787999</v>
      </c>
      <c r="G47" s="2"/>
      <c r="H47" s="2">
        <v>-96834.95</v>
      </c>
      <c r="I47" s="2"/>
      <c r="J47" s="19">
        <f t="shared" si="9"/>
        <v>-6.6417154956065945</v>
      </c>
      <c r="K47" s="2"/>
      <c r="L47" s="2">
        <f t="shared" si="10"/>
        <v>83388.87</v>
      </c>
      <c r="M47" s="2"/>
      <c r="N47" s="19">
        <f t="shared" si="11"/>
        <v>-0.8611443492251506</v>
      </c>
      <c r="O47" s="10"/>
      <c r="P47" s="2">
        <v>206562.5</v>
      </c>
      <c r="Q47" s="2"/>
      <c r="R47" s="19">
        <f t="shared" si="12"/>
        <v>0.11000512633874078</v>
      </c>
      <c r="S47" s="2"/>
      <c r="T47" s="2">
        <v>438322.88</v>
      </c>
      <c r="U47" s="2"/>
      <c r="V47" s="19">
        <f t="shared" si="13"/>
        <v>0.13329753656658852</v>
      </c>
      <c r="W47" s="2"/>
      <c r="X47" s="2">
        <f t="shared" si="14"/>
        <v>-231760.38</v>
      </c>
      <c r="Y47" s="2"/>
      <c r="Z47" s="19">
        <f t="shared" si="15"/>
        <v>-0.52874351437004607</v>
      </c>
    </row>
    <row r="48" spans="1:26" s="23" customFormat="1" hidden="1" outlineLevel="1" x14ac:dyDescent="0.25">
      <c r="A48" s="44"/>
      <c r="B48" s="10" t="str">
        <f>CONCATENATE("          ", "5011", " - ", "PURCHASES @ COST-NO VALUE TEXT")</f>
        <v xml:space="preserve">          5011 - PURCHASES @ COST-NO VALUE TEXT</v>
      </c>
      <c r="C48" s="10"/>
      <c r="D48" s="2"/>
      <c r="E48" s="2"/>
      <c r="F48" s="19">
        <f t="shared" si="8"/>
        <v>0</v>
      </c>
      <c r="G48" s="2"/>
      <c r="H48" s="2">
        <v>588</v>
      </c>
      <c r="I48" s="2"/>
      <c r="J48" s="19">
        <f t="shared" si="9"/>
        <v>4.0329743666069721E-2</v>
      </c>
      <c r="K48" s="2"/>
      <c r="L48" s="2">
        <f t="shared" si="10"/>
        <v>-588</v>
      </c>
      <c r="M48" s="2"/>
      <c r="N48" s="19">
        <f t="shared" si="11"/>
        <v>-1</v>
      </c>
      <c r="O48" s="10"/>
      <c r="P48" s="2">
        <v>67.17</v>
      </c>
      <c r="Q48" s="2"/>
      <c r="R48" s="19">
        <f t="shared" si="12"/>
        <v>3.5771470311277309E-5</v>
      </c>
      <c r="S48" s="2"/>
      <c r="T48" s="2">
        <v>6321</v>
      </c>
      <c r="U48" s="2"/>
      <c r="V48" s="19">
        <f t="shared" si="13"/>
        <v>1.9222672762083651E-3</v>
      </c>
      <c r="W48" s="2"/>
      <c r="X48" s="2">
        <f t="shared" si="14"/>
        <v>-6253.83</v>
      </c>
      <c r="Y48" s="2"/>
      <c r="Z48" s="19">
        <f t="shared" si="15"/>
        <v>-0.98937351684859987</v>
      </c>
    </row>
    <row r="49" spans="1:26" s="23" customFormat="1" hidden="1" outlineLevel="1" x14ac:dyDescent="0.25">
      <c r="A49" s="44"/>
      <c r="B49" s="10" t="str">
        <f>CONCATENATE("          ", "5013", " - ", "PURCHASES @ COST-TRADE BOOKS")</f>
        <v xml:space="preserve">          5013 - PURCHASES @ COST-TRADE BOOKS</v>
      </c>
      <c r="C49" s="10"/>
      <c r="D49" s="2">
        <v>2907.93</v>
      </c>
      <c r="E49" s="2"/>
      <c r="F49" s="19">
        <f t="shared" si="8"/>
        <v>0.24896767537532272</v>
      </c>
      <c r="G49" s="2"/>
      <c r="H49" s="2">
        <v>3297.82</v>
      </c>
      <c r="I49" s="2"/>
      <c r="J49" s="19">
        <f t="shared" si="9"/>
        <v>0.22619087628713955</v>
      </c>
      <c r="K49" s="2"/>
      <c r="L49" s="2">
        <f t="shared" si="10"/>
        <v>-389.89000000000033</v>
      </c>
      <c r="M49" s="2"/>
      <c r="N49" s="19">
        <f t="shared" si="11"/>
        <v>-0.11822658604775285</v>
      </c>
      <c r="O49" s="10"/>
      <c r="P49" s="2">
        <v>8870.02</v>
      </c>
      <c r="Q49" s="2"/>
      <c r="R49" s="19">
        <f t="shared" si="12"/>
        <v>4.723740614715438E-3</v>
      </c>
      <c r="S49" s="2"/>
      <c r="T49" s="2">
        <v>6348.54</v>
      </c>
      <c r="U49" s="2"/>
      <c r="V49" s="19">
        <f t="shared" si="13"/>
        <v>1.9306424131782715E-3</v>
      </c>
      <c r="W49" s="2"/>
      <c r="X49" s="2">
        <f t="shared" si="14"/>
        <v>2521.4800000000005</v>
      </c>
      <c r="Y49" s="2"/>
      <c r="Z49" s="19">
        <f t="shared" si="15"/>
        <v>0.39717478349352775</v>
      </c>
    </row>
    <row r="50" spans="1:26" s="23" customFormat="1" hidden="1" outlineLevel="1" x14ac:dyDescent="0.25">
      <c r="A50" s="44"/>
      <c r="B50" s="10" t="str">
        <f>CONCATENATE("          ", "5014", " - ", "PURCHASES @ COST-REMAINDERS")</f>
        <v xml:space="preserve">          5014 - PURCHASES @ COST-REMAINDERS</v>
      </c>
      <c r="C50" s="10"/>
      <c r="D50" s="2"/>
      <c r="E50" s="2"/>
      <c r="F50" s="19">
        <f t="shared" si="8"/>
        <v>0</v>
      </c>
      <c r="G50" s="2"/>
      <c r="H50" s="2">
        <v>13.9</v>
      </c>
      <c r="I50" s="2"/>
      <c r="J50" s="19">
        <f t="shared" si="9"/>
        <v>9.5337319210606986E-4</v>
      </c>
      <c r="K50" s="2"/>
      <c r="L50" s="2">
        <f t="shared" si="10"/>
        <v>-13.9</v>
      </c>
      <c r="M50" s="2"/>
      <c r="N50" s="19">
        <f t="shared" si="11"/>
        <v>-1</v>
      </c>
      <c r="O50" s="10"/>
      <c r="P50" s="2">
        <v>111.57</v>
      </c>
      <c r="Q50" s="2"/>
      <c r="R50" s="19">
        <f t="shared" si="12"/>
        <v>5.9416747694345824E-5</v>
      </c>
      <c r="S50" s="2"/>
      <c r="T50" s="2">
        <v>600.61</v>
      </c>
      <c r="U50" s="2"/>
      <c r="V50" s="19">
        <f t="shared" si="13"/>
        <v>1.8265036367086002E-4</v>
      </c>
      <c r="W50" s="2"/>
      <c r="X50" s="2">
        <f t="shared" si="14"/>
        <v>-489.04</v>
      </c>
      <c r="Y50" s="2"/>
      <c r="Z50" s="19">
        <f t="shared" si="15"/>
        <v>-0.81423885716188549</v>
      </c>
    </row>
    <row r="51" spans="1:26" s="23" customFormat="1" hidden="1" outlineLevel="1" x14ac:dyDescent="0.25">
      <c r="A51" s="44"/>
      <c r="B51" s="10" t="str">
        <f>CONCATENATE("          ", "5018", " - ", "PURCHASES @ COST-STUDY GUIDES")</f>
        <v xml:space="preserve">          5018 - PURCHASES @ COST-STUDY GUIDES</v>
      </c>
      <c r="C51" s="10"/>
      <c r="D51" s="2">
        <v>444.87</v>
      </c>
      <c r="E51" s="2"/>
      <c r="F51" s="19">
        <f t="shared" si="8"/>
        <v>3.8088347980941711E-2</v>
      </c>
      <c r="G51" s="2"/>
      <c r="H51" s="2">
        <v>108.9</v>
      </c>
      <c r="I51" s="2"/>
      <c r="J51" s="19">
        <f t="shared" si="9"/>
        <v>7.4692331381547494E-3</v>
      </c>
      <c r="K51" s="2"/>
      <c r="L51" s="2">
        <f t="shared" si="10"/>
        <v>335.97</v>
      </c>
      <c r="M51" s="2"/>
      <c r="N51" s="19">
        <f t="shared" si="11"/>
        <v>3.0851239669421489</v>
      </c>
      <c r="O51" s="10"/>
      <c r="P51" s="2">
        <v>967.21</v>
      </c>
      <c r="Q51" s="2"/>
      <c r="R51" s="19">
        <f t="shared" si="12"/>
        <v>5.1508893553328162E-4</v>
      </c>
      <c r="S51" s="2"/>
      <c r="T51" s="2">
        <v>2377.33</v>
      </c>
      <c r="U51" s="2"/>
      <c r="V51" s="19">
        <f t="shared" si="13"/>
        <v>7.2296530038734889E-4</v>
      </c>
      <c r="W51" s="2"/>
      <c r="X51" s="2">
        <f t="shared" si="14"/>
        <v>-1410.12</v>
      </c>
      <c r="Y51" s="2"/>
      <c r="Z51" s="19">
        <f t="shared" si="15"/>
        <v>-0.59315282270446257</v>
      </c>
    </row>
    <row r="52" spans="1:26" s="23" customFormat="1" hidden="1" outlineLevel="1" x14ac:dyDescent="0.25">
      <c r="A52" s="44"/>
      <c r="B52" s="10" t="str">
        <f>CONCATENATE("          ", "5200", " - ", "PURCHASES OFFSET")</f>
        <v xml:space="preserve">          5200 - PURCHASES OFFSET</v>
      </c>
      <c r="C52" s="10"/>
      <c r="D52" s="2">
        <v>285586.77</v>
      </c>
      <c r="E52" s="2"/>
      <c r="F52" s="19">
        <f t="shared" si="8"/>
        <v>24.451026759532368</v>
      </c>
      <c r="G52" s="2"/>
      <c r="H52" s="2">
        <v>941682</v>
      </c>
      <c r="I52" s="2"/>
      <c r="J52" s="19">
        <f t="shared" si="9"/>
        <v>64.588084481210657</v>
      </c>
      <c r="K52" s="2"/>
      <c r="L52" s="2">
        <f t="shared" si="10"/>
        <v>-656095.23</v>
      </c>
      <c r="M52" s="2"/>
      <c r="N52" s="19">
        <f t="shared" si="11"/>
        <v>-0.69672695241068638</v>
      </c>
      <c r="O52" s="10"/>
      <c r="P52" s="2">
        <v>-1174214.1299999999</v>
      </c>
      <c r="Q52" s="2"/>
      <c r="R52" s="19">
        <f t="shared" si="12"/>
        <v>-0.62532925249928994</v>
      </c>
      <c r="S52" s="2"/>
      <c r="T52" s="2">
        <v>-1579900</v>
      </c>
      <c r="U52" s="2"/>
      <c r="V52" s="19">
        <f t="shared" si="13"/>
        <v>-0.48046038121841417</v>
      </c>
      <c r="W52" s="2"/>
      <c r="X52" s="2">
        <f t="shared" si="14"/>
        <v>405685.87000000011</v>
      </c>
      <c r="Y52" s="2"/>
      <c r="Z52" s="19">
        <f t="shared" si="15"/>
        <v>-0.25677946072536245</v>
      </c>
    </row>
    <row r="53" spans="1:26" s="23" customFormat="1" hidden="1" outlineLevel="1" x14ac:dyDescent="0.25">
      <c r="A53" s="44"/>
      <c r="B53" s="10" t="str">
        <f>CONCATENATE("          ", "5300", " - ", "COG$ OFFSET")</f>
        <v xml:space="preserve">          5300 - COG$ OFFSET</v>
      </c>
      <c r="C53" s="10"/>
      <c r="D53" s="2">
        <v>8920</v>
      </c>
      <c r="E53" s="2"/>
      <c r="F53" s="19">
        <f t="shared" si="8"/>
        <v>0.76370189940881616</v>
      </c>
      <c r="G53" s="2"/>
      <c r="H53" s="2">
        <v>9893</v>
      </c>
      <c r="I53" s="2"/>
      <c r="J53" s="19">
        <f t="shared" si="9"/>
        <v>0.67854107838167976</v>
      </c>
      <c r="K53" s="2"/>
      <c r="L53" s="2">
        <f t="shared" si="10"/>
        <v>-973</v>
      </c>
      <c r="M53" s="2"/>
      <c r="N53" s="19">
        <f t="shared" si="11"/>
        <v>-9.8352370362882843E-2</v>
      </c>
      <c r="O53" s="10"/>
      <c r="P53" s="2">
        <v>1330328</v>
      </c>
      <c r="Q53" s="2"/>
      <c r="R53" s="19">
        <f t="shared" si="12"/>
        <v>0.70846789573114366</v>
      </c>
      <c r="S53" s="2"/>
      <c r="T53" s="2">
        <v>2314209.4700000002</v>
      </c>
      <c r="U53" s="2"/>
      <c r="V53" s="19">
        <f t="shared" si="13"/>
        <v>0.70376983617663413</v>
      </c>
      <c r="W53" s="2"/>
      <c r="X53" s="2">
        <f t="shared" si="14"/>
        <v>-983881.4700000002</v>
      </c>
      <c r="Y53" s="2"/>
      <c r="Z53" s="19">
        <f t="shared" si="15"/>
        <v>-0.42514797504480012</v>
      </c>
    </row>
    <row r="54" spans="1:26" s="23" customFormat="1" hidden="1" outlineLevel="1" x14ac:dyDescent="0.25">
      <c r="A54" s="44"/>
      <c r="B54" s="10" t="str">
        <f>CONCATENATE("          ", "5500", " - ", "FREIGHT-IN")</f>
        <v xml:space="preserve">          5500 - FREIGHT-IN</v>
      </c>
      <c r="C54" s="10"/>
      <c r="D54" s="2"/>
      <c r="E54" s="2"/>
      <c r="F54" s="19">
        <f t="shared" si="8"/>
        <v>0</v>
      </c>
      <c r="G54" s="2"/>
      <c r="H54" s="2"/>
      <c r="I54" s="2"/>
      <c r="J54" s="19">
        <f t="shared" si="9"/>
        <v>0</v>
      </c>
      <c r="K54" s="2"/>
      <c r="L54" s="2">
        <f t="shared" si="10"/>
        <v>0</v>
      </c>
      <c r="M54" s="2"/>
      <c r="N54" s="19">
        <f t="shared" si="11"/>
        <v>0</v>
      </c>
      <c r="O54" s="10"/>
      <c r="P54" s="2">
        <v>0</v>
      </c>
      <c r="Q54" s="2"/>
      <c r="R54" s="19">
        <f t="shared" si="12"/>
        <v>0</v>
      </c>
      <c r="S54" s="2"/>
      <c r="T54" s="2">
        <v>41.25</v>
      </c>
      <c r="U54" s="2"/>
      <c r="V54" s="19">
        <f t="shared" si="13"/>
        <v>1.2544458969086389E-5</v>
      </c>
      <c r="W54" s="2"/>
      <c r="X54" s="2">
        <f t="shared" si="14"/>
        <v>-41.25</v>
      </c>
      <c r="Y54" s="2"/>
      <c r="Z54" s="19">
        <f t="shared" si="15"/>
        <v>-1</v>
      </c>
    </row>
    <row r="55" spans="1:26" s="23" customFormat="1" hidden="1" outlineLevel="1" x14ac:dyDescent="0.25">
      <c r="A55" s="44"/>
      <c r="B55" s="10" t="str">
        <f>CONCATENATE("          ", "5501", " - ", "FREIGHT-IN-NEW TEXT")</f>
        <v xml:space="preserve">          5501 - FREIGHT-IN-NEW TEXT</v>
      </c>
      <c r="C55" s="10"/>
      <c r="D55" s="2">
        <v>785.54</v>
      </c>
      <c r="E55" s="2"/>
      <c r="F55" s="19">
        <f t="shared" si="8"/>
        <v>6.7255424894798368E-2</v>
      </c>
      <c r="G55" s="2"/>
      <c r="H55" s="2">
        <v>1315.81</v>
      </c>
      <c r="I55" s="2"/>
      <c r="J55" s="19">
        <f t="shared" si="9"/>
        <v>9.0248775532740133E-2</v>
      </c>
      <c r="K55" s="2"/>
      <c r="L55" s="2">
        <f t="shared" si="10"/>
        <v>-530.27</v>
      </c>
      <c r="M55" s="2"/>
      <c r="N55" s="19">
        <f t="shared" si="11"/>
        <v>-0.4029989132169538</v>
      </c>
      <c r="O55" s="10"/>
      <c r="P55" s="2">
        <v>50042.46</v>
      </c>
      <c r="Q55" s="2"/>
      <c r="R55" s="19">
        <f t="shared" si="12"/>
        <v>2.6650176748448447E-2</v>
      </c>
      <c r="S55" s="2"/>
      <c r="T55" s="2">
        <v>67340.55</v>
      </c>
      <c r="U55" s="2"/>
      <c r="V55" s="19">
        <f t="shared" si="13"/>
        <v>2.0478806458926312E-2</v>
      </c>
      <c r="W55" s="2"/>
      <c r="X55" s="2">
        <f t="shared" si="14"/>
        <v>-17298.090000000004</v>
      </c>
      <c r="Y55" s="2"/>
      <c r="Z55" s="19">
        <f t="shared" si="15"/>
        <v>-0.25687479534990437</v>
      </c>
    </row>
    <row r="56" spans="1:26" s="23" customFormat="1" hidden="1" outlineLevel="1" x14ac:dyDescent="0.25">
      <c r="A56" s="44"/>
      <c r="B56" s="10" t="str">
        <f>CONCATENATE("          ", "5502", " - ", "FREIGHT-IN-USED TEXT")</f>
        <v xml:space="preserve">          5502 - FREIGHT-IN-USED TEXT</v>
      </c>
      <c r="C56" s="10"/>
      <c r="D56" s="2">
        <v>663.37</v>
      </c>
      <c r="E56" s="2"/>
      <c r="F56" s="19">
        <f t="shared" si="8"/>
        <v>5.6795619844263047E-2</v>
      </c>
      <c r="G56" s="2"/>
      <c r="H56" s="2">
        <v>506.55</v>
      </c>
      <c r="I56" s="2"/>
      <c r="J56" s="19">
        <f t="shared" si="9"/>
        <v>3.4743251112325881E-2</v>
      </c>
      <c r="K56" s="2"/>
      <c r="L56" s="2">
        <f t="shared" si="10"/>
        <v>156.82</v>
      </c>
      <c r="M56" s="2"/>
      <c r="N56" s="19">
        <f t="shared" si="11"/>
        <v>0.30958444378639816</v>
      </c>
      <c r="O56" s="10"/>
      <c r="P56" s="2">
        <v>17800.13</v>
      </c>
      <c r="Q56" s="2"/>
      <c r="R56" s="19">
        <f t="shared" si="12"/>
        <v>9.4794822365918789E-3</v>
      </c>
      <c r="S56" s="2"/>
      <c r="T56" s="2">
        <v>15264.64</v>
      </c>
      <c r="U56" s="2"/>
      <c r="V56" s="19">
        <f t="shared" si="13"/>
        <v>4.6421006098878751E-3</v>
      </c>
      <c r="W56" s="2"/>
      <c r="X56" s="2">
        <f t="shared" si="14"/>
        <v>2535.4900000000016</v>
      </c>
      <c r="Y56" s="2"/>
      <c r="Z56" s="19">
        <f t="shared" si="15"/>
        <v>0.16610218125026216</v>
      </c>
    </row>
    <row r="57" spans="1:26" s="23" customFormat="1" hidden="1" outlineLevel="1" x14ac:dyDescent="0.25">
      <c r="A57" s="44"/>
      <c r="B57" s="10" t="str">
        <f>CONCATENATE("          ", "5504", " - ", "FREIGHT-IN-DIGITAL TEXT")</f>
        <v xml:space="preserve">          5504 - FREIGHT-IN-DIGITAL TEXT</v>
      </c>
      <c r="C57" s="10"/>
      <c r="D57" s="2"/>
      <c r="E57" s="2"/>
      <c r="F57" s="19">
        <f t="shared" si="8"/>
        <v>0</v>
      </c>
      <c r="G57" s="2"/>
      <c r="H57" s="2">
        <v>12.78</v>
      </c>
      <c r="I57" s="2"/>
      <c r="J57" s="19">
        <f t="shared" si="9"/>
        <v>8.7655463274212756E-4</v>
      </c>
      <c r="K57" s="2"/>
      <c r="L57" s="2">
        <f t="shared" si="10"/>
        <v>-12.78</v>
      </c>
      <c r="M57" s="2"/>
      <c r="N57" s="19">
        <f t="shared" si="11"/>
        <v>-1</v>
      </c>
      <c r="O57" s="10"/>
      <c r="P57" s="2">
        <v>28.92</v>
      </c>
      <c r="Q57" s="2"/>
      <c r="R57" s="19">
        <f t="shared" si="12"/>
        <v>1.5401383376539225E-5</v>
      </c>
      <c r="S57" s="2"/>
      <c r="T57" s="2">
        <v>118.75</v>
      </c>
      <c r="U57" s="2"/>
      <c r="V57" s="19">
        <f t="shared" si="13"/>
        <v>3.6112836426157783E-5</v>
      </c>
      <c r="W57" s="2"/>
      <c r="X57" s="2">
        <f t="shared" si="14"/>
        <v>-89.83</v>
      </c>
      <c r="Y57" s="2"/>
      <c r="Z57" s="19">
        <f t="shared" si="15"/>
        <v>-0.75646315789473684</v>
      </c>
    </row>
    <row r="58" spans="1:26" s="23" customFormat="1" hidden="1" outlineLevel="1" x14ac:dyDescent="0.25">
      <c r="A58" s="44"/>
      <c r="B58" s="10" t="str">
        <f>CONCATENATE("          ", "5513", " - ", "FREIGHT-IN-TRADE BOOKS")</f>
        <v xml:space="preserve">          5513 - FREIGHT-IN-TRADE BOOKS</v>
      </c>
      <c r="C58" s="10"/>
      <c r="D58" s="2">
        <v>51.76</v>
      </c>
      <c r="E58" s="2"/>
      <c r="F58" s="19">
        <f t="shared" si="8"/>
        <v>4.4315258198879288E-3</v>
      </c>
      <c r="G58" s="2"/>
      <c r="H58" s="2">
        <v>8.83</v>
      </c>
      <c r="I58" s="2"/>
      <c r="J58" s="19">
        <f t="shared" si="9"/>
        <v>6.0563203498536675E-4</v>
      </c>
      <c r="K58" s="2"/>
      <c r="L58" s="2">
        <f t="shared" si="10"/>
        <v>42.93</v>
      </c>
      <c r="M58" s="2"/>
      <c r="N58" s="19">
        <f t="shared" si="11"/>
        <v>4.8618346545866364</v>
      </c>
      <c r="O58" s="10"/>
      <c r="P58" s="2">
        <v>85.28</v>
      </c>
      <c r="Q58" s="2"/>
      <c r="R58" s="19">
        <f t="shared" si="12"/>
        <v>4.5415974216848724E-5</v>
      </c>
      <c r="S58" s="2"/>
      <c r="T58" s="2">
        <v>30.24</v>
      </c>
      <c r="U58" s="2"/>
      <c r="V58" s="19">
        <f t="shared" si="13"/>
        <v>9.1962288297011489E-6</v>
      </c>
      <c r="W58" s="2"/>
      <c r="X58" s="2">
        <f t="shared" si="14"/>
        <v>55.040000000000006</v>
      </c>
      <c r="Y58" s="2"/>
      <c r="Z58" s="19">
        <f t="shared" si="15"/>
        <v>1.8201058201058204</v>
      </c>
    </row>
    <row r="59" spans="1:26" s="23" customFormat="1" hidden="1" outlineLevel="1" x14ac:dyDescent="0.25">
      <c r="A59" s="44"/>
      <c r="B59" s="10" t="str">
        <f>CONCATENATE("          ", "5518", " - ", "FREIGHT-IN-STUDY GUIDES")</f>
        <v xml:space="preserve">          5518 - FREIGHT-IN-STUDY GUIDES</v>
      </c>
      <c r="C59" s="10"/>
      <c r="D59" s="2"/>
      <c r="E59" s="2"/>
      <c r="F59" s="19">
        <f t="shared" si="8"/>
        <v>0</v>
      </c>
      <c r="G59" s="2"/>
      <c r="H59" s="2"/>
      <c r="I59" s="2"/>
      <c r="J59" s="19">
        <f t="shared" si="9"/>
        <v>0</v>
      </c>
      <c r="K59" s="2"/>
      <c r="L59" s="2">
        <f t="shared" si="10"/>
        <v>0</v>
      </c>
      <c r="M59" s="2"/>
      <c r="N59" s="19">
        <f t="shared" si="11"/>
        <v>0</v>
      </c>
      <c r="O59" s="10"/>
      <c r="P59" s="2"/>
      <c r="Q59" s="2"/>
      <c r="R59" s="19">
        <f t="shared" si="12"/>
        <v>0</v>
      </c>
      <c r="S59" s="2"/>
      <c r="T59" s="2">
        <v>21.13</v>
      </c>
      <c r="U59" s="2"/>
      <c r="V59" s="19">
        <f t="shared" si="13"/>
        <v>6.4258040731344337E-6</v>
      </c>
      <c r="W59" s="2"/>
      <c r="X59" s="2">
        <f t="shared" si="14"/>
        <v>-21.13</v>
      </c>
      <c r="Y59" s="2"/>
      <c r="Z59" s="19">
        <f t="shared" si="15"/>
        <v>-1</v>
      </c>
    </row>
    <row r="60" spans="1:26" x14ac:dyDescent="0.25">
      <c r="A60" s="9"/>
      <c r="B60" s="11"/>
      <c r="C60" s="11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1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4" customFormat="1" x14ac:dyDescent="0.25">
      <c r="A61" s="11"/>
      <c r="B61" s="29" t="s">
        <v>107</v>
      </c>
      <c r="C61" s="29"/>
      <c r="D61" s="22">
        <f>D12-D42</f>
        <v>2759.9499999999789</v>
      </c>
      <c r="E61" s="14"/>
      <c r="F61" s="20">
        <f>IF(D$12=0,0,D61/D$12)</f>
        <v>0.23629810059118228</v>
      </c>
      <c r="G61" s="14"/>
      <c r="H61" s="22">
        <f>H12-H42</f>
        <v>4687.9299999999694</v>
      </c>
      <c r="I61" s="14"/>
      <c r="J61" s="20">
        <f>IF(H$12=0,0,H61/H$12)</f>
        <v>0.32153574017768194</v>
      </c>
      <c r="K61" s="15"/>
      <c r="L61" s="22">
        <f>+D61-H61</f>
        <v>-1927.9799999999905</v>
      </c>
      <c r="M61" s="15"/>
      <c r="N61" s="20">
        <f>IF(H61=0,0,L61/H61)</f>
        <v>-0.41126467332063471</v>
      </c>
      <c r="O61" s="28"/>
      <c r="P61" s="22">
        <f>P12-P42</f>
        <v>547425.39999999944</v>
      </c>
      <c r="Q61" s="14"/>
      <c r="R61" s="20">
        <f>IF(P$12=0,0,P61/P$12)</f>
        <v>0.2915321042688564</v>
      </c>
      <c r="S61" s="14"/>
      <c r="T61" s="22">
        <f>T12-T42</f>
        <v>974058.24999999953</v>
      </c>
      <c r="U61" s="14"/>
      <c r="V61" s="20">
        <f>IF(T$12=0,0,T61/T$12)</f>
        <v>0.29621900001515361</v>
      </c>
      <c r="W61" s="15"/>
      <c r="X61" s="22">
        <f>+P61-T61</f>
        <v>-426632.85000000009</v>
      </c>
      <c r="Y61" s="15"/>
      <c r="Z61" s="20">
        <f>IF(T61=0,0,X61/T61)</f>
        <v>-0.4379952122986488</v>
      </c>
    </row>
    <row r="62" spans="1:26" x14ac:dyDescent="0.25">
      <c r="A62" s="9"/>
      <c r="B62" s="11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4" customFormat="1" x14ac:dyDescent="0.25">
      <c r="A63" s="11"/>
      <c r="B63" s="28" t="s">
        <v>294</v>
      </c>
      <c r="C63" s="11"/>
      <c r="D63" s="21">
        <f>SUM(OSRRefD22x_0)</f>
        <v>47009.95</v>
      </c>
      <c r="E63" s="21"/>
      <c r="F63" s="31">
        <f t="shared" ref="F63:F73" si="16">IF(D$12=0,0,D63/D$12)</f>
        <v>4.0248417159320038</v>
      </c>
      <c r="G63" s="21"/>
      <c r="H63" s="21">
        <f>SUM(OSRRefH22x_0)</f>
        <v>41992.920000000006</v>
      </c>
      <c r="I63" s="21"/>
      <c r="J63" s="31">
        <f t="shared" ref="J63:J73" si="17">IF(H$12=0,0,H63/H$12)</f>
        <v>2.8802103731118582</v>
      </c>
      <c r="K63" s="4"/>
      <c r="L63" s="21">
        <f t="shared" ref="L63:L73" si="18">+D63-H63</f>
        <v>5017.0299999999916</v>
      </c>
      <c r="M63" s="4"/>
      <c r="N63" s="31">
        <f t="shared" ref="N63:N73" si="19">IF(H63=0,0,L63/H63)</f>
        <v>0.11947323501199704</v>
      </c>
      <c r="O63" s="11"/>
      <c r="P63" s="21">
        <f>SUM(OSRRefP22x_0)</f>
        <v>409270.19</v>
      </c>
      <c r="Q63" s="21"/>
      <c r="R63" s="31">
        <f t="shared" ref="R63:R73" si="20">IF(P$12=0,0,P63/P$12)</f>
        <v>0.21795736862998097</v>
      </c>
      <c r="S63" s="21"/>
      <c r="T63" s="21">
        <f>SUM(OSRRefT22x_0)</f>
        <v>419135.60000000003</v>
      </c>
      <c r="U63" s="21"/>
      <c r="V63" s="31">
        <f t="shared" ref="V63:V73" si="21">IF(T$12=0,0,T63/T$12)</f>
        <v>0.12746252937414315</v>
      </c>
      <c r="W63" s="4"/>
      <c r="X63" s="21">
        <f t="shared" ref="X63:X73" si="22">+P63-T63</f>
        <v>-9865.4100000000326</v>
      </c>
      <c r="Y63" s="4"/>
      <c r="Z63" s="31">
        <f t="shared" ref="Z63:Z73" si="23">IF(T63=0,0,X63/T63)</f>
        <v>-2.3537513873791757E-2</v>
      </c>
    </row>
    <row r="64" spans="1:26" s="26" customFormat="1" outlineLevel="1" collapsed="1" x14ac:dyDescent="0.25">
      <c r="A64" s="27"/>
      <c r="B64" s="12" t="str">
        <f>CONCATENATE("     ","*Benefits                                         ")</f>
        <v xml:space="preserve">     *Benefits                                         </v>
      </c>
      <c r="C64" s="12"/>
      <c r="D64" s="1">
        <f>SUM(OSRRefD22_0x_0)</f>
        <v>12084.359999999999</v>
      </c>
      <c r="E64" s="1"/>
      <c r="F64" s="5">
        <f t="shared" si="16"/>
        <v>1.0346242920560449</v>
      </c>
      <c r="G64" s="1"/>
      <c r="H64" s="1">
        <f>SUM(OSRRefH22_0x_0)</f>
        <v>12490.220000000001</v>
      </c>
      <c r="I64" s="1"/>
      <c r="J64" s="5">
        <f t="shared" si="17"/>
        <v>0.85667920226669625</v>
      </c>
      <c r="K64" s="1"/>
      <c r="L64" s="1">
        <f t="shared" si="18"/>
        <v>-405.8600000000024</v>
      </c>
      <c r="M64" s="1"/>
      <c r="N64" s="5">
        <f t="shared" si="19"/>
        <v>-3.2494223480451292E-2</v>
      </c>
      <c r="O64" s="12"/>
      <c r="P64" s="1">
        <f>SUM(OSRRefP22_0x_0)</f>
        <v>105810.70000000001</v>
      </c>
      <c r="Q64" s="1"/>
      <c r="R64" s="5">
        <f t="shared" si="20"/>
        <v>5.6349625035960547E-2</v>
      </c>
      <c r="S64" s="1"/>
      <c r="T64" s="1">
        <f>SUM(OSRRefT22_0x_0)</f>
        <v>94155.520000000004</v>
      </c>
      <c r="U64" s="1"/>
      <c r="V64" s="5">
        <f t="shared" si="21"/>
        <v>2.8633455935830131E-2</v>
      </c>
      <c r="W64" s="1"/>
      <c r="X64" s="1">
        <f t="shared" si="22"/>
        <v>11655.180000000008</v>
      </c>
      <c r="Y64" s="1"/>
      <c r="Z64" s="5">
        <f t="shared" si="23"/>
        <v>0.12378647582212925</v>
      </c>
    </row>
    <row r="65" spans="1:26" s="23" customFormat="1" hidden="1" outlineLevel="2" x14ac:dyDescent="0.25">
      <c r="A65" s="25"/>
      <c r="B65" s="10" t="str">
        <f>CONCATENATE("          ", "6111", " - ", "F.I.C.A.")</f>
        <v xml:space="preserve">          6111 - F.I.C.A.</v>
      </c>
      <c r="C65" s="10"/>
      <c r="D65" s="6">
        <v>1910.57</v>
      </c>
      <c r="E65" s="2"/>
      <c r="F65" s="7">
        <f t="shared" si="16"/>
        <v>0.16357689887371096</v>
      </c>
      <c r="G65" s="2"/>
      <c r="H65" s="6">
        <v>1726.4</v>
      </c>
      <c r="I65" s="2"/>
      <c r="J65" s="7">
        <f t="shared" si="17"/>
        <v>0.11841032221956253</v>
      </c>
      <c r="K65" s="2"/>
      <c r="L65" s="6">
        <f t="shared" si="18"/>
        <v>184.16999999999985</v>
      </c>
      <c r="M65" s="2"/>
      <c r="N65" s="7">
        <f t="shared" si="19"/>
        <v>0.10667863762743271</v>
      </c>
      <c r="O65" s="10"/>
      <c r="P65" s="6">
        <v>18911.77</v>
      </c>
      <c r="Q65" s="2"/>
      <c r="R65" s="7">
        <f t="shared" si="20"/>
        <v>1.0071487555288148E-2</v>
      </c>
      <c r="S65" s="2"/>
      <c r="T65" s="6">
        <v>15759.3</v>
      </c>
      <c r="U65" s="2"/>
      <c r="V65" s="7">
        <f t="shared" si="21"/>
        <v>4.7925307207641963E-3</v>
      </c>
      <c r="W65" s="2"/>
      <c r="X65" s="6">
        <f t="shared" si="22"/>
        <v>3152.4700000000012</v>
      </c>
      <c r="Y65" s="2"/>
      <c r="Z65" s="7">
        <f t="shared" si="23"/>
        <v>0.20003870730298942</v>
      </c>
    </row>
    <row r="66" spans="1:26" s="23" customFormat="1" hidden="1" outlineLevel="2" x14ac:dyDescent="0.25">
      <c r="A66" s="25"/>
      <c r="B66" s="10" t="str">
        <f>CONCATENATE("          ", "6112", " - ", "COMPENSATION INSURANCE")</f>
        <v xml:space="preserve">          6112 - COMPENSATION INSURANCE</v>
      </c>
      <c r="C66" s="10"/>
      <c r="D66" s="6">
        <v>103.76</v>
      </c>
      <c r="E66" s="2"/>
      <c r="F66" s="7">
        <f t="shared" si="16"/>
        <v>8.8835996729438073E-3</v>
      </c>
      <c r="G66" s="2"/>
      <c r="H66" s="6">
        <v>153.57</v>
      </c>
      <c r="I66" s="2"/>
      <c r="J66" s="7">
        <f t="shared" si="17"/>
        <v>1.0533059072786269E-2</v>
      </c>
      <c r="K66" s="2"/>
      <c r="L66" s="6">
        <f t="shared" si="18"/>
        <v>-49.809999999999988</v>
      </c>
      <c r="M66" s="2"/>
      <c r="N66" s="7">
        <f t="shared" si="19"/>
        <v>-0.32434720322979743</v>
      </c>
      <c r="O66" s="10"/>
      <c r="P66" s="6">
        <v>1047.72</v>
      </c>
      <c r="Q66" s="2"/>
      <c r="R66" s="7">
        <f t="shared" si="20"/>
        <v>5.5796464008532772E-4</v>
      </c>
      <c r="S66" s="2"/>
      <c r="T66" s="6">
        <v>710.35</v>
      </c>
      <c r="U66" s="2"/>
      <c r="V66" s="7">
        <f t="shared" si="21"/>
        <v>2.1602318615007311E-4</v>
      </c>
      <c r="W66" s="2"/>
      <c r="X66" s="6">
        <f t="shared" si="22"/>
        <v>337.37</v>
      </c>
      <c r="Y66" s="2"/>
      <c r="Z66" s="7">
        <f t="shared" si="23"/>
        <v>0.47493489125079186</v>
      </c>
    </row>
    <row r="67" spans="1:26" s="23" customFormat="1" hidden="1" outlineLevel="2" x14ac:dyDescent="0.25">
      <c r="A67" s="25"/>
      <c r="B67" s="10" t="str">
        <f>CONCATENATE("          ", "6113", " - ", "GROUP INSURANCE")</f>
        <v xml:space="preserve">          6113 - GROUP INSURANCE</v>
      </c>
      <c r="C67" s="10"/>
      <c r="D67" s="6">
        <v>4943.91</v>
      </c>
      <c r="E67" s="2"/>
      <c r="F67" s="7">
        <f t="shared" si="16"/>
        <v>0.42328177774733633</v>
      </c>
      <c r="G67" s="2"/>
      <c r="H67" s="6">
        <v>4248.21</v>
      </c>
      <c r="I67" s="2"/>
      <c r="J67" s="7">
        <f t="shared" si="17"/>
        <v>0.29137622506740485</v>
      </c>
      <c r="K67" s="2"/>
      <c r="L67" s="6">
        <f t="shared" si="18"/>
        <v>695.69999999999982</v>
      </c>
      <c r="M67" s="2"/>
      <c r="N67" s="7">
        <f t="shared" si="19"/>
        <v>0.16376309080765777</v>
      </c>
      <c r="O67" s="10"/>
      <c r="P67" s="6">
        <v>40219.949999999997</v>
      </c>
      <c r="Q67" s="2"/>
      <c r="R67" s="7">
        <f t="shared" si="20"/>
        <v>2.1419186353224023E-2</v>
      </c>
      <c r="S67" s="2"/>
      <c r="T67" s="6">
        <v>37756.050000000003</v>
      </c>
      <c r="U67" s="2"/>
      <c r="V67" s="7">
        <f t="shared" si="21"/>
        <v>1.1481920486297556E-2</v>
      </c>
      <c r="W67" s="2"/>
      <c r="X67" s="6">
        <f t="shared" si="22"/>
        <v>2463.8999999999942</v>
      </c>
      <c r="Y67" s="2"/>
      <c r="Z67" s="7">
        <f t="shared" si="23"/>
        <v>6.5258415538701584E-2</v>
      </c>
    </row>
    <row r="68" spans="1:26" s="23" customFormat="1" hidden="1" outlineLevel="2" x14ac:dyDescent="0.25">
      <c r="A68" s="25"/>
      <c r="B68" s="10" t="str">
        <f>CONCATENATE("          ", "6114", " - ", "STATE UNEMPLOYMENT INSURANCE")</f>
        <v xml:space="preserve">          6114 - STATE UNEMPLOYMENT INSURANCE</v>
      </c>
      <c r="C68" s="10"/>
      <c r="D68" s="6">
        <v>70.17</v>
      </c>
      <c r="E68" s="2"/>
      <c r="F68" s="7">
        <f t="shared" si="16"/>
        <v>6.007731197479443E-3</v>
      </c>
      <c r="G68" s="2"/>
      <c r="H68" s="6">
        <v>65.510000000000005</v>
      </c>
      <c r="I68" s="2"/>
      <c r="J68" s="7">
        <f t="shared" si="17"/>
        <v>4.4931998427963056E-3</v>
      </c>
      <c r="K68" s="2"/>
      <c r="L68" s="6">
        <f t="shared" si="18"/>
        <v>4.6599999999999966</v>
      </c>
      <c r="M68" s="2"/>
      <c r="N68" s="7">
        <f t="shared" si="19"/>
        <v>7.1134177988093364E-2</v>
      </c>
      <c r="O68" s="10"/>
      <c r="P68" s="6">
        <v>670.86</v>
      </c>
      <c r="Q68" s="2"/>
      <c r="R68" s="7">
        <f t="shared" si="20"/>
        <v>3.5726736002714745E-4</v>
      </c>
      <c r="S68" s="2"/>
      <c r="T68" s="6">
        <v>589.73</v>
      </c>
      <c r="U68" s="2"/>
      <c r="V68" s="7">
        <f t="shared" si="21"/>
        <v>1.7934166758398342E-4</v>
      </c>
      <c r="W68" s="2"/>
      <c r="X68" s="6">
        <f t="shared" si="22"/>
        <v>81.13</v>
      </c>
      <c r="Y68" s="2"/>
      <c r="Z68" s="7">
        <f t="shared" si="23"/>
        <v>0.13757143099384464</v>
      </c>
    </row>
    <row r="69" spans="1:26" s="23" customFormat="1" hidden="1" outlineLevel="2" x14ac:dyDescent="0.25">
      <c r="A69" s="25"/>
      <c r="B69" s="10" t="str">
        <f>CONCATENATE("          ", "6115", " - ", "P.E.R.S.")</f>
        <v xml:space="preserve">          6115 - P.E.R.S.</v>
      </c>
      <c r="C69" s="10"/>
      <c r="D69" s="6">
        <v>1783.22</v>
      </c>
      <c r="E69" s="2"/>
      <c r="F69" s="7">
        <f t="shared" si="16"/>
        <v>0.15267359877396738</v>
      </c>
      <c r="G69" s="2"/>
      <c r="H69" s="6">
        <v>1348.87</v>
      </c>
      <c r="I69" s="2"/>
      <c r="J69" s="7">
        <f t="shared" si="17"/>
        <v>9.2516294793965059E-2</v>
      </c>
      <c r="K69" s="2"/>
      <c r="L69" s="6">
        <f t="shared" si="18"/>
        <v>434.35000000000014</v>
      </c>
      <c r="M69" s="2"/>
      <c r="N69" s="7">
        <f t="shared" si="19"/>
        <v>0.32201027526744619</v>
      </c>
      <c r="O69" s="10"/>
      <c r="P69" s="6">
        <v>16741.73</v>
      </c>
      <c r="Q69" s="2"/>
      <c r="R69" s="7">
        <f t="shared" si="20"/>
        <v>8.9158299487035967E-3</v>
      </c>
      <c r="S69" s="2"/>
      <c r="T69" s="6">
        <v>13112.89</v>
      </c>
      <c r="U69" s="2"/>
      <c r="V69" s="7">
        <f t="shared" si="21"/>
        <v>3.9877360138458962E-3</v>
      </c>
      <c r="W69" s="2"/>
      <c r="X69" s="6">
        <f t="shared" si="22"/>
        <v>3628.84</v>
      </c>
      <c r="Y69" s="2"/>
      <c r="Z69" s="7">
        <f t="shared" si="23"/>
        <v>0.27673838490218405</v>
      </c>
    </row>
    <row r="70" spans="1:26" s="23" customFormat="1" hidden="1" outlineLevel="2" x14ac:dyDescent="0.25">
      <c r="A70" s="25"/>
      <c r="B70" s="10" t="str">
        <f>CONCATENATE("          ", "6117", " - ", "RETIREMENT STAFF HOURLY")</f>
        <v xml:space="preserve">          6117 - RETIREMENT STAFF HOURLY</v>
      </c>
      <c r="C70" s="10"/>
      <c r="D70" s="6">
        <v>368.6</v>
      </c>
      <c r="E70" s="2"/>
      <c r="F70" s="7">
        <f t="shared" si="16"/>
        <v>3.1558354273776866E-2</v>
      </c>
      <c r="G70" s="2"/>
      <c r="H70" s="6">
        <v>110.54</v>
      </c>
      <c r="I70" s="2"/>
      <c r="J70" s="7">
        <f t="shared" si="17"/>
        <v>7.5817174572233789E-3</v>
      </c>
      <c r="K70" s="2"/>
      <c r="L70" s="6">
        <f t="shared" si="18"/>
        <v>258.06</v>
      </c>
      <c r="M70" s="2"/>
      <c r="N70" s="7">
        <f t="shared" si="19"/>
        <v>2.3345395332006511</v>
      </c>
      <c r="O70" s="10"/>
      <c r="P70" s="6">
        <v>2509.58</v>
      </c>
      <c r="Q70" s="2"/>
      <c r="R70" s="7">
        <f t="shared" si="20"/>
        <v>1.3364800724099345E-3</v>
      </c>
      <c r="S70" s="2"/>
      <c r="T70" s="6">
        <v>1174.1099999999999</v>
      </c>
      <c r="U70" s="2"/>
      <c r="V70" s="7">
        <f t="shared" si="21"/>
        <v>3.5705635685318829E-4</v>
      </c>
      <c r="W70" s="2"/>
      <c r="X70" s="6">
        <f t="shared" si="22"/>
        <v>1335.47</v>
      </c>
      <c r="Y70" s="2"/>
      <c r="Z70" s="7">
        <f t="shared" si="23"/>
        <v>1.1374317568200596</v>
      </c>
    </row>
    <row r="71" spans="1:26" s="23" customFormat="1" hidden="1" outlineLevel="2" x14ac:dyDescent="0.25">
      <c r="A71" s="25"/>
      <c r="B71" s="10" t="str">
        <f>CONCATENATE("          ", "6118", " - ", "VACATION")</f>
        <v xml:space="preserve">          6118 - VACATION</v>
      </c>
      <c r="C71" s="10"/>
      <c r="D71" s="6">
        <v>1345.02</v>
      </c>
      <c r="E71" s="2"/>
      <c r="F71" s="7">
        <f t="shared" si="16"/>
        <v>0.11515631488148496</v>
      </c>
      <c r="G71" s="2"/>
      <c r="H71" s="6">
        <v>1777.06</v>
      </c>
      <c r="I71" s="2"/>
      <c r="J71" s="7">
        <f t="shared" si="17"/>
        <v>0.12188499027079226</v>
      </c>
      <c r="K71" s="2"/>
      <c r="L71" s="6">
        <f t="shared" si="18"/>
        <v>-432.03999999999996</v>
      </c>
      <c r="M71" s="2"/>
      <c r="N71" s="7">
        <f t="shared" si="19"/>
        <v>-0.24312065996646146</v>
      </c>
      <c r="O71" s="10"/>
      <c r="P71" s="6">
        <v>12034.68</v>
      </c>
      <c r="Q71" s="2"/>
      <c r="R71" s="7">
        <f t="shared" si="20"/>
        <v>6.4090843877582671E-3</v>
      </c>
      <c r="S71" s="2"/>
      <c r="T71" s="6">
        <v>8823.7800000000007</v>
      </c>
      <c r="U71" s="2"/>
      <c r="V71" s="7">
        <f t="shared" si="21"/>
        <v>2.683382937266548E-3</v>
      </c>
      <c r="W71" s="2"/>
      <c r="X71" s="6">
        <f t="shared" si="22"/>
        <v>3210.8999999999996</v>
      </c>
      <c r="Y71" s="2"/>
      <c r="Z71" s="7">
        <f t="shared" si="23"/>
        <v>0.36389166547670038</v>
      </c>
    </row>
    <row r="72" spans="1:26" s="23" customFormat="1" hidden="1" outlineLevel="2" x14ac:dyDescent="0.25">
      <c r="A72" s="25"/>
      <c r="B72" s="10" t="str">
        <f>CONCATENATE("          ", "6119", " - ", "SICK LEAVE")</f>
        <v xml:space="preserve">          6119 - SICK LEAVE</v>
      </c>
      <c r="C72" s="10"/>
      <c r="D72" s="6">
        <v>1147.56</v>
      </c>
      <c r="E72" s="2"/>
      <c r="F72" s="7">
        <f t="shared" si="16"/>
        <v>9.8250420592553928E-2</v>
      </c>
      <c r="G72" s="2"/>
      <c r="H72" s="6">
        <v>2626.44</v>
      </c>
      <c r="I72" s="2"/>
      <c r="J72" s="7">
        <f t="shared" si="17"/>
        <v>0.18014226522842203</v>
      </c>
      <c r="K72" s="2"/>
      <c r="L72" s="6">
        <f t="shared" si="18"/>
        <v>-1478.88</v>
      </c>
      <c r="M72" s="2"/>
      <c r="N72" s="7">
        <f t="shared" si="19"/>
        <v>-0.56307397085027644</v>
      </c>
      <c r="O72" s="10"/>
      <c r="P72" s="6">
        <v>9887.02</v>
      </c>
      <c r="Q72" s="2"/>
      <c r="R72" s="7">
        <f t="shared" si="20"/>
        <v>5.2653452790978857E-3</v>
      </c>
      <c r="S72" s="2"/>
      <c r="T72" s="6">
        <v>10597.39</v>
      </c>
      <c r="U72" s="2"/>
      <c r="V72" s="7">
        <f t="shared" si="21"/>
        <v>3.2227520978037913E-3</v>
      </c>
      <c r="W72" s="2"/>
      <c r="X72" s="6">
        <f t="shared" si="22"/>
        <v>-710.36999999999898</v>
      </c>
      <c r="Y72" s="2"/>
      <c r="Z72" s="7">
        <f t="shared" si="23"/>
        <v>-6.7032542918586471E-2</v>
      </c>
    </row>
    <row r="73" spans="1:26" s="23" customFormat="1" hidden="1" outlineLevel="2" x14ac:dyDescent="0.25">
      <c r="A73" s="25"/>
      <c r="B73" s="10" t="str">
        <f>CONCATENATE("          ", "6156", " - ", "EMPLOYEE MEALS")</f>
        <v xml:space="preserve">          6156 - EMPLOYEE MEALS</v>
      </c>
      <c r="C73" s="10"/>
      <c r="D73" s="6">
        <v>411.55</v>
      </c>
      <c r="E73" s="2"/>
      <c r="F73" s="7">
        <f t="shared" si="16"/>
        <v>3.5235596042791285E-2</v>
      </c>
      <c r="G73" s="2"/>
      <c r="H73" s="6">
        <v>433.62</v>
      </c>
      <c r="I73" s="2"/>
      <c r="J73" s="7">
        <f t="shared" si="17"/>
        <v>2.9741128313743457E-2</v>
      </c>
      <c r="K73" s="2"/>
      <c r="L73" s="6">
        <f t="shared" si="18"/>
        <v>-22.069999999999993</v>
      </c>
      <c r="M73" s="2"/>
      <c r="N73" s="7">
        <f t="shared" si="19"/>
        <v>-5.0897098842304304E-2</v>
      </c>
      <c r="O73" s="10"/>
      <c r="P73" s="6">
        <v>3787.39</v>
      </c>
      <c r="Q73" s="2"/>
      <c r="R73" s="7">
        <f t="shared" si="20"/>
        <v>2.0169794393662135E-3</v>
      </c>
      <c r="S73" s="2"/>
      <c r="T73" s="6">
        <v>5631.92</v>
      </c>
      <c r="U73" s="2"/>
      <c r="V73" s="7">
        <f t="shared" si="21"/>
        <v>1.7127124692648973E-3</v>
      </c>
      <c r="W73" s="2"/>
      <c r="X73" s="6">
        <f t="shared" si="22"/>
        <v>-1844.5300000000002</v>
      </c>
      <c r="Y73" s="2"/>
      <c r="Z73" s="7">
        <f t="shared" si="23"/>
        <v>-0.32751353002173328</v>
      </c>
    </row>
    <row r="74" spans="1:26" s="26" customFormat="1" outlineLevel="1" collapsed="1" x14ac:dyDescent="0.25">
      <c r="A74" s="27"/>
      <c r="B74" s="12" t="str">
        <f>CONCATENATE("     ","*Payroll                                          ")</f>
        <v xml:space="preserve">     *Payroll                                          </v>
      </c>
      <c r="C74" s="12"/>
      <c r="D74" s="1">
        <f>SUM(OSRRefD22_1x_0)</f>
        <v>25735.149999999998</v>
      </c>
      <c r="E74" s="1"/>
      <c r="F74" s="5">
        <f t="shared" ref="F74:F81" si="24">IF(D$12=0,0,D74/D$12)</f>
        <v>2.2033613157590577</v>
      </c>
      <c r="G74" s="1"/>
      <c r="H74" s="1">
        <f>SUM(OSRRefH22_1x_0)</f>
        <v>23850.33</v>
      </c>
      <c r="I74" s="1"/>
      <c r="J74" s="5">
        <f t="shared" ref="J74:J81" si="25">IF(H$12=0,0,H74/H$12)</f>
        <v>1.6358464204951917</v>
      </c>
      <c r="K74" s="1"/>
      <c r="L74" s="1">
        <f t="shared" ref="L74:L81" si="26">+D74-H74</f>
        <v>1884.8199999999961</v>
      </c>
      <c r="M74" s="1"/>
      <c r="N74" s="5">
        <f t="shared" ref="N74:N81" si="27">IF(H74=0,0,L74/H74)</f>
        <v>7.9026998787857267E-2</v>
      </c>
      <c r="O74" s="12"/>
      <c r="P74" s="1">
        <f>SUM(OSRRefP22_1x_0)</f>
        <v>253133.52000000002</v>
      </c>
      <c r="Q74" s="1"/>
      <c r="R74" s="5">
        <f t="shared" ref="R74:R81" si="28">IF(P$12=0,0,P74/P$12)</f>
        <v>0.13480658322866043</v>
      </c>
      <c r="S74" s="1"/>
      <c r="T74" s="1">
        <f>SUM(OSRRefT22_1x_0)</f>
        <v>256814.09000000003</v>
      </c>
      <c r="U74" s="1"/>
      <c r="V74" s="5">
        <f t="shared" ref="V74:V81" si="29">IF(T$12=0,0,T74/T$12)</f>
        <v>7.8099243992442655E-2</v>
      </c>
      <c r="W74" s="1"/>
      <c r="X74" s="1">
        <f t="shared" ref="X74:X81" si="30">+P74-T74</f>
        <v>-3680.570000000007</v>
      </c>
      <c r="Y74" s="1"/>
      <c r="Z74" s="5">
        <f t="shared" ref="Z74:Z81" si="31">IF(T74=0,0,X74/T74)</f>
        <v>-1.4331651351372531E-2</v>
      </c>
    </row>
    <row r="75" spans="1:26" s="23" customFormat="1" hidden="1" outlineLevel="2" x14ac:dyDescent="0.25">
      <c r="A75" s="25"/>
      <c r="B75" s="10" t="str">
        <f>CONCATENATE("          ", "6001", " - ", "ADMINISTRATIVE SALARIES")</f>
        <v xml:space="preserve">          6001 - ADMINISTRATIVE SALARIES</v>
      </c>
      <c r="C75" s="10"/>
      <c r="D75" s="6"/>
      <c r="E75" s="2"/>
      <c r="F75" s="7">
        <f t="shared" si="24"/>
        <v>0</v>
      </c>
      <c r="G75" s="2"/>
      <c r="H75" s="6"/>
      <c r="I75" s="2"/>
      <c r="J75" s="7">
        <f t="shared" si="25"/>
        <v>0</v>
      </c>
      <c r="K75" s="2"/>
      <c r="L75" s="6">
        <f t="shared" si="26"/>
        <v>0</v>
      </c>
      <c r="M75" s="2"/>
      <c r="N75" s="7">
        <f t="shared" si="27"/>
        <v>0</v>
      </c>
      <c r="O75" s="10"/>
      <c r="P75" s="6">
        <v>-311.32</v>
      </c>
      <c r="Q75" s="2"/>
      <c r="R75" s="7">
        <f t="shared" si="28"/>
        <v>-1.6579386835353357E-4</v>
      </c>
      <c r="S75" s="2"/>
      <c r="T75" s="6">
        <v>0</v>
      </c>
      <c r="U75" s="2"/>
      <c r="V75" s="7">
        <f t="shared" si="29"/>
        <v>0</v>
      </c>
      <c r="W75" s="2"/>
      <c r="X75" s="6">
        <f t="shared" si="30"/>
        <v>-311.32</v>
      </c>
      <c r="Y75" s="2"/>
      <c r="Z75" s="7">
        <f t="shared" si="31"/>
        <v>0</v>
      </c>
    </row>
    <row r="76" spans="1:26" s="23" customFormat="1" hidden="1" outlineLevel="2" x14ac:dyDescent="0.25">
      <c r="A76" s="25"/>
      <c r="B76" s="10" t="str">
        <f>CONCATENATE("          ", "6002", " - ", "STAFF SALARIES")</f>
        <v xml:space="preserve">          6002 - STAFF SALARIES</v>
      </c>
      <c r="C76" s="10"/>
      <c r="D76" s="6">
        <v>16589.439999999999</v>
      </c>
      <c r="E76" s="2"/>
      <c r="F76" s="7">
        <f t="shared" si="24"/>
        <v>1.4203348473238329</v>
      </c>
      <c r="G76" s="2"/>
      <c r="H76" s="6">
        <v>12572.28</v>
      </c>
      <c r="I76" s="2"/>
      <c r="J76" s="7">
        <f t="shared" si="25"/>
        <v>0.86230753350009359</v>
      </c>
      <c r="K76" s="2"/>
      <c r="L76" s="6">
        <f t="shared" si="26"/>
        <v>4017.159999999998</v>
      </c>
      <c r="M76" s="2"/>
      <c r="N76" s="7">
        <f t="shared" si="27"/>
        <v>0.31952517761297061</v>
      </c>
      <c r="O76" s="10"/>
      <c r="P76" s="6">
        <v>154715.68</v>
      </c>
      <c r="Q76" s="2"/>
      <c r="R76" s="7">
        <f t="shared" si="28"/>
        <v>8.2394035340316807E-2</v>
      </c>
      <c r="S76" s="2"/>
      <c r="T76" s="6">
        <v>142536.42000000001</v>
      </c>
      <c r="U76" s="2"/>
      <c r="V76" s="7">
        <f t="shared" si="29"/>
        <v>4.3346479328253688E-2</v>
      </c>
      <c r="W76" s="2"/>
      <c r="X76" s="6">
        <f t="shared" si="30"/>
        <v>12179.25999999998</v>
      </c>
      <c r="Y76" s="2"/>
      <c r="Z76" s="7">
        <f t="shared" si="31"/>
        <v>8.5446652862475284E-2</v>
      </c>
    </row>
    <row r="77" spans="1:26" s="23" customFormat="1" hidden="1" outlineLevel="2" x14ac:dyDescent="0.25">
      <c r="A77" s="25"/>
      <c r="B77" s="10" t="str">
        <f>CONCATENATE("          ", "6004", " - ", "STAFF HOURLY")</f>
        <v xml:space="preserve">          6004 - STAFF HOURLY</v>
      </c>
      <c r="C77" s="10"/>
      <c r="D77" s="6">
        <v>5806.54</v>
      </c>
      <c r="E77" s="2"/>
      <c r="F77" s="7">
        <f t="shared" si="24"/>
        <v>0.49713740212929008</v>
      </c>
      <c r="G77" s="2"/>
      <c r="H77" s="6">
        <v>5563.51</v>
      </c>
      <c r="I77" s="2"/>
      <c r="J77" s="7">
        <f t="shared" si="25"/>
        <v>0.38159002072043463</v>
      </c>
      <c r="K77" s="2"/>
      <c r="L77" s="6">
        <f t="shared" si="26"/>
        <v>243.02999999999975</v>
      </c>
      <c r="M77" s="2"/>
      <c r="N77" s="7">
        <f t="shared" si="27"/>
        <v>4.368285488837078E-2</v>
      </c>
      <c r="O77" s="10"/>
      <c r="P77" s="6">
        <v>59739.26</v>
      </c>
      <c r="Q77" s="2"/>
      <c r="R77" s="7">
        <f t="shared" si="28"/>
        <v>3.1814220120703826E-2</v>
      </c>
      <c r="S77" s="2"/>
      <c r="T77" s="6">
        <v>31860.78</v>
      </c>
      <c r="U77" s="2"/>
      <c r="V77" s="7">
        <f t="shared" si="29"/>
        <v>9.6891211498930478E-3</v>
      </c>
      <c r="W77" s="2"/>
      <c r="X77" s="6">
        <f t="shared" si="30"/>
        <v>27878.480000000003</v>
      </c>
      <c r="Y77" s="2"/>
      <c r="Z77" s="7">
        <f t="shared" si="31"/>
        <v>0.87500933749895649</v>
      </c>
    </row>
    <row r="78" spans="1:26" s="23" customFormat="1" hidden="1" outlineLevel="2" x14ac:dyDescent="0.25">
      <c r="A78" s="25"/>
      <c r="B78" s="10" t="str">
        <f>CONCATENATE("          ", "6005", " - ", "TEMPORARY WAGES-HOURLY")</f>
        <v xml:space="preserve">          6005 - TEMPORARY WAGES-HOURLY</v>
      </c>
      <c r="C78" s="10"/>
      <c r="D78" s="6">
        <v>478.89</v>
      </c>
      <c r="E78" s="2"/>
      <c r="F78" s="7">
        <f t="shared" si="24"/>
        <v>4.1001031682498648E-2</v>
      </c>
      <c r="G78" s="2"/>
      <c r="H78" s="6">
        <v>1613.95</v>
      </c>
      <c r="I78" s="2"/>
      <c r="J78" s="7">
        <f t="shared" si="25"/>
        <v>0.11069760168342385</v>
      </c>
      <c r="K78" s="2"/>
      <c r="L78" s="6">
        <f t="shared" si="26"/>
        <v>-1135.06</v>
      </c>
      <c r="M78" s="2"/>
      <c r="N78" s="7">
        <f t="shared" si="27"/>
        <v>-0.70328077077976392</v>
      </c>
      <c r="O78" s="10"/>
      <c r="P78" s="6">
        <v>13316.89</v>
      </c>
      <c r="Q78" s="2"/>
      <c r="R78" s="7">
        <f t="shared" si="28"/>
        <v>7.0919269804011554E-3</v>
      </c>
      <c r="S78" s="2"/>
      <c r="T78" s="6">
        <v>22392.29</v>
      </c>
      <c r="U78" s="2"/>
      <c r="V78" s="7">
        <f t="shared" si="29"/>
        <v>6.8096766819123258E-3</v>
      </c>
      <c r="W78" s="2"/>
      <c r="X78" s="6">
        <f t="shared" si="30"/>
        <v>-9075.4000000000015</v>
      </c>
      <c r="Y78" s="2"/>
      <c r="Z78" s="7">
        <f t="shared" si="31"/>
        <v>-0.40529128552729538</v>
      </c>
    </row>
    <row r="79" spans="1:26" s="23" customFormat="1" hidden="1" outlineLevel="2" x14ac:dyDescent="0.25">
      <c r="A79" s="25"/>
      <c r="B79" s="10" t="str">
        <f>CONCATENATE("          ", "6006", " - ", "TEMPORARY PART TIME")</f>
        <v xml:space="preserve">          6006 - TEMPORARY PART TIME</v>
      </c>
      <c r="C79" s="10"/>
      <c r="D79" s="6"/>
      <c r="E79" s="2"/>
      <c r="F79" s="7">
        <f t="shared" si="24"/>
        <v>0</v>
      </c>
      <c r="G79" s="2"/>
      <c r="H79" s="6">
        <v>1482.33</v>
      </c>
      <c r="I79" s="2"/>
      <c r="J79" s="7">
        <f t="shared" si="25"/>
        <v>0.10167004919817198</v>
      </c>
      <c r="K79" s="2"/>
      <c r="L79" s="6">
        <f t="shared" si="26"/>
        <v>-1482.33</v>
      </c>
      <c r="M79" s="2"/>
      <c r="N79" s="7">
        <f t="shared" si="27"/>
        <v>-1</v>
      </c>
      <c r="O79" s="10"/>
      <c r="P79" s="6">
        <v>502.29</v>
      </c>
      <c r="Q79" s="2"/>
      <c r="R79" s="7">
        <f t="shared" si="28"/>
        <v>2.6749518866534878E-4</v>
      </c>
      <c r="S79" s="2"/>
      <c r="T79" s="6">
        <v>2309.21</v>
      </c>
      <c r="U79" s="2"/>
      <c r="V79" s="7">
        <f t="shared" si="29"/>
        <v>7.022494568728237E-4</v>
      </c>
      <c r="W79" s="2"/>
      <c r="X79" s="6">
        <f t="shared" si="30"/>
        <v>-1806.92</v>
      </c>
      <c r="Y79" s="2"/>
      <c r="Z79" s="7">
        <f t="shared" si="31"/>
        <v>-0.78248405298781831</v>
      </c>
    </row>
    <row r="80" spans="1:26" s="23" customFormat="1" hidden="1" outlineLevel="2" x14ac:dyDescent="0.25">
      <c r="A80" s="25"/>
      <c r="B80" s="10" t="str">
        <f>CONCATENATE("          ", "6007", " - ", "STUDENT HOURLY")</f>
        <v xml:space="preserve">          6007 - STUDENT HOURLY</v>
      </c>
      <c r="C80" s="10"/>
      <c r="D80" s="6">
        <v>2860.28</v>
      </c>
      <c r="E80" s="2"/>
      <c r="F80" s="7">
        <f t="shared" si="24"/>
        <v>0.24488803462343597</v>
      </c>
      <c r="G80" s="2"/>
      <c r="H80" s="6">
        <v>2618.2600000000002</v>
      </c>
      <c r="I80" s="2"/>
      <c r="J80" s="7">
        <f t="shared" si="25"/>
        <v>0.17958121539306754</v>
      </c>
      <c r="K80" s="2"/>
      <c r="L80" s="6">
        <f t="shared" si="26"/>
        <v>242.01999999999998</v>
      </c>
      <c r="M80" s="2"/>
      <c r="N80" s="7">
        <f t="shared" si="27"/>
        <v>9.2435434219672596E-2</v>
      </c>
      <c r="O80" s="10"/>
      <c r="P80" s="6">
        <v>24203.46</v>
      </c>
      <c r="Q80" s="2"/>
      <c r="R80" s="7">
        <f t="shared" si="28"/>
        <v>1.2889583903828909E-2</v>
      </c>
      <c r="S80" s="2"/>
      <c r="T80" s="6">
        <v>57715.39</v>
      </c>
      <c r="U80" s="2"/>
      <c r="V80" s="7">
        <f t="shared" si="29"/>
        <v>1.7551717375510759E-2</v>
      </c>
      <c r="W80" s="2"/>
      <c r="X80" s="6">
        <f t="shared" si="30"/>
        <v>-33511.93</v>
      </c>
      <c r="Y80" s="2"/>
      <c r="Z80" s="7">
        <f t="shared" si="31"/>
        <v>-0.58064114268308675</v>
      </c>
    </row>
    <row r="81" spans="1:26" s="23" customFormat="1" hidden="1" outlineLevel="2" x14ac:dyDescent="0.25">
      <c r="A81" s="25"/>
      <c r="B81" s="10" t="str">
        <f>CONCATENATE("          ", "6008", " - ", "STUDENT HOURLY-FICA EXEMPT")</f>
        <v xml:space="preserve">          6008 - STUDENT HOURLY-FICA EXEMPT</v>
      </c>
      <c r="C81" s="10"/>
      <c r="D81" s="6"/>
      <c r="E81" s="2"/>
      <c r="F81" s="7">
        <f t="shared" si="24"/>
        <v>0</v>
      </c>
      <c r="G81" s="2"/>
      <c r="H81" s="6"/>
      <c r="I81" s="2"/>
      <c r="J81" s="7">
        <f t="shared" si="25"/>
        <v>0</v>
      </c>
      <c r="K81" s="2"/>
      <c r="L81" s="6">
        <f t="shared" si="26"/>
        <v>0</v>
      </c>
      <c r="M81" s="2"/>
      <c r="N81" s="7">
        <f t="shared" si="27"/>
        <v>0</v>
      </c>
      <c r="O81" s="10"/>
      <c r="P81" s="6">
        <v>967.26</v>
      </c>
      <c r="Q81" s="2"/>
      <c r="R81" s="7">
        <f t="shared" si="28"/>
        <v>5.1511556309790209E-4</v>
      </c>
      <c r="S81" s="2"/>
      <c r="T81" s="6"/>
      <c r="U81" s="2"/>
      <c r="V81" s="7">
        <f t="shared" si="29"/>
        <v>0</v>
      </c>
      <c r="W81" s="2"/>
      <c r="X81" s="6">
        <f t="shared" si="30"/>
        <v>967.26</v>
      </c>
      <c r="Y81" s="2"/>
      <c r="Z81" s="7">
        <f t="shared" si="31"/>
        <v>0</v>
      </c>
    </row>
    <row r="82" spans="1:26" s="26" customFormat="1" outlineLevel="1" collapsed="1" x14ac:dyDescent="0.25">
      <c r="A82" s="27"/>
      <c r="B82" s="12" t="str">
        <f>CONCATENATE("     ","Advertising/Promo                                 ")</f>
        <v xml:space="preserve">     Advertising/Promo                                 </v>
      </c>
      <c r="C82" s="12"/>
      <c r="D82" s="1">
        <f>SUM(OSRRefD22_2x_0)</f>
        <v>30.83</v>
      </c>
      <c r="E82" s="1"/>
      <c r="F82" s="5">
        <f t="shared" ref="F82:F86" si="32">IF(D$12=0,0,D82/D$12)</f>
        <v>2.6395660940329371E-3</v>
      </c>
      <c r="G82" s="1"/>
      <c r="H82" s="1">
        <f>SUM(OSRRefH22_2x_0)</f>
        <v>0</v>
      </c>
      <c r="I82" s="1"/>
      <c r="J82" s="5">
        <f t="shared" ref="J82:J86" si="33">IF(H$12=0,0,H82/H$12)</f>
        <v>0</v>
      </c>
      <c r="K82" s="1"/>
      <c r="L82" s="1">
        <f t="shared" ref="L82:L86" si="34">+D82-H82</f>
        <v>30.83</v>
      </c>
      <c r="M82" s="1"/>
      <c r="N82" s="5">
        <f t="shared" ref="N82:N86" si="35">IF(H82=0,0,L82/H82)</f>
        <v>0</v>
      </c>
      <c r="O82" s="12"/>
      <c r="P82" s="1">
        <f>SUM(OSRRefP22_2x_0)</f>
        <v>2030.38</v>
      </c>
      <c r="Q82" s="1"/>
      <c r="R82" s="5">
        <f t="shared" ref="R82:R86" si="36">IF(P$12=0,0,P82/P$12)</f>
        <v>1.0812814930863664E-3</v>
      </c>
      <c r="S82" s="1"/>
      <c r="T82" s="1">
        <f>SUM(OSRRefT22_2x_0)</f>
        <v>3981.59</v>
      </c>
      <c r="U82" s="1"/>
      <c r="V82" s="5">
        <f t="shared" ref="V82:V86" si="37">IF(T$12=0,0,T82/T$12)</f>
        <v>1.2108337548296891E-3</v>
      </c>
      <c r="W82" s="1"/>
      <c r="X82" s="1">
        <f t="shared" ref="X82:X86" si="38">+P82-T82</f>
        <v>-1951.21</v>
      </c>
      <c r="Y82" s="1"/>
      <c r="Z82" s="5">
        <f t="shared" ref="Z82:Z86" si="39">IF(T82=0,0,X82/T82)</f>
        <v>-0.49005799190775545</v>
      </c>
    </row>
    <row r="83" spans="1:26" s="23" customFormat="1" hidden="1" outlineLevel="2" x14ac:dyDescent="0.25">
      <c r="A83" s="25"/>
      <c r="B83" s="10" t="str">
        <f>CONCATENATE("          ", "6362", " - ", "ADVERTISING EXPENSE")</f>
        <v xml:space="preserve">          6362 - ADVERTISING EXPENSE</v>
      </c>
      <c r="C83" s="10"/>
      <c r="D83" s="6">
        <v>30.83</v>
      </c>
      <c r="E83" s="2"/>
      <c r="F83" s="7">
        <f t="shared" si="32"/>
        <v>2.6395660940329371E-3</v>
      </c>
      <c r="G83" s="2"/>
      <c r="H83" s="6"/>
      <c r="I83" s="2"/>
      <c r="J83" s="7">
        <f t="shared" si="33"/>
        <v>0</v>
      </c>
      <c r="K83" s="2"/>
      <c r="L83" s="6">
        <f t="shared" si="34"/>
        <v>30.83</v>
      </c>
      <c r="M83" s="2"/>
      <c r="N83" s="7">
        <f t="shared" si="35"/>
        <v>0</v>
      </c>
      <c r="O83" s="10"/>
      <c r="P83" s="6">
        <v>2030.38</v>
      </c>
      <c r="Q83" s="2"/>
      <c r="R83" s="7">
        <f t="shared" si="36"/>
        <v>1.0812814930863664E-3</v>
      </c>
      <c r="S83" s="2"/>
      <c r="T83" s="6">
        <v>3981.59</v>
      </c>
      <c r="U83" s="2"/>
      <c r="V83" s="7">
        <f t="shared" si="37"/>
        <v>1.2108337548296891E-3</v>
      </c>
      <c r="W83" s="2"/>
      <c r="X83" s="6">
        <f t="shared" si="38"/>
        <v>-1951.21</v>
      </c>
      <c r="Y83" s="2"/>
      <c r="Z83" s="7">
        <f t="shared" si="39"/>
        <v>-0.49005799190775545</v>
      </c>
    </row>
    <row r="84" spans="1:26" s="26" customFormat="1" outlineLevel="1" collapsed="1" x14ac:dyDescent="0.25">
      <c r="A84" s="27"/>
      <c r="B84" s="12" t="str">
        <f>CONCATENATE("     ","Discounts and Markdowns                           ")</f>
        <v xml:space="preserve">     Discounts and Markdowns                           </v>
      </c>
      <c r="C84" s="12"/>
      <c r="D84" s="1">
        <f>SUM(OSRRefD22_3x_0)</f>
        <v>0</v>
      </c>
      <c r="E84" s="1"/>
      <c r="F84" s="5">
        <f t="shared" si="32"/>
        <v>0</v>
      </c>
      <c r="G84" s="1"/>
      <c r="H84" s="1">
        <f>SUM(OSRRefH22_3x_0)</f>
        <v>-581.66</v>
      </c>
      <c r="I84" s="1"/>
      <c r="J84" s="5">
        <f t="shared" si="33"/>
        <v>-3.9894895749670256E-2</v>
      </c>
      <c r="K84" s="1"/>
      <c r="L84" s="1">
        <f t="shared" si="34"/>
        <v>581.66</v>
      </c>
      <c r="M84" s="1"/>
      <c r="N84" s="5">
        <f t="shared" si="35"/>
        <v>-1</v>
      </c>
      <c r="O84" s="12"/>
      <c r="P84" s="1">
        <f>SUM(OSRRefP22_3x_0)</f>
        <v>0</v>
      </c>
      <c r="Q84" s="1"/>
      <c r="R84" s="5">
        <f t="shared" si="36"/>
        <v>0</v>
      </c>
      <c r="S84" s="1"/>
      <c r="T84" s="1">
        <f>SUM(OSRRefT22_3x_0)</f>
        <v>-249.98</v>
      </c>
      <c r="U84" s="1"/>
      <c r="V84" s="5">
        <f t="shared" si="37"/>
        <v>-7.6020941893144609E-5</v>
      </c>
      <c r="W84" s="1"/>
      <c r="X84" s="1">
        <f t="shared" si="38"/>
        <v>249.98</v>
      </c>
      <c r="Y84" s="1"/>
      <c r="Z84" s="5">
        <f t="shared" si="39"/>
        <v>-1</v>
      </c>
    </row>
    <row r="85" spans="1:26" s="23" customFormat="1" hidden="1" outlineLevel="2" x14ac:dyDescent="0.25">
      <c r="A85" s="25"/>
      <c r="B85" s="10" t="str">
        <f>CONCATENATE("          ", "6382", " - ", "DISCOUNTS/MARK DOWNS")</f>
        <v xml:space="preserve">          6382 - DISCOUNTS/MARK DOWNS</v>
      </c>
      <c r="C85" s="10"/>
      <c r="D85" s="6">
        <v>0</v>
      </c>
      <c r="E85" s="2"/>
      <c r="F85" s="7">
        <f t="shared" si="32"/>
        <v>0</v>
      </c>
      <c r="G85" s="2"/>
      <c r="H85" s="6">
        <v>-581.66</v>
      </c>
      <c r="I85" s="2"/>
      <c r="J85" s="7">
        <f t="shared" si="33"/>
        <v>-3.9894895749670256E-2</v>
      </c>
      <c r="K85" s="2"/>
      <c r="L85" s="6">
        <f t="shared" si="34"/>
        <v>581.66</v>
      </c>
      <c r="M85" s="2"/>
      <c r="N85" s="7">
        <f t="shared" si="35"/>
        <v>-1</v>
      </c>
      <c r="O85" s="10"/>
      <c r="P85" s="6">
        <v>0</v>
      </c>
      <c r="Q85" s="2"/>
      <c r="R85" s="7">
        <f t="shared" si="36"/>
        <v>0</v>
      </c>
      <c r="S85" s="2"/>
      <c r="T85" s="6">
        <v>202.29</v>
      </c>
      <c r="U85" s="2"/>
      <c r="V85" s="7">
        <f t="shared" si="37"/>
        <v>6.1518026784399652E-5</v>
      </c>
      <c r="W85" s="2"/>
      <c r="X85" s="6">
        <f t="shared" si="38"/>
        <v>-202.29</v>
      </c>
      <c r="Y85" s="2"/>
      <c r="Z85" s="7">
        <f t="shared" si="39"/>
        <v>-1</v>
      </c>
    </row>
    <row r="86" spans="1:26" s="23" customFormat="1" hidden="1" outlineLevel="2" x14ac:dyDescent="0.25">
      <c r="A86" s="25"/>
      <c r="B86" s="10" t="str">
        <f>CONCATENATE("          ", "9175", " - ", "EARNED DISCOUNTS")</f>
        <v xml:space="preserve">          9175 - EARNED DISCOUNTS</v>
      </c>
      <c r="C86" s="10"/>
      <c r="D86" s="6"/>
      <c r="E86" s="2"/>
      <c r="F86" s="7">
        <f t="shared" si="32"/>
        <v>0</v>
      </c>
      <c r="G86" s="2"/>
      <c r="H86" s="6"/>
      <c r="I86" s="2"/>
      <c r="J86" s="7">
        <f t="shared" si="33"/>
        <v>0</v>
      </c>
      <c r="K86" s="2"/>
      <c r="L86" s="6">
        <f t="shared" si="34"/>
        <v>0</v>
      </c>
      <c r="M86" s="2"/>
      <c r="N86" s="7">
        <f t="shared" si="35"/>
        <v>0</v>
      </c>
      <c r="O86" s="10"/>
      <c r="P86" s="6">
        <v>0</v>
      </c>
      <c r="Q86" s="2"/>
      <c r="R86" s="7">
        <f t="shared" si="36"/>
        <v>0</v>
      </c>
      <c r="S86" s="2"/>
      <c r="T86" s="6">
        <v>-452.27</v>
      </c>
      <c r="U86" s="2"/>
      <c r="V86" s="7">
        <f t="shared" si="37"/>
        <v>-1.3753896867754425E-4</v>
      </c>
      <c r="W86" s="2"/>
      <c r="X86" s="6">
        <f t="shared" si="38"/>
        <v>452.27</v>
      </c>
      <c r="Y86" s="2"/>
      <c r="Z86" s="7">
        <f t="shared" si="39"/>
        <v>-1</v>
      </c>
    </row>
    <row r="87" spans="1:26" s="26" customFormat="1" outlineLevel="1" collapsed="1" x14ac:dyDescent="0.25">
      <c r="A87" s="27"/>
      <c r="B87" s="12" t="str">
        <f>CONCATENATE("     ","Employees' Appreciation                           ")</f>
        <v xml:space="preserve">     Employees' Appreciation                           </v>
      </c>
      <c r="C87" s="12"/>
      <c r="D87" s="1">
        <f>SUM(OSRRefD22_4x_0)</f>
        <v>0</v>
      </c>
      <c r="E87" s="1"/>
      <c r="F87" s="5">
        <f t="shared" ref="F87:F93" si="40">IF(D$12=0,0,D87/D$12)</f>
        <v>0</v>
      </c>
      <c r="G87" s="1"/>
      <c r="H87" s="1">
        <f>SUM(OSRRefH22_4x_0)</f>
        <v>82.3</v>
      </c>
      <c r="I87" s="1"/>
      <c r="J87" s="5">
        <f t="shared" ref="J87:J93" si="41">IF(H$12=0,0,H87/H$12)</f>
        <v>5.6447923532611183E-3</v>
      </c>
      <c r="K87" s="1"/>
      <c r="L87" s="1">
        <f t="shared" ref="L87:L93" si="42">+D87-H87</f>
        <v>-82.3</v>
      </c>
      <c r="M87" s="1"/>
      <c r="N87" s="5">
        <f t="shared" ref="N87:N93" si="43">IF(H87=0,0,L87/H87)</f>
        <v>-1</v>
      </c>
      <c r="O87" s="12"/>
      <c r="P87" s="1">
        <f>SUM(OSRRefP22_4x_0)</f>
        <v>107.7</v>
      </c>
      <c r="Q87" s="1"/>
      <c r="R87" s="5">
        <f t="shared" ref="R87:R93" si="44">IF(P$12=0,0,P87/P$12)</f>
        <v>5.73557741927135E-5</v>
      </c>
      <c r="S87" s="1"/>
      <c r="T87" s="1">
        <f>SUM(OSRRefT22_4x_0)</f>
        <v>120.18</v>
      </c>
      <c r="U87" s="1"/>
      <c r="V87" s="5">
        <f t="shared" ref="V87:V93" si="45">IF(T$12=0,0,T87/T$12)</f>
        <v>3.6547711003752782E-5</v>
      </c>
      <c r="W87" s="1"/>
      <c r="X87" s="1">
        <f t="shared" ref="X87:X93" si="46">+P87-T87</f>
        <v>-12.480000000000004</v>
      </c>
      <c r="Y87" s="1"/>
      <c r="Z87" s="5">
        <f t="shared" ref="Z87:Z93" si="47">IF(T87=0,0,X87/T87)</f>
        <v>-0.10384423364952573</v>
      </c>
    </row>
    <row r="88" spans="1:26" s="23" customFormat="1" hidden="1" outlineLevel="2" x14ac:dyDescent="0.25">
      <c r="A88" s="25"/>
      <c r="B88" s="10" t="str">
        <f>CONCATENATE("          ", "6277", " - ", "EMPLOYEE APPRECIATION")</f>
        <v xml:space="preserve">          6277 - EMPLOYEE APPRECIATION</v>
      </c>
      <c r="C88" s="10"/>
      <c r="D88" s="6"/>
      <c r="E88" s="2"/>
      <c r="F88" s="7">
        <f t="shared" si="40"/>
        <v>0</v>
      </c>
      <c r="G88" s="2"/>
      <c r="H88" s="6">
        <v>82.3</v>
      </c>
      <c r="I88" s="2"/>
      <c r="J88" s="7">
        <f t="shared" si="41"/>
        <v>5.6447923532611183E-3</v>
      </c>
      <c r="K88" s="2"/>
      <c r="L88" s="6">
        <f t="shared" si="42"/>
        <v>-82.3</v>
      </c>
      <c r="M88" s="2"/>
      <c r="N88" s="7">
        <f t="shared" si="43"/>
        <v>-1</v>
      </c>
      <c r="O88" s="10"/>
      <c r="P88" s="6">
        <v>107.7</v>
      </c>
      <c r="Q88" s="2"/>
      <c r="R88" s="7">
        <f t="shared" si="44"/>
        <v>5.73557741927135E-5</v>
      </c>
      <c r="S88" s="2"/>
      <c r="T88" s="6">
        <v>120.18</v>
      </c>
      <c r="U88" s="2"/>
      <c r="V88" s="7">
        <f t="shared" si="45"/>
        <v>3.6547711003752782E-5</v>
      </c>
      <c r="W88" s="2"/>
      <c r="X88" s="6">
        <f t="shared" si="46"/>
        <v>-12.480000000000004</v>
      </c>
      <c r="Y88" s="2"/>
      <c r="Z88" s="7">
        <f t="shared" si="47"/>
        <v>-0.10384423364952573</v>
      </c>
    </row>
    <row r="89" spans="1:26" s="26" customFormat="1" outlineLevel="1" collapsed="1" x14ac:dyDescent="0.25">
      <c r="A89" s="27"/>
      <c r="B89" s="12" t="str">
        <f>CONCATENATE("     ","Equipment Rental                                  ")</f>
        <v xml:space="preserve">     Equipment Rental                                  </v>
      </c>
      <c r="C89" s="12"/>
      <c r="D89" s="1">
        <f>SUM(OSRRefD22_5x_0)</f>
        <v>91.26</v>
      </c>
      <c r="E89" s="1"/>
      <c r="F89" s="5">
        <f t="shared" si="40"/>
        <v>7.8133896121130673E-3</v>
      </c>
      <c r="G89" s="1"/>
      <c r="H89" s="1">
        <f>SUM(OSRRefH22_5x_0)</f>
        <v>91.26</v>
      </c>
      <c r="I89" s="1"/>
      <c r="J89" s="5">
        <f t="shared" si="41"/>
        <v>6.2593408281726576E-3</v>
      </c>
      <c r="K89" s="1"/>
      <c r="L89" s="1">
        <f t="shared" si="42"/>
        <v>0</v>
      </c>
      <c r="M89" s="1"/>
      <c r="N89" s="5">
        <f t="shared" si="43"/>
        <v>0</v>
      </c>
      <c r="O89" s="12"/>
      <c r="P89" s="1">
        <f>SUM(OSRRefP22_5x_0)</f>
        <v>821.34</v>
      </c>
      <c r="Q89" s="1"/>
      <c r="R89" s="5">
        <f t="shared" si="44"/>
        <v>4.374056785092229E-4</v>
      </c>
      <c r="S89" s="1"/>
      <c r="T89" s="1">
        <f>SUM(OSRRefT22_5x_0)</f>
        <v>821.34</v>
      </c>
      <c r="U89" s="1"/>
      <c r="V89" s="5">
        <f t="shared" si="45"/>
        <v>2.4977614374956157E-4</v>
      </c>
      <c r="W89" s="1"/>
      <c r="X89" s="1">
        <f t="shared" si="46"/>
        <v>0</v>
      </c>
      <c r="Y89" s="1"/>
      <c r="Z89" s="5">
        <f t="shared" si="47"/>
        <v>0</v>
      </c>
    </row>
    <row r="90" spans="1:26" s="23" customFormat="1" hidden="1" outlineLevel="2" x14ac:dyDescent="0.25">
      <c r="A90" s="25"/>
      <c r="B90" s="10" t="str">
        <f>CONCATENATE("          ", "6351", " - ", "EQUIPMENT RENTAL")</f>
        <v xml:space="preserve">          6351 - EQUIPMENT RENTAL</v>
      </c>
      <c r="C90" s="10"/>
      <c r="D90" s="6">
        <v>91.26</v>
      </c>
      <c r="E90" s="2"/>
      <c r="F90" s="7">
        <f t="shared" si="40"/>
        <v>7.8133896121130673E-3</v>
      </c>
      <c r="G90" s="2"/>
      <c r="H90" s="6">
        <v>91.26</v>
      </c>
      <c r="I90" s="2"/>
      <c r="J90" s="7">
        <f t="shared" si="41"/>
        <v>6.2593408281726576E-3</v>
      </c>
      <c r="K90" s="2"/>
      <c r="L90" s="6">
        <f t="shared" si="42"/>
        <v>0</v>
      </c>
      <c r="M90" s="2"/>
      <c r="N90" s="7">
        <f t="shared" si="43"/>
        <v>0</v>
      </c>
      <c r="O90" s="10"/>
      <c r="P90" s="6">
        <v>821.34</v>
      </c>
      <c r="Q90" s="2"/>
      <c r="R90" s="7">
        <f t="shared" si="44"/>
        <v>4.374056785092229E-4</v>
      </c>
      <c r="S90" s="2"/>
      <c r="T90" s="6">
        <v>821.34</v>
      </c>
      <c r="U90" s="2"/>
      <c r="V90" s="7">
        <f t="shared" si="45"/>
        <v>2.4977614374956157E-4</v>
      </c>
      <c r="W90" s="2"/>
      <c r="X90" s="6">
        <f t="shared" si="46"/>
        <v>0</v>
      </c>
      <c r="Y90" s="2"/>
      <c r="Z90" s="7">
        <f t="shared" si="47"/>
        <v>0</v>
      </c>
    </row>
    <row r="91" spans="1:26" s="26" customFormat="1" outlineLevel="1" collapsed="1" x14ac:dyDescent="0.25">
      <c r="A91" s="27"/>
      <c r="B91" s="12" t="str">
        <f>CONCATENATE("     ","Freight out/Postage                               ")</f>
        <v xml:space="preserve">     Freight out/Postage                               </v>
      </c>
      <c r="C91" s="12"/>
      <c r="D91" s="1">
        <f>SUM(OSRRefD22_6x_0)</f>
        <v>7217.53</v>
      </c>
      <c r="E91" s="1"/>
      <c r="F91" s="5">
        <f t="shared" si="40"/>
        <v>0.61794185762781528</v>
      </c>
      <c r="G91" s="1"/>
      <c r="H91" s="1">
        <f>SUM(OSRRefH22_6x_0)</f>
        <v>2959.5</v>
      </c>
      <c r="I91" s="1"/>
      <c r="J91" s="5">
        <f t="shared" si="41"/>
        <v>0.20298618431927437</v>
      </c>
      <c r="K91" s="1"/>
      <c r="L91" s="1">
        <f t="shared" si="42"/>
        <v>4258.03</v>
      </c>
      <c r="M91" s="1"/>
      <c r="N91" s="5">
        <f t="shared" si="43"/>
        <v>1.4387666835614124</v>
      </c>
      <c r="O91" s="12"/>
      <c r="P91" s="1">
        <f>SUM(OSRRefP22_6x_0)</f>
        <v>17681.86</v>
      </c>
      <c r="Q91" s="1"/>
      <c r="R91" s="5">
        <f t="shared" si="44"/>
        <v>9.4164973952383761E-3</v>
      </c>
      <c r="S91" s="1"/>
      <c r="T91" s="1">
        <f>SUM(OSRRefT22_6x_0)</f>
        <v>15248.400000000001</v>
      </c>
      <c r="U91" s="1"/>
      <c r="V91" s="5">
        <f t="shared" si="45"/>
        <v>4.6371618944052581E-3</v>
      </c>
      <c r="W91" s="1"/>
      <c r="X91" s="1">
        <f t="shared" si="46"/>
        <v>2433.4599999999991</v>
      </c>
      <c r="Y91" s="1"/>
      <c r="Z91" s="5">
        <f t="shared" si="47"/>
        <v>0.15958789118858366</v>
      </c>
    </row>
    <row r="92" spans="1:26" s="23" customFormat="1" hidden="1" outlineLevel="2" x14ac:dyDescent="0.25">
      <c r="A92" s="25"/>
      <c r="B92" s="10" t="str">
        <f>CONCATENATE("          ", "6305", " - ", "FREIGHT OUT")</f>
        <v xml:space="preserve">          6305 - FREIGHT OUT</v>
      </c>
      <c r="C92" s="10"/>
      <c r="D92" s="6">
        <v>7217.53</v>
      </c>
      <c r="E92" s="2"/>
      <c r="F92" s="7">
        <f t="shared" si="40"/>
        <v>0.61794185762781528</v>
      </c>
      <c r="G92" s="2"/>
      <c r="H92" s="6">
        <v>2959</v>
      </c>
      <c r="I92" s="2"/>
      <c r="J92" s="7">
        <f t="shared" si="41"/>
        <v>0.20295189031955832</v>
      </c>
      <c r="K92" s="2"/>
      <c r="L92" s="6">
        <f t="shared" si="42"/>
        <v>4258.53</v>
      </c>
      <c r="M92" s="2"/>
      <c r="N92" s="7">
        <f t="shared" si="43"/>
        <v>1.4391787766137207</v>
      </c>
      <c r="O92" s="10"/>
      <c r="P92" s="6">
        <v>17681.36</v>
      </c>
      <c r="Q92" s="2"/>
      <c r="R92" s="7">
        <f t="shared" si="44"/>
        <v>9.4162311195921718E-3</v>
      </c>
      <c r="S92" s="2"/>
      <c r="T92" s="6">
        <v>15246.45</v>
      </c>
      <c r="U92" s="2"/>
      <c r="V92" s="7">
        <f t="shared" si="45"/>
        <v>4.6365688836176285E-3</v>
      </c>
      <c r="W92" s="2"/>
      <c r="X92" s="6">
        <f t="shared" si="46"/>
        <v>2434.91</v>
      </c>
      <c r="Y92" s="2"/>
      <c r="Z92" s="7">
        <f t="shared" si="47"/>
        <v>0.15970340636672797</v>
      </c>
    </row>
    <row r="93" spans="1:26" s="23" customFormat="1" hidden="1" outlineLevel="2" x14ac:dyDescent="0.25">
      <c r="A93" s="25"/>
      <c r="B93" s="10" t="str">
        <f>CONCATENATE("          ", "6307", " - ", "POSTAGE")</f>
        <v xml:space="preserve">          6307 - POSTAGE</v>
      </c>
      <c r="C93" s="10"/>
      <c r="D93" s="6"/>
      <c r="E93" s="2"/>
      <c r="F93" s="7">
        <f t="shared" si="40"/>
        <v>0</v>
      </c>
      <c r="G93" s="2"/>
      <c r="H93" s="6">
        <v>0.5</v>
      </c>
      <c r="I93" s="2"/>
      <c r="J93" s="7">
        <f t="shared" si="41"/>
        <v>3.4293999716045676E-5</v>
      </c>
      <c r="K93" s="2"/>
      <c r="L93" s="6">
        <f t="shared" si="42"/>
        <v>-0.5</v>
      </c>
      <c r="M93" s="2"/>
      <c r="N93" s="7">
        <f t="shared" si="43"/>
        <v>-1</v>
      </c>
      <c r="O93" s="10"/>
      <c r="P93" s="6">
        <v>0.5</v>
      </c>
      <c r="Q93" s="2"/>
      <c r="R93" s="7">
        <f t="shared" si="44"/>
        <v>2.6627564620572658E-7</v>
      </c>
      <c r="S93" s="2"/>
      <c r="T93" s="6">
        <v>1.95</v>
      </c>
      <c r="U93" s="2"/>
      <c r="V93" s="7">
        <f t="shared" si="45"/>
        <v>5.9301078762953832E-7</v>
      </c>
      <c r="W93" s="2"/>
      <c r="X93" s="6">
        <f t="shared" si="46"/>
        <v>-1.45</v>
      </c>
      <c r="Y93" s="2"/>
      <c r="Z93" s="7">
        <f t="shared" si="47"/>
        <v>-0.74358974358974361</v>
      </c>
    </row>
    <row r="94" spans="1:26" s="26" customFormat="1" outlineLevel="1" collapsed="1" x14ac:dyDescent="0.25">
      <c r="A94" s="27"/>
      <c r="B94" s="12" t="str">
        <f>CONCATENATE("     ","General                                           ")</f>
        <v xml:space="preserve">     General                                           </v>
      </c>
      <c r="C94" s="12"/>
      <c r="D94" s="1">
        <f>SUM(OSRRefD22_7x_0)</f>
        <v>0</v>
      </c>
      <c r="E94" s="1"/>
      <c r="F94" s="5">
        <f t="shared" ref="F94:F98" si="48">IF(D$12=0,0,D94/D$12)</f>
        <v>0</v>
      </c>
      <c r="G94" s="1"/>
      <c r="H94" s="1">
        <f>SUM(OSRRefH22_7x_0)</f>
        <v>0</v>
      </c>
      <c r="I94" s="1"/>
      <c r="J94" s="5">
        <f t="shared" ref="J94:J98" si="49">IF(H$12=0,0,H94/H$12)</f>
        <v>0</v>
      </c>
      <c r="K94" s="1"/>
      <c r="L94" s="1">
        <f t="shared" ref="L94:L98" si="50">+D94-H94</f>
        <v>0</v>
      </c>
      <c r="M94" s="1"/>
      <c r="N94" s="5">
        <f t="shared" ref="N94:N98" si="51">IF(H94=0,0,L94/H94)</f>
        <v>0</v>
      </c>
      <c r="O94" s="12"/>
      <c r="P94" s="1">
        <f>SUM(OSRRefP22_7x_0)</f>
        <v>-1042.03</v>
      </c>
      <c r="Q94" s="1"/>
      <c r="R94" s="5">
        <f t="shared" ref="R94:R98" si="52">IF(P$12=0,0,P94/P$12)</f>
        <v>-5.5493442323150646E-4</v>
      </c>
      <c r="S94" s="1"/>
      <c r="T94" s="1">
        <f>SUM(OSRRefT22_7x_0)</f>
        <v>8253.06</v>
      </c>
      <c r="U94" s="1"/>
      <c r="V94" s="5">
        <f t="shared" ref="V94:V98" si="53">IF(T$12=0,0,T94/T$12)</f>
        <v>2.5098223645917115E-3</v>
      </c>
      <c r="W94" s="1"/>
      <c r="X94" s="1">
        <f t="shared" ref="X94:X98" si="54">+P94-T94</f>
        <v>-9295.09</v>
      </c>
      <c r="Y94" s="1"/>
      <c r="Z94" s="5">
        <f t="shared" ref="Z94:Z98" si="55">IF(T94=0,0,X94/T94)</f>
        <v>-1.126259835745772</v>
      </c>
    </row>
    <row r="95" spans="1:26" s="23" customFormat="1" hidden="1" outlineLevel="2" x14ac:dyDescent="0.25">
      <c r="A95" s="25"/>
      <c r="B95" s="10" t="str">
        <f>CONCATENATE("          ", "6279", " - ", "GENERAL EXPENSE")</f>
        <v xml:space="preserve">          6279 - GENERAL EXPENSE</v>
      </c>
      <c r="C95" s="10"/>
      <c r="D95" s="6">
        <v>0</v>
      </c>
      <c r="E95" s="2"/>
      <c r="F95" s="7">
        <f t="shared" si="48"/>
        <v>0</v>
      </c>
      <c r="G95" s="2"/>
      <c r="H95" s="6"/>
      <c r="I95" s="2"/>
      <c r="J95" s="7">
        <f t="shared" si="49"/>
        <v>0</v>
      </c>
      <c r="K95" s="2"/>
      <c r="L95" s="6">
        <f t="shared" si="50"/>
        <v>0</v>
      </c>
      <c r="M95" s="2"/>
      <c r="N95" s="7">
        <f t="shared" si="51"/>
        <v>0</v>
      </c>
      <c r="O95" s="10"/>
      <c r="P95" s="6">
        <v>-1042.03</v>
      </c>
      <c r="Q95" s="2"/>
      <c r="R95" s="7">
        <f t="shared" si="52"/>
        <v>-5.5493442323150646E-4</v>
      </c>
      <c r="S95" s="2"/>
      <c r="T95" s="6">
        <v>8253.06</v>
      </c>
      <c r="U95" s="2"/>
      <c r="V95" s="7">
        <f t="shared" si="53"/>
        <v>2.5098223645917115E-3</v>
      </c>
      <c r="W95" s="2"/>
      <c r="X95" s="6">
        <f t="shared" si="54"/>
        <v>-9295.09</v>
      </c>
      <c r="Y95" s="2"/>
      <c r="Z95" s="7">
        <f t="shared" si="55"/>
        <v>-1.126259835745772</v>
      </c>
    </row>
    <row r="96" spans="1:26" s="26" customFormat="1" outlineLevel="1" collapsed="1" x14ac:dyDescent="0.25">
      <c r="A96" s="27"/>
      <c r="B96" s="12" t="str">
        <f>CONCATENATE("     ","Inventory Adjustment                              ")</f>
        <v xml:space="preserve">     Inventory Adjustment                              </v>
      </c>
      <c r="C96" s="12"/>
      <c r="D96" s="1">
        <f>SUM(OSRRefD22_8x_0)</f>
        <v>1000</v>
      </c>
      <c r="E96" s="1"/>
      <c r="F96" s="5">
        <f t="shared" si="48"/>
        <v>8.5616804866459215E-2</v>
      </c>
      <c r="G96" s="1"/>
      <c r="H96" s="1">
        <f>SUM(OSRRefH22_8x_0)</f>
        <v>1000</v>
      </c>
      <c r="I96" s="1"/>
      <c r="J96" s="5">
        <f t="shared" si="49"/>
        <v>6.8587999432091359E-2</v>
      </c>
      <c r="K96" s="1"/>
      <c r="L96" s="1">
        <f t="shared" si="50"/>
        <v>0</v>
      </c>
      <c r="M96" s="1"/>
      <c r="N96" s="5">
        <f t="shared" si="51"/>
        <v>0</v>
      </c>
      <c r="O96" s="12"/>
      <c r="P96" s="1">
        <f>SUM(OSRRefP22_8x_0)</f>
        <v>14000</v>
      </c>
      <c r="Q96" s="1"/>
      <c r="R96" s="5">
        <f t="shared" si="52"/>
        <v>7.4557180937603433E-3</v>
      </c>
      <c r="S96" s="1"/>
      <c r="T96" s="1">
        <f>SUM(OSRRefT22_8x_0)</f>
        <v>14800</v>
      </c>
      <c r="U96" s="1"/>
      <c r="V96" s="5">
        <f t="shared" si="53"/>
        <v>4.5007998240600856E-3</v>
      </c>
      <c r="W96" s="1"/>
      <c r="X96" s="1">
        <f t="shared" si="54"/>
        <v>-800</v>
      </c>
      <c r="Y96" s="1"/>
      <c r="Z96" s="5">
        <f t="shared" si="55"/>
        <v>-5.4054054054054057E-2</v>
      </c>
    </row>
    <row r="97" spans="1:26" s="23" customFormat="1" hidden="1" outlineLevel="2" x14ac:dyDescent="0.25">
      <c r="A97" s="25"/>
      <c r="B97" s="10" t="str">
        <f>CONCATENATE("          ", "6408", " - ", "INVENTORY ADJUSTMENT")</f>
        <v xml:space="preserve">          6408 - INVENTORY ADJUSTMENT</v>
      </c>
      <c r="C97" s="10"/>
      <c r="D97" s="6">
        <v>1000</v>
      </c>
      <c r="E97" s="2"/>
      <c r="F97" s="7">
        <f t="shared" si="48"/>
        <v>8.5616804866459215E-2</v>
      </c>
      <c r="G97" s="2"/>
      <c r="H97" s="6">
        <v>1000</v>
      </c>
      <c r="I97" s="2"/>
      <c r="J97" s="7">
        <f t="shared" si="49"/>
        <v>6.8587999432091359E-2</v>
      </c>
      <c r="K97" s="2"/>
      <c r="L97" s="6">
        <f t="shared" si="50"/>
        <v>0</v>
      </c>
      <c r="M97" s="2"/>
      <c r="N97" s="7">
        <f t="shared" si="51"/>
        <v>0</v>
      </c>
      <c r="O97" s="10"/>
      <c r="P97" s="6">
        <v>14000</v>
      </c>
      <c r="Q97" s="2"/>
      <c r="R97" s="7">
        <f t="shared" si="52"/>
        <v>7.4557180937603433E-3</v>
      </c>
      <c r="S97" s="2"/>
      <c r="T97" s="6">
        <v>14800</v>
      </c>
      <c r="U97" s="2"/>
      <c r="V97" s="7">
        <f t="shared" si="53"/>
        <v>4.5007998240600856E-3</v>
      </c>
      <c r="W97" s="2"/>
      <c r="X97" s="6">
        <f t="shared" si="54"/>
        <v>-800</v>
      </c>
      <c r="Y97" s="2"/>
      <c r="Z97" s="7">
        <f t="shared" si="55"/>
        <v>-5.4054054054054057E-2</v>
      </c>
    </row>
    <row r="98" spans="1:26" s="23" customFormat="1" hidden="1" outlineLevel="2" x14ac:dyDescent="0.25">
      <c r="A98" s="25"/>
      <c r="B98" s="10" t="str">
        <f>CONCATENATE("          ", "7701", " - ", "INV. SHRINKAGE-NEW TEXT")</f>
        <v xml:space="preserve">          7701 - INV. SHRINKAGE-NEW TEXT</v>
      </c>
      <c r="C98" s="10"/>
      <c r="D98" s="6"/>
      <c r="E98" s="2"/>
      <c r="F98" s="7">
        <f t="shared" si="48"/>
        <v>0</v>
      </c>
      <c r="G98" s="2"/>
      <c r="H98" s="6"/>
      <c r="I98" s="2"/>
      <c r="J98" s="7">
        <f t="shared" si="49"/>
        <v>0</v>
      </c>
      <c r="K98" s="2"/>
      <c r="L98" s="6">
        <f t="shared" si="50"/>
        <v>0</v>
      </c>
      <c r="M98" s="2"/>
      <c r="N98" s="7">
        <f t="shared" si="51"/>
        <v>0</v>
      </c>
      <c r="O98" s="10"/>
      <c r="P98" s="6"/>
      <c r="Q98" s="2"/>
      <c r="R98" s="7">
        <f t="shared" si="52"/>
        <v>0</v>
      </c>
      <c r="S98" s="2"/>
      <c r="T98" s="6">
        <v>0</v>
      </c>
      <c r="U98" s="2"/>
      <c r="V98" s="7">
        <f t="shared" si="53"/>
        <v>0</v>
      </c>
      <c r="W98" s="2"/>
      <c r="X98" s="6">
        <f t="shared" si="54"/>
        <v>0</v>
      </c>
      <c r="Y98" s="2"/>
      <c r="Z98" s="7">
        <f t="shared" si="55"/>
        <v>0</v>
      </c>
    </row>
    <row r="99" spans="1:26" s="26" customFormat="1" outlineLevel="1" collapsed="1" x14ac:dyDescent="0.25">
      <c r="A99" s="27"/>
      <c r="B99" s="12" t="str">
        <f>CONCATENATE("     ","Repair and Maintenance                            ")</f>
        <v xml:space="preserve">     Repair and Maintenance                            </v>
      </c>
      <c r="C99" s="12"/>
      <c r="D99" s="1">
        <f>SUM(OSRRefD22_9x_0)</f>
        <v>24.47</v>
      </c>
      <c r="E99" s="1"/>
      <c r="F99" s="5">
        <f t="shared" ref="F99:F101" si="56">IF(D$12=0,0,D99/D$12)</f>
        <v>2.0950432150822567E-3</v>
      </c>
      <c r="G99" s="1"/>
      <c r="H99" s="1">
        <f>SUM(OSRRefH22_9x_0)</f>
        <v>23.52</v>
      </c>
      <c r="I99" s="1"/>
      <c r="J99" s="5">
        <f t="shared" ref="J99:J101" si="57">IF(H$12=0,0,H99/H$12)</f>
        <v>1.6131897466427887E-3</v>
      </c>
      <c r="K99" s="1"/>
      <c r="L99" s="1">
        <f t="shared" ref="L99:L101" si="58">+D99-H99</f>
        <v>0.94999999999999929</v>
      </c>
      <c r="M99" s="1"/>
      <c r="N99" s="5">
        <f t="shared" ref="N99:N101" si="59">IF(H99=0,0,L99/H99)</f>
        <v>4.0391156462585003E-2</v>
      </c>
      <c r="O99" s="12"/>
      <c r="P99" s="1">
        <f>SUM(OSRRefP22_9x_0)</f>
        <v>207.32</v>
      </c>
      <c r="Q99" s="1"/>
      <c r="R99" s="5">
        <f t="shared" ref="R99:R101" si="60">IF(P$12=0,0,P99/P$12)</f>
        <v>1.1040853394274245E-4</v>
      </c>
      <c r="S99" s="1"/>
      <c r="T99" s="1">
        <f>SUM(OSRRefT22_9x_0)</f>
        <v>210.3</v>
      </c>
      <c r="U99" s="1"/>
      <c r="V99" s="5">
        <f t="shared" ref="V99:V101" si="61">IF(T$12=0,0,T99/T$12)</f>
        <v>6.3953932635124066E-5</v>
      </c>
      <c r="W99" s="1"/>
      <c r="X99" s="1">
        <f t="shared" ref="X99:X101" si="62">+P99-T99</f>
        <v>-2.9800000000000182</v>
      </c>
      <c r="Y99" s="1"/>
      <c r="Z99" s="5">
        <f t="shared" ref="Z99:Z101" si="63">IF(T99=0,0,X99/T99)</f>
        <v>-1.4170233000475596E-2</v>
      </c>
    </row>
    <row r="100" spans="1:26" s="23" customFormat="1" hidden="1" outlineLevel="2" x14ac:dyDescent="0.25">
      <c r="A100" s="25"/>
      <c r="B100" s="10" t="str">
        <f>CONCATENATE("          ", "6373", " - ", "MAINTENANCE CONTRACTS")</f>
        <v xml:space="preserve">          6373 - MAINTENANCE CONTRACTS</v>
      </c>
      <c r="C100" s="10"/>
      <c r="D100" s="6">
        <v>24.47</v>
      </c>
      <c r="E100" s="2"/>
      <c r="F100" s="7">
        <f t="shared" si="56"/>
        <v>2.0950432150822567E-3</v>
      </c>
      <c r="G100" s="2"/>
      <c r="H100" s="6">
        <v>23.52</v>
      </c>
      <c r="I100" s="2"/>
      <c r="J100" s="7">
        <f t="shared" si="57"/>
        <v>1.6131897466427887E-3</v>
      </c>
      <c r="K100" s="2"/>
      <c r="L100" s="6">
        <f t="shared" si="58"/>
        <v>0.94999999999999929</v>
      </c>
      <c r="M100" s="2"/>
      <c r="N100" s="7">
        <f t="shared" si="59"/>
        <v>4.0391156462585003E-2</v>
      </c>
      <c r="O100" s="10"/>
      <c r="P100" s="6">
        <v>182.21</v>
      </c>
      <c r="Q100" s="2"/>
      <c r="R100" s="7">
        <f t="shared" si="60"/>
        <v>9.703617099029088E-5</v>
      </c>
      <c r="S100" s="2"/>
      <c r="T100" s="6">
        <v>210.3</v>
      </c>
      <c r="U100" s="2"/>
      <c r="V100" s="7">
        <f t="shared" si="61"/>
        <v>6.3953932635124066E-5</v>
      </c>
      <c r="W100" s="2"/>
      <c r="X100" s="6">
        <f t="shared" si="62"/>
        <v>-28.090000000000003</v>
      </c>
      <c r="Y100" s="2"/>
      <c r="Z100" s="7">
        <f t="shared" si="63"/>
        <v>-0.13357108892058964</v>
      </c>
    </row>
    <row r="101" spans="1:26" s="23" customFormat="1" hidden="1" outlineLevel="2" x14ac:dyDescent="0.25">
      <c r="A101" s="25"/>
      <c r="B101" s="10" t="str">
        <f>CONCATENATE("          ", "6375", " - ", "OUTSIDE REPAIRS &amp; MAINTENANCE")</f>
        <v xml:space="preserve">          6375 - OUTSIDE REPAIRS &amp; MAINTENANCE</v>
      </c>
      <c r="C101" s="10"/>
      <c r="D101" s="6"/>
      <c r="E101" s="2"/>
      <c r="F101" s="7">
        <f t="shared" si="56"/>
        <v>0</v>
      </c>
      <c r="G101" s="2"/>
      <c r="H101" s="6"/>
      <c r="I101" s="2"/>
      <c r="J101" s="7">
        <f t="shared" si="57"/>
        <v>0</v>
      </c>
      <c r="K101" s="2"/>
      <c r="L101" s="6">
        <f t="shared" si="58"/>
        <v>0</v>
      </c>
      <c r="M101" s="2"/>
      <c r="N101" s="7">
        <f t="shared" si="59"/>
        <v>0</v>
      </c>
      <c r="O101" s="10"/>
      <c r="P101" s="6">
        <v>25.11</v>
      </c>
      <c r="Q101" s="2"/>
      <c r="R101" s="7">
        <f t="shared" si="60"/>
        <v>1.3372362952451588E-5</v>
      </c>
      <c r="S101" s="2"/>
      <c r="T101" s="6"/>
      <c r="U101" s="2"/>
      <c r="V101" s="7">
        <f t="shared" si="61"/>
        <v>0</v>
      </c>
      <c r="W101" s="2"/>
      <c r="X101" s="6">
        <f t="shared" si="62"/>
        <v>25.11</v>
      </c>
      <c r="Y101" s="2"/>
      <c r="Z101" s="7">
        <f t="shared" si="63"/>
        <v>0</v>
      </c>
    </row>
    <row r="102" spans="1:26" s="26" customFormat="1" outlineLevel="1" collapsed="1" x14ac:dyDescent="0.25">
      <c r="A102" s="27"/>
      <c r="B102" s="12" t="str">
        <f>CONCATENATE("     ","Subscriptions &amp; Dues                              ")</f>
        <v xml:space="preserve">     Subscriptions &amp; Dues                              </v>
      </c>
      <c r="C102" s="12"/>
      <c r="D102" s="1">
        <f>SUM(OSRRefD22_10x_0)</f>
        <v>232.79</v>
      </c>
      <c r="E102" s="1"/>
      <c r="F102" s="5">
        <f t="shared" ref="F102:F104" si="64">IF(D$12=0,0,D102/D$12)</f>
        <v>1.9930736004863038E-2</v>
      </c>
      <c r="G102" s="1"/>
      <c r="H102" s="1">
        <f>SUM(OSRRefH22_10x_0)</f>
        <v>626.54</v>
      </c>
      <c r="I102" s="1"/>
      <c r="J102" s="5">
        <f t="shared" ref="J102:J104" si="65">IF(H$12=0,0,H102/H$12)</f>
        <v>4.2973125164182516E-2</v>
      </c>
      <c r="K102" s="1"/>
      <c r="L102" s="1">
        <f t="shared" ref="L102:L104" si="66">+D102-H102</f>
        <v>-393.75</v>
      </c>
      <c r="M102" s="1"/>
      <c r="N102" s="5">
        <f t="shared" ref="N102:N104" si="67">IF(H102=0,0,L102/H102)</f>
        <v>-0.62845149551505097</v>
      </c>
      <c r="O102" s="12"/>
      <c r="P102" s="1">
        <f>SUM(OSRRefP22_10x_0)</f>
        <v>4326.63</v>
      </c>
      <c r="Q102" s="1"/>
      <c r="R102" s="5">
        <f t="shared" ref="R102:R104" si="68">IF(P$12=0,0,P102/P$12)</f>
        <v>2.3041523982861656E-3</v>
      </c>
      <c r="S102" s="1"/>
      <c r="T102" s="1">
        <f>SUM(OSRRefT22_10x_0)</f>
        <v>2948.48</v>
      </c>
      <c r="U102" s="1"/>
      <c r="V102" s="5">
        <f t="shared" ref="V102:V104" si="69">IF(T$12=0,0,T102/T$12)</f>
        <v>8.9665663954355962E-4</v>
      </c>
      <c r="W102" s="1"/>
      <c r="X102" s="1">
        <f t="shared" ref="X102:X104" si="70">+P102-T102</f>
        <v>1378.15</v>
      </c>
      <c r="Y102" s="1"/>
      <c r="Z102" s="5">
        <f t="shared" ref="Z102:Z104" si="71">IF(T102=0,0,X102/T102)</f>
        <v>0.46741032667679622</v>
      </c>
    </row>
    <row r="103" spans="1:26" s="23" customFormat="1" hidden="1" outlineLevel="2" x14ac:dyDescent="0.25">
      <c r="A103" s="25"/>
      <c r="B103" s="10" t="str">
        <f>CONCATENATE("          ", "6258", " - ", "MEMBERSHIP DUES")</f>
        <v xml:space="preserve">          6258 - MEMBERSHIP DUES</v>
      </c>
      <c r="C103" s="10"/>
      <c r="D103" s="6">
        <v>232.79</v>
      </c>
      <c r="E103" s="2"/>
      <c r="F103" s="7">
        <f t="shared" si="64"/>
        <v>1.9930736004863038E-2</v>
      </c>
      <c r="G103" s="2"/>
      <c r="H103" s="6">
        <v>626.54</v>
      </c>
      <c r="I103" s="2"/>
      <c r="J103" s="7">
        <f t="shared" si="65"/>
        <v>4.2973125164182516E-2</v>
      </c>
      <c r="K103" s="2"/>
      <c r="L103" s="6">
        <f t="shared" si="66"/>
        <v>-393.75</v>
      </c>
      <c r="M103" s="2"/>
      <c r="N103" s="7">
        <f t="shared" si="67"/>
        <v>-0.62845149551505097</v>
      </c>
      <c r="O103" s="10"/>
      <c r="P103" s="6">
        <v>2474.5500000000002</v>
      </c>
      <c r="Q103" s="2"/>
      <c r="R103" s="7">
        <f t="shared" si="68"/>
        <v>1.3178248006367615E-3</v>
      </c>
      <c r="S103" s="2"/>
      <c r="T103" s="6">
        <v>2948.48</v>
      </c>
      <c r="U103" s="2"/>
      <c r="V103" s="7">
        <f t="shared" si="69"/>
        <v>8.9665663954355962E-4</v>
      </c>
      <c r="W103" s="2"/>
      <c r="X103" s="6">
        <f t="shared" si="70"/>
        <v>-473.92999999999984</v>
      </c>
      <c r="Y103" s="2"/>
      <c r="Z103" s="7">
        <f t="shared" si="71"/>
        <v>-0.16073705773822439</v>
      </c>
    </row>
    <row r="104" spans="1:26" s="23" customFormat="1" hidden="1" outlineLevel="2" x14ac:dyDescent="0.25">
      <c r="A104" s="25"/>
      <c r="B104" s="10" t="str">
        <f>CONCATENATE("          ", "6275", " - ", "SUBSCRIPTIONS")</f>
        <v xml:space="preserve">          6275 - SUBSCRIPTIONS</v>
      </c>
      <c r="C104" s="10"/>
      <c r="D104" s="6"/>
      <c r="E104" s="2"/>
      <c r="F104" s="7">
        <f t="shared" si="64"/>
        <v>0</v>
      </c>
      <c r="G104" s="2"/>
      <c r="H104" s="6"/>
      <c r="I104" s="2"/>
      <c r="J104" s="7">
        <f t="shared" si="65"/>
        <v>0</v>
      </c>
      <c r="K104" s="2"/>
      <c r="L104" s="6">
        <f t="shared" si="66"/>
        <v>0</v>
      </c>
      <c r="M104" s="2"/>
      <c r="N104" s="7">
        <f t="shared" si="67"/>
        <v>0</v>
      </c>
      <c r="O104" s="10"/>
      <c r="P104" s="6">
        <v>1852.08</v>
      </c>
      <c r="Q104" s="2"/>
      <c r="R104" s="7">
        <f t="shared" si="68"/>
        <v>9.8632759764940409E-4</v>
      </c>
      <c r="S104" s="2"/>
      <c r="T104" s="6"/>
      <c r="U104" s="2"/>
      <c r="V104" s="7">
        <f t="shared" si="69"/>
        <v>0</v>
      </c>
      <c r="W104" s="2"/>
      <c r="X104" s="6">
        <f t="shared" si="70"/>
        <v>1852.08</v>
      </c>
      <c r="Y104" s="2"/>
      <c r="Z104" s="7">
        <f t="shared" si="71"/>
        <v>0</v>
      </c>
    </row>
    <row r="105" spans="1:26" s="26" customFormat="1" outlineLevel="1" collapsed="1" x14ac:dyDescent="0.25">
      <c r="A105" s="27"/>
      <c r="B105" s="12" t="str">
        <f>CONCATENATE("     ","Supplies                                          ")</f>
        <v xml:space="preserve">     Supplies                                          </v>
      </c>
      <c r="C105" s="12"/>
      <c r="D105" s="1">
        <f>SUM(OSRRefD22_11x_0)</f>
        <v>175.16</v>
      </c>
      <c r="E105" s="1"/>
      <c r="F105" s="5">
        <f t="shared" ref="F105:F108" si="72">IF(D$12=0,0,D105/D$12)</f>
        <v>1.4996639540408994E-2</v>
      </c>
      <c r="G105" s="1"/>
      <c r="H105" s="1">
        <f>SUM(OSRRefH22_11x_0)</f>
        <v>82.71</v>
      </c>
      <c r="I105" s="1"/>
      <c r="J105" s="5">
        <f t="shared" ref="J105:J108" si="73">IF(H$12=0,0,H105/H$12)</f>
        <v>5.6729134330282755E-3</v>
      </c>
      <c r="K105" s="1"/>
      <c r="L105" s="1">
        <f t="shared" ref="L105:L108" si="74">+D105-H105</f>
        <v>92.45</v>
      </c>
      <c r="M105" s="1"/>
      <c r="N105" s="5">
        <f t="shared" ref="N105:N108" si="75">IF(H105=0,0,L105/H105)</f>
        <v>1.1177608511667272</v>
      </c>
      <c r="O105" s="12"/>
      <c r="P105" s="1">
        <f>SUM(OSRRefP22_11x_0)</f>
        <v>5010.66</v>
      </c>
      <c r="Q105" s="1"/>
      <c r="R105" s="5">
        <f t="shared" ref="R105:R108" si="76">IF(P$12=0,0,P105/P$12)</f>
        <v>2.6684334588343715E-3</v>
      </c>
      <c r="S105" s="1"/>
      <c r="T105" s="1">
        <f>SUM(OSRRefT22_11x_0)</f>
        <v>11119.900000000001</v>
      </c>
      <c r="U105" s="1"/>
      <c r="V105" s="5">
        <f t="shared" ref="V105:V108" si="77">IF(T$12=0,0,T105/T$12)</f>
        <v>3.3816516191598482E-3</v>
      </c>
      <c r="W105" s="1"/>
      <c r="X105" s="1">
        <f t="shared" ref="X105:X108" si="78">+P105-T105</f>
        <v>-6109.2400000000016</v>
      </c>
      <c r="Y105" s="1"/>
      <c r="Z105" s="5">
        <f t="shared" ref="Z105:Z108" si="79">IF(T105=0,0,X105/T105)</f>
        <v>-0.54939702695168124</v>
      </c>
    </row>
    <row r="106" spans="1:26" s="23" customFormat="1" hidden="1" outlineLevel="2" x14ac:dyDescent="0.25">
      <c r="A106" s="25"/>
      <c r="B106" s="10" t="str">
        <f>CONCATENATE("          ", "6241", " - ", "OFFICE EXPENSE")</f>
        <v xml:space="preserve">          6241 - OFFICE EXPENSE</v>
      </c>
      <c r="C106" s="10"/>
      <c r="D106" s="6">
        <v>160.69999999999999</v>
      </c>
      <c r="E106" s="2"/>
      <c r="F106" s="7">
        <f t="shared" si="72"/>
        <v>1.3758620542039994E-2</v>
      </c>
      <c r="G106" s="2"/>
      <c r="H106" s="6">
        <v>82.71</v>
      </c>
      <c r="I106" s="2"/>
      <c r="J106" s="7">
        <f t="shared" si="73"/>
        <v>5.6729134330282755E-3</v>
      </c>
      <c r="K106" s="2"/>
      <c r="L106" s="6">
        <f t="shared" si="74"/>
        <v>77.989999999999995</v>
      </c>
      <c r="M106" s="2"/>
      <c r="N106" s="7">
        <f t="shared" si="75"/>
        <v>0.94293313988634986</v>
      </c>
      <c r="O106" s="10"/>
      <c r="P106" s="6">
        <v>1415.3</v>
      </c>
      <c r="Q106" s="2"/>
      <c r="R106" s="7">
        <f t="shared" si="76"/>
        <v>7.5371984414992956E-4</v>
      </c>
      <c r="S106" s="2"/>
      <c r="T106" s="6">
        <v>4027.86</v>
      </c>
      <c r="U106" s="2"/>
      <c r="V106" s="7">
        <f t="shared" si="77"/>
        <v>1.2249048364418012E-3</v>
      </c>
      <c r="W106" s="2"/>
      <c r="X106" s="6">
        <f t="shared" si="78"/>
        <v>-2612.5600000000004</v>
      </c>
      <c r="Y106" s="2"/>
      <c r="Z106" s="7">
        <f t="shared" si="79"/>
        <v>-0.64862234536453611</v>
      </c>
    </row>
    <row r="107" spans="1:26" s="23" customFormat="1" hidden="1" outlineLevel="2" x14ac:dyDescent="0.25">
      <c r="A107" s="25"/>
      <c r="B107" s="10" t="str">
        <f>CONCATENATE("          ", "6245", " - ", "PRINTING")</f>
        <v xml:space="preserve">          6245 - PRINTING</v>
      </c>
      <c r="C107" s="10"/>
      <c r="D107" s="6"/>
      <c r="E107" s="2"/>
      <c r="F107" s="7">
        <f t="shared" si="72"/>
        <v>0</v>
      </c>
      <c r="G107" s="2"/>
      <c r="H107" s="6"/>
      <c r="I107" s="2"/>
      <c r="J107" s="7">
        <f t="shared" si="73"/>
        <v>0</v>
      </c>
      <c r="K107" s="2"/>
      <c r="L107" s="6">
        <f t="shared" si="74"/>
        <v>0</v>
      </c>
      <c r="M107" s="2"/>
      <c r="N107" s="7">
        <f t="shared" si="75"/>
        <v>0</v>
      </c>
      <c r="O107" s="10"/>
      <c r="P107" s="6"/>
      <c r="Q107" s="2"/>
      <c r="R107" s="7">
        <f t="shared" si="76"/>
        <v>0</v>
      </c>
      <c r="S107" s="2"/>
      <c r="T107" s="6">
        <v>4978.08</v>
      </c>
      <c r="U107" s="2"/>
      <c r="V107" s="7">
        <f t="shared" si="77"/>
        <v>1.513874431632232E-3</v>
      </c>
      <c r="W107" s="2"/>
      <c r="X107" s="6">
        <f t="shared" si="78"/>
        <v>-4978.08</v>
      </c>
      <c r="Y107" s="2"/>
      <c r="Z107" s="7">
        <f t="shared" si="79"/>
        <v>-1</v>
      </c>
    </row>
    <row r="108" spans="1:26" s="23" customFormat="1" hidden="1" outlineLevel="2" x14ac:dyDescent="0.25">
      <c r="A108" s="25"/>
      <c r="B108" s="10" t="str">
        <f>CONCATENATE("          ", "6247", " - ", "STORE SUPPLIES")</f>
        <v xml:space="preserve">          6247 - STORE SUPPLIES</v>
      </c>
      <c r="C108" s="10"/>
      <c r="D108" s="6">
        <v>14.46</v>
      </c>
      <c r="E108" s="2"/>
      <c r="F108" s="7">
        <f t="shared" si="72"/>
        <v>1.2380189983690003E-3</v>
      </c>
      <c r="G108" s="2"/>
      <c r="H108" s="6"/>
      <c r="I108" s="2"/>
      <c r="J108" s="7">
        <f t="shared" si="73"/>
        <v>0</v>
      </c>
      <c r="K108" s="2"/>
      <c r="L108" s="6">
        <f t="shared" si="74"/>
        <v>14.46</v>
      </c>
      <c r="M108" s="2"/>
      <c r="N108" s="7">
        <f t="shared" si="75"/>
        <v>0</v>
      </c>
      <c r="O108" s="10"/>
      <c r="P108" s="6">
        <v>3595.36</v>
      </c>
      <c r="Q108" s="2"/>
      <c r="R108" s="7">
        <f t="shared" si="76"/>
        <v>1.9147136146844422E-3</v>
      </c>
      <c r="S108" s="2"/>
      <c r="T108" s="6">
        <v>2113.96</v>
      </c>
      <c r="U108" s="2"/>
      <c r="V108" s="7">
        <f t="shared" si="77"/>
        <v>6.4287235108581489E-4</v>
      </c>
      <c r="W108" s="2"/>
      <c r="X108" s="6">
        <f t="shared" si="78"/>
        <v>1481.4</v>
      </c>
      <c r="Y108" s="2"/>
      <c r="Z108" s="7">
        <f t="shared" si="79"/>
        <v>0.70077011863989858</v>
      </c>
    </row>
    <row r="109" spans="1:26" s="26" customFormat="1" outlineLevel="1" collapsed="1" x14ac:dyDescent="0.25">
      <c r="A109" s="27"/>
      <c r="B109" s="12" t="str">
        <f>CONCATENATE("     ","Telephone/Data Lines                              ")</f>
        <v xml:space="preserve">     Telephone/Data Lines                              </v>
      </c>
      <c r="C109" s="12"/>
      <c r="D109" s="1">
        <f>SUM(OSRRefD22_12x_0)</f>
        <v>418.4</v>
      </c>
      <c r="E109" s="1"/>
      <c r="F109" s="5">
        <f t="shared" ref="F109:F111" si="80">IF(D$12=0,0,D109/D$12)</f>
        <v>3.5822071156126532E-2</v>
      </c>
      <c r="G109" s="1"/>
      <c r="H109" s="1">
        <f>SUM(OSRRefH22_12x_0)</f>
        <v>471.4</v>
      </c>
      <c r="I109" s="1"/>
      <c r="J109" s="5">
        <f t="shared" ref="J109:J111" si="81">IF(H$12=0,0,H109/H$12)</f>
        <v>3.2332382932287865E-2</v>
      </c>
      <c r="K109" s="1"/>
      <c r="L109" s="1">
        <f t="shared" ref="L109:L111" si="82">+D109-H109</f>
        <v>-53</v>
      </c>
      <c r="M109" s="1"/>
      <c r="N109" s="5">
        <f t="shared" ref="N109:N111" si="83">IF(H109=0,0,L109/H109)</f>
        <v>-0.11243105642766228</v>
      </c>
      <c r="O109" s="12"/>
      <c r="P109" s="1">
        <f>SUM(OSRRefP22_12x_0)</f>
        <v>7181.95</v>
      </c>
      <c r="Q109" s="1"/>
      <c r="R109" s="5">
        <f t="shared" ref="R109:R111" si="84">IF(P$12=0,0,P109/P$12)</f>
        <v>3.8247567545344357E-3</v>
      </c>
      <c r="S109" s="1"/>
      <c r="T109" s="1">
        <f>SUM(OSRRefT22_12x_0)</f>
        <v>6671.64</v>
      </c>
      <c r="U109" s="1"/>
      <c r="V109" s="5">
        <f t="shared" ref="V109:V111" si="85">IF(T$12=0,0,T109/T$12)</f>
        <v>2.0288997390670426E-3</v>
      </c>
      <c r="W109" s="1"/>
      <c r="X109" s="1">
        <f t="shared" ref="X109:X111" si="86">+P109-T109</f>
        <v>510.30999999999949</v>
      </c>
      <c r="Y109" s="1"/>
      <c r="Z109" s="5">
        <f t="shared" ref="Z109:Z111" si="87">IF(T109=0,0,X109/T109)</f>
        <v>7.648943887859648E-2</v>
      </c>
    </row>
    <row r="110" spans="1:26" s="23" customFormat="1" hidden="1" outlineLevel="2" x14ac:dyDescent="0.25">
      <c r="A110" s="25"/>
      <c r="B110" s="10" t="str">
        <f>CONCATENATE("          ", "6303", " - ", "DATA PHONE LINES")</f>
        <v xml:space="preserve">          6303 - DATA PHONE LINES</v>
      </c>
      <c r="C110" s="10"/>
      <c r="D110" s="6"/>
      <c r="E110" s="2"/>
      <c r="F110" s="7">
        <f t="shared" si="80"/>
        <v>0</v>
      </c>
      <c r="G110" s="2"/>
      <c r="H110" s="6"/>
      <c r="I110" s="2"/>
      <c r="J110" s="7">
        <f t="shared" si="81"/>
        <v>0</v>
      </c>
      <c r="K110" s="2"/>
      <c r="L110" s="6">
        <f t="shared" si="82"/>
        <v>0</v>
      </c>
      <c r="M110" s="2"/>
      <c r="N110" s="7">
        <f t="shared" si="83"/>
        <v>0</v>
      </c>
      <c r="O110" s="10"/>
      <c r="P110" s="6">
        <v>2950</v>
      </c>
      <c r="Q110" s="2"/>
      <c r="R110" s="7">
        <f t="shared" si="84"/>
        <v>1.5710263126137867E-3</v>
      </c>
      <c r="S110" s="2"/>
      <c r="T110" s="6">
        <v>2360</v>
      </c>
      <c r="U110" s="2"/>
      <c r="V110" s="7">
        <f t="shared" si="85"/>
        <v>7.1769510707985157E-4</v>
      </c>
      <c r="W110" s="2"/>
      <c r="X110" s="6">
        <f t="shared" si="86"/>
        <v>590</v>
      </c>
      <c r="Y110" s="2"/>
      <c r="Z110" s="7">
        <f t="shared" si="87"/>
        <v>0.25</v>
      </c>
    </row>
    <row r="111" spans="1:26" s="23" customFormat="1" hidden="1" outlineLevel="2" x14ac:dyDescent="0.25">
      <c r="A111" s="25"/>
      <c r="B111" s="10" t="str">
        <f>CONCATENATE("          ", "6309", " - ", "TELEPHONE")</f>
        <v xml:space="preserve">          6309 - TELEPHONE</v>
      </c>
      <c r="C111" s="10"/>
      <c r="D111" s="6">
        <v>418.4</v>
      </c>
      <c r="E111" s="2"/>
      <c r="F111" s="7">
        <f t="shared" si="80"/>
        <v>3.5822071156126532E-2</v>
      </c>
      <c r="G111" s="2"/>
      <c r="H111" s="6">
        <v>471.4</v>
      </c>
      <c r="I111" s="2"/>
      <c r="J111" s="7">
        <f t="shared" si="81"/>
        <v>3.2332382932287865E-2</v>
      </c>
      <c r="K111" s="2"/>
      <c r="L111" s="6">
        <f t="shared" si="82"/>
        <v>-53</v>
      </c>
      <c r="M111" s="2"/>
      <c r="N111" s="7">
        <f t="shared" si="83"/>
        <v>-0.11243105642766228</v>
      </c>
      <c r="O111" s="10"/>
      <c r="P111" s="6">
        <v>4231.95</v>
      </c>
      <c r="Q111" s="2"/>
      <c r="R111" s="7">
        <f t="shared" si="84"/>
        <v>2.2537304419206487E-3</v>
      </c>
      <c r="S111" s="2"/>
      <c r="T111" s="6">
        <v>4311.6400000000003</v>
      </c>
      <c r="U111" s="2"/>
      <c r="V111" s="7">
        <f t="shared" si="85"/>
        <v>1.3112046319871912E-3</v>
      </c>
      <c r="W111" s="2"/>
      <c r="X111" s="6">
        <f t="shared" si="86"/>
        <v>-79.690000000000509</v>
      </c>
      <c r="Y111" s="2"/>
      <c r="Z111" s="7">
        <f t="shared" si="87"/>
        <v>-1.8482526370476315E-2</v>
      </c>
    </row>
    <row r="112" spans="1:26" s="26" customFormat="1" outlineLevel="1" collapsed="1" x14ac:dyDescent="0.25">
      <c r="A112" s="27"/>
      <c r="B112" s="12" t="str">
        <f>CONCATENATE("     ","Training                                          ")</f>
        <v xml:space="preserve">     Training                                          </v>
      </c>
      <c r="C112" s="12"/>
      <c r="D112" s="1">
        <f>SUM(OSRRefD22_13x_0)</f>
        <v>0</v>
      </c>
      <c r="E112" s="1"/>
      <c r="F112" s="5">
        <f t="shared" ref="F112:F115" si="88">IF(D$12=0,0,D112/D$12)</f>
        <v>0</v>
      </c>
      <c r="G112" s="1"/>
      <c r="H112" s="1">
        <f>SUM(OSRRefH22_13x_0)</f>
        <v>896.8</v>
      </c>
      <c r="I112" s="1"/>
      <c r="J112" s="5">
        <f t="shared" ref="J112:J115" si="89">IF(H$12=0,0,H112/H$12)</f>
        <v>6.1509717890699526E-2</v>
      </c>
      <c r="K112" s="1"/>
      <c r="L112" s="1">
        <f t="shared" ref="L112:L115" si="90">+D112-H112</f>
        <v>-896.8</v>
      </c>
      <c r="M112" s="1"/>
      <c r="N112" s="5">
        <f t="shared" ref="N112:N115" si="91">IF(H112=0,0,L112/H112)</f>
        <v>-1</v>
      </c>
      <c r="O112" s="12"/>
      <c r="P112" s="1">
        <f>SUM(OSRRefP22_13x_0)</f>
        <v>0</v>
      </c>
      <c r="Q112" s="1"/>
      <c r="R112" s="5">
        <f t="shared" ref="R112:R115" si="92">IF(P$12=0,0,P112/P$12)</f>
        <v>0</v>
      </c>
      <c r="S112" s="1"/>
      <c r="T112" s="1">
        <f>SUM(OSRRefT22_13x_0)</f>
        <v>4157.1499999999996</v>
      </c>
      <c r="U112" s="1"/>
      <c r="V112" s="5">
        <f t="shared" ref="V112:V115" si="93">IF(T$12=0,0,T112/T$12)</f>
        <v>1.2642229722021206E-3</v>
      </c>
      <c r="W112" s="1"/>
      <c r="X112" s="1">
        <f t="shared" ref="X112:X115" si="94">+P112-T112</f>
        <v>-4157.1499999999996</v>
      </c>
      <c r="Y112" s="1"/>
      <c r="Z112" s="5">
        <f t="shared" ref="Z112:Z115" si="95">IF(T112=0,0,X112/T112)</f>
        <v>-1</v>
      </c>
    </row>
    <row r="113" spans="1:26" s="23" customFormat="1" hidden="1" outlineLevel="2" x14ac:dyDescent="0.25">
      <c r="A113" s="25"/>
      <c r="B113" s="10" t="str">
        <f>CONCATENATE("          ", "6376", " - ", "TRAINING")</f>
        <v xml:space="preserve">          6376 - TRAINING</v>
      </c>
      <c r="C113" s="10"/>
      <c r="D113" s="6"/>
      <c r="E113" s="2"/>
      <c r="F113" s="7">
        <f t="shared" si="88"/>
        <v>0</v>
      </c>
      <c r="G113" s="2"/>
      <c r="H113" s="6">
        <v>896.8</v>
      </c>
      <c r="I113" s="2"/>
      <c r="J113" s="7">
        <f t="shared" si="89"/>
        <v>6.1509717890699526E-2</v>
      </c>
      <c r="K113" s="2"/>
      <c r="L113" s="6">
        <f t="shared" si="90"/>
        <v>-896.8</v>
      </c>
      <c r="M113" s="2"/>
      <c r="N113" s="7">
        <f t="shared" si="91"/>
        <v>-1</v>
      </c>
      <c r="O113" s="10"/>
      <c r="P113" s="6"/>
      <c r="Q113" s="2"/>
      <c r="R113" s="7">
        <f t="shared" si="92"/>
        <v>0</v>
      </c>
      <c r="S113" s="2"/>
      <c r="T113" s="6">
        <v>4157.1499999999996</v>
      </c>
      <c r="U113" s="2"/>
      <c r="V113" s="7">
        <f t="shared" si="93"/>
        <v>1.2642229722021206E-3</v>
      </c>
      <c r="W113" s="2"/>
      <c r="X113" s="6">
        <f t="shared" si="94"/>
        <v>-4157.1499999999996</v>
      </c>
      <c r="Y113" s="2"/>
      <c r="Z113" s="7">
        <f t="shared" si="95"/>
        <v>-1</v>
      </c>
    </row>
    <row r="114" spans="1:26" s="26" customFormat="1" outlineLevel="1" collapsed="1" x14ac:dyDescent="0.25">
      <c r="A114" s="27"/>
      <c r="B114" s="12" t="str">
        <f>CONCATENATE("     ","Travel                                            ")</f>
        <v xml:space="preserve">     Travel                                            </v>
      </c>
      <c r="C114" s="12"/>
      <c r="D114" s="1">
        <f>SUM(OSRRefD22_14x_0)</f>
        <v>0</v>
      </c>
      <c r="E114" s="1"/>
      <c r="F114" s="5">
        <f t="shared" si="88"/>
        <v>0</v>
      </c>
      <c r="G114" s="1"/>
      <c r="H114" s="1">
        <f>SUM(OSRRefH22_14x_0)</f>
        <v>0</v>
      </c>
      <c r="I114" s="1"/>
      <c r="J114" s="5">
        <f t="shared" si="89"/>
        <v>0</v>
      </c>
      <c r="K114" s="1"/>
      <c r="L114" s="1">
        <f t="shared" si="90"/>
        <v>0</v>
      </c>
      <c r="M114" s="1"/>
      <c r="N114" s="5">
        <f t="shared" si="91"/>
        <v>0</v>
      </c>
      <c r="O114" s="12"/>
      <c r="P114" s="1">
        <f>SUM(OSRRefP22_14x_0)</f>
        <v>0.16</v>
      </c>
      <c r="Q114" s="1"/>
      <c r="R114" s="5">
        <f t="shared" si="92"/>
        <v>8.5208206785832498E-8</v>
      </c>
      <c r="S114" s="1"/>
      <c r="T114" s="1">
        <f>SUM(OSRRefT22_14x_0)</f>
        <v>83.93</v>
      </c>
      <c r="U114" s="1"/>
      <c r="V114" s="5">
        <f t="shared" si="93"/>
        <v>2.5523792515767773E-5</v>
      </c>
      <c r="W114" s="1"/>
      <c r="X114" s="1">
        <f t="shared" si="94"/>
        <v>-83.77000000000001</v>
      </c>
      <c r="Y114" s="1"/>
      <c r="Z114" s="5">
        <f t="shared" si="95"/>
        <v>-0.99809364946979628</v>
      </c>
    </row>
    <row r="115" spans="1:26" s="23" customFormat="1" hidden="1" outlineLevel="2" x14ac:dyDescent="0.25">
      <c r="A115" s="25"/>
      <c r="B115" s="10" t="str">
        <f>CONCATENATE("          ", "6292", " - ", "TRAVEL/CONFERENCE")</f>
        <v xml:space="preserve">          6292 - TRAVEL/CONFERENCE</v>
      </c>
      <c r="C115" s="10"/>
      <c r="D115" s="6"/>
      <c r="E115" s="2"/>
      <c r="F115" s="7">
        <f t="shared" si="88"/>
        <v>0</v>
      </c>
      <c r="G115" s="2"/>
      <c r="H115" s="6"/>
      <c r="I115" s="2"/>
      <c r="J115" s="7">
        <f t="shared" si="89"/>
        <v>0</v>
      </c>
      <c r="K115" s="2"/>
      <c r="L115" s="6">
        <f t="shared" si="90"/>
        <v>0</v>
      </c>
      <c r="M115" s="2"/>
      <c r="N115" s="7">
        <f t="shared" si="91"/>
        <v>0</v>
      </c>
      <c r="O115" s="10"/>
      <c r="P115" s="6">
        <v>0.16</v>
      </c>
      <c r="Q115" s="2"/>
      <c r="R115" s="7">
        <f t="shared" si="92"/>
        <v>8.5208206785832498E-8</v>
      </c>
      <c r="S115" s="2"/>
      <c r="T115" s="6">
        <v>83.93</v>
      </c>
      <c r="U115" s="2"/>
      <c r="V115" s="7">
        <f t="shared" si="93"/>
        <v>2.5523792515767773E-5</v>
      </c>
      <c r="W115" s="2"/>
      <c r="X115" s="6">
        <f t="shared" si="94"/>
        <v>-83.77000000000001</v>
      </c>
      <c r="Y115" s="2"/>
      <c r="Z115" s="7">
        <f t="shared" si="95"/>
        <v>-0.99809364946979628</v>
      </c>
    </row>
    <row r="116" spans="1:26" s="60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4" customFormat="1" collapsed="1" x14ac:dyDescent="0.25">
      <c r="A117" s="11"/>
      <c r="B117" s="28" t="s">
        <v>292</v>
      </c>
      <c r="C117" s="11"/>
      <c r="D117" s="4">
        <f>SUM(OSRRefD25x_0)</f>
        <v>4864.2299999999996</v>
      </c>
      <c r="E117" s="4"/>
      <c r="F117" s="13">
        <f t="shared" ref="F117:F120" si="96">IF(D$12=0,0,D117/D$12)</f>
        <v>0.41645983073557685</v>
      </c>
      <c r="G117" s="4"/>
      <c r="H117" s="4">
        <f>SUM(OSRRefH25x_0)</f>
        <v>117.11</v>
      </c>
      <c r="I117" s="4"/>
      <c r="J117" s="13">
        <f t="shared" ref="J117:J120" si="97">IF(H$12=0,0,H117/H$12)</f>
        <v>8.0323406134922195E-3</v>
      </c>
      <c r="K117" s="4"/>
      <c r="L117" s="4">
        <f t="shared" ref="L117:L120" si="98">+D117-H117</f>
        <v>4747.12</v>
      </c>
      <c r="M117" s="4"/>
      <c r="N117" s="13">
        <f t="shared" ref="N117:N120" si="99">IF(H117=0,0,L117/H117)</f>
        <v>40.535564853556487</v>
      </c>
      <c r="O117" s="11"/>
      <c r="P117" s="4">
        <f>SUM(OSRRefP25x_0)</f>
        <v>330802.13</v>
      </c>
      <c r="Q117" s="4"/>
      <c r="R117" s="13">
        <f t="shared" ref="R117:R120" si="100">IF(P$12=0,0,P117/P$12)</f>
        <v>0.17616910186396154</v>
      </c>
      <c r="S117" s="4"/>
      <c r="T117" s="4">
        <f>SUM(OSRRefT25x_0)</f>
        <v>187856.39999999997</v>
      </c>
      <c r="U117" s="4"/>
      <c r="V117" s="13">
        <f t="shared" ref="V117:V120" si="101">IF(T$12=0,0,T117/T$12)</f>
        <v>5.7128652166794663E-2</v>
      </c>
      <c r="W117" s="4"/>
      <c r="X117" s="4">
        <f t="shared" ref="X117:X120" si="102">+P117-T117</f>
        <v>142945.73000000004</v>
      </c>
      <c r="Y117" s="4"/>
      <c r="Z117" s="13">
        <f t="shared" ref="Z117:Z120" si="103">IF(T117=0,0,X117/T117)</f>
        <v>0.76093084930830179</v>
      </c>
    </row>
    <row r="118" spans="1:26" s="23" customFormat="1" hidden="1" outlineLevel="1" x14ac:dyDescent="0.25">
      <c r="A118" s="44"/>
      <c r="B118" s="10" t="str">
        <f>CONCATENATE("          ", "9150", " - ", "MISC. INCOME")</f>
        <v xml:space="preserve">          9150 - MISC. INCOME</v>
      </c>
      <c r="C118" s="10"/>
      <c r="D118" s="2">
        <f>--6749.36</f>
        <v>6749.36</v>
      </c>
      <c r="E118" s="2"/>
      <c r="F118" s="19">
        <f t="shared" si="96"/>
        <v>0.57785863809348514</v>
      </c>
      <c r="G118" s="2"/>
      <c r="H118" s="2">
        <f>--117.11</f>
        <v>117.11</v>
      </c>
      <c r="I118" s="2"/>
      <c r="J118" s="19">
        <f t="shared" si="97"/>
        <v>8.0323406134922195E-3</v>
      </c>
      <c r="K118" s="2"/>
      <c r="L118" s="2">
        <f t="shared" si="98"/>
        <v>6632.25</v>
      </c>
      <c r="M118" s="2"/>
      <c r="N118" s="19">
        <f t="shared" si="99"/>
        <v>56.632653061224488</v>
      </c>
      <c r="O118" s="10"/>
      <c r="P118" s="2">
        <f>--31463.11</f>
        <v>31463.11</v>
      </c>
      <c r="Q118" s="2"/>
      <c r="R118" s="19">
        <f t="shared" si="100"/>
        <v>1.6755719893783716E-2</v>
      </c>
      <c r="S118" s="2"/>
      <c r="T118" s="2">
        <f>--20412.24</f>
        <v>20412.240000000002</v>
      </c>
      <c r="U118" s="2"/>
      <c r="V118" s="19">
        <f t="shared" si="101"/>
        <v>6.2075274459913688E-3</v>
      </c>
      <c r="W118" s="2"/>
      <c r="X118" s="2">
        <f t="shared" si="102"/>
        <v>11050.869999999999</v>
      </c>
      <c r="Y118" s="2"/>
      <c r="Z118" s="19">
        <f t="shared" si="103"/>
        <v>0.54138448303566866</v>
      </c>
    </row>
    <row r="119" spans="1:26" s="23" customFormat="1" hidden="1" outlineLevel="1" x14ac:dyDescent="0.25">
      <c r="A119" s="44"/>
      <c r="B119" s="10" t="str">
        <f>CONCATENATE("          ", "9151", " - ", "MISC. INCOME")</f>
        <v xml:space="preserve">          9151 - MISC. INCOME</v>
      </c>
      <c r="C119" s="10"/>
      <c r="D119" s="2">
        <f>-2282.24</f>
        <v>-2282.2399999999998</v>
      </c>
      <c r="E119" s="2"/>
      <c r="F119" s="19">
        <f t="shared" si="96"/>
        <v>-0.19539809673842784</v>
      </c>
      <c r="G119" s="2"/>
      <c r="H119" s="2">
        <f t="shared" ref="H119:H120" si="104">0</f>
        <v>0</v>
      </c>
      <c r="I119" s="2"/>
      <c r="J119" s="19">
        <f t="shared" si="97"/>
        <v>0</v>
      </c>
      <c r="K119" s="2"/>
      <c r="L119" s="2">
        <f t="shared" si="98"/>
        <v>-2282.2399999999998</v>
      </c>
      <c r="M119" s="2"/>
      <c r="N119" s="19">
        <f t="shared" si="99"/>
        <v>0</v>
      </c>
      <c r="O119" s="10"/>
      <c r="P119" s="2">
        <f>--295628.46</f>
        <v>295628.46000000002</v>
      </c>
      <c r="Q119" s="2"/>
      <c r="R119" s="19">
        <f t="shared" si="100"/>
        <v>0.15743731844660758</v>
      </c>
      <c r="S119" s="2"/>
      <c r="T119" s="2">
        <f>--162744.3</f>
        <v>162744.29999999999</v>
      </c>
      <c r="U119" s="2"/>
      <c r="V119" s="19">
        <f t="shared" si="101"/>
        <v>4.9491859243701475E-2</v>
      </c>
      <c r="W119" s="2"/>
      <c r="X119" s="2">
        <f t="shared" si="102"/>
        <v>132884.16000000003</v>
      </c>
      <c r="Y119" s="2"/>
      <c r="Z119" s="19">
        <f t="shared" si="103"/>
        <v>0.81652113161566975</v>
      </c>
    </row>
    <row r="120" spans="1:26" s="23" customFormat="1" hidden="1" outlineLevel="1" x14ac:dyDescent="0.25">
      <c r="A120" s="44"/>
      <c r="B120" s="10" t="str">
        <f>CONCATENATE("          ", "9152", " - ", "MISC. INCOME")</f>
        <v xml:space="preserve">          9152 - MISC. INCOME</v>
      </c>
      <c r="C120" s="10"/>
      <c r="D120" s="2">
        <f>--397.11</f>
        <v>397.11</v>
      </c>
      <c r="E120" s="2"/>
      <c r="F120" s="19">
        <f t="shared" si="96"/>
        <v>3.3999289380519618E-2</v>
      </c>
      <c r="G120" s="2"/>
      <c r="H120" s="2">
        <f t="shared" si="104"/>
        <v>0</v>
      </c>
      <c r="I120" s="2"/>
      <c r="J120" s="19">
        <f t="shared" si="97"/>
        <v>0</v>
      </c>
      <c r="K120" s="2"/>
      <c r="L120" s="2">
        <f t="shared" si="98"/>
        <v>397.11</v>
      </c>
      <c r="M120" s="2"/>
      <c r="N120" s="19">
        <f t="shared" si="99"/>
        <v>0</v>
      </c>
      <c r="O120" s="10"/>
      <c r="P120" s="2">
        <f>--3710.56</f>
        <v>3710.56</v>
      </c>
      <c r="Q120" s="2"/>
      <c r="R120" s="19">
        <f t="shared" si="100"/>
        <v>1.9760635235702415E-3</v>
      </c>
      <c r="S120" s="2"/>
      <c r="T120" s="2">
        <f>--4699.86</f>
        <v>4699.8599999999997</v>
      </c>
      <c r="U120" s="2"/>
      <c r="V120" s="19">
        <f t="shared" si="101"/>
        <v>1.4292654771018267E-3</v>
      </c>
      <c r="W120" s="2"/>
      <c r="X120" s="2">
        <f t="shared" si="102"/>
        <v>-989.29999999999973</v>
      </c>
      <c r="Y120" s="2"/>
      <c r="Z120" s="19">
        <f t="shared" si="103"/>
        <v>-0.21049563178477654</v>
      </c>
    </row>
    <row r="121" spans="1:26" x14ac:dyDescent="0.25">
      <c r="A121" s="9"/>
      <c r="B121" s="11"/>
      <c r="C121" s="11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1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4" customFormat="1" x14ac:dyDescent="0.25">
      <c r="A122" s="11"/>
      <c r="B122" s="29" t="s">
        <v>276</v>
      </c>
      <c r="C122" s="29"/>
      <c r="D122" s="22">
        <f>+D61-D63+D117</f>
        <v>-39385.770000000019</v>
      </c>
      <c r="E122" s="14"/>
      <c r="F122" s="20">
        <f>IF(D$12=0,0,D122/D$12)</f>
        <v>-3.3720837846052447</v>
      </c>
      <c r="G122" s="14"/>
      <c r="H122" s="22">
        <f>+H61-H63+H117</f>
        <v>-37187.880000000034</v>
      </c>
      <c r="I122" s="14"/>
      <c r="J122" s="20">
        <f>IF(H$12=0,0,H122/H$12)</f>
        <v>-2.550642292320684</v>
      </c>
      <c r="K122" s="15"/>
      <c r="L122" s="22">
        <f>+D122-H122</f>
        <v>-2197.8899999999849</v>
      </c>
      <c r="M122" s="15"/>
      <c r="N122" s="20">
        <f>IF(H122=0,0,L122/H122)</f>
        <v>5.9102320433431076E-2</v>
      </c>
      <c r="O122" s="28"/>
      <c r="P122" s="22">
        <f>+P61-P63+P117</f>
        <v>468957.33999999944</v>
      </c>
      <c r="Q122" s="14"/>
      <c r="R122" s="20">
        <f>IF(P$12=0,0,P122/P$12)</f>
        <v>0.24974383750283694</v>
      </c>
      <c r="S122" s="14"/>
      <c r="T122" s="22">
        <f>+T61-T63+T117</f>
        <v>742779.04999999935</v>
      </c>
      <c r="U122" s="14"/>
      <c r="V122" s="20">
        <f>IF(T$12=0,0,T122/T$12)</f>
        <v>0.22588512280780507</v>
      </c>
      <c r="W122" s="15"/>
      <c r="X122" s="22">
        <f>+P122-T122</f>
        <v>-273821.7099999999</v>
      </c>
      <c r="Y122" s="15"/>
      <c r="Z122" s="20">
        <f>IF(T122=0,0,X122/T122)</f>
        <v>-0.36864490187223259</v>
      </c>
    </row>
    <row r="123" spans="1:26" x14ac:dyDescent="0.25">
      <c r="A123" s="9"/>
      <c r="B123" s="11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4" customFormat="1" x14ac:dyDescent="0.25">
      <c r="A124" s="51"/>
      <c r="B124" s="11" t="s">
        <v>127</v>
      </c>
      <c r="C124" s="11"/>
      <c r="D124" s="4">
        <v>17439.740000000002</v>
      </c>
      <c r="E124" s="4"/>
      <c r="F124" s="13">
        <f>IF(D$12=0,0,D124/D$12)</f>
        <v>1.4931348165017835</v>
      </c>
      <c r="G124" s="4"/>
      <c r="H124" s="4">
        <v>18692.52</v>
      </c>
      <c r="I124" s="4"/>
      <c r="J124" s="13">
        <f>IF(H$12=0,0,H124/H$12)</f>
        <v>1.2820825511443563</v>
      </c>
      <c r="K124" s="4"/>
      <c r="L124" s="4">
        <f>+D124-H124</f>
        <v>-1252.7799999999988</v>
      </c>
      <c r="M124" s="4"/>
      <c r="N124" s="13">
        <f>IF(H124=0,0,L124/H124)</f>
        <v>-6.7020391044118124E-2</v>
      </c>
      <c r="O124" s="11"/>
      <c r="P124" s="4">
        <v>386989.03</v>
      </c>
      <c r="Q124" s="4"/>
      <c r="R124" s="13">
        <f>IF(P$12=0,0,P124/P$12)</f>
        <v>0.20609150807555462</v>
      </c>
      <c r="S124" s="4"/>
      <c r="T124" s="4">
        <v>352349.79</v>
      </c>
      <c r="U124" s="4"/>
      <c r="V124" s="13">
        <f>IF(T$12=0,0,T124/T$12)</f>
        <v>0.10715242384051406</v>
      </c>
      <c r="W124" s="4"/>
      <c r="X124" s="4">
        <f>+P124-T124</f>
        <v>34639.240000000049</v>
      </c>
      <c r="Y124" s="4"/>
      <c r="Z124" s="13">
        <f>IF(T124=0,0,X124/T124)</f>
        <v>9.8309239804002871E-2</v>
      </c>
    </row>
    <row r="125" spans="1:26" x14ac:dyDescent="0.25">
      <c r="A125" s="9"/>
      <c r="B125" s="11"/>
      <c r="C125" s="11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1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4" customFormat="1" ht="15.75" thickBot="1" x14ac:dyDescent="0.3">
      <c r="A126" s="11"/>
      <c r="B126" s="29" t="s">
        <v>125</v>
      </c>
      <c r="C126" s="29"/>
      <c r="D126" s="30">
        <f>+D122-D124</f>
        <v>-56825.510000000024</v>
      </c>
      <c r="E126" s="14"/>
      <c r="F126" s="36">
        <f>IF(D$12=0,0,D126/D$12)</f>
        <v>-4.8652186011070286</v>
      </c>
      <c r="G126" s="14"/>
      <c r="H126" s="30">
        <f>+H122-H124</f>
        <v>-55880.400000000038</v>
      </c>
      <c r="I126" s="14"/>
      <c r="J126" s="36">
        <f>IF(H$12=0,0,H126/H$12)</f>
        <v>-3.8327248434650407</v>
      </c>
      <c r="K126" s="15"/>
      <c r="L126" s="30">
        <f>D126-H126</f>
        <v>-945.10999999998603</v>
      </c>
      <c r="M126" s="15"/>
      <c r="N126" s="36">
        <f>IF(H126=0,0,L126/H126)</f>
        <v>1.6913085804682596E-2</v>
      </c>
      <c r="O126" s="28"/>
      <c r="P126" s="30">
        <f>+P122-P124</f>
        <v>81968.309999999416</v>
      </c>
      <c r="Q126" s="14"/>
      <c r="R126" s="36">
        <f>IF(P$12=0,0,P126/P$12)</f>
        <v>4.3652329427282324E-2</v>
      </c>
      <c r="S126" s="14"/>
      <c r="T126" s="30">
        <f>+T122-T124</f>
        <v>390429.25999999937</v>
      </c>
      <c r="U126" s="14"/>
      <c r="V126" s="36">
        <f>IF(T$12=0,0,T126/T$12)</f>
        <v>0.11873269896729099</v>
      </c>
      <c r="W126" s="15"/>
      <c r="X126" s="30">
        <f>P126-T126</f>
        <v>-308460.94999999995</v>
      </c>
      <c r="Y126" s="15"/>
      <c r="Z126" s="36">
        <f>IF(T126=0,0,X126/T126)</f>
        <v>-0.7900559245995048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4" customFormat="1" ht="15.75" thickBot="1" x14ac:dyDescent="0.3">
      <c r="A129" s="11"/>
      <c r="B129" s="29" t="s">
        <v>293</v>
      </c>
      <c r="C129" s="29"/>
      <c r="D129" s="35">
        <f>SUM(D126:D128)</f>
        <v>-56825.510000000024</v>
      </c>
      <c r="E129" s="14"/>
      <c r="F129" s="34">
        <f>IF(D$12=0,0,D129/D$12)</f>
        <v>-4.8652186011070286</v>
      </c>
      <c r="G129" s="14"/>
      <c r="H129" s="35">
        <f>SUM(H126:H128)</f>
        <v>-55880.400000000038</v>
      </c>
      <c r="I129" s="14"/>
      <c r="J129" s="34">
        <f>IF(H$12=0,0,H129/H$12)</f>
        <v>-3.8327248434650407</v>
      </c>
      <c r="K129" s="15"/>
      <c r="L129" s="35">
        <f>+D129-H129</f>
        <v>-945.10999999998603</v>
      </c>
      <c r="M129" s="15"/>
      <c r="N129" s="34">
        <f>IF(H129=0,0,L129/H129)</f>
        <v>1.6913085804682596E-2</v>
      </c>
      <c r="O129" s="28"/>
      <c r="P129" s="35">
        <f>SUM(P126:P128)</f>
        <v>81968.309999999416</v>
      </c>
      <c r="Q129" s="14"/>
      <c r="R129" s="34">
        <f>IF(P$12=0,0,P129/P$12)</f>
        <v>4.3652329427282324E-2</v>
      </c>
      <c r="S129" s="14"/>
      <c r="T129" s="35">
        <f>SUM(T126:T128)</f>
        <v>390429.25999999937</v>
      </c>
      <c r="U129" s="14"/>
      <c r="V129" s="34">
        <f>IF(T$12=0,0,T129/T$12)</f>
        <v>0.11873269896729099</v>
      </c>
      <c r="W129" s="15"/>
      <c r="X129" s="35">
        <f>+P129-T129</f>
        <v>-308460.94999999995</v>
      </c>
      <c r="Y129" s="15"/>
      <c r="Z129" s="34">
        <f>IF(T129=0,0,X129/T129)</f>
        <v>-0.7900559245995048</v>
      </c>
    </row>
    <row r="130" spans="1:26" ht="15.75" thickTop="1" x14ac:dyDescent="0.25">
      <c r="A130" s="9"/>
      <c r="C130" s="9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6" x14ac:dyDescent="0.25">
      <c r="A131" s="9"/>
      <c r="B131" s="54">
        <v>44295.963243634258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25">
      <c r="A132" s="9"/>
      <c r="B132" s="58" t="s">
        <v>56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62"/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","324", " - ", "Textbook Rental")</f>
        <v>Department 324 - Textbook Rental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3314.99</v>
      </c>
      <c r="E12" s="4"/>
      <c r="F12" s="13"/>
      <c r="G12" s="4"/>
      <c r="H12" s="4">
        <f>SUM(OSRRefH13x_0)</f>
        <v>3923.4799999999996</v>
      </c>
      <c r="I12" s="4"/>
      <c r="J12" s="13"/>
      <c r="K12" s="4"/>
      <c r="L12" s="4">
        <f t="shared" ref="L12:L15" si="0">+D12-H12</f>
        <v>-608.48999999999978</v>
      </c>
      <c r="M12" s="4"/>
      <c r="N12" s="13">
        <f t="shared" ref="N12:N15" si="1">IF(H12=0,0,L12/H12)</f>
        <v>-0.15508935944620589</v>
      </c>
      <c r="O12" s="11"/>
      <c r="P12" s="4">
        <f>SUM(OSRRefP13x_0)</f>
        <v>776231.99</v>
      </c>
      <c r="Q12" s="4"/>
      <c r="R12" s="13"/>
      <c r="S12" s="4"/>
      <c r="T12" s="4">
        <f>SUM(OSRRefT13x_0)</f>
        <v>1547555.6</v>
      </c>
      <c r="U12" s="4"/>
      <c r="V12" s="13"/>
      <c r="W12" s="4"/>
      <c r="X12" s="4">
        <f t="shared" ref="X12:X15" si="2">+P12-T12</f>
        <v>-771323.6100000001</v>
      </c>
      <c r="Y12" s="4"/>
      <c r="Z12" s="13">
        <f t="shared" ref="Z12:Z15" si="3">IF(T12=0,0,X12/T12)</f>
        <v>-0.49841415067736505</v>
      </c>
    </row>
    <row r="13" spans="1:26" s="23" customFormat="1" hidden="1" outlineLevel="1" x14ac:dyDescent="0.25">
      <c r="A13" s="44"/>
      <c r="B13" s="10" t="str">
        <f>CONCATENATE("          ", "4001", " - ", "TAXABLE SALES-NEW TEXT")</f>
        <v xml:space="preserve">          4001 - TAXABLE SALES-NEW TEXT</v>
      </c>
      <c r="C13" s="10"/>
      <c r="D13" s="2">
        <f>--747</f>
        <v>747</v>
      </c>
      <c r="E13" s="2"/>
      <c r="F13" s="19"/>
      <c r="G13" s="2"/>
      <c r="H13" s="2">
        <f>--1275.6</f>
        <v>1275.5999999999999</v>
      </c>
      <c r="I13" s="2"/>
      <c r="J13" s="19"/>
      <c r="K13" s="2"/>
      <c r="L13" s="2">
        <f t="shared" si="0"/>
        <v>-528.59999999999991</v>
      </c>
      <c r="M13" s="2"/>
      <c r="N13" s="19">
        <f t="shared" si="1"/>
        <v>-0.41439322671683909</v>
      </c>
      <c r="O13" s="10"/>
      <c r="P13" s="2">
        <f>--263452.93</f>
        <v>263452.93</v>
      </c>
      <c r="Q13" s="2"/>
      <c r="R13" s="19"/>
      <c r="S13" s="2"/>
      <c r="T13" s="2">
        <f>--408271.76</f>
        <v>408271.76</v>
      </c>
      <c r="U13" s="2"/>
      <c r="V13" s="19"/>
      <c r="W13" s="2"/>
      <c r="X13" s="2">
        <f t="shared" si="2"/>
        <v>-144818.83000000002</v>
      </c>
      <c r="Y13" s="2"/>
      <c r="Z13" s="19">
        <f t="shared" si="3"/>
        <v>-0.35471184683456924</v>
      </c>
    </row>
    <row r="14" spans="1:26" s="23" customFormat="1" hidden="1" outlineLevel="1" x14ac:dyDescent="0.25">
      <c r="A14" s="44"/>
      <c r="B14" s="10" t="str">
        <f>CONCATENATE("          ", "4002", " - ", "TAXABLE SALES-USED TEXT")</f>
        <v xml:space="preserve">          4002 - TAXABLE SALES-USED TEXT</v>
      </c>
      <c r="C14" s="10"/>
      <c r="D14" s="2">
        <f>--517.45</f>
        <v>517.45000000000005</v>
      </c>
      <c r="E14" s="2"/>
      <c r="F14" s="19"/>
      <c r="G14" s="2"/>
      <c r="H14" s="2">
        <f>--1075.35</f>
        <v>1075.3499999999999</v>
      </c>
      <c r="I14" s="2"/>
      <c r="J14" s="19"/>
      <c r="K14" s="2"/>
      <c r="L14" s="2">
        <f t="shared" si="0"/>
        <v>-557.89999999999986</v>
      </c>
      <c r="M14" s="2"/>
      <c r="N14" s="19">
        <f t="shared" si="1"/>
        <v>-0.51880783000883424</v>
      </c>
      <c r="O14" s="10"/>
      <c r="P14" s="2">
        <f>--226554.96</f>
        <v>226554.96</v>
      </c>
      <c r="Q14" s="2"/>
      <c r="R14" s="19"/>
      <c r="S14" s="2"/>
      <c r="T14" s="2">
        <f>--564971.19</f>
        <v>564971.18999999994</v>
      </c>
      <c r="U14" s="2"/>
      <c r="V14" s="19"/>
      <c r="W14" s="2"/>
      <c r="X14" s="2">
        <f t="shared" si="2"/>
        <v>-338416.23</v>
      </c>
      <c r="Y14" s="2"/>
      <c r="Z14" s="19">
        <f t="shared" si="3"/>
        <v>-0.59899732232363923</v>
      </c>
    </row>
    <row r="15" spans="1:26" s="23" customFormat="1" hidden="1" outlineLevel="1" x14ac:dyDescent="0.25">
      <c r="A15" s="44"/>
      <c r="B15" s="10" t="str">
        <f>CONCATENATE("          ", "4100", " - ", "NON-TAXABLE SALES")</f>
        <v xml:space="preserve">          4100 - NON-TAXABLE SALES</v>
      </c>
      <c r="C15" s="10"/>
      <c r="D15" s="2">
        <f>--2050.54</f>
        <v>2050.54</v>
      </c>
      <c r="E15" s="2"/>
      <c r="F15" s="19"/>
      <c r="G15" s="2"/>
      <c r="H15" s="2">
        <f>--1572.53</f>
        <v>1572.53</v>
      </c>
      <c r="I15" s="2"/>
      <c r="J15" s="19"/>
      <c r="K15" s="2"/>
      <c r="L15" s="2">
        <f t="shared" si="0"/>
        <v>478.01</v>
      </c>
      <c r="M15" s="2"/>
      <c r="N15" s="19">
        <f t="shared" si="1"/>
        <v>0.30397512289113721</v>
      </c>
      <c r="O15" s="10"/>
      <c r="P15" s="2">
        <f>--286224.1</f>
        <v>286224.09999999998</v>
      </c>
      <c r="Q15" s="2"/>
      <c r="R15" s="19"/>
      <c r="S15" s="2"/>
      <c r="T15" s="2">
        <f>--574312.65</f>
        <v>574312.65</v>
      </c>
      <c r="U15" s="2"/>
      <c r="V15" s="19"/>
      <c r="W15" s="2"/>
      <c r="X15" s="2">
        <f t="shared" si="2"/>
        <v>-288088.55000000005</v>
      </c>
      <c r="Y15" s="2"/>
      <c r="Z15" s="19">
        <f t="shared" si="3"/>
        <v>-0.5016232012302011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823.37</v>
      </c>
      <c r="E17" s="4"/>
      <c r="F17" s="13">
        <f t="shared" ref="F17:F19" si="4">IF(D$12=0,0,D17/D$12)</f>
        <v>0.24837782316085419</v>
      </c>
      <c r="G17" s="4"/>
      <c r="H17" s="4">
        <f>SUM(OSRRefH16x_0)</f>
        <v>2911.15</v>
      </c>
      <c r="I17" s="4"/>
      <c r="J17" s="13">
        <f t="shared" ref="J17:J19" si="5">IF(H$12=0,0,H17/H$12)</f>
        <v>0.74198160816418091</v>
      </c>
      <c r="K17" s="4"/>
      <c r="L17" s="4">
        <f t="shared" ref="L17:L19" si="6">+D17-H17</f>
        <v>-2087.7800000000002</v>
      </c>
      <c r="M17" s="4"/>
      <c r="N17" s="13">
        <f t="shared" ref="N17:N19" si="7">IF(H17=0,0,L17/H17)</f>
        <v>-0.71716675540593933</v>
      </c>
      <c r="O17" s="11"/>
      <c r="P17" s="4">
        <f>SUM(OSRRefP16x_0)</f>
        <v>542922.72</v>
      </c>
      <c r="Q17" s="4"/>
      <c r="R17" s="13">
        <f t="shared" ref="R17:R19" si="8">IF(P$12=0,0,P17/P$12)</f>
        <v>0.69943358041711212</v>
      </c>
      <c r="S17" s="4"/>
      <c r="T17" s="4">
        <f>SUM(OSRRefT16x_0)</f>
        <v>1150137.04</v>
      </c>
      <c r="U17" s="4"/>
      <c r="V17" s="13">
        <f t="shared" ref="V17:V19" si="9">IF(T$12=0,0,T17/T$12)</f>
        <v>0.74319594074681383</v>
      </c>
      <c r="W17" s="4"/>
      <c r="X17" s="4">
        <f t="shared" ref="X17:X19" si="10">+P17-T17</f>
        <v>-607214.32000000007</v>
      </c>
      <c r="Y17" s="4"/>
      <c r="Z17" s="13">
        <f t="shared" ref="Z17:Z19" si="11">IF(T17=0,0,X17/T17)</f>
        <v>-0.52794953895233221</v>
      </c>
    </row>
    <row r="18" spans="1:26" s="23" customFormat="1" hidden="1" outlineLevel="1" x14ac:dyDescent="0.25">
      <c r="A18" s="44"/>
      <c r="B18" s="10" t="str">
        <f>CONCATENATE("          ", "5001", " - ", "PURCHASES @ COST-NEW TEXT")</f>
        <v xml:space="preserve">          5001 - PURCHASES @ COST-NEW TEXT</v>
      </c>
      <c r="C18" s="10"/>
      <c r="D18" s="2">
        <v>225.24</v>
      </c>
      <c r="E18" s="2"/>
      <c r="F18" s="19">
        <f t="shared" si="4"/>
        <v>6.7945906322492686E-2</v>
      </c>
      <c r="G18" s="2"/>
      <c r="H18" s="2">
        <v>1451.95</v>
      </c>
      <c r="I18" s="2"/>
      <c r="J18" s="19">
        <f t="shared" si="5"/>
        <v>0.37006687940297905</v>
      </c>
      <c r="K18" s="2"/>
      <c r="L18" s="2">
        <f t="shared" si="6"/>
        <v>-1226.71</v>
      </c>
      <c r="M18" s="2"/>
      <c r="N18" s="19">
        <f t="shared" si="7"/>
        <v>-0.84487069113950208</v>
      </c>
      <c r="O18" s="10"/>
      <c r="P18" s="2">
        <v>300430.14</v>
      </c>
      <c r="Q18" s="2"/>
      <c r="R18" s="19">
        <f t="shared" si="8"/>
        <v>0.38703653530177234</v>
      </c>
      <c r="S18" s="2"/>
      <c r="T18" s="2">
        <v>477221.92</v>
      </c>
      <c r="U18" s="2"/>
      <c r="V18" s="19">
        <f t="shared" si="9"/>
        <v>0.30837142135636353</v>
      </c>
      <c r="W18" s="2"/>
      <c r="X18" s="2">
        <f t="shared" si="10"/>
        <v>-176791.77999999997</v>
      </c>
      <c r="Y18" s="2"/>
      <c r="Z18" s="19">
        <f t="shared" si="11"/>
        <v>-0.37046030911572542</v>
      </c>
    </row>
    <row r="19" spans="1:26" s="23" customFormat="1" hidden="1" outlineLevel="1" x14ac:dyDescent="0.25">
      <c r="A19" s="44"/>
      <c r="B19" s="10" t="str">
        <f>CONCATENATE("          ", "5002", " - ", "PURCHASES @ COST-USED TEXT")</f>
        <v xml:space="preserve">          5002 - PURCHASES @ COST-USED TEXT</v>
      </c>
      <c r="C19" s="10"/>
      <c r="D19" s="2">
        <v>598.13</v>
      </c>
      <c r="E19" s="2"/>
      <c r="F19" s="19">
        <f t="shared" si="4"/>
        <v>0.18043191683836152</v>
      </c>
      <c r="G19" s="2"/>
      <c r="H19" s="2">
        <v>1459.2</v>
      </c>
      <c r="I19" s="2"/>
      <c r="J19" s="19">
        <f t="shared" si="5"/>
        <v>0.37191472876120185</v>
      </c>
      <c r="K19" s="2"/>
      <c r="L19" s="2">
        <f t="shared" si="6"/>
        <v>-861.07</v>
      </c>
      <c r="M19" s="2"/>
      <c r="N19" s="19">
        <f t="shared" si="7"/>
        <v>-0.5900973135964912</v>
      </c>
      <c r="O19" s="10"/>
      <c r="P19" s="2">
        <v>242492.58</v>
      </c>
      <c r="Q19" s="2"/>
      <c r="R19" s="19">
        <f t="shared" si="8"/>
        <v>0.31239704511533978</v>
      </c>
      <c r="S19" s="2"/>
      <c r="T19" s="2">
        <v>672915.12</v>
      </c>
      <c r="U19" s="2"/>
      <c r="V19" s="19">
        <f t="shared" si="9"/>
        <v>0.4348245193904503</v>
      </c>
      <c r="W19" s="2"/>
      <c r="X19" s="2">
        <f t="shared" si="10"/>
        <v>-430422.54000000004</v>
      </c>
      <c r="Y19" s="2"/>
      <c r="Z19" s="19">
        <f t="shared" si="11"/>
        <v>-0.63963868132432522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9" t="s">
        <v>107</v>
      </c>
      <c r="C21" s="29"/>
      <c r="D21" s="22">
        <f>D12-D17</f>
        <v>2491.62</v>
      </c>
      <c r="E21" s="14"/>
      <c r="F21" s="20">
        <f>IF(D$12=0,0,D21/D$12)</f>
        <v>0.75162217683914578</v>
      </c>
      <c r="G21" s="14"/>
      <c r="H21" s="22">
        <f>H12-H17</f>
        <v>1012.3299999999995</v>
      </c>
      <c r="I21" s="14"/>
      <c r="J21" s="20">
        <f>IF(H$12=0,0,H21/H$12)</f>
        <v>0.25801839183581909</v>
      </c>
      <c r="K21" s="15"/>
      <c r="L21" s="22">
        <f>+D21-H21</f>
        <v>1479.2900000000004</v>
      </c>
      <c r="M21" s="15"/>
      <c r="N21" s="20">
        <f>IF(H21=0,0,L21/H21)</f>
        <v>1.4612725099522894</v>
      </c>
      <c r="O21" s="28"/>
      <c r="P21" s="22">
        <f>P12-P17</f>
        <v>233309.27000000002</v>
      </c>
      <c r="Q21" s="14"/>
      <c r="R21" s="20">
        <f>IF(P$12=0,0,P21/P$12)</f>
        <v>0.30056641958288788</v>
      </c>
      <c r="S21" s="14"/>
      <c r="T21" s="22">
        <f>T12-T17</f>
        <v>397418.56000000006</v>
      </c>
      <c r="U21" s="14"/>
      <c r="V21" s="20">
        <f>IF(T$12=0,0,T21/T$12)</f>
        <v>0.25680405925318617</v>
      </c>
      <c r="W21" s="15"/>
      <c r="X21" s="22">
        <f>+P21-T21</f>
        <v>-164109.29000000004</v>
      </c>
      <c r="Y21" s="15"/>
      <c r="Z21" s="20">
        <f>IF(T21=0,0,X21/T21)</f>
        <v>-0.41293816272697487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8" t="s">
        <v>294</v>
      </c>
      <c r="C23" s="11"/>
      <c r="D23" s="21">
        <f>SUM(0)</f>
        <v>0</v>
      </c>
      <c r="E23" s="21"/>
      <c r="F23" s="31">
        <f>IF(D$12=0,0,D23/D$12)</f>
        <v>0</v>
      </c>
      <c r="G23" s="21"/>
      <c r="H23" s="21">
        <f>SUM(0)</f>
        <v>0</v>
      </c>
      <c r="I23" s="21"/>
      <c r="J23" s="31">
        <f>IF(H$12=0,0,H23/H$12)</f>
        <v>0</v>
      </c>
      <c r="K23" s="4"/>
      <c r="L23" s="21">
        <f>+D23-H23</f>
        <v>0</v>
      </c>
      <c r="M23" s="4"/>
      <c r="N23" s="31">
        <f>IF(H23=0,0,L23/H23)</f>
        <v>0</v>
      </c>
      <c r="O23" s="11"/>
      <c r="P23" s="21">
        <f>SUM(0)</f>
        <v>0</v>
      </c>
      <c r="Q23" s="21"/>
      <c r="R23" s="31">
        <f>IF(P$12=0,0,P23/P$12)</f>
        <v>0</v>
      </c>
      <c r="S23" s="21"/>
      <c r="T23" s="21">
        <f>SUM(0)</f>
        <v>0</v>
      </c>
      <c r="U23" s="21"/>
      <c r="V23" s="31">
        <f>IF(T$12=0,0,T23/T$12)</f>
        <v>0</v>
      </c>
      <c r="W23" s="4"/>
      <c r="X23" s="21">
        <f>+P23-T23</f>
        <v>0</v>
      </c>
      <c r="Y23" s="4"/>
      <c r="Z23" s="31">
        <f>IF(T23=0,0,X23/T23)</f>
        <v>0</v>
      </c>
    </row>
    <row r="24" spans="1:26" s="60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4" customFormat="1" x14ac:dyDescent="0.25">
      <c r="A25" s="11"/>
      <c r="B25" s="28" t="s">
        <v>292</v>
      </c>
      <c r="C25" s="11"/>
      <c r="D25" s="4">
        <f>SUM(0)</f>
        <v>0</v>
      </c>
      <c r="E25" s="4"/>
      <c r="F25" s="13">
        <f>IF(D$12=0,0,D25/D$12)</f>
        <v>0</v>
      </c>
      <c r="G25" s="4"/>
      <c r="H25" s="4">
        <f>SUM(0)</f>
        <v>0</v>
      </c>
      <c r="I25" s="4"/>
      <c r="J25" s="13">
        <f>IF(H$12=0,0,H25/H$12)</f>
        <v>0</v>
      </c>
      <c r="K25" s="4"/>
      <c r="L25" s="4">
        <f>+D25-H25</f>
        <v>0</v>
      </c>
      <c r="M25" s="4"/>
      <c r="N25" s="13">
        <f>IF(H25=0,0,L25/H25)</f>
        <v>0</v>
      </c>
      <c r="O25" s="11"/>
      <c r="P25" s="4">
        <f>SUM(0)</f>
        <v>0</v>
      </c>
      <c r="Q25" s="4"/>
      <c r="R25" s="13">
        <f>IF(P$12=0,0,P25/P$12)</f>
        <v>0</v>
      </c>
      <c r="S25" s="4"/>
      <c r="T25" s="4">
        <f>SUM(0)</f>
        <v>0</v>
      </c>
      <c r="U25" s="4"/>
      <c r="V25" s="13">
        <f>IF(T$12=0,0,T25/T$12)</f>
        <v>0</v>
      </c>
      <c r="W25" s="4"/>
      <c r="X25" s="4">
        <f>+P25-T25</f>
        <v>0</v>
      </c>
      <c r="Y25" s="4"/>
      <c r="Z25" s="13">
        <f>IF(T25=0,0,X25/T25)</f>
        <v>0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>
        <f>+D21-D23+D25</f>
        <v>2491.62</v>
      </c>
      <c r="E27" s="14"/>
      <c r="F27" s="20">
        <f>IF(D$12=0,0,D27/D$12)</f>
        <v>0.75162217683914578</v>
      </c>
      <c r="G27" s="14"/>
      <c r="H27" s="22">
        <f>+H21-H23+H25</f>
        <v>1012.3299999999995</v>
      </c>
      <c r="I27" s="14"/>
      <c r="J27" s="20">
        <f>IF(H$12=0,0,H27/H$12)</f>
        <v>0.25801839183581909</v>
      </c>
      <c r="K27" s="15"/>
      <c r="L27" s="22">
        <f>+D27-H27</f>
        <v>1479.2900000000004</v>
      </c>
      <c r="M27" s="15"/>
      <c r="N27" s="20">
        <f>IF(H27=0,0,L27/H27)</f>
        <v>1.4612725099522894</v>
      </c>
      <c r="O27" s="28"/>
      <c r="P27" s="22">
        <f>+P21-P23+P25</f>
        <v>233309.27000000002</v>
      </c>
      <c r="Q27" s="14"/>
      <c r="R27" s="20">
        <f>IF(P$12=0,0,P27/P$12)</f>
        <v>0.30056641958288788</v>
      </c>
      <c r="S27" s="14"/>
      <c r="T27" s="22">
        <f>+T21-T23+T25</f>
        <v>397418.56000000006</v>
      </c>
      <c r="U27" s="14"/>
      <c r="V27" s="20">
        <f>IF(T$12=0,0,T27/T$12)</f>
        <v>0.25680405925318617</v>
      </c>
      <c r="W27" s="15"/>
      <c r="X27" s="22">
        <f>+P27-T27</f>
        <v>-164109.29000000004</v>
      </c>
      <c r="Y27" s="15"/>
      <c r="Z27" s="20">
        <f>IF(T27=0,0,X27/T27)</f>
        <v>-0.41293816272697487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>
        <v>6909.61</v>
      </c>
      <c r="E29" s="4"/>
      <c r="F29" s="13">
        <f>IF(D$12=0,0,D29/D$12)</f>
        <v>2.0843531956355825</v>
      </c>
      <c r="G29" s="4"/>
      <c r="H29" s="4">
        <v>8497.69</v>
      </c>
      <c r="I29" s="4"/>
      <c r="J29" s="13">
        <f>IF(H$12=0,0,H29/H$12)</f>
        <v>2.1658553121208728</v>
      </c>
      <c r="K29" s="4"/>
      <c r="L29" s="4">
        <f>+D29-H29</f>
        <v>-1588.0800000000008</v>
      </c>
      <c r="M29" s="4"/>
      <c r="N29" s="13">
        <f>IF(H29=0,0,L29/H29)</f>
        <v>-0.18688372957827371</v>
      </c>
      <c r="O29" s="11"/>
      <c r="P29" s="4">
        <v>159974.82</v>
      </c>
      <c r="Q29" s="4"/>
      <c r="R29" s="13">
        <f>IF(P$12=0,0,P29/P$12)</f>
        <v>0.20609150622612193</v>
      </c>
      <c r="S29" s="4"/>
      <c r="T29" s="4">
        <v>165824.32999999999</v>
      </c>
      <c r="U29" s="4"/>
      <c r="V29" s="13">
        <f>IF(T$12=0,0,T29/T$12)</f>
        <v>0.10715242153496778</v>
      </c>
      <c r="W29" s="4"/>
      <c r="X29" s="4">
        <f>+P29-T29</f>
        <v>-5849.5099999999802</v>
      </c>
      <c r="Y29" s="4"/>
      <c r="Z29" s="13">
        <f>IF(T29=0,0,X29/T29)</f>
        <v>-3.5275342285417226E-2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>
        <f>+D27-D29</f>
        <v>-4417.99</v>
      </c>
      <c r="E31" s="14"/>
      <c r="F31" s="36">
        <f>IF(D$12=0,0,D31/D$12)</f>
        <v>-1.3327310187964367</v>
      </c>
      <c r="G31" s="14"/>
      <c r="H31" s="30">
        <f>+H27-H29</f>
        <v>-7485.3600000000006</v>
      </c>
      <c r="I31" s="14"/>
      <c r="J31" s="36">
        <f>IF(H$12=0,0,H31/H$12)</f>
        <v>-1.9078369202850534</v>
      </c>
      <c r="K31" s="15"/>
      <c r="L31" s="30">
        <f>D31-H31</f>
        <v>3067.3700000000008</v>
      </c>
      <c r="M31" s="15"/>
      <c r="N31" s="36">
        <f>IF(H31=0,0,L31/H31)</f>
        <v>-0.40978256222813608</v>
      </c>
      <c r="O31" s="28"/>
      <c r="P31" s="30">
        <f>+P27-P29</f>
        <v>73334.450000000012</v>
      </c>
      <c r="Q31" s="14"/>
      <c r="R31" s="36">
        <f>IF(P$12=0,0,P31/P$12)</f>
        <v>9.4474913356765944E-2</v>
      </c>
      <c r="S31" s="14"/>
      <c r="T31" s="30">
        <f>+T27-T29</f>
        <v>231594.23000000007</v>
      </c>
      <c r="U31" s="14"/>
      <c r="V31" s="36">
        <f>IF(T$12=0,0,T31/T$12)</f>
        <v>0.14965163771821838</v>
      </c>
      <c r="W31" s="15"/>
      <c r="X31" s="30">
        <f>P31-T31</f>
        <v>-158259.78000000006</v>
      </c>
      <c r="Y31" s="15"/>
      <c r="Z31" s="36">
        <f>IF(T31=0,0,X31/T31)</f>
        <v>-0.68334940814371758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ht="15.75" thickBot="1" x14ac:dyDescent="0.3">
      <c r="A34" s="11"/>
      <c r="B34" s="29" t="s">
        <v>293</v>
      </c>
      <c r="C34" s="29"/>
      <c r="D34" s="35">
        <f>SUM(D31:D33)</f>
        <v>-4417.99</v>
      </c>
      <c r="E34" s="14"/>
      <c r="F34" s="34">
        <f>IF(D$12=0,0,D34/D$12)</f>
        <v>-1.3327310187964367</v>
      </c>
      <c r="G34" s="14"/>
      <c r="H34" s="35">
        <f>SUM(H31:H33)</f>
        <v>-7485.3600000000006</v>
      </c>
      <c r="I34" s="14"/>
      <c r="J34" s="34">
        <f>IF(H$12=0,0,H34/H$12)</f>
        <v>-1.9078369202850534</v>
      </c>
      <c r="K34" s="15"/>
      <c r="L34" s="35">
        <f>+D34-H34</f>
        <v>3067.3700000000008</v>
      </c>
      <c r="M34" s="15"/>
      <c r="N34" s="34">
        <f>IF(H34=0,0,L34/H34)</f>
        <v>-0.40978256222813608</v>
      </c>
      <c r="O34" s="28"/>
      <c r="P34" s="35">
        <f>SUM(P31:P33)</f>
        <v>73334.450000000012</v>
      </c>
      <c r="Q34" s="14"/>
      <c r="R34" s="34">
        <f>IF(P$12=0,0,P34/P$12)</f>
        <v>9.4474913356765944E-2</v>
      </c>
      <c r="S34" s="14"/>
      <c r="T34" s="35">
        <f>SUM(T31:T33)</f>
        <v>231594.23000000007</v>
      </c>
      <c r="U34" s="14"/>
      <c r="V34" s="34">
        <f>IF(T$12=0,0,T34/T$12)</f>
        <v>0.14965163771821838</v>
      </c>
      <c r="W34" s="15"/>
      <c r="X34" s="35">
        <f>+P34-T34</f>
        <v>-158259.78000000006</v>
      </c>
      <c r="Y34" s="15"/>
      <c r="Z34" s="34">
        <f>IF(T34=0,0,X34/T34)</f>
        <v>-0.68334940814371758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4">
        <v>44295.963243634258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8" t="s">
        <v>56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166752.73000000001</v>
      </c>
      <c r="E12" s="4"/>
      <c r="F12" s="13"/>
      <c r="G12" s="4"/>
      <c r="H12" s="4">
        <f>SUM(OSRRefH13x_0)</f>
        <v>134841.88999999998</v>
      </c>
      <c r="I12" s="4"/>
      <c r="J12" s="13"/>
      <c r="K12" s="4"/>
      <c r="L12" s="4">
        <f t="shared" ref="L12:L54" si="0">+D12-H12</f>
        <v>31910.840000000026</v>
      </c>
      <c r="M12" s="4"/>
      <c r="N12" s="13">
        <f t="shared" ref="N12:N54" si="1">IF(H12=0,0,L12/H12)</f>
        <v>0.23665375796794327</v>
      </c>
      <c r="O12" s="11"/>
      <c r="P12" s="4">
        <f>SUM(OSRRefP13x_0)</f>
        <v>1477880.8700000003</v>
      </c>
      <c r="Q12" s="4"/>
      <c r="R12" s="13"/>
      <c r="S12" s="4"/>
      <c r="T12" s="4">
        <f>SUM(OSRRefT13x_0)</f>
        <v>2463327.7000000002</v>
      </c>
      <c r="U12" s="4"/>
      <c r="V12" s="13"/>
      <c r="W12" s="4"/>
      <c r="X12" s="4">
        <f t="shared" ref="X12:X54" si="2">+P12-T12</f>
        <v>-985446.82999999984</v>
      </c>
      <c r="Y12" s="4"/>
      <c r="Z12" s="13">
        <f t="shared" ref="Z12:Z54" si="3">IF(T12=0,0,X12/T12)</f>
        <v>-0.40004698928201871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-11260.63</f>
        <v>-11260.63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-11260.63</v>
      </c>
      <c r="M13" s="2"/>
      <c r="N13" s="19">
        <f t="shared" si="1"/>
        <v>0</v>
      </c>
      <c r="O13" s="10"/>
      <c r="P13" s="2">
        <f>-110458.73</f>
        <v>-110458.73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-110458.73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"4025", " - ", "TAXABLE SALES-TEST FORMS")</f>
        <v xml:space="preserve">          4025 - TAXABLE SALES-TEST FORMS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"4026", " - ", "TAXABLE SALES-WRITING INSTRUME")</f>
        <v xml:space="preserve">          4026 - TAXABLE SALES-WRITING INSTRUME</v>
      </c>
      <c r="C15" s="10"/>
      <c r="D15" s="2">
        <f>--16.37</f>
        <v>16.37</v>
      </c>
      <c r="E15" s="2"/>
      <c r="F15" s="19"/>
      <c r="G15" s="2"/>
      <c r="H15" s="2">
        <f>--4.44</f>
        <v>4.4400000000000004</v>
      </c>
      <c r="I15" s="2"/>
      <c r="J15" s="19"/>
      <c r="K15" s="2"/>
      <c r="L15" s="2">
        <f t="shared" si="0"/>
        <v>11.93</v>
      </c>
      <c r="M15" s="2"/>
      <c r="N15" s="19">
        <f t="shared" si="1"/>
        <v>2.6869369369369367</v>
      </c>
      <c r="O15" s="10"/>
      <c r="P15" s="2">
        <f>--447.24</f>
        <v>447.24</v>
      </c>
      <c r="Q15" s="2"/>
      <c r="R15" s="19"/>
      <c r="S15" s="2"/>
      <c r="T15" s="2">
        <f>--229.51</f>
        <v>229.51</v>
      </c>
      <c r="U15" s="2"/>
      <c r="V15" s="19"/>
      <c r="W15" s="2"/>
      <c r="X15" s="2">
        <f t="shared" si="2"/>
        <v>217.73000000000002</v>
      </c>
      <c r="Y15" s="2"/>
      <c r="Z15" s="19">
        <f t="shared" si="3"/>
        <v>0.94867326042438249</v>
      </c>
    </row>
    <row r="16" spans="1:26" s="23" customFormat="1" hidden="1" outlineLevel="1" x14ac:dyDescent="0.25">
      <c r="A16" s="44"/>
      <c r="B16" s="10" t="str">
        <f>CONCATENATE("          ", "4027", " - ", "TAXABLE SALES-SCHOOL SUPPLIES")</f>
        <v xml:space="preserve">          4027 - TAXABLE SALES-SCHOOL SUPPLIES</v>
      </c>
      <c r="C16" s="10"/>
      <c r="D16" s="2">
        <f>--3028</f>
        <v>3028</v>
      </c>
      <c r="E16" s="2"/>
      <c r="F16" s="19"/>
      <c r="G16" s="2"/>
      <c r="H16" s="2">
        <f t="shared" ref="H16:H19" si="5">0</f>
        <v>0</v>
      </c>
      <c r="I16" s="2"/>
      <c r="J16" s="19"/>
      <c r="K16" s="2"/>
      <c r="L16" s="2">
        <f t="shared" si="0"/>
        <v>3028</v>
      </c>
      <c r="M16" s="2"/>
      <c r="N16" s="19">
        <f t="shared" si="1"/>
        <v>0</v>
      </c>
      <c r="O16" s="10"/>
      <c r="P16" s="2">
        <f>--49522</f>
        <v>49522</v>
      </c>
      <c r="Q16" s="2"/>
      <c r="R16" s="19"/>
      <c r="S16" s="2"/>
      <c r="T16" s="2">
        <f>--161.59</f>
        <v>161.59</v>
      </c>
      <c r="U16" s="2"/>
      <c r="V16" s="19"/>
      <c r="W16" s="2"/>
      <c r="X16" s="2">
        <f t="shared" si="2"/>
        <v>49360.41</v>
      </c>
      <c r="Y16" s="2"/>
      <c r="Z16" s="19">
        <f t="shared" si="3"/>
        <v>305.46698434309053</v>
      </c>
    </row>
    <row r="17" spans="1:26" s="23" customFormat="1" hidden="1" outlineLevel="1" x14ac:dyDescent="0.25">
      <c r="A17" s="44"/>
      <c r="B17" s="10" t="str">
        <f>CONCATENATE("          ", "4028", " - ", "TAXABLE SALES-ART/TECH")</f>
        <v xml:space="preserve">          4028 - TAXABLE SALES-ART/TECH</v>
      </c>
      <c r="C17" s="10"/>
      <c r="D17" s="2">
        <f>--3372.76</f>
        <v>3372.76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3372.76</v>
      </c>
      <c r="M17" s="2"/>
      <c r="N17" s="19">
        <f t="shared" si="1"/>
        <v>0</v>
      </c>
      <c r="O17" s="10"/>
      <c r="P17" s="2">
        <f>--31770.33</f>
        <v>31770.33</v>
      </c>
      <c r="Q17" s="2"/>
      <c r="R17" s="19"/>
      <c r="S17" s="2"/>
      <c r="T17" s="2">
        <f t="shared" ref="T17:T19" si="6">0</f>
        <v>0</v>
      </c>
      <c r="U17" s="2"/>
      <c r="V17" s="19"/>
      <c r="W17" s="2"/>
      <c r="X17" s="2">
        <f t="shared" si="2"/>
        <v>31770.33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"4031", " - ", "TAXABLE SALES-FOOD")</f>
        <v xml:space="preserve">          4031 - TAXABLE SALES-FOOD</v>
      </c>
      <c r="C18" s="10"/>
      <c r="D18" s="2">
        <f>--434.03</f>
        <v>434.03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434.03</v>
      </c>
      <c r="M18" s="2"/>
      <c r="N18" s="19">
        <f t="shared" si="1"/>
        <v>0</v>
      </c>
      <c r="O18" s="10"/>
      <c r="P18" s="2">
        <f>--3240.32</f>
        <v>3240.32</v>
      </c>
      <c r="Q18" s="2"/>
      <c r="R18" s="19"/>
      <c r="S18" s="2"/>
      <c r="T18" s="2">
        <f t="shared" si="6"/>
        <v>0</v>
      </c>
      <c r="U18" s="2"/>
      <c r="V18" s="19"/>
      <c r="W18" s="2"/>
      <c r="X18" s="2">
        <f t="shared" si="2"/>
        <v>3240.32</v>
      </c>
      <c r="Y18" s="2"/>
      <c r="Z18" s="19">
        <f t="shared" si="3"/>
        <v>0</v>
      </c>
    </row>
    <row r="19" spans="1:26" s="23" customFormat="1" hidden="1" outlineLevel="1" x14ac:dyDescent="0.25">
      <c r="A19" s="44"/>
      <c r="B19" s="10" t="str">
        <f>CONCATENATE("          ", "4034", " - ", "TAXABLE SALES-SODA")</f>
        <v xml:space="preserve">          4034 - TAXABLE SALES-SODA</v>
      </c>
      <c r="C19" s="10"/>
      <c r="D19" s="2">
        <f>0</f>
        <v>0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--6.78</f>
        <v>6.78</v>
      </c>
      <c r="Q19" s="2"/>
      <c r="R19" s="19"/>
      <c r="S19" s="2"/>
      <c r="T19" s="2">
        <f t="shared" si="6"/>
        <v>0</v>
      </c>
      <c r="U19" s="2"/>
      <c r="V19" s="19"/>
      <c r="W19" s="2"/>
      <c r="X19" s="2">
        <f t="shared" si="2"/>
        <v>6.78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"4040", " - ", "TAXABLE SALES-LOGO CLOTHING")</f>
        <v xml:space="preserve">          4040 - TAXABLE SALES-LOGO CLOTHING</v>
      </c>
      <c r="C20" s="10"/>
      <c r="D20" s="2">
        <f>--82653.17</f>
        <v>82653.17</v>
      </c>
      <c r="E20" s="2"/>
      <c r="F20" s="19"/>
      <c r="G20" s="2"/>
      <c r="H20" s="2">
        <f>--93833.27</f>
        <v>93833.27</v>
      </c>
      <c r="I20" s="2"/>
      <c r="J20" s="19"/>
      <c r="K20" s="2"/>
      <c r="L20" s="2">
        <f t="shared" si="0"/>
        <v>-11180.100000000006</v>
      </c>
      <c r="M20" s="2"/>
      <c r="N20" s="19">
        <f t="shared" si="1"/>
        <v>-0.11914857065090032</v>
      </c>
      <c r="O20" s="10"/>
      <c r="P20" s="2">
        <f>--754001.15</f>
        <v>754001.15</v>
      </c>
      <c r="Q20" s="2"/>
      <c r="R20" s="19"/>
      <c r="S20" s="2"/>
      <c r="T20" s="2">
        <f>--1776128.49</f>
        <v>1776128.49</v>
      </c>
      <c r="U20" s="2"/>
      <c r="V20" s="19"/>
      <c r="W20" s="2"/>
      <c r="X20" s="2">
        <f t="shared" si="2"/>
        <v>-1022127.34</v>
      </c>
      <c r="Y20" s="2"/>
      <c r="Z20" s="19">
        <f t="shared" si="3"/>
        <v>-0.57548051605207906</v>
      </c>
    </row>
    <row r="21" spans="1:26" s="23" customFormat="1" hidden="1" outlineLevel="1" x14ac:dyDescent="0.25">
      <c r="A21" s="44"/>
      <c r="B21" s="10" t="str">
        <f>CONCATENATE("          ", "4041", " - ", "TAXABLE SALES-LOGO GIFTS")</f>
        <v xml:space="preserve">          4041 - TAXABLE SALES-LOGO GIFTS</v>
      </c>
      <c r="C21" s="10"/>
      <c r="D21" s="2">
        <f>--47225.72</f>
        <v>47225.72</v>
      </c>
      <c r="E21" s="2"/>
      <c r="F21" s="19"/>
      <c r="G21" s="2"/>
      <c r="H21" s="2">
        <f>--24707.44</f>
        <v>24707.439999999999</v>
      </c>
      <c r="I21" s="2"/>
      <c r="J21" s="19"/>
      <c r="K21" s="2"/>
      <c r="L21" s="2">
        <f t="shared" si="0"/>
        <v>22518.280000000002</v>
      </c>
      <c r="M21" s="2"/>
      <c r="N21" s="19">
        <f t="shared" si="1"/>
        <v>0.9113967290824142</v>
      </c>
      <c r="O21" s="10"/>
      <c r="P21" s="2">
        <f>--231358.81</f>
        <v>231358.81</v>
      </c>
      <c r="Q21" s="2"/>
      <c r="R21" s="19"/>
      <c r="S21" s="2"/>
      <c r="T21" s="2">
        <f>--292340.97</f>
        <v>292340.96999999997</v>
      </c>
      <c r="U21" s="2"/>
      <c r="V21" s="19"/>
      <c r="W21" s="2"/>
      <c r="X21" s="2">
        <f t="shared" si="2"/>
        <v>-60982.159999999974</v>
      </c>
      <c r="Y21" s="2"/>
      <c r="Z21" s="19">
        <f t="shared" si="3"/>
        <v>-0.20859943100004075</v>
      </c>
    </row>
    <row r="22" spans="1:26" s="23" customFormat="1" hidden="1" outlineLevel="1" x14ac:dyDescent="0.25">
      <c r="A22" s="44"/>
      <c r="B22" s="10" t="str">
        <f>CONCATENATE("          ", "4042", " - ", "TAXABLE SALES-EVERYDAY GIFTS")</f>
        <v xml:space="preserve">          4042 - TAXABLE SALES-EVERYDAY GIFTS</v>
      </c>
      <c r="C22" s="10"/>
      <c r="D22" s="2">
        <f>--10381.96</f>
        <v>10381.959999999999</v>
      </c>
      <c r="E22" s="2"/>
      <c r="F22" s="19"/>
      <c r="G22" s="2"/>
      <c r="H22" s="2">
        <f>--5808.34</f>
        <v>5808.34</v>
      </c>
      <c r="I22" s="2"/>
      <c r="J22" s="19"/>
      <c r="K22" s="2"/>
      <c r="L22" s="2">
        <f t="shared" si="0"/>
        <v>4573.619999999999</v>
      </c>
      <c r="M22" s="2"/>
      <c r="N22" s="19">
        <f t="shared" si="1"/>
        <v>0.78742291257054486</v>
      </c>
      <c r="O22" s="10"/>
      <c r="P22" s="2">
        <f>--74228.25</f>
        <v>74228.25</v>
      </c>
      <c r="Q22" s="2"/>
      <c r="R22" s="19"/>
      <c r="S22" s="2"/>
      <c r="T22" s="2">
        <f>--202812.3</f>
        <v>202812.3</v>
      </c>
      <c r="U22" s="2"/>
      <c r="V22" s="19"/>
      <c r="W22" s="2"/>
      <c r="X22" s="2">
        <f t="shared" si="2"/>
        <v>-128584.04999999999</v>
      </c>
      <c r="Y22" s="2"/>
      <c r="Z22" s="19">
        <f t="shared" si="3"/>
        <v>-0.63400518607599243</v>
      </c>
    </row>
    <row r="23" spans="1:26" s="23" customFormat="1" hidden="1" outlineLevel="1" x14ac:dyDescent="0.25">
      <c r="A23" s="44"/>
      <c r="B23" s="10" t="str">
        <f>CONCATENATE("          ", "4043", " - ", "TAXABLE SALES-CARDS")</f>
        <v xml:space="preserve">          4043 - TAXABLE SALES-CARDS</v>
      </c>
      <c r="C23" s="10"/>
      <c r="D23" s="2">
        <f>--8270.61</f>
        <v>8270.61</v>
      </c>
      <c r="E23" s="2"/>
      <c r="F23" s="19"/>
      <c r="G23" s="2"/>
      <c r="H23" s="2">
        <f>--645.59</f>
        <v>645.59</v>
      </c>
      <c r="I23" s="2"/>
      <c r="J23" s="19"/>
      <c r="K23" s="2"/>
      <c r="L23" s="2">
        <f t="shared" si="0"/>
        <v>7625.02</v>
      </c>
      <c r="M23" s="2"/>
      <c r="N23" s="19">
        <f t="shared" si="1"/>
        <v>11.810932635263867</v>
      </c>
      <c r="O23" s="10"/>
      <c r="P23" s="2">
        <f>--132383.49</f>
        <v>132383.49</v>
      </c>
      <c r="Q23" s="2"/>
      <c r="R23" s="19"/>
      <c r="S23" s="2"/>
      <c r="T23" s="2">
        <f>--76297.51</f>
        <v>76297.509999999995</v>
      </c>
      <c r="U23" s="2"/>
      <c r="V23" s="19"/>
      <c r="W23" s="2"/>
      <c r="X23" s="2">
        <f t="shared" si="2"/>
        <v>56085.979999999996</v>
      </c>
      <c r="Y23" s="2"/>
      <c r="Z23" s="19">
        <f t="shared" si="3"/>
        <v>0.73509581112149003</v>
      </c>
    </row>
    <row r="24" spans="1:26" s="23" customFormat="1" hidden="1" outlineLevel="1" x14ac:dyDescent="0.25">
      <c r="A24" s="44"/>
      <c r="B24" s="10" t="str">
        <f>CONCATENATE("          ", "4044", " - ", "TAXABLE SALES-ACCESSORIES")</f>
        <v xml:space="preserve">          4044 - TAXABLE SALES-ACCESSORIES</v>
      </c>
      <c r="C24" s="10"/>
      <c r="D24" s="2">
        <f>--1774.45</f>
        <v>1774.45</v>
      </c>
      <c r="E24" s="2"/>
      <c r="F24" s="19"/>
      <c r="G24" s="2"/>
      <c r="H24" s="2">
        <f>--3712.29</f>
        <v>3712.29</v>
      </c>
      <c r="I24" s="2"/>
      <c r="J24" s="19"/>
      <c r="K24" s="2"/>
      <c r="L24" s="2">
        <f t="shared" si="0"/>
        <v>-1937.84</v>
      </c>
      <c r="M24" s="2"/>
      <c r="N24" s="19">
        <f t="shared" si="1"/>
        <v>-0.52200663202497644</v>
      </c>
      <c r="O24" s="10"/>
      <c r="P24" s="2">
        <f>--31346.85</f>
        <v>31346.85</v>
      </c>
      <c r="Q24" s="2"/>
      <c r="R24" s="19"/>
      <c r="S24" s="2"/>
      <c r="T24" s="2">
        <f>--66252.05</f>
        <v>66252.05</v>
      </c>
      <c r="U24" s="2"/>
      <c r="V24" s="19"/>
      <c r="W24" s="2"/>
      <c r="X24" s="2">
        <f t="shared" si="2"/>
        <v>-34905.200000000004</v>
      </c>
      <c r="Y24" s="2"/>
      <c r="Z24" s="19">
        <f t="shared" si="3"/>
        <v>-0.52685464072432475</v>
      </c>
    </row>
    <row r="25" spans="1:26" s="23" customFormat="1" hidden="1" outlineLevel="1" x14ac:dyDescent="0.25">
      <c r="A25" s="44"/>
      <c r="B25" s="10" t="str">
        <f>CONCATENATE("          ", "4045", " - ", "TAXABLE SALES-SPECIAL ORDERS")</f>
        <v xml:space="preserve">          4045 - TAXABLE SALES-SPECIAL ORDERS</v>
      </c>
      <c r="C25" s="10"/>
      <c r="D25" s="2">
        <f>--8707.87</f>
        <v>8707.8700000000008</v>
      </c>
      <c r="E25" s="2"/>
      <c r="F25" s="19"/>
      <c r="G25" s="2"/>
      <c r="H25" s="2">
        <f>--3847.78</f>
        <v>3847.78</v>
      </c>
      <c r="I25" s="2"/>
      <c r="J25" s="19"/>
      <c r="K25" s="2"/>
      <c r="L25" s="2">
        <f t="shared" si="0"/>
        <v>4860.09</v>
      </c>
      <c r="M25" s="2"/>
      <c r="N25" s="19">
        <f t="shared" si="1"/>
        <v>1.2630893658161328</v>
      </c>
      <c r="O25" s="10"/>
      <c r="P25" s="2">
        <f>--144197.44</f>
        <v>144197.44</v>
      </c>
      <c r="Q25" s="2"/>
      <c r="R25" s="19"/>
      <c r="S25" s="2"/>
      <c r="T25" s="2">
        <f>--74400.82</f>
        <v>74400.820000000007</v>
      </c>
      <c r="U25" s="2"/>
      <c r="V25" s="19"/>
      <c r="W25" s="2"/>
      <c r="X25" s="2">
        <f t="shared" si="2"/>
        <v>69796.62</v>
      </c>
      <c r="Y25" s="2"/>
      <c r="Z25" s="19">
        <f t="shared" si="3"/>
        <v>0.93811627344967419</v>
      </c>
    </row>
    <row r="26" spans="1:26" s="23" customFormat="1" hidden="1" outlineLevel="1" x14ac:dyDescent="0.25">
      <c r="A26" s="44"/>
      <c r="B26" s="10" t="str">
        <f>CONCATENATE("          ", "4092", " - ", "TAXABLE SALES-GRAD MERCH")</f>
        <v xml:space="preserve">          4092 - TAXABLE SALES-GRAD MERCH</v>
      </c>
      <c r="C26" s="10"/>
      <c r="D26" s="2">
        <f t="shared" ref="D26:D28" si="7">0</f>
        <v>0</v>
      </c>
      <c r="E26" s="2"/>
      <c r="F26" s="19"/>
      <c r="G26" s="2"/>
      <c r="H26" s="2">
        <f t="shared" ref="H26:H34" si="8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ref="P26:P27" si="9">0</f>
        <v>0</v>
      </c>
      <c r="Q26" s="2"/>
      <c r="R26" s="19"/>
      <c r="S26" s="2"/>
      <c r="T26" s="2">
        <f>-39.95</f>
        <v>-39.950000000000003</v>
      </c>
      <c r="U26" s="2"/>
      <c r="V26" s="19"/>
      <c r="W26" s="2"/>
      <c r="X26" s="2">
        <f t="shared" si="2"/>
        <v>39.950000000000003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"4095", " - ", "TAXABLE SALES-CUSTOMER SERVICE")</f>
        <v xml:space="preserve">          4095 - TAXABLE SALES-CUSTOMER SERVICE</v>
      </c>
      <c r="C27" s="10"/>
      <c r="D27" s="2">
        <f t="shared" si="7"/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9"/>
        <v>0</v>
      </c>
      <c r="Q27" s="2"/>
      <c r="R27" s="19"/>
      <c r="S27" s="2"/>
      <c r="T27" s="2">
        <f>--29.7</f>
        <v>29.7</v>
      </c>
      <c r="U27" s="2"/>
      <c r="V27" s="19"/>
      <c r="W27" s="2"/>
      <c r="X27" s="2">
        <f t="shared" si="2"/>
        <v>-29.7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"4126", " - ", "NON-TAXABLE SALES-WRITING INST")</f>
        <v xml:space="preserve">          4126 - NON-TAXABLE SALES-WRITING INST</v>
      </c>
      <c r="C28" s="10"/>
      <c r="D28" s="2">
        <f t="shared" si="7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--52.68</f>
        <v>52.68</v>
      </c>
      <c r="Q28" s="2"/>
      <c r="R28" s="19"/>
      <c r="S28" s="2"/>
      <c r="T28" s="2">
        <f t="shared" ref="T28:T34" si="10">0</f>
        <v>0</v>
      </c>
      <c r="U28" s="2"/>
      <c r="V28" s="19"/>
      <c r="W28" s="2"/>
      <c r="X28" s="2">
        <f t="shared" si="2"/>
        <v>52.68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"4127", " - ", "NON-TAXABLE SALES-SCHOOL SUPPL")</f>
        <v xml:space="preserve">          4127 - NON-TAXABLE SALES-SCHOOL SUPPL</v>
      </c>
      <c r="C29" s="10"/>
      <c r="D29" s="2">
        <f>--389.95</f>
        <v>389.95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389.95</v>
      </c>
      <c r="M29" s="2"/>
      <c r="N29" s="19">
        <f t="shared" si="1"/>
        <v>0</v>
      </c>
      <c r="O29" s="10"/>
      <c r="P29" s="2">
        <f>--6607.31</f>
        <v>6607.31</v>
      </c>
      <c r="Q29" s="2"/>
      <c r="R29" s="19"/>
      <c r="S29" s="2"/>
      <c r="T29" s="2">
        <f t="shared" si="10"/>
        <v>0</v>
      </c>
      <c r="U29" s="2"/>
      <c r="V29" s="19"/>
      <c r="W29" s="2"/>
      <c r="X29" s="2">
        <f t="shared" si="2"/>
        <v>6607.31</v>
      </c>
      <c r="Y29" s="2"/>
      <c r="Z29" s="19">
        <f t="shared" si="3"/>
        <v>0</v>
      </c>
    </row>
    <row r="30" spans="1:26" s="23" customFormat="1" hidden="1" outlineLevel="1" x14ac:dyDescent="0.25">
      <c r="A30" s="44"/>
      <c r="B30" s="10" t="str">
        <f>CONCATENATE("          ", "4128", " - ", "NON-TAXABLE SALES-ART/TECH")</f>
        <v xml:space="preserve">          4128 - NON-TAXABLE SALES-ART/TECH</v>
      </c>
      <c r="C30" s="10"/>
      <c r="D30" s="2">
        <f>0</f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--38.58</f>
        <v>38.58</v>
      </c>
      <c r="Q30" s="2"/>
      <c r="R30" s="19"/>
      <c r="S30" s="2"/>
      <c r="T30" s="2">
        <f t="shared" si="10"/>
        <v>0</v>
      </c>
      <c r="U30" s="2"/>
      <c r="V30" s="19"/>
      <c r="W30" s="2"/>
      <c r="X30" s="2">
        <f t="shared" si="2"/>
        <v>38.58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"4131", " - ", "NON-TAXABLE SALES-FOOD")</f>
        <v xml:space="preserve">          4131 - NON-TAXABLE SALES-FOOD</v>
      </c>
      <c r="C31" s="10"/>
      <c r="D31" s="2">
        <f>--829.28</f>
        <v>829.28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829.28</v>
      </c>
      <c r="M31" s="2"/>
      <c r="N31" s="19">
        <f t="shared" si="1"/>
        <v>0</v>
      </c>
      <c r="O31" s="10"/>
      <c r="P31" s="2">
        <f>--8557.27</f>
        <v>8557.27</v>
      </c>
      <c r="Q31" s="2"/>
      <c r="R31" s="19"/>
      <c r="S31" s="2"/>
      <c r="T31" s="2">
        <f t="shared" si="10"/>
        <v>0</v>
      </c>
      <c r="U31" s="2"/>
      <c r="V31" s="19"/>
      <c r="W31" s="2"/>
      <c r="X31" s="2">
        <f t="shared" si="2"/>
        <v>8557.27</v>
      </c>
      <c r="Y31" s="2"/>
      <c r="Z31" s="19">
        <f t="shared" si="3"/>
        <v>0</v>
      </c>
    </row>
    <row r="32" spans="1:26" s="23" customFormat="1" hidden="1" outlineLevel="1" x14ac:dyDescent="0.25">
      <c r="A32" s="44"/>
      <c r="B32" s="10" t="str">
        <f>CONCATENATE("          ", "4132", " - ", "NON-TAXABLE SALES-JUICE")</f>
        <v xml:space="preserve">          4132 - NON-TAXABLE SALES-JUICE</v>
      </c>
      <c r="C32" s="10"/>
      <c r="D32" s="2">
        <f t="shared" ref="D32:D35" si="11">0</f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--22.49</f>
        <v>22.49</v>
      </c>
      <c r="Q32" s="2"/>
      <c r="R32" s="19"/>
      <c r="S32" s="2"/>
      <c r="T32" s="2">
        <f t="shared" si="10"/>
        <v>0</v>
      </c>
      <c r="U32" s="2"/>
      <c r="V32" s="19"/>
      <c r="W32" s="2"/>
      <c r="X32" s="2">
        <f t="shared" si="2"/>
        <v>22.49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"4133", " - ", "NON-TAXABLE SALES-CANDY")</f>
        <v xml:space="preserve">          4133 - NON-TAXABLE SALES-CANDY</v>
      </c>
      <c r="C33" s="10"/>
      <c r="D33" s="2">
        <f t="shared" si="11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--80.71</f>
        <v>80.709999999999994</v>
      </c>
      <c r="Q33" s="2"/>
      <c r="R33" s="19"/>
      <c r="S33" s="2"/>
      <c r="T33" s="2">
        <f t="shared" si="10"/>
        <v>0</v>
      </c>
      <c r="U33" s="2"/>
      <c r="V33" s="19"/>
      <c r="W33" s="2"/>
      <c r="X33" s="2">
        <f t="shared" si="2"/>
        <v>80.709999999999994</v>
      </c>
      <c r="Y33" s="2"/>
      <c r="Z33" s="19">
        <f t="shared" si="3"/>
        <v>0</v>
      </c>
    </row>
    <row r="34" spans="1:26" s="23" customFormat="1" hidden="1" outlineLevel="1" x14ac:dyDescent="0.25">
      <c r="A34" s="44"/>
      <c r="B34" s="10" t="str">
        <f>CONCATENATE("          ", "4134", " - ", "NON-TAXABLE SALES-SODA")</f>
        <v xml:space="preserve">          4134 - NON-TAXABLE SALES-SODA</v>
      </c>
      <c r="C34" s="10"/>
      <c r="D34" s="2">
        <f t="shared" si="11"/>
        <v>0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--45.53</f>
        <v>45.53</v>
      </c>
      <c r="Q34" s="2"/>
      <c r="R34" s="19"/>
      <c r="S34" s="2"/>
      <c r="T34" s="2">
        <f t="shared" si="10"/>
        <v>0</v>
      </c>
      <c r="U34" s="2"/>
      <c r="V34" s="19"/>
      <c r="W34" s="2"/>
      <c r="X34" s="2">
        <f t="shared" si="2"/>
        <v>45.53</v>
      </c>
      <c r="Y34" s="2"/>
      <c r="Z34" s="19">
        <f t="shared" si="3"/>
        <v>0</v>
      </c>
    </row>
    <row r="35" spans="1:26" s="23" customFormat="1" hidden="1" outlineLevel="1" x14ac:dyDescent="0.25">
      <c r="A35" s="44"/>
      <c r="B35" s="10" t="str">
        <f>CONCATENATE("          ", "4137", " - ", "NON-TAXABLE SALES-WATER")</f>
        <v xml:space="preserve">          4137 - NON-TAXABLE SALES-WATER</v>
      </c>
      <c r="C35" s="10"/>
      <c r="D35" s="2">
        <f t="shared" si="11"/>
        <v>0</v>
      </c>
      <c r="E35" s="2"/>
      <c r="F35" s="19"/>
      <c r="G35" s="2"/>
      <c r="H35" s="2">
        <f>--7.5</f>
        <v>7.5</v>
      </c>
      <c r="I35" s="2"/>
      <c r="J35" s="19"/>
      <c r="K35" s="2"/>
      <c r="L35" s="2">
        <f t="shared" si="0"/>
        <v>-7.5</v>
      </c>
      <c r="M35" s="2"/>
      <c r="N35" s="19">
        <f t="shared" si="1"/>
        <v>-1</v>
      </c>
      <c r="O35" s="10"/>
      <c r="P35" s="2">
        <f>--68.25</f>
        <v>68.25</v>
      </c>
      <c r="Q35" s="2"/>
      <c r="R35" s="19"/>
      <c r="S35" s="2"/>
      <c r="T35" s="2">
        <f>--123</f>
        <v>123</v>
      </c>
      <c r="U35" s="2"/>
      <c r="V35" s="19"/>
      <c r="W35" s="2"/>
      <c r="X35" s="2">
        <f t="shared" si="2"/>
        <v>-54.75</v>
      </c>
      <c r="Y35" s="2"/>
      <c r="Z35" s="19">
        <f t="shared" si="3"/>
        <v>-0.4451219512195122</v>
      </c>
    </row>
    <row r="36" spans="1:26" s="23" customFormat="1" hidden="1" outlineLevel="1" x14ac:dyDescent="0.25">
      <c r="A36" s="44"/>
      <c r="B36" s="10" t="str">
        <f>CONCATENATE("          ", "4140", " - ", "NON-TAXABLE SALES-LOGO CLOTHIN")</f>
        <v xml:space="preserve">          4140 - NON-TAXABLE SALES-LOGO CLOTHIN</v>
      </c>
      <c r="C36" s="10"/>
      <c r="D36" s="2">
        <f>--16626.41</f>
        <v>16626.41</v>
      </c>
      <c r="E36" s="2"/>
      <c r="F36" s="19"/>
      <c r="G36" s="2"/>
      <c r="H36" s="2">
        <f>--5466.31</f>
        <v>5466.31</v>
      </c>
      <c r="I36" s="2"/>
      <c r="J36" s="19"/>
      <c r="K36" s="2"/>
      <c r="L36" s="2">
        <f t="shared" si="0"/>
        <v>11160.099999999999</v>
      </c>
      <c r="M36" s="2"/>
      <c r="N36" s="19">
        <f t="shared" si="1"/>
        <v>2.0416149102410945</v>
      </c>
      <c r="O36" s="10"/>
      <c r="P36" s="2">
        <f>--131751.69</f>
        <v>131751.69</v>
      </c>
      <c r="Q36" s="2"/>
      <c r="R36" s="19"/>
      <c r="S36" s="2"/>
      <c r="T36" s="2">
        <f>--48048.98</f>
        <v>48048.98</v>
      </c>
      <c r="U36" s="2"/>
      <c r="V36" s="19"/>
      <c r="W36" s="2"/>
      <c r="X36" s="2">
        <f t="shared" si="2"/>
        <v>83702.709999999992</v>
      </c>
      <c r="Y36" s="2"/>
      <c r="Z36" s="19">
        <f t="shared" si="3"/>
        <v>1.7420288630476648</v>
      </c>
    </row>
    <row r="37" spans="1:26" s="23" customFormat="1" hidden="1" outlineLevel="1" x14ac:dyDescent="0.25">
      <c r="A37" s="44"/>
      <c r="B37" s="10" t="str">
        <f>CONCATENATE("          ", "4141", " - ", "NON-TAXABLE SALES-LOGO GIFTS")</f>
        <v xml:space="preserve">          4141 - NON-TAXABLE SALES-LOGO GIFTS</v>
      </c>
      <c r="C37" s="10"/>
      <c r="D37" s="2">
        <f>--1055.22</f>
        <v>1055.22</v>
      </c>
      <c r="E37" s="2"/>
      <c r="F37" s="19"/>
      <c r="G37" s="2"/>
      <c r="H37" s="2">
        <f>--235.74</f>
        <v>235.74</v>
      </c>
      <c r="I37" s="2"/>
      <c r="J37" s="19"/>
      <c r="K37" s="2"/>
      <c r="L37" s="2">
        <f t="shared" si="0"/>
        <v>819.48</v>
      </c>
      <c r="M37" s="2"/>
      <c r="N37" s="19">
        <f t="shared" si="1"/>
        <v>3.4762025960804275</v>
      </c>
      <c r="O37" s="10"/>
      <c r="P37" s="2">
        <f>--8289.6</f>
        <v>8289.6</v>
      </c>
      <c r="Q37" s="2"/>
      <c r="R37" s="19"/>
      <c r="S37" s="2"/>
      <c r="T37" s="2">
        <f>--10049.96</f>
        <v>10049.959999999999</v>
      </c>
      <c r="U37" s="2"/>
      <c r="V37" s="19"/>
      <c r="W37" s="2"/>
      <c r="X37" s="2">
        <f t="shared" si="2"/>
        <v>-1760.3599999999988</v>
      </c>
      <c r="Y37" s="2"/>
      <c r="Z37" s="19">
        <f t="shared" si="3"/>
        <v>-0.1751608961627707</v>
      </c>
    </row>
    <row r="38" spans="1:26" s="23" customFormat="1" hidden="1" outlineLevel="1" x14ac:dyDescent="0.25">
      <c r="A38" s="44"/>
      <c r="B38" s="10" t="str">
        <f>CONCATENATE("          ", "4142", " - ", "NON-TAXABLE SALES-EVERYDAY GIF")</f>
        <v xml:space="preserve">          4142 - NON-TAXABLE SALES-EVERYDAY GIF</v>
      </c>
      <c r="C38" s="10"/>
      <c r="D38" s="2">
        <f>--16.9</f>
        <v>16.899999999999999</v>
      </c>
      <c r="E38" s="2"/>
      <c r="F38" s="19"/>
      <c r="G38" s="2"/>
      <c r="H38" s="2">
        <f>--48.58</f>
        <v>48.58</v>
      </c>
      <c r="I38" s="2"/>
      <c r="J38" s="19"/>
      <c r="K38" s="2"/>
      <c r="L38" s="2">
        <f t="shared" si="0"/>
        <v>-31.68</v>
      </c>
      <c r="M38" s="2"/>
      <c r="N38" s="19">
        <f t="shared" si="1"/>
        <v>-0.65212021407986831</v>
      </c>
      <c r="O38" s="10"/>
      <c r="P38" s="2">
        <f>--1170.78</f>
        <v>1170.78</v>
      </c>
      <c r="Q38" s="2"/>
      <c r="R38" s="19"/>
      <c r="S38" s="2"/>
      <c r="T38" s="2">
        <f>--4817.41</f>
        <v>4817.41</v>
      </c>
      <c r="U38" s="2"/>
      <c r="V38" s="19"/>
      <c r="W38" s="2"/>
      <c r="X38" s="2">
        <f t="shared" si="2"/>
        <v>-3646.63</v>
      </c>
      <c r="Y38" s="2"/>
      <c r="Z38" s="19">
        <f t="shared" si="3"/>
        <v>-0.75696899371238902</v>
      </c>
    </row>
    <row r="39" spans="1:26" s="23" customFormat="1" hidden="1" outlineLevel="1" x14ac:dyDescent="0.25">
      <c r="A39" s="44"/>
      <c r="B39" s="10" t="str">
        <f>CONCATENATE("          ", "4143", " - ", "NON-TAXABLE SALES-CARDS")</f>
        <v xml:space="preserve">          4143 - NON-TAXABLE SALES-CARDS</v>
      </c>
      <c r="C39" s="10"/>
      <c r="D39" s="2">
        <f>--261.82</f>
        <v>261.82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261.82</v>
      </c>
      <c r="M39" s="2"/>
      <c r="N39" s="19">
        <f t="shared" si="1"/>
        <v>0</v>
      </c>
      <c r="O39" s="10"/>
      <c r="P39" s="2">
        <f>--2381.48</f>
        <v>2381.48</v>
      </c>
      <c r="Q39" s="2"/>
      <c r="R39" s="19"/>
      <c r="S39" s="2"/>
      <c r="T39" s="2">
        <f>--9.99</f>
        <v>9.99</v>
      </c>
      <c r="U39" s="2"/>
      <c r="V39" s="19"/>
      <c r="W39" s="2"/>
      <c r="X39" s="2">
        <f t="shared" si="2"/>
        <v>2371.4900000000002</v>
      </c>
      <c r="Y39" s="2"/>
      <c r="Z39" s="19">
        <f t="shared" si="3"/>
        <v>237.38638638638639</v>
      </c>
    </row>
    <row r="40" spans="1:26" s="23" customFormat="1" hidden="1" outlineLevel="1" x14ac:dyDescent="0.25">
      <c r="A40" s="44"/>
      <c r="B40" s="10" t="str">
        <f>CONCATENATE("          ", "4144", " - ", "NON-TAXABLE SALES-ACCESSORIES")</f>
        <v xml:space="preserve">          4144 - NON-TAXABLE SALES-ACCESSORIES</v>
      </c>
      <c r="C40" s="10"/>
      <c r="D40" s="2">
        <f>--29.9</f>
        <v>29.9</v>
      </c>
      <c r="E40" s="2"/>
      <c r="F40" s="19"/>
      <c r="G40" s="2"/>
      <c r="H40" s="2">
        <f>--150</f>
        <v>150</v>
      </c>
      <c r="I40" s="2"/>
      <c r="J40" s="19"/>
      <c r="K40" s="2"/>
      <c r="L40" s="2">
        <f t="shared" si="0"/>
        <v>-120.1</v>
      </c>
      <c r="M40" s="2"/>
      <c r="N40" s="19">
        <f t="shared" si="1"/>
        <v>-0.80066666666666664</v>
      </c>
      <c r="O40" s="10"/>
      <c r="P40" s="2">
        <f>--679.25</f>
        <v>679.25</v>
      </c>
      <c r="Q40" s="2"/>
      <c r="R40" s="19"/>
      <c r="S40" s="2"/>
      <c r="T40" s="2">
        <f>--2040.27</f>
        <v>2040.27</v>
      </c>
      <c r="U40" s="2"/>
      <c r="V40" s="19"/>
      <c r="W40" s="2"/>
      <c r="X40" s="2">
        <f t="shared" si="2"/>
        <v>-1361.02</v>
      </c>
      <c r="Y40" s="2"/>
      <c r="Z40" s="19">
        <f t="shared" si="3"/>
        <v>-0.66707837688149119</v>
      </c>
    </row>
    <row r="41" spans="1:26" s="23" customFormat="1" hidden="1" outlineLevel="1" x14ac:dyDescent="0.25">
      <c r="A41" s="44"/>
      <c r="B41" s="10" t="str">
        <f>CONCATENATE("          ", "4145", " - ", "NON-TAXABLE SALES-SPECIAL ORDE")</f>
        <v xml:space="preserve">          4145 - NON-TAXABLE SALES-SPECIAL ORDE</v>
      </c>
      <c r="C41" s="10"/>
      <c r="D41" s="2">
        <f t="shared" ref="D41:D42" si="12">0</f>
        <v>0</v>
      </c>
      <c r="E41" s="2"/>
      <c r="F41" s="19"/>
      <c r="G41" s="2"/>
      <c r="H41" s="2">
        <f t="shared" ref="H41:H44" si="13"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>--53716.09</f>
        <v>53716.09</v>
      </c>
      <c r="Q41" s="2"/>
      <c r="R41" s="19"/>
      <c r="S41" s="2"/>
      <c r="T41" s="2">
        <f>--140</f>
        <v>140</v>
      </c>
      <c r="U41" s="2"/>
      <c r="V41" s="19"/>
      <c r="W41" s="2"/>
      <c r="X41" s="2">
        <f t="shared" si="2"/>
        <v>53576.09</v>
      </c>
      <c r="Y41" s="2"/>
      <c r="Z41" s="19">
        <f t="shared" si="3"/>
        <v>382.6863571428571</v>
      </c>
    </row>
    <row r="42" spans="1:26" s="23" customFormat="1" hidden="1" outlineLevel="1" x14ac:dyDescent="0.25">
      <c r="A42" s="44"/>
      <c r="B42" s="10" t="str">
        <f>CONCATENATE("          ", "4226", " - ", "SALES RETURN TAXABLE-WRITING I")</f>
        <v xml:space="preserve">          4226 - SALES RETURN TAXABLE-WRITING I</v>
      </c>
      <c r="C42" s="10"/>
      <c r="D42" s="2">
        <f t="shared" si="12"/>
        <v>0</v>
      </c>
      <c r="E42" s="2"/>
      <c r="F42" s="19"/>
      <c r="G42" s="2"/>
      <c r="H42" s="2">
        <f t="shared" si="13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>-34.23</f>
        <v>-34.229999999999997</v>
      </c>
      <c r="Q42" s="2"/>
      <c r="R42" s="19"/>
      <c r="S42" s="2"/>
      <c r="T42" s="2">
        <f>-134.8</f>
        <v>-134.80000000000001</v>
      </c>
      <c r="U42" s="2"/>
      <c r="V42" s="19"/>
      <c r="W42" s="2"/>
      <c r="X42" s="2">
        <f t="shared" si="2"/>
        <v>100.57000000000002</v>
      </c>
      <c r="Y42" s="2"/>
      <c r="Z42" s="19">
        <f t="shared" si="3"/>
        <v>-0.74606824925816029</v>
      </c>
    </row>
    <row r="43" spans="1:26" s="23" customFormat="1" hidden="1" outlineLevel="1" x14ac:dyDescent="0.25">
      <c r="A43" s="44"/>
      <c r="B43" s="10" t="str">
        <f>CONCATENATE("          ", "4227", " - ", "SALES RETURN TAXABLE-SCHOOL SU")</f>
        <v xml:space="preserve">          4227 - SALES RETURN TAXABLE-SCHOOL SU</v>
      </c>
      <c r="C43" s="10"/>
      <c r="D43" s="2">
        <f>-64.39</f>
        <v>-64.39</v>
      </c>
      <c r="E43" s="2"/>
      <c r="F43" s="19"/>
      <c r="G43" s="2"/>
      <c r="H43" s="2">
        <f t="shared" si="13"/>
        <v>0</v>
      </c>
      <c r="I43" s="2"/>
      <c r="J43" s="19"/>
      <c r="K43" s="2"/>
      <c r="L43" s="2">
        <f t="shared" si="0"/>
        <v>-64.39</v>
      </c>
      <c r="M43" s="2"/>
      <c r="N43" s="19">
        <f t="shared" si="1"/>
        <v>0</v>
      </c>
      <c r="O43" s="10"/>
      <c r="P43" s="2">
        <f>-686.15</f>
        <v>-686.15</v>
      </c>
      <c r="Q43" s="2"/>
      <c r="R43" s="19"/>
      <c r="S43" s="2"/>
      <c r="T43" s="2">
        <f t="shared" ref="T43:T44" si="14">0</f>
        <v>0</v>
      </c>
      <c r="U43" s="2"/>
      <c r="V43" s="19"/>
      <c r="W43" s="2"/>
      <c r="X43" s="2">
        <f t="shared" si="2"/>
        <v>-686.15</v>
      </c>
      <c r="Y43" s="2"/>
      <c r="Z43" s="19">
        <f t="shared" si="3"/>
        <v>0</v>
      </c>
    </row>
    <row r="44" spans="1:26" s="23" customFormat="1" hidden="1" outlineLevel="1" x14ac:dyDescent="0.25">
      <c r="A44" s="44"/>
      <c r="B44" s="10" t="str">
        <f>CONCATENATE("          ", "4228", " - ", "SALES RETURN TAXABLE-ART/TECH")</f>
        <v xml:space="preserve">          4228 - SALES RETURN TAXABLE-ART/TECH</v>
      </c>
      <c r="C44" s="10"/>
      <c r="D44" s="2">
        <f>-98.38</f>
        <v>-98.38</v>
      </c>
      <c r="E44" s="2"/>
      <c r="F44" s="19"/>
      <c r="G44" s="2"/>
      <c r="H44" s="2">
        <f t="shared" si="13"/>
        <v>0</v>
      </c>
      <c r="I44" s="2"/>
      <c r="J44" s="19"/>
      <c r="K44" s="2"/>
      <c r="L44" s="2">
        <f t="shared" si="0"/>
        <v>-98.38</v>
      </c>
      <c r="M44" s="2"/>
      <c r="N44" s="19">
        <f t="shared" si="1"/>
        <v>0</v>
      </c>
      <c r="O44" s="10"/>
      <c r="P44" s="2">
        <f>-12615.42</f>
        <v>-12615.42</v>
      </c>
      <c r="Q44" s="2"/>
      <c r="R44" s="19"/>
      <c r="S44" s="2"/>
      <c r="T44" s="2">
        <f t="shared" si="14"/>
        <v>0</v>
      </c>
      <c r="U44" s="2"/>
      <c r="V44" s="19"/>
      <c r="W44" s="2"/>
      <c r="X44" s="2">
        <f t="shared" si="2"/>
        <v>-12615.42</v>
      </c>
      <c r="Y44" s="2"/>
      <c r="Z44" s="19">
        <f t="shared" si="3"/>
        <v>0</v>
      </c>
    </row>
    <row r="45" spans="1:26" s="23" customFormat="1" hidden="1" outlineLevel="1" x14ac:dyDescent="0.25">
      <c r="A45" s="44"/>
      <c r="B45" s="10" t="str">
        <f>CONCATENATE("          ", "4240", " - ", "SALES RETURN TAXABLE-LOGO CLOT")</f>
        <v xml:space="preserve">          4240 - SALES RETURN TAXABLE-LOGO CLOT</v>
      </c>
      <c r="C45" s="10"/>
      <c r="D45" s="2">
        <f>-3924.84</f>
        <v>-3924.84</v>
      </c>
      <c r="E45" s="2"/>
      <c r="F45" s="19"/>
      <c r="G45" s="2"/>
      <c r="H45" s="2">
        <f>-3000.56</f>
        <v>-3000.56</v>
      </c>
      <c r="I45" s="2"/>
      <c r="J45" s="19"/>
      <c r="K45" s="2"/>
      <c r="L45" s="2">
        <f t="shared" si="0"/>
        <v>-924.2800000000002</v>
      </c>
      <c r="M45" s="2"/>
      <c r="N45" s="19">
        <f t="shared" si="1"/>
        <v>0.30803583331111534</v>
      </c>
      <c r="O45" s="10"/>
      <c r="P45" s="2">
        <f>-35054.35</f>
        <v>-35054.35</v>
      </c>
      <c r="Q45" s="2"/>
      <c r="R45" s="19"/>
      <c r="S45" s="2"/>
      <c r="T45" s="2">
        <f>-72812.23</f>
        <v>-72812.23</v>
      </c>
      <c r="U45" s="2"/>
      <c r="V45" s="19"/>
      <c r="W45" s="2"/>
      <c r="X45" s="2">
        <f t="shared" si="2"/>
        <v>37757.879999999997</v>
      </c>
      <c r="Y45" s="2"/>
      <c r="Z45" s="19">
        <f t="shared" si="3"/>
        <v>-0.51856508171772786</v>
      </c>
    </row>
    <row r="46" spans="1:26" s="23" customFormat="1" hidden="1" outlineLevel="1" x14ac:dyDescent="0.25">
      <c r="A46" s="44"/>
      <c r="B46" s="10" t="str">
        <f>CONCATENATE("          ", "4241", " - ", "SALES RETURN TAXABLE-LOGO GIFT")</f>
        <v xml:space="preserve">          4241 - SALES RETURN TAXABLE-LOGO GIFT</v>
      </c>
      <c r="C46" s="10"/>
      <c r="D46" s="2">
        <f>-1214.87</f>
        <v>-1214.8699999999999</v>
      </c>
      <c r="E46" s="2"/>
      <c r="F46" s="19"/>
      <c r="G46" s="2"/>
      <c r="H46" s="2">
        <f>-214.4</f>
        <v>-214.4</v>
      </c>
      <c r="I46" s="2"/>
      <c r="J46" s="19"/>
      <c r="K46" s="2"/>
      <c r="L46" s="2">
        <f t="shared" si="0"/>
        <v>-1000.4699999999999</v>
      </c>
      <c r="M46" s="2"/>
      <c r="N46" s="19">
        <f t="shared" si="1"/>
        <v>4.6663712686567163</v>
      </c>
      <c r="O46" s="10"/>
      <c r="P46" s="2">
        <f>-5256.29</f>
        <v>-5256.29</v>
      </c>
      <c r="Q46" s="2"/>
      <c r="R46" s="19"/>
      <c r="S46" s="2"/>
      <c r="T46" s="2">
        <f>-5081.98</f>
        <v>-5081.9799999999996</v>
      </c>
      <c r="U46" s="2"/>
      <c r="V46" s="19"/>
      <c r="W46" s="2"/>
      <c r="X46" s="2">
        <f t="shared" si="2"/>
        <v>-174.3100000000004</v>
      </c>
      <c r="Y46" s="2"/>
      <c r="Z46" s="19">
        <f t="shared" si="3"/>
        <v>3.4299623375141267E-2</v>
      </c>
    </row>
    <row r="47" spans="1:26" s="23" customFormat="1" hidden="1" outlineLevel="1" x14ac:dyDescent="0.25">
      <c r="A47" s="44"/>
      <c r="B47" s="10" t="str">
        <f>CONCATENATE("          ", "4242", " - ", "SALES RETURN TAXABLE-EVERYDAY")</f>
        <v xml:space="preserve">          4242 - SALES RETURN TAXABLE-EVERYDAY</v>
      </c>
      <c r="C47" s="10"/>
      <c r="D47" s="2">
        <f>-565.08</f>
        <v>-565.08000000000004</v>
      </c>
      <c r="E47" s="2"/>
      <c r="F47" s="19"/>
      <c r="G47" s="2"/>
      <c r="H47" s="2">
        <f>-126.83</f>
        <v>-126.83</v>
      </c>
      <c r="I47" s="2"/>
      <c r="J47" s="19"/>
      <c r="K47" s="2"/>
      <c r="L47" s="2">
        <f t="shared" si="0"/>
        <v>-438.25000000000006</v>
      </c>
      <c r="M47" s="2"/>
      <c r="N47" s="19">
        <f t="shared" si="1"/>
        <v>3.4554127572340936</v>
      </c>
      <c r="O47" s="10"/>
      <c r="P47" s="2">
        <f>-2303.82</f>
        <v>-2303.8200000000002</v>
      </c>
      <c r="Q47" s="2"/>
      <c r="R47" s="19"/>
      <c r="S47" s="2"/>
      <c r="T47" s="2">
        <f>-3950.71</f>
        <v>-3950.71</v>
      </c>
      <c r="U47" s="2"/>
      <c r="V47" s="19"/>
      <c r="W47" s="2"/>
      <c r="X47" s="2">
        <f t="shared" si="2"/>
        <v>1646.8899999999999</v>
      </c>
      <c r="Y47" s="2"/>
      <c r="Z47" s="19">
        <f t="shared" si="3"/>
        <v>-0.41685924808452146</v>
      </c>
    </row>
    <row r="48" spans="1:26" s="23" customFormat="1" hidden="1" outlineLevel="1" x14ac:dyDescent="0.25">
      <c r="A48" s="44"/>
      <c r="B48" s="10" t="str">
        <f>CONCATENATE("          ", "4243", " - ", "SALES RETURN TAXABLE-CARDS")</f>
        <v xml:space="preserve">          4243 - SALES RETURN TAXABLE-CARDS</v>
      </c>
      <c r="C48" s="10"/>
      <c r="D48" s="2">
        <f>-572.63</f>
        <v>-572.63</v>
      </c>
      <c r="E48" s="2"/>
      <c r="F48" s="19"/>
      <c r="G48" s="2"/>
      <c r="H48" s="2">
        <f>-159.92</f>
        <v>-159.91999999999999</v>
      </c>
      <c r="I48" s="2"/>
      <c r="J48" s="19"/>
      <c r="K48" s="2"/>
      <c r="L48" s="2">
        <f t="shared" si="0"/>
        <v>-412.71000000000004</v>
      </c>
      <c r="M48" s="2"/>
      <c r="N48" s="19">
        <f t="shared" si="1"/>
        <v>2.5807278639319664</v>
      </c>
      <c r="O48" s="10"/>
      <c r="P48" s="2">
        <f>-5942.23</f>
        <v>-5942.23</v>
      </c>
      <c r="Q48" s="2"/>
      <c r="R48" s="19"/>
      <c r="S48" s="2"/>
      <c r="T48" s="2">
        <f>-2993.31</f>
        <v>-2993.31</v>
      </c>
      <c r="U48" s="2"/>
      <c r="V48" s="19"/>
      <c r="W48" s="2"/>
      <c r="X48" s="2">
        <f t="shared" si="2"/>
        <v>-2948.9199999999996</v>
      </c>
      <c r="Y48" s="2"/>
      <c r="Z48" s="19">
        <f t="shared" si="3"/>
        <v>0.98517026301986754</v>
      </c>
    </row>
    <row r="49" spans="1:26" s="23" customFormat="1" hidden="1" outlineLevel="1" x14ac:dyDescent="0.25">
      <c r="A49" s="44"/>
      <c r="B49" s="10" t="str">
        <f>CONCATENATE("          ", "4244", " - ", "SALES RETURN TAXABLE-ACCESSORI")</f>
        <v xml:space="preserve">          4244 - SALES RETURN TAXABLE-ACCESSORI</v>
      </c>
      <c r="C49" s="10"/>
      <c r="D49" s="2">
        <f>-240.42</f>
        <v>-240.42</v>
      </c>
      <c r="E49" s="2"/>
      <c r="F49" s="19"/>
      <c r="G49" s="2"/>
      <c r="H49" s="2">
        <f>-39.9</f>
        <v>-39.9</v>
      </c>
      <c r="I49" s="2"/>
      <c r="J49" s="19"/>
      <c r="K49" s="2"/>
      <c r="L49" s="2">
        <f t="shared" si="0"/>
        <v>-200.51999999999998</v>
      </c>
      <c r="M49" s="2"/>
      <c r="N49" s="19">
        <f t="shared" si="1"/>
        <v>5.0255639097744362</v>
      </c>
      <c r="O49" s="10"/>
      <c r="P49" s="2">
        <f>-1235.26</f>
        <v>-1235.26</v>
      </c>
      <c r="Q49" s="2"/>
      <c r="R49" s="19"/>
      <c r="S49" s="2"/>
      <c r="T49" s="2">
        <f>-2470.7</f>
        <v>-2470.6999999999998</v>
      </c>
      <c r="U49" s="2"/>
      <c r="V49" s="19"/>
      <c r="W49" s="2"/>
      <c r="X49" s="2">
        <f t="shared" si="2"/>
        <v>1235.4399999999998</v>
      </c>
      <c r="Y49" s="2"/>
      <c r="Z49" s="19">
        <f t="shared" si="3"/>
        <v>-0.50003642692354389</v>
      </c>
    </row>
    <row r="50" spans="1:26" s="23" customFormat="1" hidden="1" outlineLevel="1" x14ac:dyDescent="0.25">
      <c r="A50" s="44"/>
      <c r="B50" s="10" t="str">
        <f>CONCATENATE("          ", "4245", " - ", "SALES RETURN TAXABLE-SPECIAL O")</f>
        <v xml:space="preserve">          4245 - SALES RETURN TAXABLE-SPECIAL O</v>
      </c>
      <c r="C50" s="10"/>
      <c r="D50" s="2">
        <f t="shared" ref="D50:D51" si="15">0</f>
        <v>0</v>
      </c>
      <c r="E50" s="2"/>
      <c r="F50" s="19"/>
      <c r="G50" s="2"/>
      <c r="H50" s="2">
        <f>-19.98</f>
        <v>-19.98</v>
      </c>
      <c r="I50" s="2"/>
      <c r="J50" s="19"/>
      <c r="K50" s="2"/>
      <c r="L50" s="2">
        <f t="shared" si="0"/>
        <v>19.98</v>
      </c>
      <c r="M50" s="2"/>
      <c r="N50" s="19">
        <f t="shared" si="1"/>
        <v>-1</v>
      </c>
      <c r="O50" s="10"/>
      <c r="P50" s="2">
        <f>-11353.59</f>
        <v>-11353.59</v>
      </c>
      <c r="Q50" s="2"/>
      <c r="R50" s="19"/>
      <c r="S50" s="2"/>
      <c r="T50" s="2">
        <f>-1735.03</f>
        <v>-1735.03</v>
      </c>
      <c r="U50" s="2"/>
      <c r="V50" s="19"/>
      <c r="W50" s="2"/>
      <c r="X50" s="2">
        <f t="shared" si="2"/>
        <v>-9618.56</v>
      </c>
      <c r="Y50" s="2"/>
      <c r="Z50" s="19">
        <f t="shared" si="3"/>
        <v>5.5437427594911899</v>
      </c>
    </row>
    <row r="51" spans="1:26" s="23" customFormat="1" hidden="1" outlineLevel="1" x14ac:dyDescent="0.25">
      <c r="A51" s="44"/>
      <c r="B51" s="10" t="str">
        <f>CONCATENATE("          ", "4295", " - ", "SALES RETURN TAXABLE-CUSTOMER")</f>
        <v xml:space="preserve">          4295 - SALES RETURN TAXABLE-CUSTOMER</v>
      </c>
      <c r="C51" s="10"/>
      <c r="D51" s="2">
        <f t="shared" si="15"/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>0</f>
        <v>0</v>
      </c>
      <c r="Q51" s="2"/>
      <c r="R51" s="19"/>
      <c r="S51" s="2"/>
      <c r="T51" s="2">
        <f>--0.99</f>
        <v>0.99</v>
      </c>
      <c r="U51" s="2"/>
      <c r="V51" s="19"/>
      <c r="W51" s="2"/>
      <c r="X51" s="2">
        <f t="shared" si="2"/>
        <v>-0.99</v>
      </c>
      <c r="Y51" s="2"/>
      <c r="Z51" s="19">
        <f t="shared" si="3"/>
        <v>-1</v>
      </c>
    </row>
    <row r="52" spans="1:26" s="23" customFormat="1" hidden="1" outlineLevel="1" x14ac:dyDescent="0.25">
      <c r="A52" s="44"/>
      <c r="B52" s="10" t="str">
        <f>CONCATENATE("          ", "4340", " - ", "SALES RETURN NON TAXABLE-LOGO")</f>
        <v xml:space="preserve">          4340 - SALES RETURN NON TAXABLE-LOGO</v>
      </c>
      <c r="C52" s="10"/>
      <c r="D52" s="2">
        <f>-350.55</f>
        <v>-350.55</v>
      </c>
      <c r="E52" s="2"/>
      <c r="F52" s="19"/>
      <c r="G52" s="2"/>
      <c r="H52" s="2">
        <f>-63.8</f>
        <v>-63.8</v>
      </c>
      <c r="I52" s="2"/>
      <c r="J52" s="19"/>
      <c r="K52" s="2"/>
      <c r="L52" s="2">
        <f t="shared" si="0"/>
        <v>-286.75</v>
      </c>
      <c r="M52" s="2"/>
      <c r="N52" s="19">
        <f t="shared" si="1"/>
        <v>4.4945141065830727</v>
      </c>
      <c r="O52" s="10"/>
      <c r="P52" s="2">
        <f>-2643.39</f>
        <v>-2643.39</v>
      </c>
      <c r="Q52" s="2"/>
      <c r="R52" s="19"/>
      <c r="S52" s="2"/>
      <c r="T52" s="2">
        <f>-995.45</f>
        <v>-995.45</v>
      </c>
      <c r="U52" s="2"/>
      <c r="V52" s="19"/>
      <c r="W52" s="2"/>
      <c r="X52" s="2">
        <f t="shared" si="2"/>
        <v>-1647.9399999999998</v>
      </c>
      <c r="Y52" s="2"/>
      <c r="Z52" s="19">
        <f t="shared" si="3"/>
        <v>1.6554723994173486</v>
      </c>
    </row>
    <row r="53" spans="1:26" s="23" customFormat="1" hidden="1" outlineLevel="1" x14ac:dyDescent="0.25">
      <c r="A53" s="44"/>
      <c r="B53" s="10" t="str">
        <f>CONCATENATE("          ", "4341", " - ", "SALES RETURN NON TAXABLE-LOGO")</f>
        <v xml:space="preserve">          4341 - SALES RETURN NON TAXABLE-LOGO</v>
      </c>
      <c r="C53" s="10"/>
      <c r="D53" s="2">
        <f>-29.9</f>
        <v>-29.9</v>
      </c>
      <c r="E53" s="2"/>
      <c r="F53" s="19"/>
      <c r="G53" s="2"/>
      <c r="H53" s="2">
        <f t="shared" ref="H53:H54" si="16">0</f>
        <v>0</v>
      </c>
      <c r="I53" s="2"/>
      <c r="J53" s="19"/>
      <c r="K53" s="2"/>
      <c r="L53" s="2">
        <f t="shared" si="0"/>
        <v>-29.9</v>
      </c>
      <c r="M53" s="2"/>
      <c r="N53" s="19">
        <f t="shared" si="1"/>
        <v>0</v>
      </c>
      <c r="O53" s="10"/>
      <c r="P53" s="2">
        <f>-381.34</f>
        <v>-381.34</v>
      </c>
      <c r="Q53" s="2"/>
      <c r="R53" s="19"/>
      <c r="S53" s="2"/>
      <c r="T53" s="2">
        <f>-245.5</f>
        <v>-245.5</v>
      </c>
      <c r="U53" s="2"/>
      <c r="V53" s="19"/>
      <c r="W53" s="2"/>
      <c r="X53" s="2">
        <f t="shared" si="2"/>
        <v>-135.83999999999997</v>
      </c>
      <c r="Y53" s="2"/>
      <c r="Z53" s="19">
        <f t="shared" si="3"/>
        <v>0.55331975560081459</v>
      </c>
    </row>
    <row r="54" spans="1:26" s="23" customFormat="1" hidden="1" outlineLevel="1" x14ac:dyDescent="0.25">
      <c r="A54" s="44"/>
      <c r="B54" s="10" t="str">
        <f>CONCATENATE("          ", "4342", " - ", "SALES RETURN NON TAXABLE-EVERY")</f>
        <v xml:space="preserve">          4342 - SALES RETURN NON TAXABLE-EVERY</v>
      </c>
      <c r="C54" s="10"/>
      <c r="D54" s="2">
        <f>0</f>
        <v>0</v>
      </c>
      <c r="E54" s="2"/>
      <c r="F54" s="19"/>
      <c r="G54" s="2"/>
      <c r="H54" s="2">
        <f t="shared" si="16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0"/>
      <c r="P54" s="2">
        <f>-118.7</f>
        <v>-118.7</v>
      </c>
      <c r="Q54" s="2"/>
      <c r="R54" s="19"/>
      <c r="S54" s="2"/>
      <c r="T54" s="2">
        <f>-109.8</f>
        <v>-109.8</v>
      </c>
      <c r="U54" s="2"/>
      <c r="V54" s="19"/>
      <c r="W54" s="2"/>
      <c r="X54" s="2">
        <f t="shared" si="2"/>
        <v>-8.9000000000000057</v>
      </c>
      <c r="Y54" s="2"/>
      <c r="Z54" s="19">
        <f t="shared" si="3"/>
        <v>8.1056466302367999E-2</v>
      </c>
    </row>
    <row r="55" spans="1:26" x14ac:dyDescent="0.25">
      <c r="A55" s="9"/>
      <c r="B55" s="11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4" customFormat="1" collapsed="1" x14ac:dyDescent="0.25">
      <c r="A56" s="11"/>
      <c r="B56" s="28" t="s">
        <v>256</v>
      </c>
      <c r="C56" s="11"/>
      <c r="D56" s="4">
        <f>SUM(OSRRefD16x_0)</f>
        <v>88675</v>
      </c>
      <c r="E56" s="4"/>
      <c r="F56" s="13">
        <f t="shared" ref="F56:F86" si="17">IF(D$12=0,0,D56/D$12)</f>
        <v>0.5317754018180092</v>
      </c>
      <c r="G56" s="4"/>
      <c r="H56" s="4">
        <f>SUM(OSRRefH16x_0)</f>
        <v>61280.41</v>
      </c>
      <c r="I56" s="4"/>
      <c r="J56" s="13">
        <f t="shared" ref="J56:J86" si="18">IF(H$12=0,0,H56/H$12)</f>
        <v>0.45446122121248828</v>
      </c>
      <c r="K56" s="4"/>
      <c r="L56" s="4">
        <f t="shared" ref="L56:L86" si="19">+D56-H56</f>
        <v>27394.589999999997</v>
      </c>
      <c r="M56" s="4"/>
      <c r="N56" s="13">
        <f t="shared" ref="N56:N86" si="20">IF(H56=0,0,L56/H56)</f>
        <v>0.44703666310326573</v>
      </c>
      <c r="O56" s="11"/>
      <c r="P56" s="4">
        <f>SUM(OSRRefP16x_0)</f>
        <v>833951.54000000015</v>
      </c>
      <c r="Q56" s="4"/>
      <c r="R56" s="13">
        <f t="shared" ref="R56:R86" si="21">IF(P$12=0,0,P56/P$12)</f>
        <v>0.56428874405824059</v>
      </c>
      <c r="S56" s="4"/>
      <c r="T56" s="4">
        <f>SUM(OSRRefT16x_0)</f>
        <v>1132430.9699999997</v>
      </c>
      <c r="U56" s="4"/>
      <c r="V56" s="13">
        <f t="shared" ref="V56:V86" si="22">IF(T$12=0,0,T56/T$12)</f>
        <v>0.45971592411354756</v>
      </c>
      <c r="W56" s="4"/>
      <c r="X56" s="4">
        <f t="shared" ref="X56:X86" si="23">+P56-T56</f>
        <v>-298479.42999999959</v>
      </c>
      <c r="Y56" s="4"/>
      <c r="Z56" s="13">
        <f t="shared" ref="Z56:Z86" si="24">IF(T56=0,0,X56/T56)</f>
        <v>-0.26357406138406797</v>
      </c>
    </row>
    <row r="57" spans="1:26" s="23" customFormat="1" hidden="1" outlineLevel="1" x14ac:dyDescent="0.25">
      <c r="A57" s="44"/>
      <c r="B57" s="10" t="str">
        <f>CONCATENATE("          ", "5000", " - ", "PURCHASES @ COST")</f>
        <v xml:space="preserve">          5000 - PURCHASES @ COST</v>
      </c>
      <c r="C57" s="10"/>
      <c r="D57" s="2"/>
      <c r="E57" s="2"/>
      <c r="F57" s="19">
        <f t="shared" si="17"/>
        <v>0</v>
      </c>
      <c r="G57" s="2"/>
      <c r="H57" s="2">
        <v>0</v>
      </c>
      <c r="I57" s="2"/>
      <c r="J57" s="19">
        <f t="shared" si="18"/>
        <v>0</v>
      </c>
      <c r="K57" s="2"/>
      <c r="L57" s="2">
        <f t="shared" si="19"/>
        <v>0</v>
      </c>
      <c r="M57" s="2"/>
      <c r="N57" s="19">
        <f t="shared" si="20"/>
        <v>0</v>
      </c>
      <c r="O57" s="10"/>
      <c r="P57" s="2"/>
      <c r="Q57" s="2"/>
      <c r="R57" s="19">
        <f t="shared" si="21"/>
        <v>0</v>
      </c>
      <c r="S57" s="2"/>
      <c r="T57" s="2">
        <v>0</v>
      </c>
      <c r="U57" s="2"/>
      <c r="V57" s="19">
        <f t="shared" si="22"/>
        <v>0</v>
      </c>
      <c r="W57" s="2"/>
      <c r="X57" s="2">
        <f t="shared" si="23"/>
        <v>0</v>
      </c>
      <c r="Y57" s="2"/>
      <c r="Z57" s="19">
        <f t="shared" si="24"/>
        <v>0</v>
      </c>
    </row>
    <row r="58" spans="1:26" s="23" customFormat="1" hidden="1" outlineLevel="1" x14ac:dyDescent="0.25">
      <c r="A58" s="44"/>
      <c r="B58" s="10" t="str">
        <f>CONCATENATE("          ", "5025", " - ", "PURCHASES @ COST-TEST FORMS")</f>
        <v xml:space="preserve">          5025 - PURCHASES @ COST-TEST FORMS</v>
      </c>
      <c r="C58" s="10"/>
      <c r="D58" s="2"/>
      <c r="E58" s="2"/>
      <c r="F58" s="19">
        <f t="shared" si="17"/>
        <v>0</v>
      </c>
      <c r="G58" s="2"/>
      <c r="H58" s="2"/>
      <c r="I58" s="2"/>
      <c r="J58" s="19">
        <f t="shared" si="18"/>
        <v>0</v>
      </c>
      <c r="K58" s="2"/>
      <c r="L58" s="2">
        <f t="shared" si="19"/>
        <v>0</v>
      </c>
      <c r="M58" s="2"/>
      <c r="N58" s="19">
        <f t="shared" si="20"/>
        <v>0</v>
      </c>
      <c r="O58" s="10"/>
      <c r="P58" s="2">
        <v>599.29</v>
      </c>
      <c r="Q58" s="2"/>
      <c r="R58" s="19">
        <f t="shared" si="21"/>
        <v>4.0550629767607712E-4</v>
      </c>
      <c r="S58" s="2"/>
      <c r="T58" s="2">
        <v>6.06</v>
      </c>
      <c r="U58" s="2"/>
      <c r="V58" s="19">
        <f t="shared" si="22"/>
        <v>2.4600868167073343E-6</v>
      </c>
      <c r="W58" s="2"/>
      <c r="X58" s="2">
        <f t="shared" si="23"/>
        <v>593.23</v>
      </c>
      <c r="Y58" s="2"/>
      <c r="Z58" s="19">
        <f t="shared" si="24"/>
        <v>97.892739273927404</v>
      </c>
    </row>
    <row r="59" spans="1:26" s="23" customFormat="1" hidden="1" outlineLevel="1" x14ac:dyDescent="0.25">
      <c r="A59" s="44"/>
      <c r="B59" s="10" t="str">
        <f>CONCATENATE("          ", "5026", " - ", "PURCHASES @ COST-WRITING INSTR")</f>
        <v xml:space="preserve">          5026 - PURCHASES @ COST-WRITING INSTR</v>
      </c>
      <c r="C59" s="10"/>
      <c r="D59" s="2">
        <v>209.64</v>
      </c>
      <c r="E59" s="2"/>
      <c r="F59" s="19">
        <f t="shared" si="17"/>
        <v>1.257190811808598E-3</v>
      </c>
      <c r="G59" s="2"/>
      <c r="H59" s="2"/>
      <c r="I59" s="2"/>
      <c r="J59" s="19">
        <f t="shared" si="18"/>
        <v>0</v>
      </c>
      <c r="K59" s="2"/>
      <c r="L59" s="2">
        <f t="shared" si="19"/>
        <v>209.64</v>
      </c>
      <c r="M59" s="2"/>
      <c r="N59" s="19">
        <f t="shared" si="20"/>
        <v>0</v>
      </c>
      <c r="O59" s="10"/>
      <c r="P59" s="2">
        <v>219.64</v>
      </c>
      <c r="Q59" s="2"/>
      <c r="R59" s="19">
        <f t="shared" si="21"/>
        <v>1.4861820357685524E-4</v>
      </c>
      <c r="S59" s="2"/>
      <c r="T59" s="2">
        <v>1198.07</v>
      </c>
      <c r="U59" s="2"/>
      <c r="V59" s="19">
        <f t="shared" si="22"/>
        <v>4.8636241130240197E-4</v>
      </c>
      <c r="W59" s="2"/>
      <c r="X59" s="2">
        <f t="shared" si="23"/>
        <v>-978.43</v>
      </c>
      <c r="Y59" s="2"/>
      <c r="Z59" s="19">
        <f t="shared" si="24"/>
        <v>-0.81667181383391618</v>
      </c>
    </row>
    <row r="60" spans="1:26" s="23" customFormat="1" hidden="1" outlineLevel="1" x14ac:dyDescent="0.25">
      <c r="A60" s="44"/>
      <c r="B60" s="10" t="str">
        <f>CONCATENATE("          ", "5027", " - ", "PURCHASES @ COST-SCHOOL SUPPLI")</f>
        <v xml:space="preserve">          5027 - PURCHASES @ COST-SCHOOL SUPPLI</v>
      </c>
      <c r="C60" s="10"/>
      <c r="D60" s="2">
        <v>2824.53</v>
      </c>
      <c r="E60" s="2"/>
      <c r="F60" s="19">
        <f t="shared" si="17"/>
        <v>1.6938433331796128E-2</v>
      </c>
      <c r="G60" s="2"/>
      <c r="H60" s="2"/>
      <c r="I60" s="2"/>
      <c r="J60" s="19">
        <f t="shared" si="18"/>
        <v>0</v>
      </c>
      <c r="K60" s="2"/>
      <c r="L60" s="2">
        <f t="shared" si="19"/>
        <v>2824.53</v>
      </c>
      <c r="M60" s="2"/>
      <c r="N60" s="19">
        <f t="shared" si="20"/>
        <v>0</v>
      </c>
      <c r="O60" s="10"/>
      <c r="P60" s="2">
        <v>21000.41</v>
      </c>
      <c r="Q60" s="2"/>
      <c r="R60" s="19">
        <f t="shared" si="21"/>
        <v>1.4209812459376374E-2</v>
      </c>
      <c r="S60" s="2"/>
      <c r="T60" s="2">
        <v>325.45</v>
      </c>
      <c r="U60" s="2"/>
      <c r="V60" s="19">
        <f t="shared" si="22"/>
        <v>1.3211802879495082E-4</v>
      </c>
      <c r="W60" s="2"/>
      <c r="X60" s="2">
        <f t="shared" si="23"/>
        <v>20674.96</v>
      </c>
      <c r="Y60" s="2"/>
      <c r="Z60" s="19">
        <f t="shared" si="24"/>
        <v>63.527300660623752</v>
      </c>
    </row>
    <row r="61" spans="1:26" s="23" customFormat="1" hidden="1" outlineLevel="1" x14ac:dyDescent="0.25">
      <c r="A61" s="44"/>
      <c r="B61" s="10" t="str">
        <f>CONCATENATE("          ", "5028", " - ", "PURCHASES @ COST-ART/TECH")</f>
        <v xml:space="preserve">          5028 - PURCHASES @ COST-ART/TECH</v>
      </c>
      <c r="C61" s="10"/>
      <c r="D61" s="2">
        <v>3443.78</v>
      </c>
      <c r="E61" s="2"/>
      <c r="F61" s="19">
        <f t="shared" si="17"/>
        <v>2.0652015712126572E-2</v>
      </c>
      <c r="G61" s="2"/>
      <c r="H61" s="2"/>
      <c r="I61" s="2"/>
      <c r="J61" s="19">
        <f t="shared" si="18"/>
        <v>0</v>
      </c>
      <c r="K61" s="2"/>
      <c r="L61" s="2">
        <f t="shared" si="19"/>
        <v>3443.78</v>
      </c>
      <c r="M61" s="2"/>
      <c r="N61" s="19">
        <f t="shared" si="20"/>
        <v>0</v>
      </c>
      <c r="O61" s="10"/>
      <c r="P61" s="2">
        <v>4193.51</v>
      </c>
      <c r="Q61" s="2"/>
      <c r="R61" s="19">
        <f t="shared" si="21"/>
        <v>2.8375155840538076E-3</v>
      </c>
      <c r="S61" s="2"/>
      <c r="T61" s="2"/>
      <c r="U61" s="2"/>
      <c r="V61" s="19">
        <f t="shared" si="22"/>
        <v>0</v>
      </c>
      <c r="W61" s="2"/>
      <c r="X61" s="2">
        <f t="shared" si="23"/>
        <v>4193.51</v>
      </c>
      <c r="Y61" s="2"/>
      <c r="Z61" s="19">
        <f t="shared" si="24"/>
        <v>0</v>
      </c>
    </row>
    <row r="62" spans="1:26" s="23" customFormat="1" hidden="1" outlineLevel="1" x14ac:dyDescent="0.25">
      <c r="A62" s="44"/>
      <c r="B62" s="10" t="str">
        <f>CONCATENATE("          ", "5031", " - ", "PURCHASES @ COST-FOOD")</f>
        <v xml:space="preserve">          5031 - PURCHASES @ COST-FOOD</v>
      </c>
      <c r="C62" s="10"/>
      <c r="D62" s="2"/>
      <c r="E62" s="2"/>
      <c r="F62" s="19">
        <f t="shared" si="17"/>
        <v>0</v>
      </c>
      <c r="G62" s="2"/>
      <c r="H62" s="2"/>
      <c r="I62" s="2"/>
      <c r="J62" s="19">
        <f t="shared" si="18"/>
        <v>0</v>
      </c>
      <c r="K62" s="2"/>
      <c r="L62" s="2">
        <f t="shared" si="19"/>
        <v>0</v>
      </c>
      <c r="M62" s="2"/>
      <c r="N62" s="19">
        <f t="shared" si="20"/>
        <v>0</v>
      </c>
      <c r="O62" s="10"/>
      <c r="P62" s="2">
        <v>5344.15</v>
      </c>
      <c r="Q62" s="2"/>
      <c r="R62" s="19">
        <f t="shared" si="21"/>
        <v>3.6160898408543569E-3</v>
      </c>
      <c r="S62" s="2"/>
      <c r="T62" s="2"/>
      <c r="U62" s="2"/>
      <c r="V62" s="19">
        <f t="shared" si="22"/>
        <v>0</v>
      </c>
      <c r="W62" s="2"/>
      <c r="X62" s="2">
        <f t="shared" si="23"/>
        <v>5344.15</v>
      </c>
      <c r="Y62" s="2"/>
      <c r="Z62" s="19">
        <f t="shared" si="24"/>
        <v>0</v>
      </c>
    </row>
    <row r="63" spans="1:26" s="23" customFormat="1" hidden="1" outlineLevel="1" x14ac:dyDescent="0.25">
      <c r="A63" s="44"/>
      <c r="B63" s="10" t="str">
        <f>CONCATENATE("          ", "5037", " - ", "PURCHASES @ COST-WATER")</f>
        <v xml:space="preserve">          5037 - PURCHASES @ COST-WATER</v>
      </c>
      <c r="C63" s="10"/>
      <c r="D63" s="2"/>
      <c r="E63" s="2"/>
      <c r="F63" s="19">
        <f t="shared" si="17"/>
        <v>0</v>
      </c>
      <c r="G63" s="2"/>
      <c r="H63" s="2"/>
      <c r="I63" s="2"/>
      <c r="J63" s="19">
        <f t="shared" si="18"/>
        <v>0</v>
      </c>
      <c r="K63" s="2"/>
      <c r="L63" s="2">
        <f t="shared" si="19"/>
        <v>0</v>
      </c>
      <c r="M63" s="2"/>
      <c r="N63" s="19">
        <f t="shared" si="20"/>
        <v>0</v>
      </c>
      <c r="O63" s="10"/>
      <c r="P63" s="2"/>
      <c r="Q63" s="2"/>
      <c r="R63" s="19">
        <f t="shared" si="21"/>
        <v>0</v>
      </c>
      <c r="S63" s="2"/>
      <c r="T63" s="2">
        <v>29.76</v>
      </c>
      <c r="U63" s="2"/>
      <c r="V63" s="19">
        <f t="shared" si="22"/>
        <v>1.2081218426602355E-5</v>
      </c>
      <c r="W63" s="2"/>
      <c r="X63" s="2">
        <f t="shared" si="23"/>
        <v>-29.76</v>
      </c>
      <c r="Y63" s="2"/>
      <c r="Z63" s="19">
        <f t="shared" si="24"/>
        <v>-1</v>
      </c>
    </row>
    <row r="64" spans="1:26" s="23" customFormat="1" hidden="1" outlineLevel="1" x14ac:dyDescent="0.25">
      <c r="A64" s="44"/>
      <c r="B64" s="10" t="str">
        <f>CONCATENATE("          ", "5040", " - ", "PURCHASES @ COST-LOGO CLOTHING")</f>
        <v xml:space="preserve">          5040 - PURCHASES @ COST-LOGO CLOTHING</v>
      </c>
      <c r="C64" s="10"/>
      <c r="D64" s="2">
        <v>45900.51</v>
      </c>
      <c r="E64" s="2"/>
      <c r="F64" s="19">
        <f t="shared" si="17"/>
        <v>0.275260920765735</v>
      </c>
      <c r="G64" s="2"/>
      <c r="H64" s="2">
        <v>65352.98</v>
      </c>
      <c r="I64" s="2"/>
      <c r="J64" s="19">
        <f t="shared" si="18"/>
        <v>0.48466377918612691</v>
      </c>
      <c r="K64" s="2"/>
      <c r="L64" s="2">
        <f t="shared" si="19"/>
        <v>-19452.47</v>
      </c>
      <c r="M64" s="2"/>
      <c r="N64" s="19">
        <f t="shared" si="20"/>
        <v>-0.29765237943242984</v>
      </c>
      <c r="O64" s="10"/>
      <c r="P64" s="2">
        <v>239871.6</v>
      </c>
      <c r="Q64" s="2"/>
      <c r="R64" s="19">
        <f t="shared" si="21"/>
        <v>0.16230780495859584</v>
      </c>
      <c r="S64" s="2"/>
      <c r="T64" s="2">
        <v>966898.54</v>
      </c>
      <c r="U64" s="2"/>
      <c r="V64" s="19">
        <f t="shared" si="22"/>
        <v>0.39251721969431835</v>
      </c>
      <c r="W64" s="2"/>
      <c r="X64" s="2">
        <f t="shared" si="23"/>
        <v>-727026.94000000006</v>
      </c>
      <c r="Y64" s="2"/>
      <c r="Z64" s="19">
        <f t="shared" si="24"/>
        <v>-0.75191647305621134</v>
      </c>
    </row>
    <row r="65" spans="1:26" s="23" customFormat="1" hidden="1" outlineLevel="1" x14ac:dyDescent="0.25">
      <c r="A65" s="44"/>
      <c r="B65" s="10" t="str">
        <f>CONCATENATE("          ", "5041", " - ", "PURCHASES @ COST-LOGO GIFTS")</f>
        <v xml:space="preserve">          5041 - PURCHASES @ COST-LOGO GIFTS</v>
      </c>
      <c r="C65" s="10"/>
      <c r="D65" s="2">
        <v>899.63</v>
      </c>
      <c r="E65" s="2"/>
      <c r="F65" s="19">
        <f t="shared" si="17"/>
        <v>5.3949941329296371E-3</v>
      </c>
      <c r="G65" s="2"/>
      <c r="H65" s="2">
        <v>15128.67</v>
      </c>
      <c r="I65" s="2"/>
      <c r="J65" s="19">
        <f t="shared" si="18"/>
        <v>0.11219562407498146</v>
      </c>
      <c r="K65" s="2"/>
      <c r="L65" s="2">
        <f t="shared" si="19"/>
        <v>-14229.04</v>
      </c>
      <c r="M65" s="2"/>
      <c r="N65" s="19">
        <f t="shared" si="20"/>
        <v>-0.94053475949967846</v>
      </c>
      <c r="O65" s="10"/>
      <c r="P65" s="2">
        <v>68463.44</v>
      </c>
      <c r="Q65" s="2"/>
      <c r="R65" s="19">
        <f t="shared" si="21"/>
        <v>4.6325411871661878E-2</v>
      </c>
      <c r="S65" s="2"/>
      <c r="T65" s="2">
        <v>149510.73000000001</v>
      </c>
      <c r="U65" s="2"/>
      <c r="V65" s="19">
        <f t="shared" si="22"/>
        <v>6.0694616473480165E-2</v>
      </c>
      <c r="W65" s="2"/>
      <c r="X65" s="2">
        <f t="shared" si="23"/>
        <v>-81047.290000000008</v>
      </c>
      <c r="Y65" s="2"/>
      <c r="Z65" s="19">
        <f t="shared" si="24"/>
        <v>-0.54208343441303508</v>
      </c>
    </row>
    <row r="66" spans="1:26" s="23" customFormat="1" hidden="1" outlineLevel="1" x14ac:dyDescent="0.25">
      <c r="A66" s="44"/>
      <c r="B66" s="10" t="str">
        <f>CONCATENATE("          ", "5042", " - ", "PURCHASES @ COST-EVERYDAY GIFT")</f>
        <v xml:space="preserve">          5042 - PURCHASES @ COST-EVERYDAY GIFT</v>
      </c>
      <c r="C66" s="10"/>
      <c r="D66" s="2">
        <v>-270</v>
      </c>
      <c r="E66" s="2"/>
      <c r="F66" s="19">
        <f t="shared" si="17"/>
        <v>-1.6191638961473073E-3</v>
      </c>
      <c r="G66" s="2"/>
      <c r="H66" s="2">
        <v>15355.27</v>
      </c>
      <c r="I66" s="2"/>
      <c r="J66" s="19">
        <f t="shared" si="18"/>
        <v>0.11387611075460305</v>
      </c>
      <c r="K66" s="2"/>
      <c r="L66" s="2">
        <f t="shared" si="19"/>
        <v>-15625.27</v>
      </c>
      <c r="M66" s="2"/>
      <c r="N66" s="19">
        <f t="shared" si="20"/>
        <v>-1.0175835397228443</v>
      </c>
      <c r="O66" s="10"/>
      <c r="P66" s="2">
        <v>18748.18</v>
      </c>
      <c r="Q66" s="2"/>
      <c r="R66" s="19">
        <f t="shared" si="21"/>
        <v>1.2685853359750164E-2</v>
      </c>
      <c r="S66" s="2"/>
      <c r="T66" s="2">
        <v>115363.24</v>
      </c>
      <c r="U66" s="2"/>
      <c r="V66" s="19">
        <f t="shared" si="22"/>
        <v>4.6832274893835686E-2</v>
      </c>
      <c r="W66" s="2"/>
      <c r="X66" s="2">
        <f t="shared" si="23"/>
        <v>-96615.06</v>
      </c>
      <c r="Y66" s="2"/>
      <c r="Z66" s="19">
        <f t="shared" si="24"/>
        <v>-0.83748566701143268</v>
      </c>
    </row>
    <row r="67" spans="1:26" s="23" customFormat="1" hidden="1" outlineLevel="1" x14ac:dyDescent="0.25">
      <c r="A67" s="44"/>
      <c r="B67" s="10" t="str">
        <f>CONCATENATE("          ", "5043", " - ", "PURCHASES @ COST-CARDS")</f>
        <v xml:space="preserve">          5043 - PURCHASES @ COST-CARDS</v>
      </c>
      <c r="C67" s="10"/>
      <c r="D67" s="2"/>
      <c r="E67" s="2"/>
      <c r="F67" s="19">
        <f t="shared" si="17"/>
        <v>0</v>
      </c>
      <c r="G67" s="2"/>
      <c r="H67" s="2">
        <v>-4258.25</v>
      </c>
      <c r="I67" s="2"/>
      <c r="J67" s="19">
        <f t="shared" si="18"/>
        <v>-3.1579578126648924E-2</v>
      </c>
      <c r="K67" s="2"/>
      <c r="L67" s="2">
        <f t="shared" si="19"/>
        <v>4258.25</v>
      </c>
      <c r="M67" s="2"/>
      <c r="N67" s="19">
        <f t="shared" si="20"/>
        <v>-1</v>
      </c>
      <c r="O67" s="10"/>
      <c r="P67" s="2">
        <v>55364.33</v>
      </c>
      <c r="Q67" s="2"/>
      <c r="R67" s="19">
        <f t="shared" si="21"/>
        <v>3.7461970801476029E-2</v>
      </c>
      <c r="S67" s="2"/>
      <c r="T67" s="2">
        <v>24776.91</v>
      </c>
      <c r="U67" s="2"/>
      <c r="V67" s="19">
        <f t="shared" si="22"/>
        <v>1.0058308523060085E-2</v>
      </c>
      <c r="W67" s="2"/>
      <c r="X67" s="2">
        <f t="shared" si="23"/>
        <v>30587.420000000002</v>
      </c>
      <c r="Y67" s="2"/>
      <c r="Z67" s="19">
        <f t="shared" si="24"/>
        <v>1.2345131011090569</v>
      </c>
    </row>
    <row r="68" spans="1:26" s="23" customFormat="1" hidden="1" outlineLevel="1" x14ac:dyDescent="0.25">
      <c r="A68" s="44"/>
      <c r="B68" s="10" t="str">
        <f>CONCATENATE("          ", "5044", " - ", "PURCHASES @ COST-ACCESSORIES")</f>
        <v xml:space="preserve">          5044 - PURCHASES @ COST-ACCESSORIES</v>
      </c>
      <c r="C68" s="10"/>
      <c r="D68" s="2"/>
      <c r="E68" s="2"/>
      <c r="F68" s="19">
        <f t="shared" si="17"/>
        <v>0</v>
      </c>
      <c r="G68" s="2"/>
      <c r="H68" s="2">
        <v>-1305.4100000000001</v>
      </c>
      <c r="I68" s="2"/>
      <c r="J68" s="19">
        <f t="shared" si="18"/>
        <v>-9.6810419966673576E-3</v>
      </c>
      <c r="K68" s="2"/>
      <c r="L68" s="2">
        <f t="shared" si="19"/>
        <v>1305.4100000000001</v>
      </c>
      <c r="M68" s="2"/>
      <c r="N68" s="19">
        <f t="shared" si="20"/>
        <v>-1</v>
      </c>
      <c r="O68" s="10"/>
      <c r="P68" s="2">
        <v>1064.83</v>
      </c>
      <c r="Q68" s="2"/>
      <c r="R68" s="19">
        <f t="shared" si="21"/>
        <v>7.2051139006894358E-4</v>
      </c>
      <c r="S68" s="2"/>
      <c r="T68" s="2">
        <v>32094.03</v>
      </c>
      <c r="U68" s="2"/>
      <c r="V68" s="19">
        <f t="shared" si="22"/>
        <v>1.3028729389110509E-2</v>
      </c>
      <c r="W68" s="2"/>
      <c r="X68" s="2">
        <f t="shared" si="23"/>
        <v>-31029.199999999997</v>
      </c>
      <c r="Y68" s="2"/>
      <c r="Z68" s="19">
        <f t="shared" si="24"/>
        <v>-0.96682155528613878</v>
      </c>
    </row>
    <row r="69" spans="1:26" s="23" customFormat="1" hidden="1" outlineLevel="1" x14ac:dyDescent="0.25">
      <c r="A69" s="44"/>
      <c r="B69" s="10" t="str">
        <f>CONCATENATE("          ", "5045", " - ", "PURCHASES @ COST-SPECIAL ORDER")</f>
        <v xml:space="preserve">          5045 - PURCHASES @ COST-SPECIAL ORDER</v>
      </c>
      <c r="C69" s="10"/>
      <c r="D69" s="2">
        <v>13853.18</v>
      </c>
      <c r="E69" s="2"/>
      <c r="F69" s="19">
        <f t="shared" si="17"/>
        <v>8.307618112159243E-2</v>
      </c>
      <c r="G69" s="2"/>
      <c r="H69" s="2">
        <v>6736.47</v>
      </c>
      <c r="I69" s="2"/>
      <c r="J69" s="19">
        <f t="shared" si="18"/>
        <v>4.995828818477701E-2</v>
      </c>
      <c r="K69" s="2"/>
      <c r="L69" s="2">
        <f t="shared" si="19"/>
        <v>7116.71</v>
      </c>
      <c r="M69" s="2"/>
      <c r="N69" s="19">
        <f t="shared" si="20"/>
        <v>1.0564449927038939</v>
      </c>
      <c r="O69" s="10"/>
      <c r="P69" s="2">
        <v>109226.69</v>
      </c>
      <c r="Q69" s="2"/>
      <c r="R69" s="19">
        <f t="shared" si="21"/>
        <v>7.3907641825013928E-2</v>
      </c>
      <c r="S69" s="2"/>
      <c r="T69" s="2">
        <v>57701.25</v>
      </c>
      <c r="U69" s="2"/>
      <c r="V69" s="19">
        <f t="shared" si="22"/>
        <v>2.3424106342002322E-2</v>
      </c>
      <c r="W69" s="2"/>
      <c r="X69" s="2">
        <f t="shared" si="23"/>
        <v>51525.440000000002</v>
      </c>
      <c r="Y69" s="2"/>
      <c r="Z69" s="19">
        <f t="shared" si="24"/>
        <v>0.89296921643811877</v>
      </c>
    </row>
    <row r="70" spans="1:26" s="23" customFormat="1" hidden="1" outlineLevel="1" x14ac:dyDescent="0.25">
      <c r="A70" s="44"/>
      <c r="B70" s="10" t="str">
        <f>CONCATENATE("          ", "5083", " - ", "PURCHASES @ COST-COMPUTER EQUI")</f>
        <v xml:space="preserve">          5083 - PURCHASES @ COST-COMPUTER EQUI</v>
      </c>
      <c r="C70" s="10"/>
      <c r="D70" s="2"/>
      <c r="E70" s="2"/>
      <c r="F70" s="19">
        <f t="shared" si="17"/>
        <v>0</v>
      </c>
      <c r="G70" s="2"/>
      <c r="H70" s="2"/>
      <c r="I70" s="2"/>
      <c r="J70" s="19">
        <f t="shared" si="18"/>
        <v>0</v>
      </c>
      <c r="K70" s="2"/>
      <c r="L70" s="2">
        <f t="shared" si="19"/>
        <v>0</v>
      </c>
      <c r="M70" s="2"/>
      <c r="N70" s="19">
        <f t="shared" si="20"/>
        <v>0</v>
      </c>
      <c r="O70" s="10"/>
      <c r="P70" s="2"/>
      <c r="Q70" s="2"/>
      <c r="R70" s="19">
        <f t="shared" si="21"/>
        <v>0</v>
      </c>
      <c r="S70" s="2"/>
      <c r="T70" s="2">
        <v>90.35</v>
      </c>
      <c r="U70" s="2"/>
      <c r="V70" s="19">
        <f t="shared" si="22"/>
        <v>3.6678027044473211E-5</v>
      </c>
      <c r="W70" s="2"/>
      <c r="X70" s="2">
        <f t="shared" si="23"/>
        <v>-90.35</v>
      </c>
      <c r="Y70" s="2"/>
      <c r="Z70" s="19">
        <f t="shared" si="24"/>
        <v>-1</v>
      </c>
    </row>
    <row r="71" spans="1:26" s="23" customFormat="1" hidden="1" outlineLevel="1" x14ac:dyDescent="0.25">
      <c r="A71" s="44"/>
      <c r="B71" s="10" t="str">
        <f>CONCATENATE("          ", "5086", " - ", "PURCHASES @ COST-COMPUTER SUPP")</f>
        <v xml:space="preserve">          5086 - PURCHASES @ COST-COMPUTER SUPP</v>
      </c>
      <c r="C71" s="10"/>
      <c r="D71" s="2"/>
      <c r="E71" s="2"/>
      <c r="F71" s="19">
        <f t="shared" si="17"/>
        <v>0</v>
      </c>
      <c r="G71" s="2"/>
      <c r="H71" s="2"/>
      <c r="I71" s="2"/>
      <c r="J71" s="19">
        <f t="shared" si="18"/>
        <v>0</v>
      </c>
      <c r="K71" s="2"/>
      <c r="L71" s="2">
        <f t="shared" si="19"/>
        <v>0</v>
      </c>
      <c r="M71" s="2"/>
      <c r="N71" s="19">
        <f t="shared" si="20"/>
        <v>0</v>
      </c>
      <c r="O71" s="10"/>
      <c r="P71" s="2">
        <v>13.21</v>
      </c>
      <c r="Q71" s="2"/>
      <c r="R71" s="19">
        <f t="shared" si="21"/>
        <v>8.9384741816165454E-6</v>
      </c>
      <c r="S71" s="2"/>
      <c r="T71" s="2">
        <v>0</v>
      </c>
      <c r="U71" s="2"/>
      <c r="V71" s="19">
        <f t="shared" si="22"/>
        <v>0</v>
      </c>
      <c r="W71" s="2"/>
      <c r="X71" s="2">
        <f t="shared" si="23"/>
        <v>13.21</v>
      </c>
      <c r="Y71" s="2"/>
      <c r="Z71" s="19">
        <f t="shared" si="24"/>
        <v>0</v>
      </c>
    </row>
    <row r="72" spans="1:26" s="23" customFormat="1" hidden="1" outlineLevel="1" x14ac:dyDescent="0.25">
      <c r="A72" s="44"/>
      <c r="B72" s="10" t="str">
        <f>CONCATENATE("          ", "5092", " - ", "PURCHASES @ COST-GRAD MERCH")</f>
        <v xml:space="preserve">          5092 - PURCHASES @ COST-GRAD MERCH</v>
      </c>
      <c r="C72" s="10"/>
      <c r="D72" s="2"/>
      <c r="E72" s="2"/>
      <c r="F72" s="19">
        <f t="shared" si="17"/>
        <v>0</v>
      </c>
      <c r="G72" s="2"/>
      <c r="H72" s="2"/>
      <c r="I72" s="2"/>
      <c r="J72" s="19">
        <f t="shared" si="18"/>
        <v>0</v>
      </c>
      <c r="K72" s="2"/>
      <c r="L72" s="2">
        <f t="shared" si="19"/>
        <v>0</v>
      </c>
      <c r="M72" s="2"/>
      <c r="N72" s="19">
        <f t="shared" si="20"/>
        <v>0</v>
      </c>
      <c r="O72" s="10"/>
      <c r="P72" s="2"/>
      <c r="Q72" s="2"/>
      <c r="R72" s="19">
        <f t="shared" si="21"/>
        <v>0</v>
      </c>
      <c r="S72" s="2"/>
      <c r="T72" s="2">
        <v>-60.35</v>
      </c>
      <c r="U72" s="2"/>
      <c r="V72" s="19">
        <f t="shared" si="22"/>
        <v>-2.4499379437011159E-5</v>
      </c>
      <c r="W72" s="2"/>
      <c r="X72" s="2">
        <f t="shared" si="23"/>
        <v>60.35</v>
      </c>
      <c r="Y72" s="2"/>
      <c r="Z72" s="19">
        <f t="shared" si="24"/>
        <v>-1</v>
      </c>
    </row>
    <row r="73" spans="1:26" s="23" customFormat="1" hidden="1" outlineLevel="1" x14ac:dyDescent="0.25">
      <c r="A73" s="44"/>
      <c r="B73" s="10" t="str">
        <f>CONCATENATE("          ", "5095", " - ", "PURCHASES @ COST-CUSTOMER SERV")</f>
        <v xml:space="preserve">          5095 - PURCHASES @ COST-CUSTOMER SERV</v>
      </c>
      <c r="C73" s="10"/>
      <c r="D73" s="2"/>
      <c r="E73" s="2"/>
      <c r="F73" s="19">
        <f t="shared" si="17"/>
        <v>0</v>
      </c>
      <c r="G73" s="2"/>
      <c r="H73" s="2"/>
      <c r="I73" s="2"/>
      <c r="J73" s="19">
        <f t="shared" si="18"/>
        <v>0</v>
      </c>
      <c r="K73" s="2"/>
      <c r="L73" s="2">
        <f t="shared" si="19"/>
        <v>0</v>
      </c>
      <c r="M73" s="2"/>
      <c r="N73" s="19">
        <f t="shared" si="20"/>
        <v>0</v>
      </c>
      <c r="O73" s="10"/>
      <c r="P73" s="2"/>
      <c r="Q73" s="2"/>
      <c r="R73" s="19">
        <f t="shared" si="21"/>
        <v>0</v>
      </c>
      <c r="S73" s="2"/>
      <c r="T73" s="2">
        <v>-11.85</v>
      </c>
      <c r="U73" s="2"/>
      <c r="V73" s="19">
        <f t="shared" si="22"/>
        <v>-4.8105658049475099E-6</v>
      </c>
      <c r="W73" s="2"/>
      <c r="X73" s="2">
        <f t="shared" si="23"/>
        <v>11.85</v>
      </c>
      <c r="Y73" s="2"/>
      <c r="Z73" s="19">
        <f t="shared" si="24"/>
        <v>-1</v>
      </c>
    </row>
    <row r="74" spans="1:26" s="23" customFormat="1" hidden="1" outlineLevel="1" x14ac:dyDescent="0.25">
      <c r="A74" s="44"/>
      <c r="B74" s="10" t="str">
        <f>CONCATENATE("          ", "5200", " - ", "PURCHASES OFFSET")</f>
        <v xml:space="preserve">          5200 - PURCHASES OFFSET</v>
      </c>
      <c r="C74" s="10"/>
      <c r="D74" s="2">
        <v>-68518.25</v>
      </c>
      <c r="E74" s="2"/>
      <c r="F74" s="19">
        <f t="shared" si="17"/>
        <v>-0.41089732084146385</v>
      </c>
      <c r="G74" s="2"/>
      <c r="H74" s="2">
        <v>-99905</v>
      </c>
      <c r="I74" s="2"/>
      <c r="J74" s="19">
        <f t="shared" si="18"/>
        <v>-0.74090477373166463</v>
      </c>
      <c r="K74" s="2"/>
      <c r="L74" s="2">
        <f t="shared" si="19"/>
        <v>31386.75</v>
      </c>
      <c r="M74" s="2"/>
      <c r="N74" s="19">
        <f t="shared" si="20"/>
        <v>-0.31416595765977678</v>
      </c>
      <c r="O74" s="10"/>
      <c r="P74" s="2">
        <v>-543871.46</v>
      </c>
      <c r="Q74" s="2"/>
      <c r="R74" s="19">
        <f t="shared" si="21"/>
        <v>-0.36800764597487473</v>
      </c>
      <c r="S74" s="2"/>
      <c r="T74" s="2">
        <v>-1351231</v>
      </c>
      <c r="U74" s="2"/>
      <c r="V74" s="19">
        <f t="shared" si="22"/>
        <v>-0.54853887284261849</v>
      </c>
      <c r="W74" s="2"/>
      <c r="X74" s="2">
        <f t="shared" si="23"/>
        <v>807359.54</v>
      </c>
      <c r="Y74" s="2"/>
      <c r="Z74" s="19">
        <f t="shared" si="24"/>
        <v>-0.59749927288524318</v>
      </c>
    </row>
    <row r="75" spans="1:26" s="23" customFormat="1" hidden="1" outlineLevel="1" x14ac:dyDescent="0.25">
      <c r="A75" s="44"/>
      <c r="B75" s="10" t="str">
        <f>CONCATENATE("          ", "5300", " - ", "COG$ OFFSET")</f>
        <v xml:space="preserve">          5300 - COG$ OFFSET</v>
      </c>
      <c r="C75" s="10"/>
      <c r="D75" s="2">
        <v>88675</v>
      </c>
      <c r="E75" s="2"/>
      <c r="F75" s="19">
        <f t="shared" si="17"/>
        <v>0.5317754018180092</v>
      </c>
      <c r="G75" s="2"/>
      <c r="H75" s="2">
        <v>61280</v>
      </c>
      <c r="I75" s="2"/>
      <c r="J75" s="19">
        <f t="shared" si="18"/>
        <v>0.45445818061434773</v>
      </c>
      <c r="K75" s="2"/>
      <c r="L75" s="2">
        <f t="shared" si="19"/>
        <v>27395</v>
      </c>
      <c r="M75" s="2"/>
      <c r="N75" s="19">
        <f t="shared" si="20"/>
        <v>0.44704634464751958</v>
      </c>
      <c r="O75" s="10"/>
      <c r="P75" s="2">
        <v>833035</v>
      </c>
      <c r="Q75" s="2"/>
      <c r="R75" s="19">
        <f t="shared" si="21"/>
        <v>0.56366857228485523</v>
      </c>
      <c r="S75" s="2"/>
      <c r="T75" s="2">
        <v>1094277</v>
      </c>
      <c r="U75" s="2"/>
      <c r="V75" s="19">
        <f t="shared" si="22"/>
        <v>0.44422713226502503</v>
      </c>
      <c r="W75" s="2"/>
      <c r="X75" s="2">
        <f t="shared" si="23"/>
        <v>-261242</v>
      </c>
      <c r="Y75" s="2"/>
      <c r="Z75" s="19">
        <f t="shared" si="24"/>
        <v>-0.23873479932411995</v>
      </c>
    </row>
    <row r="76" spans="1:26" s="23" customFormat="1" hidden="1" outlineLevel="1" x14ac:dyDescent="0.25">
      <c r="A76" s="44"/>
      <c r="B76" s="10" t="str">
        <f>CONCATENATE("          ", "5500", " - ", "FREIGHT-IN")</f>
        <v xml:space="preserve">          5500 - FREIGHT-IN</v>
      </c>
      <c r="C76" s="10"/>
      <c r="D76" s="2"/>
      <c r="E76" s="2"/>
      <c r="F76" s="19">
        <f t="shared" si="17"/>
        <v>0</v>
      </c>
      <c r="G76" s="2"/>
      <c r="H76" s="2"/>
      <c r="I76" s="2"/>
      <c r="J76" s="19">
        <f t="shared" si="18"/>
        <v>0</v>
      </c>
      <c r="K76" s="2"/>
      <c r="L76" s="2">
        <f t="shared" si="19"/>
        <v>0</v>
      </c>
      <c r="M76" s="2"/>
      <c r="N76" s="19">
        <f t="shared" si="20"/>
        <v>0</v>
      </c>
      <c r="O76" s="10"/>
      <c r="P76" s="2"/>
      <c r="Q76" s="2"/>
      <c r="R76" s="19">
        <f t="shared" si="21"/>
        <v>0</v>
      </c>
      <c r="S76" s="2"/>
      <c r="T76" s="2">
        <v>29.23</v>
      </c>
      <c r="U76" s="2"/>
      <c r="V76" s="19">
        <f t="shared" si="22"/>
        <v>1.1866062318870526E-5</v>
      </c>
      <c r="W76" s="2"/>
      <c r="X76" s="2">
        <f t="shared" si="23"/>
        <v>-29.23</v>
      </c>
      <c r="Y76" s="2"/>
      <c r="Z76" s="19">
        <f t="shared" si="24"/>
        <v>-1</v>
      </c>
    </row>
    <row r="77" spans="1:26" s="23" customFormat="1" hidden="1" outlineLevel="1" x14ac:dyDescent="0.25">
      <c r="A77" s="44"/>
      <c r="B77" s="10" t="str">
        <f>CONCATENATE("          ", "5525", " - ", "FREIGHT-IN-TEST FORMS")</f>
        <v xml:space="preserve">          5525 - FREIGHT-IN-TEST FORMS</v>
      </c>
      <c r="C77" s="10"/>
      <c r="D77" s="2"/>
      <c r="E77" s="2"/>
      <c r="F77" s="19">
        <f t="shared" si="17"/>
        <v>0</v>
      </c>
      <c r="G77" s="2"/>
      <c r="H77" s="2"/>
      <c r="I77" s="2"/>
      <c r="J77" s="19">
        <f t="shared" si="18"/>
        <v>0</v>
      </c>
      <c r="K77" s="2"/>
      <c r="L77" s="2">
        <f t="shared" si="19"/>
        <v>0</v>
      </c>
      <c r="M77" s="2"/>
      <c r="N77" s="19">
        <f t="shared" si="20"/>
        <v>0</v>
      </c>
      <c r="O77" s="10"/>
      <c r="P77" s="2">
        <v>48.14</v>
      </c>
      <c r="Q77" s="2"/>
      <c r="R77" s="19">
        <f t="shared" si="21"/>
        <v>3.2573667456701021E-5</v>
      </c>
      <c r="S77" s="2"/>
      <c r="T77" s="2"/>
      <c r="U77" s="2"/>
      <c r="V77" s="19">
        <f t="shared" si="22"/>
        <v>0</v>
      </c>
      <c r="W77" s="2"/>
      <c r="X77" s="2">
        <f t="shared" si="23"/>
        <v>48.14</v>
      </c>
      <c r="Y77" s="2"/>
      <c r="Z77" s="19">
        <f t="shared" si="24"/>
        <v>0</v>
      </c>
    </row>
    <row r="78" spans="1:26" s="23" customFormat="1" hidden="1" outlineLevel="1" x14ac:dyDescent="0.25">
      <c r="A78" s="44"/>
      <c r="B78" s="10" t="str">
        <f>CONCATENATE("          ", "5526", " - ", "FREIGHT-IN-WRITING INSTRUMENTS")</f>
        <v xml:space="preserve">          5526 - FREIGHT-IN-WRITING INSTRUMENTS</v>
      </c>
      <c r="C78" s="10"/>
      <c r="D78" s="2"/>
      <c r="E78" s="2"/>
      <c r="F78" s="19">
        <f t="shared" si="17"/>
        <v>0</v>
      </c>
      <c r="G78" s="2"/>
      <c r="H78" s="2"/>
      <c r="I78" s="2"/>
      <c r="J78" s="19">
        <f t="shared" si="18"/>
        <v>0</v>
      </c>
      <c r="K78" s="2"/>
      <c r="L78" s="2">
        <f t="shared" si="19"/>
        <v>0</v>
      </c>
      <c r="M78" s="2"/>
      <c r="N78" s="19">
        <f t="shared" si="20"/>
        <v>0</v>
      </c>
      <c r="O78" s="10"/>
      <c r="P78" s="2">
        <v>0</v>
      </c>
      <c r="Q78" s="2"/>
      <c r="R78" s="19">
        <f t="shared" si="21"/>
        <v>0</v>
      </c>
      <c r="S78" s="2"/>
      <c r="T78" s="2"/>
      <c r="U78" s="2"/>
      <c r="V78" s="19">
        <f t="shared" si="22"/>
        <v>0</v>
      </c>
      <c r="W78" s="2"/>
      <c r="X78" s="2">
        <f t="shared" si="23"/>
        <v>0</v>
      </c>
      <c r="Y78" s="2"/>
      <c r="Z78" s="19">
        <f t="shared" si="24"/>
        <v>0</v>
      </c>
    </row>
    <row r="79" spans="1:26" s="23" customFormat="1" hidden="1" outlineLevel="1" x14ac:dyDescent="0.25">
      <c r="A79" s="44"/>
      <c r="B79" s="10" t="str">
        <f>CONCATENATE("          ", "5527", " - ", "FREIGHT-IN-SCHOOL SUPPLIES")</f>
        <v xml:space="preserve">          5527 - FREIGHT-IN-SCHOOL SUPPLIES</v>
      </c>
      <c r="C79" s="10"/>
      <c r="D79" s="2">
        <v>41.12</v>
      </c>
      <c r="E79" s="2"/>
      <c r="F79" s="19">
        <f t="shared" si="17"/>
        <v>2.4659266447991582E-4</v>
      </c>
      <c r="G79" s="2"/>
      <c r="H79" s="2"/>
      <c r="I79" s="2"/>
      <c r="J79" s="19">
        <f t="shared" si="18"/>
        <v>0</v>
      </c>
      <c r="K79" s="2"/>
      <c r="L79" s="2">
        <f t="shared" si="19"/>
        <v>41.12</v>
      </c>
      <c r="M79" s="2"/>
      <c r="N79" s="19">
        <f t="shared" si="20"/>
        <v>0</v>
      </c>
      <c r="O79" s="10"/>
      <c r="P79" s="2">
        <v>218.62</v>
      </c>
      <c r="Q79" s="2"/>
      <c r="R79" s="19">
        <f t="shared" si="21"/>
        <v>1.4792802616086367E-4</v>
      </c>
      <c r="S79" s="2"/>
      <c r="T79" s="2"/>
      <c r="U79" s="2"/>
      <c r="V79" s="19">
        <f t="shared" si="22"/>
        <v>0</v>
      </c>
      <c r="W79" s="2"/>
      <c r="X79" s="2">
        <f t="shared" si="23"/>
        <v>218.62</v>
      </c>
      <c r="Y79" s="2"/>
      <c r="Z79" s="19">
        <f t="shared" si="24"/>
        <v>0</v>
      </c>
    </row>
    <row r="80" spans="1:26" s="23" customFormat="1" hidden="1" outlineLevel="1" x14ac:dyDescent="0.25">
      <c r="A80" s="44"/>
      <c r="B80" s="10" t="str">
        <f>CONCATENATE("          ", "5528", " - ", "FREIGHT-IN-ART/TECH")</f>
        <v xml:space="preserve">          5528 - FREIGHT-IN-ART/TECH</v>
      </c>
      <c r="C80" s="10"/>
      <c r="D80" s="2">
        <v>73.23</v>
      </c>
      <c r="E80" s="2"/>
      <c r="F80" s="19">
        <f t="shared" si="17"/>
        <v>4.3915323005506415E-4</v>
      </c>
      <c r="G80" s="2"/>
      <c r="H80" s="2"/>
      <c r="I80" s="2"/>
      <c r="J80" s="19">
        <f t="shared" si="18"/>
        <v>0</v>
      </c>
      <c r="K80" s="2"/>
      <c r="L80" s="2">
        <f t="shared" si="19"/>
        <v>73.23</v>
      </c>
      <c r="M80" s="2"/>
      <c r="N80" s="19">
        <f t="shared" si="20"/>
        <v>0</v>
      </c>
      <c r="O80" s="10"/>
      <c r="P80" s="2">
        <v>107.18</v>
      </c>
      <c r="Q80" s="2"/>
      <c r="R80" s="19">
        <f t="shared" si="21"/>
        <v>7.2522760241155288E-5</v>
      </c>
      <c r="S80" s="2"/>
      <c r="T80" s="2"/>
      <c r="U80" s="2"/>
      <c r="V80" s="19">
        <f t="shared" si="22"/>
        <v>0</v>
      </c>
      <c r="W80" s="2"/>
      <c r="X80" s="2">
        <f t="shared" si="23"/>
        <v>107.18</v>
      </c>
      <c r="Y80" s="2"/>
      <c r="Z80" s="19">
        <f t="shared" si="24"/>
        <v>0</v>
      </c>
    </row>
    <row r="81" spans="1:26" s="23" customFormat="1" hidden="1" outlineLevel="1" x14ac:dyDescent="0.25">
      <c r="A81" s="44"/>
      <c r="B81" s="10" t="str">
        <f>CONCATENATE("          ", "5540", " - ", "FREIGHT-IN-LOGO CLOTHING")</f>
        <v xml:space="preserve">          5540 - FREIGHT-IN-LOGO CLOTHING</v>
      </c>
      <c r="C81" s="10"/>
      <c r="D81" s="2">
        <v>1167.1400000000001</v>
      </c>
      <c r="E81" s="2"/>
      <c r="F81" s="19">
        <f t="shared" si="17"/>
        <v>6.9992257398124756E-3</v>
      </c>
      <c r="G81" s="2"/>
      <c r="H81" s="2">
        <v>2177.09</v>
      </c>
      <c r="I81" s="2"/>
      <c r="J81" s="19">
        <f t="shared" si="18"/>
        <v>1.6145501965301734E-2</v>
      </c>
      <c r="K81" s="2"/>
      <c r="L81" s="2">
        <f t="shared" si="19"/>
        <v>-1009.95</v>
      </c>
      <c r="M81" s="2"/>
      <c r="N81" s="19">
        <f t="shared" si="20"/>
        <v>-0.46389905791676045</v>
      </c>
      <c r="O81" s="10"/>
      <c r="P81" s="2">
        <v>7108.37</v>
      </c>
      <c r="Q81" s="2"/>
      <c r="R81" s="19">
        <f t="shared" si="21"/>
        <v>4.8098396456001209E-3</v>
      </c>
      <c r="S81" s="2"/>
      <c r="T81" s="2">
        <v>30658.39</v>
      </c>
      <c r="U81" s="2"/>
      <c r="V81" s="19">
        <f t="shared" si="22"/>
        <v>1.2445924267404616E-2</v>
      </c>
      <c r="W81" s="2"/>
      <c r="X81" s="2">
        <f t="shared" si="23"/>
        <v>-23550.02</v>
      </c>
      <c r="Y81" s="2"/>
      <c r="Z81" s="19">
        <f t="shared" si="24"/>
        <v>-0.76814274983128605</v>
      </c>
    </row>
    <row r="82" spans="1:26" s="23" customFormat="1" hidden="1" outlineLevel="1" x14ac:dyDescent="0.25">
      <c r="A82" s="44"/>
      <c r="B82" s="10" t="str">
        <f>CONCATENATE("          ", "5541", " - ", "FREIGHT-IN-LOGO GIFTS")</f>
        <v xml:space="preserve">          5541 - FREIGHT-IN-LOGO GIFTS</v>
      </c>
      <c r="C82" s="10"/>
      <c r="D82" s="2">
        <v>60.07</v>
      </c>
      <c r="E82" s="2"/>
      <c r="F82" s="19">
        <f t="shared" si="17"/>
        <v>3.6023398237618057E-4</v>
      </c>
      <c r="G82" s="2"/>
      <c r="H82" s="2">
        <v>622.03</v>
      </c>
      <c r="I82" s="2"/>
      <c r="J82" s="19">
        <f t="shared" si="18"/>
        <v>4.6130323447706057E-3</v>
      </c>
      <c r="K82" s="2"/>
      <c r="L82" s="2">
        <f t="shared" si="19"/>
        <v>-561.95999999999992</v>
      </c>
      <c r="M82" s="2"/>
      <c r="N82" s="19">
        <f t="shared" si="20"/>
        <v>-0.90342909505972369</v>
      </c>
      <c r="O82" s="10"/>
      <c r="P82" s="2">
        <v>2138</v>
      </c>
      <c r="Q82" s="2"/>
      <c r="R82" s="19">
        <f t="shared" si="21"/>
        <v>1.4466659954804066E-3</v>
      </c>
      <c r="S82" s="2"/>
      <c r="T82" s="2">
        <v>4695.95</v>
      </c>
      <c r="U82" s="2"/>
      <c r="V82" s="19">
        <f t="shared" si="22"/>
        <v>1.9063440077420472E-3</v>
      </c>
      <c r="W82" s="2"/>
      <c r="X82" s="2">
        <f t="shared" si="23"/>
        <v>-2557.9499999999998</v>
      </c>
      <c r="Y82" s="2"/>
      <c r="Z82" s="19">
        <f t="shared" si="24"/>
        <v>-0.5447140621173564</v>
      </c>
    </row>
    <row r="83" spans="1:26" s="23" customFormat="1" hidden="1" outlineLevel="1" x14ac:dyDescent="0.25">
      <c r="A83" s="44"/>
      <c r="B83" s="10" t="str">
        <f>CONCATENATE("          ", "5542", " - ", "FREIGHT-IN-EVERYDAY GIFTS")</f>
        <v xml:space="preserve">          5542 - FREIGHT-IN-EVERYDAY GIFTS</v>
      </c>
      <c r="C83" s="10"/>
      <c r="D83" s="2">
        <v>297.79000000000002</v>
      </c>
      <c r="E83" s="2"/>
      <c r="F83" s="19">
        <f t="shared" si="17"/>
        <v>1.7858178393840988E-3</v>
      </c>
      <c r="G83" s="2"/>
      <c r="H83" s="2">
        <v>42.24</v>
      </c>
      <c r="I83" s="2"/>
      <c r="J83" s="19">
        <f t="shared" si="18"/>
        <v>3.1325576940519008E-4</v>
      </c>
      <c r="K83" s="2"/>
      <c r="L83" s="2">
        <f t="shared" si="19"/>
        <v>255.55</v>
      </c>
      <c r="M83" s="2"/>
      <c r="N83" s="19">
        <f t="shared" si="20"/>
        <v>6.0499526515151514</v>
      </c>
      <c r="O83" s="10"/>
      <c r="P83" s="2">
        <v>681.72</v>
      </c>
      <c r="Q83" s="2"/>
      <c r="R83" s="19">
        <f t="shared" si="21"/>
        <v>4.6128210591155419E-4</v>
      </c>
      <c r="S83" s="2"/>
      <c r="T83" s="2">
        <v>1793.94</v>
      </c>
      <c r="U83" s="2"/>
      <c r="V83" s="19">
        <f t="shared" si="22"/>
        <v>7.2825876963101578E-4</v>
      </c>
      <c r="W83" s="2"/>
      <c r="X83" s="2">
        <f t="shared" si="23"/>
        <v>-1112.22</v>
      </c>
      <c r="Y83" s="2"/>
      <c r="Z83" s="19">
        <f t="shared" si="24"/>
        <v>-0.61998729054483426</v>
      </c>
    </row>
    <row r="84" spans="1:26" s="23" customFormat="1" hidden="1" outlineLevel="1" x14ac:dyDescent="0.25">
      <c r="A84" s="44"/>
      <c r="B84" s="10" t="str">
        <f>CONCATENATE("          ", "5543", " - ", "FREIGHT-IN-CARDS")</f>
        <v xml:space="preserve">          5543 - FREIGHT-IN-CARDS</v>
      </c>
      <c r="C84" s="10"/>
      <c r="D84" s="2"/>
      <c r="E84" s="2"/>
      <c r="F84" s="19">
        <f t="shared" si="17"/>
        <v>0</v>
      </c>
      <c r="G84" s="2"/>
      <c r="H84" s="2">
        <v>25.64</v>
      </c>
      <c r="I84" s="2"/>
      <c r="J84" s="19">
        <f t="shared" si="18"/>
        <v>1.9014862517871859E-4</v>
      </c>
      <c r="K84" s="2"/>
      <c r="L84" s="2">
        <f t="shared" si="19"/>
        <v>-25.64</v>
      </c>
      <c r="M84" s="2"/>
      <c r="N84" s="19">
        <f t="shared" si="20"/>
        <v>-1</v>
      </c>
      <c r="O84" s="10"/>
      <c r="P84" s="2">
        <v>9110.5300000000007</v>
      </c>
      <c r="Q84" s="2"/>
      <c r="R84" s="19">
        <f t="shared" si="21"/>
        <v>6.1645902487390599E-3</v>
      </c>
      <c r="S84" s="2"/>
      <c r="T84" s="2">
        <v>2926.76</v>
      </c>
      <c r="U84" s="2"/>
      <c r="V84" s="19">
        <f t="shared" si="22"/>
        <v>1.188132622387188E-3</v>
      </c>
      <c r="W84" s="2"/>
      <c r="X84" s="2">
        <f t="shared" si="23"/>
        <v>6183.77</v>
      </c>
      <c r="Y84" s="2"/>
      <c r="Z84" s="19">
        <f t="shared" si="24"/>
        <v>2.112838087168063</v>
      </c>
    </row>
    <row r="85" spans="1:26" s="23" customFormat="1" hidden="1" outlineLevel="1" x14ac:dyDescent="0.25">
      <c r="A85" s="44"/>
      <c r="B85" s="10" t="str">
        <f>CONCATENATE("          ", "5544", " - ", "FREIGHT-IN-ACCESSORIES")</f>
        <v xml:space="preserve">          5544 - FREIGHT-IN-ACCESSORIES</v>
      </c>
      <c r="C85" s="10"/>
      <c r="D85" s="2"/>
      <c r="E85" s="2"/>
      <c r="F85" s="19">
        <f t="shared" si="17"/>
        <v>0</v>
      </c>
      <c r="G85" s="2"/>
      <c r="H85" s="2"/>
      <c r="I85" s="2"/>
      <c r="J85" s="19">
        <f t="shared" si="18"/>
        <v>0</v>
      </c>
      <c r="K85" s="2"/>
      <c r="L85" s="2">
        <f t="shared" si="19"/>
        <v>0</v>
      </c>
      <c r="M85" s="2"/>
      <c r="N85" s="19">
        <f t="shared" si="20"/>
        <v>0</v>
      </c>
      <c r="O85" s="10"/>
      <c r="P85" s="2"/>
      <c r="Q85" s="2"/>
      <c r="R85" s="19">
        <f t="shared" si="21"/>
        <v>0</v>
      </c>
      <c r="S85" s="2"/>
      <c r="T85" s="2">
        <v>483.44</v>
      </c>
      <c r="U85" s="2"/>
      <c r="V85" s="19">
        <f t="shared" si="22"/>
        <v>1.9625484664504846E-4</v>
      </c>
      <c r="W85" s="2"/>
      <c r="X85" s="2">
        <f t="shared" si="23"/>
        <v>-483.44</v>
      </c>
      <c r="Y85" s="2"/>
      <c r="Z85" s="19">
        <f t="shared" si="24"/>
        <v>-1</v>
      </c>
    </row>
    <row r="86" spans="1:26" s="23" customFormat="1" hidden="1" outlineLevel="1" x14ac:dyDescent="0.25">
      <c r="A86" s="44"/>
      <c r="B86" s="10" t="str">
        <f>CONCATENATE("          ", "5545", " - ", "FREIGHT-IN-SPECIAL ORDERS")</f>
        <v xml:space="preserve">          5545 - FREIGHT-IN-SPECIAL ORDERS</v>
      </c>
      <c r="C86" s="10"/>
      <c r="D86" s="2">
        <v>17.63</v>
      </c>
      <c r="E86" s="2"/>
      <c r="F86" s="19">
        <f t="shared" si="17"/>
        <v>1.057254055151001E-4</v>
      </c>
      <c r="G86" s="2"/>
      <c r="H86" s="2">
        <v>28.68</v>
      </c>
      <c r="I86" s="2"/>
      <c r="J86" s="19">
        <f t="shared" si="18"/>
        <v>2.126935479768194E-4</v>
      </c>
      <c r="K86" s="2"/>
      <c r="L86" s="2">
        <f t="shared" si="19"/>
        <v>-11.05</v>
      </c>
      <c r="M86" s="2"/>
      <c r="N86" s="19">
        <f t="shared" si="20"/>
        <v>-0.38528591352859137</v>
      </c>
      <c r="O86" s="10"/>
      <c r="P86" s="2">
        <v>1266.1600000000001</v>
      </c>
      <c r="Q86" s="2"/>
      <c r="R86" s="19">
        <f t="shared" si="21"/>
        <v>8.5674023238422443E-4</v>
      </c>
      <c r="S86" s="2"/>
      <c r="T86" s="2">
        <v>875.07</v>
      </c>
      <c r="U86" s="2"/>
      <c r="V86" s="19">
        <f t="shared" si="22"/>
        <v>3.5523897206206058E-4</v>
      </c>
      <c r="W86" s="2"/>
      <c r="X86" s="2">
        <f t="shared" si="23"/>
        <v>391.09000000000003</v>
      </c>
      <c r="Y86" s="2"/>
      <c r="Z86" s="19">
        <f t="shared" si="24"/>
        <v>0.44692424606031517</v>
      </c>
    </row>
    <row r="87" spans="1:26" x14ac:dyDescent="0.25">
      <c r="A87" s="9"/>
      <c r="B87" s="11"/>
      <c r="C87" s="11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1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x14ac:dyDescent="0.25">
      <c r="A88" s="11"/>
      <c r="B88" s="29" t="s">
        <v>107</v>
      </c>
      <c r="C88" s="29"/>
      <c r="D88" s="22">
        <f>D12-D56</f>
        <v>78077.73000000001</v>
      </c>
      <c r="E88" s="14"/>
      <c r="F88" s="20">
        <f>IF(D$12=0,0,D88/D$12)</f>
        <v>0.4682245981819908</v>
      </c>
      <c r="G88" s="14"/>
      <c r="H88" s="22">
        <f>H12-H56</f>
        <v>73561.479999999981</v>
      </c>
      <c r="I88" s="14"/>
      <c r="J88" s="20">
        <f>IF(H$12=0,0,H88/H$12)</f>
        <v>0.54553877878751178</v>
      </c>
      <c r="K88" s="15"/>
      <c r="L88" s="22">
        <f>+D88-H88</f>
        <v>4516.2500000000291</v>
      </c>
      <c r="M88" s="15"/>
      <c r="N88" s="20">
        <f>IF(H88=0,0,L88/H88)</f>
        <v>6.1394224259762452E-2</v>
      </c>
      <c r="O88" s="28"/>
      <c r="P88" s="22">
        <f>P12-P56</f>
        <v>643929.33000000019</v>
      </c>
      <c r="Q88" s="14"/>
      <c r="R88" s="20">
        <f>IF(P$12=0,0,P88/P$12)</f>
        <v>0.43571125594175941</v>
      </c>
      <c r="S88" s="14"/>
      <c r="T88" s="22">
        <f>T12-T56</f>
        <v>1330896.7300000004</v>
      </c>
      <c r="U88" s="14"/>
      <c r="V88" s="20">
        <f>IF(T$12=0,0,T88/T$12)</f>
        <v>0.54028407588645244</v>
      </c>
      <c r="W88" s="15"/>
      <c r="X88" s="22">
        <f>+P88-T88</f>
        <v>-686967.40000000026</v>
      </c>
      <c r="Y88" s="15"/>
      <c r="Z88" s="20">
        <f>IF(T88=0,0,X88/T88)</f>
        <v>-0.51616882400785524</v>
      </c>
    </row>
    <row r="89" spans="1:26" x14ac:dyDescent="0.25">
      <c r="A89" s="9"/>
      <c r="B89" s="11"/>
      <c r="C89" s="9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4" customFormat="1" x14ac:dyDescent="0.25">
      <c r="A90" s="11"/>
      <c r="B90" s="28" t="s">
        <v>294</v>
      </c>
      <c r="C90" s="11"/>
      <c r="D90" s="21">
        <f>SUM(OSRRefD22x_0)</f>
        <v>64245.679999999986</v>
      </c>
      <c r="E90" s="21"/>
      <c r="F90" s="31">
        <f t="shared" ref="F90:F99" si="25">IF(D$12=0,0,D90/D$12)</f>
        <v>0.38527513162753008</v>
      </c>
      <c r="G90" s="21"/>
      <c r="H90" s="21">
        <f>SUM(OSRRefH22x_0)</f>
        <v>82808.2</v>
      </c>
      <c r="I90" s="21"/>
      <c r="J90" s="31">
        <f t="shared" ref="J90:J99" si="26">IF(H$12=0,0,H90/H$12)</f>
        <v>0.61411331449002982</v>
      </c>
      <c r="K90" s="4"/>
      <c r="L90" s="21">
        <f t="shared" ref="L90:L99" si="27">+D90-H90</f>
        <v>-18562.520000000011</v>
      </c>
      <c r="M90" s="4"/>
      <c r="N90" s="31">
        <f t="shared" ref="N90:N99" si="28">IF(H90=0,0,L90/H90)</f>
        <v>-0.22416282445458313</v>
      </c>
      <c r="O90" s="11"/>
      <c r="P90" s="21">
        <f>SUM(OSRRefP22x_0)</f>
        <v>608155.79</v>
      </c>
      <c r="Q90" s="21"/>
      <c r="R90" s="31">
        <f t="shared" ref="R90:R99" si="29">IF(P$12=0,0,P90/P$12)</f>
        <v>0.41150528594364977</v>
      </c>
      <c r="S90" s="21"/>
      <c r="T90" s="21">
        <f>SUM(OSRRefT22x_0)</f>
        <v>835353.61000000022</v>
      </c>
      <c r="U90" s="21"/>
      <c r="V90" s="31">
        <f t="shared" ref="V90:V99" si="30">IF(T$12=0,0,T90/T$12)</f>
        <v>0.33911590812704301</v>
      </c>
      <c r="W90" s="4"/>
      <c r="X90" s="21">
        <f t="shared" ref="X90:X99" si="31">+P90-T90</f>
        <v>-227197.82000000018</v>
      </c>
      <c r="Y90" s="4"/>
      <c r="Z90" s="31">
        <f t="shared" ref="Z90:Z99" si="32">IF(T90=0,0,X90/T90)</f>
        <v>-0.27197801898527751</v>
      </c>
    </row>
    <row r="91" spans="1:26" s="26" customFormat="1" outlineLevel="1" collapsed="1" x14ac:dyDescent="0.25">
      <c r="A91" s="27"/>
      <c r="B91" s="12" t="str">
        <f>CONCATENATE("     ","*Benefits                                         ")</f>
        <v xml:space="preserve">     *Benefits                                         </v>
      </c>
      <c r="C91" s="12"/>
      <c r="D91" s="1">
        <f>SUM(OSRRefD22_0x_0)</f>
        <v>13506.529999999999</v>
      </c>
      <c r="E91" s="1"/>
      <c r="F91" s="5">
        <f t="shared" si="25"/>
        <v>8.099735458603885E-2</v>
      </c>
      <c r="G91" s="1"/>
      <c r="H91" s="1">
        <f>SUM(OSRRefH22_0x_0)</f>
        <v>16047.13</v>
      </c>
      <c r="I91" s="1"/>
      <c r="J91" s="5">
        <f t="shared" si="26"/>
        <v>0.11900700887535766</v>
      </c>
      <c r="K91" s="1"/>
      <c r="L91" s="1">
        <f t="shared" si="27"/>
        <v>-2540.6000000000004</v>
      </c>
      <c r="M91" s="1"/>
      <c r="N91" s="5">
        <f t="shared" si="28"/>
        <v>-0.15832114527644511</v>
      </c>
      <c r="O91" s="12"/>
      <c r="P91" s="1">
        <f>SUM(OSRRefP22_0x_0)</f>
        <v>133974.77000000002</v>
      </c>
      <c r="Q91" s="1"/>
      <c r="R91" s="5">
        <f t="shared" si="29"/>
        <v>9.0653294673203252E-2</v>
      </c>
      <c r="S91" s="1"/>
      <c r="T91" s="1">
        <f>SUM(OSRRefT22_0x_0)</f>
        <v>82632.13</v>
      </c>
      <c r="U91" s="1"/>
      <c r="V91" s="5">
        <f t="shared" si="30"/>
        <v>3.3544919744133109E-2</v>
      </c>
      <c r="W91" s="1"/>
      <c r="X91" s="1">
        <f t="shared" si="31"/>
        <v>51342.640000000014</v>
      </c>
      <c r="Y91" s="1"/>
      <c r="Z91" s="5">
        <f t="shared" si="32"/>
        <v>0.62133990737017197</v>
      </c>
    </row>
    <row r="92" spans="1:26" s="23" customFormat="1" hidden="1" outlineLevel="2" x14ac:dyDescent="0.25">
      <c r="A92" s="25"/>
      <c r="B92" s="10" t="str">
        <f>CONCATENATE("          ", "6111", " - ", "F.I.C.A.")</f>
        <v xml:space="preserve">          6111 - F.I.C.A.</v>
      </c>
      <c r="C92" s="10"/>
      <c r="D92" s="6">
        <v>2616.6799999999998</v>
      </c>
      <c r="E92" s="2"/>
      <c r="F92" s="7">
        <f t="shared" si="25"/>
        <v>1.5691976976928652E-2</v>
      </c>
      <c r="G92" s="2"/>
      <c r="H92" s="6">
        <v>1570.33</v>
      </c>
      <c r="I92" s="2"/>
      <c r="J92" s="7">
        <f t="shared" si="26"/>
        <v>1.1645713361033431E-2</v>
      </c>
      <c r="K92" s="2"/>
      <c r="L92" s="6">
        <f t="shared" si="27"/>
        <v>1046.3499999999999</v>
      </c>
      <c r="M92" s="2"/>
      <c r="N92" s="7">
        <f t="shared" si="28"/>
        <v>0.66632491259798898</v>
      </c>
      <c r="O92" s="10"/>
      <c r="P92" s="6">
        <v>26322.29</v>
      </c>
      <c r="Q92" s="2"/>
      <c r="R92" s="7">
        <f t="shared" si="29"/>
        <v>1.781083342664825E-2</v>
      </c>
      <c r="S92" s="2"/>
      <c r="T92" s="6">
        <v>15385.83</v>
      </c>
      <c r="U92" s="2"/>
      <c r="V92" s="7">
        <f t="shared" si="30"/>
        <v>6.2459533906105954E-3</v>
      </c>
      <c r="W92" s="2"/>
      <c r="X92" s="6">
        <f t="shared" si="31"/>
        <v>10936.460000000001</v>
      </c>
      <c r="Y92" s="2"/>
      <c r="Z92" s="7">
        <f t="shared" si="32"/>
        <v>0.71081378125197026</v>
      </c>
    </row>
    <row r="93" spans="1:26" s="23" customFormat="1" hidden="1" outlineLevel="2" x14ac:dyDescent="0.25">
      <c r="A93" s="25"/>
      <c r="B93" s="10" t="str">
        <f>CONCATENATE("          ", "6112", " - ", "COMPENSATION INSURANCE")</f>
        <v xml:space="preserve">          6112 - COMPENSATION INSURANCE</v>
      </c>
      <c r="C93" s="10"/>
      <c r="D93" s="6">
        <v>745.75</v>
      </c>
      <c r="E93" s="2"/>
      <c r="F93" s="7">
        <f t="shared" si="25"/>
        <v>4.4721906501920539E-3</v>
      </c>
      <c r="G93" s="2"/>
      <c r="H93" s="6">
        <v>696.28</v>
      </c>
      <c r="I93" s="2"/>
      <c r="J93" s="7">
        <f t="shared" si="26"/>
        <v>5.163677251928166E-3</v>
      </c>
      <c r="K93" s="2"/>
      <c r="L93" s="6">
        <f t="shared" si="27"/>
        <v>49.470000000000027</v>
      </c>
      <c r="M93" s="2"/>
      <c r="N93" s="7">
        <f t="shared" si="28"/>
        <v>7.1049003274544761E-2</v>
      </c>
      <c r="O93" s="10"/>
      <c r="P93" s="6">
        <v>9230.8700000000008</v>
      </c>
      <c r="Q93" s="2"/>
      <c r="R93" s="7">
        <f t="shared" si="29"/>
        <v>6.2460176509355576E-3</v>
      </c>
      <c r="S93" s="2"/>
      <c r="T93" s="6">
        <v>5475.58</v>
      </c>
      <c r="U93" s="2"/>
      <c r="V93" s="7">
        <f t="shared" si="30"/>
        <v>2.2228386422155685E-3</v>
      </c>
      <c r="W93" s="2"/>
      <c r="X93" s="6">
        <f t="shared" si="31"/>
        <v>3755.2900000000009</v>
      </c>
      <c r="Y93" s="2"/>
      <c r="Z93" s="7">
        <f t="shared" si="32"/>
        <v>0.68582506328096771</v>
      </c>
    </row>
    <row r="94" spans="1:26" s="23" customFormat="1" hidden="1" outlineLevel="2" x14ac:dyDescent="0.25">
      <c r="A94" s="25"/>
      <c r="B94" s="10" t="str">
        <f>CONCATENATE("          ", "6113", " - ", "GROUP INSURANCE")</f>
        <v xml:space="preserve">          6113 - GROUP INSURANCE</v>
      </c>
      <c r="C94" s="10"/>
      <c r="D94" s="6">
        <v>4818.63</v>
      </c>
      <c r="E94" s="2"/>
      <c r="F94" s="7">
        <f t="shared" si="25"/>
        <v>2.8896858240341852E-2</v>
      </c>
      <c r="G94" s="2"/>
      <c r="H94" s="6">
        <v>2447</v>
      </c>
      <c r="I94" s="2"/>
      <c r="J94" s="7">
        <f t="shared" si="26"/>
        <v>1.8147179633866008E-2</v>
      </c>
      <c r="K94" s="2"/>
      <c r="L94" s="6">
        <f t="shared" si="27"/>
        <v>2371.63</v>
      </c>
      <c r="M94" s="2"/>
      <c r="N94" s="7">
        <f t="shared" si="28"/>
        <v>0.96919901920719254</v>
      </c>
      <c r="O94" s="10"/>
      <c r="P94" s="6">
        <v>48589.8</v>
      </c>
      <c r="Q94" s="2"/>
      <c r="R94" s="7">
        <f t="shared" si="29"/>
        <v>3.2878022164262805E-2</v>
      </c>
      <c r="S94" s="2"/>
      <c r="T94" s="6">
        <v>26434.33</v>
      </c>
      <c r="U94" s="2"/>
      <c r="V94" s="7">
        <f t="shared" si="30"/>
        <v>1.0731146326978745E-2</v>
      </c>
      <c r="W94" s="2"/>
      <c r="X94" s="6">
        <f t="shared" si="31"/>
        <v>22155.47</v>
      </c>
      <c r="Y94" s="2"/>
      <c r="Z94" s="7">
        <f t="shared" si="32"/>
        <v>0.83813245881397413</v>
      </c>
    </row>
    <row r="95" spans="1:26" s="23" customFormat="1" hidden="1" outlineLevel="2" x14ac:dyDescent="0.25">
      <c r="A95" s="25"/>
      <c r="B95" s="10" t="str">
        <f>CONCATENATE("          ", "6114", " - ", "STATE UNEMPLOYMENT INSURANCE")</f>
        <v xml:space="preserve">          6114 - STATE UNEMPLOYMENT INSURANCE</v>
      </c>
      <c r="C95" s="10"/>
      <c r="D95" s="6">
        <v>104.81</v>
      </c>
      <c r="E95" s="2"/>
      <c r="F95" s="7">
        <f t="shared" si="25"/>
        <v>6.2853543687110846E-4</v>
      </c>
      <c r="G95" s="2"/>
      <c r="H95" s="6">
        <v>114.34</v>
      </c>
      <c r="I95" s="2"/>
      <c r="J95" s="7">
        <f t="shared" si="26"/>
        <v>8.4795607655751496E-4</v>
      </c>
      <c r="K95" s="2"/>
      <c r="L95" s="6">
        <f t="shared" si="27"/>
        <v>-9.5300000000000011</v>
      </c>
      <c r="M95" s="2"/>
      <c r="N95" s="7">
        <f t="shared" si="28"/>
        <v>-8.3347909742872137E-2</v>
      </c>
      <c r="O95" s="10"/>
      <c r="P95" s="6">
        <v>1097.2</v>
      </c>
      <c r="Q95" s="2"/>
      <c r="R95" s="7">
        <f t="shared" si="29"/>
        <v>7.4241437335879434E-4</v>
      </c>
      <c r="S95" s="2"/>
      <c r="T95" s="6">
        <v>858.79</v>
      </c>
      <c r="U95" s="2"/>
      <c r="V95" s="7">
        <f t="shared" si="30"/>
        <v>3.4863002596041118E-4</v>
      </c>
      <c r="W95" s="2"/>
      <c r="X95" s="6">
        <f t="shared" si="31"/>
        <v>238.41000000000008</v>
      </c>
      <c r="Y95" s="2"/>
      <c r="Z95" s="7">
        <f t="shared" si="32"/>
        <v>0.27761152318960408</v>
      </c>
    </row>
    <row r="96" spans="1:26" s="23" customFormat="1" hidden="1" outlineLevel="2" x14ac:dyDescent="0.25">
      <c r="A96" s="25"/>
      <c r="B96" s="10" t="str">
        <f>CONCATENATE("          ", "6115", " - ", "P.E.R.S.")</f>
        <v xml:space="preserve">          6115 - P.E.R.S.</v>
      </c>
      <c r="C96" s="10"/>
      <c r="D96" s="6">
        <v>1916.82</v>
      </c>
      <c r="E96" s="2"/>
      <c r="F96" s="7">
        <f t="shared" si="25"/>
        <v>1.149498422004845E-2</v>
      </c>
      <c r="G96" s="2"/>
      <c r="H96" s="6">
        <v>820.48</v>
      </c>
      <c r="I96" s="2"/>
      <c r="J96" s="7">
        <f t="shared" si="26"/>
        <v>6.0847560057189949E-3</v>
      </c>
      <c r="K96" s="2"/>
      <c r="L96" s="6">
        <f t="shared" si="27"/>
        <v>1096.3399999999999</v>
      </c>
      <c r="M96" s="2"/>
      <c r="N96" s="7">
        <f t="shared" si="28"/>
        <v>1.3362178237129483</v>
      </c>
      <c r="O96" s="10"/>
      <c r="P96" s="6">
        <v>18164.849999999999</v>
      </c>
      <c r="Q96" s="2"/>
      <c r="R96" s="7">
        <f t="shared" si="29"/>
        <v>1.2291146308700778E-2</v>
      </c>
      <c r="S96" s="2"/>
      <c r="T96" s="6">
        <v>9139.5499999999993</v>
      </c>
      <c r="U96" s="2"/>
      <c r="V96" s="7">
        <f t="shared" si="30"/>
        <v>3.710245291359326E-3</v>
      </c>
      <c r="W96" s="2"/>
      <c r="X96" s="6">
        <f t="shared" si="31"/>
        <v>9025.2999999999993</v>
      </c>
      <c r="Y96" s="2"/>
      <c r="Z96" s="7">
        <f t="shared" si="32"/>
        <v>0.98749938454300268</v>
      </c>
    </row>
    <row r="97" spans="1:26" s="23" customFormat="1" hidden="1" outlineLevel="2" x14ac:dyDescent="0.25">
      <c r="A97" s="25"/>
      <c r="B97" s="10" t="str">
        <f>CONCATENATE("          ", "6118", " - ", "VACATION")</f>
        <v xml:space="preserve">          6118 - VACATION</v>
      </c>
      <c r="C97" s="10"/>
      <c r="D97" s="6">
        <v>1633.18</v>
      </c>
      <c r="E97" s="2"/>
      <c r="F97" s="7">
        <f t="shared" si="25"/>
        <v>9.7940225626291094E-3</v>
      </c>
      <c r="G97" s="2"/>
      <c r="H97" s="6">
        <v>2823.49</v>
      </c>
      <c r="I97" s="2"/>
      <c r="J97" s="7">
        <f t="shared" si="26"/>
        <v>2.093926449710843E-2</v>
      </c>
      <c r="K97" s="2"/>
      <c r="L97" s="6">
        <f t="shared" si="27"/>
        <v>-1190.3099999999997</v>
      </c>
      <c r="M97" s="2"/>
      <c r="N97" s="7">
        <f t="shared" si="28"/>
        <v>-0.42157400947054879</v>
      </c>
      <c r="O97" s="10"/>
      <c r="P97" s="6">
        <v>15262.59</v>
      </c>
      <c r="Q97" s="2"/>
      <c r="R97" s="7">
        <f t="shared" si="29"/>
        <v>1.0327347968175539E-2</v>
      </c>
      <c r="S97" s="2"/>
      <c r="T97" s="6">
        <v>10141.379999999999</v>
      </c>
      <c r="U97" s="2"/>
      <c r="V97" s="7">
        <f t="shared" si="30"/>
        <v>4.1169431091121166E-3</v>
      </c>
      <c r="W97" s="2"/>
      <c r="X97" s="6">
        <f t="shared" si="31"/>
        <v>5121.2100000000009</v>
      </c>
      <c r="Y97" s="2"/>
      <c r="Z97" s="7">
        <f t="shared" si="32"/>
        <v>0.50498157055548665</v>
      </c>
    </row>
    <row r="98" spans="1:26" s="23" customFormat="1" hidden="1" outlineLevel="2" x14ac:dyDescent="0.25">
      <c r="A98" s="25"/>
      <c r="B98" s="10" t="str">
        <f>CONCATENATE("          ", "6119", " - ", "SICK LEAVE")</f>
        <v xml:space="preserve">          6119 - SICK LEAVE</v>
      </c>
      <c r="C98" s="10"/>
      <c r="D98" s="6">
        <v>1105.6199999999999</v>
      </c>
      <c r="E98" s="2"/>
      <c r="F98" s="7">
        <f t="shared" si="25"/>
        <v>6.6302962476236507E-3</v>
      </c>
      <c r="G98" s="2"/>
      <c r="H98" s="6">
        <v>7279.13</v>
      </c>
      <c r="I98" s="2"/>
      <c r="J98" s="7">
        <f t="shared" si="26"/>
        <v>5.3982705226098514E-2</v>
      </c>
      <c r="K98" s="2"/>
      <c r="L98" s="6">
        <f t="shared" si="27"/>
        <v>-6173.51</v>
      </c>
      <c r="M98" s="2"/>
      <c r="N98" s="7">
        <f t="shared" si="28"/>
        <v>-0.84811096930539775</v>
      </c>
      <c r="O98" s="10"/>
      <c r="P98" s="6">
        <v>11236.64</v>
      </c>
      <c r="Q98" s="2"/>
      <c r="R98" s="7">
        <f t="shared" si="29"/>
        <v>7.6032109408114851E-3</v>
      </c>
      <c r="S98" s="2"/>
      <c r="T98" s="6">
        <v>12894.39</v>
      </c>
      <c r="U98" s="2"/>
      <c r="V98" s="7">
        <f t="shared" si="30"/>
        <v>5.2345410641060864E-3</v>
      </c>
      <c r="W98" s="2"/>
      <c r="X98" s="6">
        <f t="shared" si="31"/>
        <v>-1657.75</v>
      </c>
      <c r="Y98" s="2"/>
      <c r="Z98" s="7">
        <f t="shared" si="32"/>
        <v>-0.12856366218177054</v>
      </c>
    </row>
    <row r="99" spans="1:26" s="23" customFormat="1" hidden="1" outlineLevel="2" x14ac:dyDescent="0.25">
      <c r="A99" s="25"/>
      <c r="B99" s="10" t="str">
        <f>CONCATENATE("          ", "6156", " - ", "EMPLOYEE MEALS")</f>
        <v xml:space="preserve">          6156 - EMPLOYEE MEALS</v>
      </c>
      <c r="C99" s="10"/>
      <c r="D99" s="6">
        <v>565.04</v>
      </c>
      <c r="E99" s="2"/>
      <c r="F99" s="7">
        <f t="shared" si="25"/>
        <v>3.3884902514039797E-3</v>
      </c>
      <c r="G99" s="2"/>
      <c r="H99" s="6">
        <v>296.08</v>
      </c>
      <c r="I99" s="2"/>
      <c r="J99" s="7">
        <f t="shared" si="26"/>
        <v>2.1957568230466067E-3</v>
      </c>
      <c r="K99" s="2"/>
      <c r="L99" s="6">
        <f t="shared" si="27"/>
        <v>268.95999999999998</v>
      </c>
      <c r="M99" s="2"/>
      <c r="N99" s="7">
        <f t="shared" si="28"/>
        <v>0.90840313428803021</v>
      </c>
      <c r="O99" s="10"/>
      <c r="P99" s="6">
        <v>4070.53</v>
      </c>
      <c r="Q99" s="2"/>
      <c r="R99" s="7">
        <f t="shared" si="29"/>
        <v>2.7543018403100375E-3</v>
      </c>
      <c r="S99" s="2"/>
      <c r="T99" s="6">
        <v>2302.2800000000002</v>
      </c>
      <c r="U99" s="2"/>
      <c r="V99" s="7">
        <f t="shared" si="30"/>
        <v>9.346218937902578E-4</v>
      </c>
      <c r="W99" s="2"/>
      <c r="X99" s="6">
        <f t="shared" si="31"/>
        <v>1768.25</v>
      </c>
      <c r="Y99" s="2"/>
      <c r="Z99" s="7">
        <f t="shared" si="32"/>
        <v>0.76804298347724853</v>
      </c>
    </row>
    <row r="100" spans="1:26" s="26" customFormat="1" outlineLevel="1" collapsed="1" x14ac:dyDescent="0.25">
      <c r="A100" s="27"/>
      <c r="B100" s="12" t="str">
        <f>CONCATENATE("     ","*Payroll                                          ")</f>
        <v xml:space="preserve">     *Payroll                                          </v>
      </c>
      <c r="C100" s="12"/>
      <c r="D100" s="1">
        <f>SUM(OSRRefD22_1x_0)</f>
        <v>41331.880000000005</v>
      </c>
      <c r="E100" s="1"/>
      <c r="F100" s="5">
        <f t="shared" ref="F100:F106" si="33">IF(D$12=0,0,D100/D$12)</f>
        <v>0.24786328835515917</v>
      </c>
      <c r="G100" s="1"/>
      <c r="H100" s="1">
        <f>SUM(OSRRefH22_1x_0)</f>
        <v>38509.03</v>
      </c>
      <c r="I100" s="1"/>
      <c r="J100" s="5">
        <f t="shared" ref="J100:J106" si="34">IF(H$12=0,0,H100/H$12)</f>
        <v>0.28558654880912754</v>
      </c>
      <c r="K100" s="1"/>
      <c r="L100" s="1">
        <f t="shared" ref="L100:L106" si="35">+D100-H100</f>
        <v>2822.8500000000058</v>
      </c>
      <c r="M100" s="1"/>
      <c r="N100" s="5">
        <f t="shared" ref="N100:N106" si="36">IF(H100=0,0,L100/H100)</f>
        <v>7.3303586197834794E-2</v>
      </c>
      <c r="O100" s="12"/>
      <c r="P100" s="1">
        <f>SUM(OSRRefP22_1x_0)</f>
        <v>344984.31999999995</v>
      </c>
      <c r="Q100" s="1"/>
      <c r="R100" s="5">
        <f t="shared" ref="R100:R106" si="37">IF(P$12=0,0,P100/P$12)</f>
        <v>0.23343175150511278</v>
      </c>
      <c r="S100" s="1"/>
      <c r="T100" s="1">
        <f>SUM(OSRRefT22_1x_0)</f>
        <v>323063.81</v>
      </c>
      <c r="U100" s="1"/>
      <c r="V100" s="5">
        <f t="shared" ref="V100:V106" si="38">IF(T$12=0,0,T100/T$12)</f>
        <v>0.13114934322380248</v>
      </c>
      <c r="W100" s="1"/>
      <c r="X100" s="1">
        <f t="shared" ref="X100:X106" si="39">+P100-T100</f>
        <v>21920.509999999951</v>
      </c>
      <c r="Y100" s="1"/>
      <c r="Z100" s="5">
        <f t="shared" ref="Z100:Z106" si="40">IF(T100=0,0,X100/T100)</f>
        <v>6.7851951600521127E-2</v>
      </c>
    </row>
    <row r="101" spans="1:26" s="23" customFormat="1" hidden="1" outlineLevel="2" x14ac:dyDescent="0.25">
      <c r="A101" s="25"/>
      <c r="B101" s="10" t="str">
        <f>CONCATENATE("          ", "6002", " - ", "STAFF SALARIES")</f>
        <v xml:space="preserve">          6002 - STAFF SALARIES</v>
      </c>
      <c r="C101" s="10"/>
      <c r="D101" s="6">
        <v>19213.95</v>
      </c>
      <c r="E101" s="2"/>
      <c r="F101" s="7">
        <f t="shared" si="33"/>
        <v>0.11522420052733169</v>
      </c>
      <c r="G101" s="2"/>
      <c r="H101" s="6">
        <v>10082.77</v>
      </c>
      <c r="I101" s="2"/>
      <c r="J101" s="7">
        <f t="shared" si="34"/>
        <v>7.4774760276646979E-2</v>
      </c>
      <c r="K101" s="2"/>
      <c r="L101" s="6">
        <f t="shared" si="35"/>
        <v>9131.18</v>
      </c>
      <c r="M101" s="2"/>
      <c r="N101" s="7">
        <f t="shared" si="36"/>
        <v>0.90562216533750151</v>
      </c>
      <c r="O101" s="10"/>
      <c r="P101" s="6">
        <v>165024.01</v>
      </c>
      <c r="Q101" s="2"/>
      <c r="R101" s="7">
        <f t="shared" si="37"/>
        <v>0.11166259293957839</v>
      </c>
      <c r="S101" s="2"/>
      <c r="T101" s="6">
        <v>88547.3</v>
      </c>
      <c r="U101" s="2"/>
      <c r="V101" s="7">
        <f t="shared" si="38"/>
        <v>3.5946212109740819E-2</v>
      </c>
      <c r="W101" s="2"/>
      <c r="X101" s="6">
        <f t="shared" si="39"/>
        <v>76476.710000000006</v>
      </c>
      <c r="Y101" s="2"/>
      <c r="Z101" s="7">
        <f t="shared" si="40"/>
        <v>0.86368200950226603</v>
      </c>
    </row>
    <row r="102" spans="1:26" s="23" customFormat="1" hidden="1" outlineLevel="2" x14ac:dyDescent="0.25">
      <c r="A102" s="25"/>
      <c r="B102" s="10" t="str">
        <f>CONCATENATE("          ", "6004", " - ", "STAFF HOURLY")</f>
        <v xml:space="preserve">          6004 - STAFF HOURLY</v>
      </c>
      <c r="C102" s="10"/>
      <c r="D102" s="6">
        <v>3122.6</v>
      </c>
      <c r="E102" s="2"/>
      <c r="F102" s="7">
        <f t="shared" si="33"/>
        <v>1.8725930304109562E-2</v>
      </c>
      <c r="G102" s="2"/>
      <c r="H102" s="6">
        <v>3298.52</v>
      </c>
      <c r="I102" s="2"/>
      <c r="J102" s="7">
        <f t="shared" si="34"/>
        <v>2.4462131167102451E-2</v>
      </c>
      <c r="K102" s="2"/>
      <c r="L102" s="6">
        <f t="shared" si="35"/>
        <v>-175.92000000000007</v>
      </c>
      <c r="M102" s="2"/>
      <c r="N102" s="7">
        <f t="shared" si="36"/>
        <v>-5.3333009955980282E-2</v>
      </c>
      <c r="O102" s="10"/>
      <c r="P102" s="6">
        <v>52405.99</v>
      </c>
      <c r="Q102" s="2"/>
      <c r="R102" s="7">
        <f t="shared" si="37"/>
        <v>3.5460226235961755E-2</v>
      </c>
      <c r="S102" s="2"/>
      <c r="T102" s="6">
        <v>7866.19</v>
      </c>
      <c r="U102" s="2"/>
      <c r="V102" s="7">
        <f t="shared" si="38"/>
        <v>3.1933185341113971E-3</v>
      </c>
      <c r="W102" s="2"/>
      <c r="X102" s="6">
        <f t="shared" si="39"/>
        <v>44539.799999999996</v>
      </c>
      <c r="Y102" s="2"/>
      <c r="Z102" s="7">
        <f t="shared" si="40"/>
        <v>5.6621820728967895</v>
      </c>
    </row>
    <row r="103" spans="1:26" s="23" customFormat="1" hidden="1" outlineLevel="2" x14ac:dyDescent="0.25">
      <c r="A103" s="25"/>
      <c r="B103" s="10" t="str">
        <f>CONCATENATE("          ", "6005", " - ", "TEMPORARY WAGES-HOURLY")</f>
        <v xml:space="preserve">          6005 - TEMPORARY WAGES-HOURLY</v>
      </c>
      <c r="C103" s="10"/>
      <c r="D103" s="6">
        <v>8360.42</v>
      </c>
      <c r="E103" s="2"/>
      <c r="F103" s="7">
        <f t="shared" si="33"/>
        <v>5.0136630446769893E-2</v>
      </c>
      <c r="G103" s="2"/>
      <c r="H103" s="6">
        <v>6294.12</v>
      </c>
      <c r="I103" s="2"/>
      <c r="J103" s="7">
        <f t="shared" si="34"/>
        <v>4.6677779434862565E-2</v>
      </c>
      <c r="K103" s="2"/>
      <c r="L103" s="6">
        <f t="shared" si="35"/>
        <v>2066.3000000000002</v>
      </c>
      <c r="M103" s="2"/>
      <c r="N103" s="7">
        <f t="shared" si="36"/>
        <v>0.32829053148017517</v>
      </c>
      <c r="O103" s="10"/>
      <c r="P103" s="6">
        <v>51840.86</v>
      </c>
      <c r="Q103" s="2"/>
      <c r="R103" s="7">
        <f t="shared" si="37"/>
        <v>3.5077834115276145E-2</v>
      </c>
      <c r="S103" s="2"/>
      <c r="T103" s="6">
        <v>41094.35</v>
      </c>
      <c r="U103" s="2"/>
      <c r="V103" s="7">
        <f t="shared" si="38"/>
        <v>1.6682453576923606E-2</v>
      </c>
      <c r="W103" s="2"/>
      <c r="X103" s="6">
        <f t="shared" si="39"/>
        <v>10746.510000000002</v>
      </c>
      <c r="Y103" s="2"/>
      <c r="Z103" s="7">
        <f t="shared" si="40"/>
        <v>0.26150821219948733</v>
      </c>
    </row>
    <row r="104" spans="1:26" s="23" customFormat="1" hidden="1" outlineLevel="2" x14ac:dyDescent="0.25">
      <c r="A104" s="25"/>
      <c r="B104" s="10" t="str">
        <f>CONCATENATE("          ", "6006", " - ", "TEMPORARY PART TIME")</f>
        <v xml:space="preserve">          6006 - TEMPORARY PART TIME</v>
      </c>
      <c r="C104" s="10"/>
      <c r="D104" s="6">
        <v>1476.19</v>
      </c>
      <c r="E104" s="2"/>
      <c r="F104" s="7">
        <f t="shared" si="33"/>
        <v>8.8525687105692353E-3</v>
      </c>
      <c r="G104" s="2"/>
      <c r="H104" s="6">
        <v>431.97</v>
      </c>
      <c r="I104" s="2"/>
      <c r="J104" s="7">
        <f t="shared" si="34"/>
        <v>3.2035297043077641E-3</v>
      </c>
      <c r="K104" s="2"/>
      <c r="L104" s="6">
        <f t="shared" si="35"/>
        <v>1044.22</v>
      </c>
      <c r="M104" s="2"/>
      <c r="N104" s="7">
        <f t="shared" si="36"/>
        <v>2.4173437970229412</v>
      </c>
      <c r="O104" s="10"/>
      <c r="P104" s="6">
        <v>2770.61</v>
      </c>
      <c r="Q104" s="2"/>
      <c r="R104" s="7">
        <f t="shared" si="37"/>
        <v>1.8747180887455424E-3</v>
      </c>
      <c r="S104" s="2"/>
      <c r="T104" s="6">
        <v>1227.45</v>
      </c>
      <c r="U104" s="2"/>
      <c r="V104" s="7">
        <f t="shared" si="38"/>
        <v>4.9828936685930982E-4</v>
      </c>
      <c r="W104" s="2"/>
      <c r="X104" s="6">
        <f t="shared" si="39"/>
        <v>1543.16</v>
      </c>
      <c r="Y104" s="2"/>
      <c r="Z104" s="7">
        <f t="shared" si="40"/>
        <v>1.2572080329137643</v>
      </c>
    </row>
    <row r="105" spans="1:26" s="23" customFormat="1" hidden="1" outlineLevel="2" x14ac:dyDescent="0.25">
      <c r="A105" s="25"/>
      <c r="B105" s="10" t="str">
        <f>CONCATENATE("          ", "6007", " - ", "STUDENT HOURLY")</f>
        <v xml:space="preserve">          6007 - STUDENT HOURLY</v>
      </c>
      <c r="C105" s="10"/>
      <c r="D105" s="6">
        <v>8046.35</v>
      </c>
      <c r="E105" s="2"/>
      <c r="F105" s="7">
        <f t="shared" si="33"/>
        <v>4.8253183021351433E-2</v>
      </c>
      <c r="G105" s="2"/>
      <c r="H105" s="6">
        <v>18401.650000000001</v>
      </c>
      <c r="I105" s="2"/>
      <c r="J105" s="7">
        <f t="shared" si="34"/>
        <v>0.13646834822620776</v>
      </c>
      <c r="K105" s="2"/>
      <c r="L105" s="6">
        <f t="shared" si="35"/>
        <v>-10355.300000000001</v>
      </c>
      <c r="M105" s="2"/>
      <c r="N105" s="7">
        <f t="shared" si="36"/>
        <v>-0.5627375805973921</v>
      </c>
      <c r="O105" s="10"/>
      <c r="P105" s="6">
        <v>65498.49</v>
      </c>
      <c r="Q105" s="2"/>
      <c r="R105" s="7">
        <f t="shared" si="37"/>
        <v>4.4319194685834173E-2</v>
      </c>
      <c r="S105" s="2"/>
      <c r="T105" s="6">
        <v>184133.52</v>
      </c>
      <c r="U105" s="2"/>
      <c r="V105" s="7">
        <f t="shared" si="38"/>
        <v>7.4749908426718858E-2</v>
      </c>
      <c r="W105" s="2"/>
      <c r="X105" s="6">
        <f t="shared" si="39"/>
        <v>-118635.03</v>
      </c>
      <c r="Y105" s="2"/>
      <c r="Z105" s="7">
        <f t="shared" si="40"/>
        <v>-0.64428806878834444</v>
      </c>
    </row>
    <row r="106" spans="1:26" s="23" customFormat="1" hidden="1" outlineLevel="2" x14ac:dyDescent="0.25">
      <c r="A106" s="25"/>
      <c r="B106" s="10" t="str">
        <f>CONCATENATE("          ", "6008", " - ", "STUDENT HOURLY-FICA EXEMPT")</f>
        <v xml:space="preserve">          6008 - STUDENT HOURLY-FICA EXEMPT</v>
      </c>
      <c r="C106" s="10"/>
      <c r="D106" s="6">
        <v>1112.3699999999999</v>
      </c>
      <c r="E106" s="2"/>
      <c r="F106" s="7">
        <f t="shared" si="33"/>
        <v>6.6707753450273334E-3</v>
      </c>
      <c r="G106" s="2"/>
      <c r="H106" s="6"/>
      <c r="I106" s="2"/>
      <c r="J106" s="7">
        <f t="shared" si="34"/>
        <v>0</v>
      </c>
      <c r="K106" s="2"/>
      <c r="L106" s="6">
        <f t="shared" si="35"/>
        <v>1112.3699999999999</v>
      </c>
      <c r="M106" s="2"/>
      <c r="N106" s="7">
        <f t="shared" si="36"/>
        <v>0</v>
      </c>
      <c r="O106" s="10"/>
      <c r="P106" s="6">
        <v>7444.36</v>
      </c>
      <c r="Q106" s="2"/>
      <c r="R106" s="7">
        <f t="shared" si="37"/>
        <v>5.0371854397168007E-3</v>
      </c>
      <c r="S106" s="2"/>
      <c r="T106" s="6">
        <v>195</v>
      </c>
      <c r="U106" s="2"/>
      <c r="V106" s="7">
        <f t="shared" si="38"/>
        <v>7.9161209448503337E-5</v>
      </c>
      <c r="W106" s="2"/>
      <c r="X106" s="6">
        <f t="shared" si="39"/>
        <v>7249.36</v>
      </c>
      <c r="Y106" s="2"/>
      <c r="Z106" s="7">
        <f t="shared" si="40"/>
        <v>37.176205128205126</v>
      </c>
    </row>
    <row r="107" spans="1:26" s="26" customFormat="1" outlineLevel="1" collapsed="1" x14ac:dyDescent="0.25">
      <c r="A107" s="27"/>
      <c r="B107" s="12" t="str">
        <f>CONCATENATE("     ","Advertising/Promo                                 ")</f>
        <v xml:space="preserve">     Advertising/Promo                                 </v>
      </c>
      <c r="C107" s="12"/>
      <c r="D107" s="1">
        <f>SUM(OSRRefD22_2x_0)</f>
        <v>42.6</v>
      </c>
      <c r="E107" s="1"/>
      <c r="F107" s="5">
        <f t="shared" ref="F107:F115" si="41">IF(D$12=0,0,D107/D$12)</f>
        <v>2.5546808139213073E-4</v>
      </c>
      <c r="G107" s="1"/>
      <c r="H107" s="1">
        <f>SUM(OSRRefH22_2x_0)</f>
        <v>21.78</v>
      </c>
      <c r="I107" s="1"/>
      <c r="J107" s="5">
        <f t="shared" ref="J107:J115" si="42">IF(H$12=0,0,H107/H$12)</f>
        <v>1.6152250609955115E-4</v>
      </c>
      <c r="K107" s="1"/>
      <c r="L107" s="1">
        <f t="shared" ref="L107:L115" si="43">+D107-H107</f>
        <v>20.82</v>
      </c>
      <c r="M107" s="1"/>
      <c r="N107" s="5">
        <f t="shared" ref="N107:N115" si="44">IF(H107=0,0,L107/H107)</f>
        <v>0.9559228650137741</v>
      </c>
      <c r="O107" s="12"/>
      <c r="P107" s="1">
        <f>SUM(OSRRefP22_2x_0)</f>
        <v>13842.12</v>
      </c>
      <c r="Q107" s="1"/>
      <c r="R107" s="5">
        <f t="shared" ref="R107:R115" si="45">IF(P$12=0,0,P107/P$12)</f>
        <v>9.3661947190641949E-3</v>
      </c>
      <c r="S107" s="1"/>
      <c r="T107" s="1">
        <f>SUM(OSRRefT22_2x_0)</f>
        <v>21025.18</v>
      </c>
      <c r="U107" s="1"/>
      <c r="V107" s="5">
        <f t="shared" ref="V107:V115" si="46">IF(T$12=0,0,T107/T$12)</f>
        <v>8.5352752701152983E-3</v>
      </c>
      <c r="W107" s="1"/>
      <c r="X107" s="1">
        <f t="shared" ref="X107:X115" si="47">+P107-T107</f>
        <v>-7183.0599999999995</v>
      </c>
      <c r="Y107" s="1"/>
      <c r="Z107" s="5">
        <f t="shared" ref="Z107:Z115" si="48">IF(T107=0,0,X107/T107)</f>
        <v>-0.34164083256362132</v>
      </c>
    </row>
    <row r="108" spans="1:26" s="23" customFormat="1" hidden="1" outlineLevel="2" x14ac:dyDescent="0.25">
      <c r="A108" s="25"/>
      <c r="B108" s="10" t="str">
        <f>CONCATENATE("          ", "6362", " - ", "ADVERTISING EXPENSE")</f>
        <v xml:space="preserve">          6362 - ADVERTISING EXPENSE</v>
      </c>
      <c r="C108" s="10"/>
      <c r="D108" s="6">
        <v>42.6</v>
      </c>
      <c r="E108" s="2"/>
      <c r="F108" s="7">
        <f t="shared" si="41"/>
        <v>2.5546808139213073E-4</v>
      </c>
      <c r="G108" s="2"/>
      <c r="H108" s="6">
        <v>21.78</v>
      </c>
      <c r="I108" s="2"/>
      <c r="J108" s="7">
        <f t="shared" si="42"/>
        <v>1.6152250609955115E-4</v>
      </c>
      <c r="K108" s="2"/>
      <c r="L108" s="6">
        <f t="shared" si="43"/>
        <v>20.82</v>
      </c>
      <c r="M108" s="2"/>
      <c r="N108" s="7">
        <f t="shared" si="44"/>
        <v>0.9559228650137741</v>
      </c>
      <c r="O108" s="10"/>
      <c r="P108" s="6">
        <v>13842.12</v>
      </c>
      <c r="Q108" s="2"/>
      <c r="R108" s="7">
        <f t="shared" si="45"/>
        <v>9.3661947190641949E-3</v>
      </c>
      <c r="S108" s="2"/>
      <c r="T108" s="6">
        <v>21025.18</v>
      </c>
      <c r="U108" s="2"/>
      <c r="V108" s="7">
        <f t="shared" si="46"/>
        <v>8.5352752701152983E-3</v>
      </c>
      <c r="W108" s="2"/>
      <c r="X108" s="6">
        <f t="shared" si="47"/>
        <v>-7183.0599999999995</v>
      </c>
      <c r="Y108" s="2"/>
      <c r="Z108" s="7">
        <f t="shared" si="48"/>
        <v>-0.34164083256362132</v>
      </c>
    </row>
    <row r="109" spans="1:26" s="26" customFormat="1" outlineLevel="1" collapsed="1" x14ac:dyDescent="0.25">
      <c r="A109" s="27"/>
      <c r="B109" s="12" t="str">
        <f>CONCATENATE("     ","Bad Debts/Over/Short                              ")</f>
        <v xml:space="preserve">     Bad Debts/Over/Short                              </v>
      </c>
      <c r="C109" s="12"/>
      <c r="D109" s="1">
        <f>SUM(OSRRefD22_3x_0)</f>
        <v>-20.41</v>
      </c>
      <c r="E109" s="1"/>
      <c r="F109" s="5">
        <f t="shared" si="41"/>
        <v>-1.2239679674209831E-4</v>
      </c>
      <c r="G109" s="1"/>
      <c r="H109" s="1">
        <f>SUM(OSRRefH22_3x_0)</f>
        <v>-0.03</v>
      </c>
      <c r="I109" s="1"/>
      <c r="J109" s="5">
        <f t="shared" si="42"/>
        <v>-2.2248279077073158E-7</v>
      </c>
      <c r="K109" s="1"/>
      <c r="L109" s="1">
        <f t="shared" si="43"/>
        <v>-20.38</v>
      </c>
      <c r="M109" s="1"/>
      <c r="N109" s="5">
        <f t="shared" si="44"/>
        <v>679.33333333333337</v>
      </c>
      <c r="O109" s="12"/>
      <c r="P109" s="1">
        <f>SUM(OSRRefP22_3x_0)</f>
        <v>-23.36</v>
      </c>
      <c r="Q109" s="1"/>
      <c r="R109" s="5">
        <f t="shared" si="45"/>
        <v>-1.5806416115258327E-5</v>
      </c>
      <c r="S109" s="1"/>
      <c r="T109" s="1">
        <f>SUM(OSRRefT22_3x_0)</f>
        <v>44.45</v>
      </c>
      <c r="U109" s="1"/>
      <c r="V109" s="5">
        <f t="shared" si="46"/>
        <v>1.8044696205056274E-5</v>
      </c>
      <c r="W109" s="1"/>
      <c r="X109" s="1">
        <f t="shared" si="47"/>
        <v>-67.81</v>
      </c>
      <c r="Y109" s="1"/>
      <c r="Z109" s="5">
        <f t="shared" si="48"/>
        <v>-1.5255343082114736</v>
      </c>
    </row>
    <row r="110" spans="1:26" s="23" customFormat="1" hidden="1" outlineLevel="2" x14ac:dyDescent="0.25">
      <c r="A110" s="25"/>
      <c r="B110" s="10" t="str">
        <f>CONCATENATE("          ", "6272", " - ", "CASH (OVER/SHORT)")</f>
        <v xml:space="preserve">          6272 - CASH (OVER/SHORT)</v>
      </c>
      <c r="C110" s="10"/>
      <c r="D110" s="6">
        <v>-20.41</v>
      </c>
      <c r="E110" s="2"/>
      <c r="F110" s="7">
        <f t="shared" si="41"/>
        <v>-1.2239679674209831E-4</v>
      </c>
      <c r="G110" s="2"/>
      <c r="H110" s="6">
        <v>-0.03</v>
      </c>
      <c r="I110" s="2"/>
      <c r="J110" s="7">
        <f t="shared" si="42"/>
        <v>-2.2248279077073158E-7</v>
      </c>
      <c r="K110" s="2"/>
      <c r="L110" s="6">
        <f t="shared" si="43"/>
        <v>-20.38</v>
      </c>
      <c r="M110" s="2"/>
      <c r="N110" s="7">
        <f t="shared" si="44"/>
        <v>679.33333333333337</v>
      </c>
      <c r="O110" s="10"/>
      <c r="P110" s="6">
        <v>-23.36</v>
      </c>
      <c r="Q110" s="2"/>
      <c r="R110" s="7">
        <f t="shared" si="45"/>
        <v>-1.5806416115258327E-5</v>
      </c>
      <c r="S110" s="2"/>
      <c r="T110" s="6">
        <v>44.45</v>
      </c>
      <c r="U110" s="2"/>
      <c r="V110" s="7">
        <f t="shared" si="46"/>
        <v>1.8044696205056274E-5</v>
      </c>
      <c r="W110" s="2"/>
      <c r="X110" s="6">
        <f t="shared" si="47"/>
        <v>-67.81</v>
      </c>
      <c r="Y110" s="2"/>
      <c r="Z110" s="7">
        <f t="shared" si="48"/>
        <v>-1.5255343082114736</v>
      </c>
    </row>
    <row r="111" spans="1:26" s="26" customFormat="1" outlineLevel="1" collapsed="1" x14ac:dyDescent="0.25">
      <c r="A111" s="27"/>
      <c r="B111" s="12" t="str">
        <f>CONCATENATE("     ","Bank/card Fees                                    ")</f>
        <v xml:space="preserve">     Bank/card Fees                                    </v>
      </c>
      <c r="C111" s="12"/>
      <c r="D111" s="1">
        <f>SUM(OSRRefD22_4x_0)</f>
        <v>470.17</v>
      </c>
      <c r="E111" s="1"/>
      <c r="F111" s="5">
        <f t="shared" si="41"/>
        <v>2.8195640335243687E-3</v>
      </c>
      <c r="G111" s="1"/>
      <c r="H111" s="1">
        <f>SUM(OSRRefH22_4x_0)</f>
        <v>347.43</v>
      </c>
      <c r="I111" s="1"/>
      <c r="J111" s="5">
        <f t="shared" si="42"/>
        <v>2.5765731999158425E-3</v>
      </c>
      <c r="K111" s="1"/>
      <c r="L111" s="1">
        <f t="shared" si="43"/>
        <v>122.74000000000001</v>
      </c>
      <c r="M111" s="1"/>
      <c r="N111" s="5">
        <f t="shared" si="44"/>
        <v>0.35327979736925424</v>
      </c>
      <c r="O111" s="12"/>
      <c r="P111" s="1">
        <f>SUM(OSRRefP22_4x_0)</f>
        <v>3337.9</v>
      </c>
      <c r="Q111" s="1"/>
      <c r="R111" s="5">
        <f t="shared" si="45"/>
        <v>2.2585717616061974E-3</v>
      </c>
      <c r="S111" s="1"/>
      <c r="T111" s="1">
        <f>SUM(OSRRefT22_4x_0)</f>
        <v>6147.88</v>
      </c>
      <c r="U111" s="1"/>
      <c r="V111" s="5">
        <f t="shared" si="46"/>
        <v>2.4957621350987932E-3</v>
      </c>
      <c r="W111" s="1"/>
      <c r="X111" s="1">
        <f t="shared" si="47"/>
        <v>-2809.98</v>
      </c>
      <c r="Y111" s="1"/>
      <c r="Z111" s="5">
        <f t="shared" si="48"/>
        <v>-0.45706487439572663</v>
      </c>
    </row>
    <row r="112" spans="1:26" s="23" customFormat="1" hidden="1" outlineLevel="2" x14ac:dyDescent="0.25">
      <c r="A112" s="25"/>
      <c r="B112" s="10" t="str">
        <f>CONCATENATE("          ", "6381", " - ", "BANK/CREDIT CARD FEES")</f>
        <v xml:space="preserve">          6381 - BANK/CREDIT CARD FEES</v>
      </c>
      <c r="C112" s="10"/>
      <c r="D112" s="6">
        <v>470.17</v>
      </c>
      <c r="E112" s="2"/>
      <c r="F112" s="7">
        <f t="shared" si="41"/>
        <v>2.8195640335243687E-3</v>
      </c>
      <c r="G112" s="2"/>
      <c r="H112" s="6">
        <v>347.43</v>
      </c>
      <c r="I112" s="2"/>
      <c r="J112" s="7">
        <f t="shared" si="42"/>
        <v>2.5765731999158425E-3</v>
      </c>
      <c r="K112" s="2"/>
      <c r="L112" s="6">
        <f t="shared" si="43"/>
        <v>122.74000000000001</v>
      </c>
      <c r="M112" s="2"/>
      <c r="N112" s="7">
        <f t="shared" si="44"/>
        <v>0.35327979736925424</v>
      </c>
      <c r="O112" s="10"/>
      <c r="P112" s="6">
        <v>3337.9</v>
      </c>
      <c r="Q112" s="2"/>
      <c r="R112" s="7">
        <f t="shared" si="45"/>
        <v>2.2585717616061974E-3</v>
      </c>
      <c r="S112" s="2"/>
      <c r="T112" s="6">
        <v>6147.88</v>
      </c>
      <c r="U112" s="2"/>
      <c r="V112" s="7">
        <f t="shared" si="46"/>
        <v>2.4957621350987932E-3</v>
      </c>
      <c r="W112" s="2"/>
      <c r="X112" s="6">
        <f t="shared" si="47"/>
        <v>-2809.98</v>
      </c>
      <c r="Y112" s="2"/>
      <c r="Z112" s="7">
        <f t="shared" si="48"/>
        <v>-0.45706487439572663</v>
      </c>
    </row>
    <row r="113" spans="1:26" s="26" customFormat="1" outlineLevel="1" collapsed="1" x14ac:dyDescent="0.25">
      <c r="A113" s="27"/>
      <c r="B113" s="12" t="str">
        <f>CONCATENATE("     ","Discounts and Markdowns                           ")</f>
        <v xml:space="preserve">     Discounts and Markdowns                           </v>
      </c>
      <c r="C113" s="12"/>
      <c r="D113" s="1">
        <f>SUM(OSRRefD22_5x_0)</f>
        <v>0</v>
      </c>
      <c r="E113" s="1"/>
      <c r="F113" s="5">
        <f t="shared" si="41"/>
        <v>0</v>
      </c>
      <c r="G113" s="1"/>
      <c r="H113" s="1">
        <f>SUM(OSRRefH22_5x_0)</f>
        <v>12131.29</v>
      </c>
      <c r="I113" s="1"/>
      <c r="J113" s="5">
        <f t="shared" si="42"/>
        <v>8.996677516163562E-2</v>
      </c>
      <c r="K113" s="1"/>
      <c r="L113" s="1">
        <f t="shared" si="43"/>
        <v>-12131.29</v>
      </c>
      <c r="M113" s="1"/>
      <c r="N113" s="5">
        <f t="shared" si="44"/>
        <v>-1</v>
      </c>
      <c r="O113" s="12"/>
      <c r="P113" s="1">
        <f>SUM(OSRRefP22_5x_0)</f>
        <v>0</v>
      </c>
      <c r="Q113" s="1"/>
      <c r="R113" s="5">
        <f t="shared" si="45"/>
        <v>0</v>
      </c>
      <c r="S113" s="1"/>
      <c r="T113" s="1">
        <f>SUM(OSRRefT22_5x_0)</f>
        <v>254863.13999999998</v>
      </c>
      <c r="U113" s="1"/>
      <c r="V113" s="5">
        <f t="shared" si="46"/>
        <v>0.10346294567304219</v>
      </c>
      <c r="W113" s="1"/>
      <c r="X113" s="1">
        <f t="shared" si="47"/>
        <v>-254863.13999999998</v>
      </c>
      <c r="Y113" s="1"/>
      <c r="Z113" s="5">
        <f t="shared" si="48"/>
        <v>-1</v>
      </c>
    </row>
    <row r="114" spans="1:26" s="23" customFormat="1" hidden="1" outlineLevel="2" x14ac:dyDescent="0.25">
      <c r="A114" s="25"/>
      <c r="B114" s="10" t="str">
        <f>CONCATENATE("          ", "6382", " - ", "DISCOUNTS/MARK DOWNS")</f>
        <v xml:space="preserve">          6382 - DISCOUNTS/MARK DOWNS</v>
      </c>
      <c r="C114" s="10"/>
      <c r="D114" s="6">
        <v>0</v>
      </c>
      <c r="E114" s="2"/>
      <c r="F114" s="7">
        <f t="shared" si="41"/>
        <v>0</v>
      </c>
      <c r="G114" s="2"/>
      <c r="H114" s="6">
        <v>12131.29</v>
      </c>
      <c r="I114" s="2"/>
      <c r="J114" s="7">
        <f t="shared" si="42"/>
        <v>8.996677516163562E-2</v>
      </c>
      <c r="K114" s="2"/>
      <c r="L114" s="6">
        <f t="shared" si="43"/>
        <v>-12131.29</v>
      </c>
      <c r="M114" s="2"/>
      <c r="N114" s="7">
        <f t="shared" si="44"/>
        <v>-1</v>
      </c>
      <c r="O114" s="10"/>
      <c r="P114" s="6">
        <v>0</v>
      </c>
      <c r="Q114" s="2"/>
      <c r="R114" s="7">
        <f t="shared" si="45"/>
        <v>0</v>
      </c>
      <c r="S114" s="2"/>
      <c r="T114" s="6">
        <v>254882.53</v>
      </c>
      <c r="U114" s="2"/>
      <c r="V114" s="7">
        <f t="shared" si="46"/>
        <v>0.10347081713894582</v>
      </c>
      <c r="W114" s="2"/>
      <c r="X114" s="6">
        <f t="shared" si="47"/>
        <v>-254882.53</v>
      </c>
      <c r="Y114" s="2"/>
      <c r="Z114" s="7">
        <f t="shared" si="48"/>
        <v>-1</v>
      </c>
    </row>
    <row r="115" spans="1:26" s="23" customFormat="1" hidden="1" outlineLevel="2" x14ac:dyDescent="0.25">
      <c r="A115" s="25"/>
      <c r="B115" s="10" t="str">
        <f>CONCATENATE("          ", "9175", " - ", "EARNED DISCOUNTS")</f>
        <v xml:space="preserve">          9175 - EARNED DISCOUNTS</v>
      </c>
      <c r="C115" s="10"/>
      <c r="D115" s="6"/>
      <c r="E115" s="2"/>
      <c r="F115" s="7">
        <f t="shared" si="41"/>
        <v>0</v>
      </c>
      <c r="G115" s="2"/>
      <c r="H115" s="6">
        <v>0</v>
      </c>
      <c r="I115" s="2"/>
      <c r="J115" s="7">
        <f t="shared" si="42"/>
        <v>0</v>
      </c>
      <c r="K115" s="2"/>
      <c r="L115" s="6">
        <f t="shared" si="43"/>
        <v>0</v>
      </c>
      <c r="M115" s="2"/>
      <c r="N115" s="7">
        <f t="shared" si="44"/>
        <v>0</v>
      </c>
      <c r="O115" s="10"/>
      <c r="P115" s="6"/>
      <c r="Q115" s="2"/>
      <c r="R115" s="7">
        <f t="shared" si="45"/>
        <v>0</v>
      </c>
      <c r="S115" s="2"/>
      <c r="T115" s="6">
        <v>-19.39</v>
      </c>
      <c r="U115" s="2"/>
      <c r="V115" s="7">
        <f t="shared" si="46"/>
        <v>-7.8714659036229729E-6</v>
      </c>
      <c r="W115" s="2"/>
      <c r="X115" s="6">
        <f t="shared" si="47"/>
        <v>19.39</v>
      </c>
      <c r="Y115" s="2"/>
      <c r="Z115" s="7">
        <f t="shared" si="48"/>
        <v>-1</v>
      </c>
    </row>
    <row r="116" spans="1:26" s="26" customFormat="1" outlineLevel="1" collapsed="1" x14ac:dyDescent="0.25">
      <c r="A116" s="27"/>
      <c r="B116" s="12" t="str">
        <f>CONCATENATE("     ","Employees' Appreciation                           ")</f>
        <v xml:space="preserve">     Employees' Appreciation                           </v>
      </c>
      <c r="C116" s="12"/>
      <c r="D116" s="1">
        <f>SUM(OSRRefD22_6x_0)</f>
        <v>0</v>
      </c>
      <c r="E116" s="1"/>
      <c r="F116" s="5">
        <f t="shared" ref="F116:F120" si="49">IF(D$12=0,0,D116/D$12)</f>
        <v>0</v>
      </c>
      <c r="G116" s="1"/>
      <c r="H116" s="1">
        <f>SUM(OSRRefH22_6x_0)</f>
        <v>0</v>
      </c>
      <c r="I116" s="1"/>
      <c r="J116" s="5">
        <f t="shared" ref="J116:J120" si="50">IF(H$12=0,0,H116/H$12)</f>
        <v>0</v>
      </c>
      <c r="K116" s="1"/>
      <c r="L116" s="1">
        <f t="shared" ref="L116:L120" si="51">+D116-H116</f>
        <v>0</v>
      </c>
      <c r="M116" s="1"/>
      <c r="N116" s="5">
        <f t="shared" ref="N116:N120" si="52">IF(H116=0,0,L116/H116)</f>
        <v>0</v>
      </c>
      <c r="O116" s="12"/>
      <c r="P116" s="1">
        <f>SUM(OSRRefP22_6x_0)</f>
        <v>0</v>
      </c>
      <c r="Q116" s="1"/>
      <c r="R116" s="5">
        <f t="shared" ref="R116:R120" si="53">IF(P$12=0,0,P116/P$12)</f>
        <v>0</v>
      </c>
      <c r="S116" s="1"/>
      <c r="T116" s="1">
        <f>SUM(OSRRefT22_6x_0)</f>
        <v>376.37</v>
      </c>
      <c r="U116" s="1"/>
      <c r="V116" s="5">
        <f t="shared" ref="V116:V120" si="54">IF(T$12=0,0,T116/T$12)</f>
        <v>1.5278925333401641E-4</v>
      </c>
      <c r="W116" s="1"/>
      <c r="X116" s="1">
        <f t="shared" ref="X116:X120" si="55">+P116-T116</f>
        <v>-376.37</v>
      </c>
      <c r="Y116" s="1"/>
      <c r="Z116" s="5">
        <f t="shared" ref="Z116:Z120" si="56">IF(T116=0,0,X116/T116)</f>
        <v>-1</v>
      </c>
    </row>
    <row r="117" spans="1:26" s="23" customFormat="1" hidden="1" outlineLevel="2" x14ac:dyDescent="0.25">
      <c r="A117" s="25"/>
      <c r="B117" s="10" t="str">
        <f>CONCATENATE("          ", "6277", " - ", "EMPLOYEE APPRECIATION")</f>
        <v xml:space="preserve">          6277 - EMPLOYEE APPRECIATION</v>
      </c>
      <c r="C117" s="10"/>
      <c r="D117" s="6"/>
      <c r="E117" s="2"/>
      <c r="F117" s="7">
        <f t="shared" si="49"/>
        <v>0</v>
      </c>
      <c r="G117" s="2"/>
      <c r="H117" s="6"/>
      <c r="I117" s="2"/>
      <c r="J117" s="7">
        <f t="shared" si="50"/>
        <v>0</v>
      </c>
      <c r="K117" s="2"/>
      <c r="L117" s="6">
        <f t="shared" si="51"/>
        <v>0</v>
      </c>
      <c r="M117" s="2"/>
      <c r="N117" s="7">
        <f t="shared" si="52"/>
        <v>0</v>
      </c>
      <c r="O117" s="10"/>
      <c r="P117" s="6"/>
      <c r="Q117" s="2"/>
      <c r="R117" s="7">
        <f t="shared" si="53"/>
        <v>0</v>
      </c>
      <c r="S117" s="2"/>
      <c r="T117" s="6">
        <v>376.37</v>
      </c>
      <c r="U117" s="2"/>
      <c r="V117" s="7">
        <f t="shared" si="54"/>
        <v>1.5278925333401641E-4</v>
      </c>
      <c r="W117" s="2"/>
      <c r="X117" s="6">
        <f t="shared" si="55"/>
        <v>-376.37</v>
      </c>
      <c r="Y117" s="2"/>
      <c r="Z117" s="7">
        <f t="shared" si="56"/>
        <v>-1</v>
      </c>
    </row>
    <row r="118" spans="1:26" s="26" customFormat="1" outlineLevel="1" collapsed="1" x14ac:dyDescent="0.25">
      <c r="A118" s="27"/>
      <c r="B118" s="12" t="str">
        <f>CONCATENATE("     ","Freight out/Postage                               ")</f>
        <v xml:space="preserve">     Freight out/Postage                               </v>
      </c>
      <c r="C118" s="12"/>
      <c r="D118" s="1">
        <f>SUM(OSRRefD22_7x_0)</f>
        <v>-502.63</v>
      </c>
      <c r="E118" s="1"/>
      <c r="F118" s="5">
        <f t="shared" si="49"/>
        <v>-3.0142235152611891E-3</v>
      </c>
      <c r="G118" s="1"/>
      <c r="H118" s="1">
        <f>SUM(OSRRefH22_7x_0)</f>
        <v>0</v>
      </c>
      <c r="I118" s="1"/>
      <c r="J118" s="5">
        <f t="shared" si="50"/>
        <v>0</v>
      </c>
      <c r="K118" s="1"/>
      <c r="L118" s="1">
        <f t="shared" si="51"/>
        <v>-502.63</v>
      </c>
      <c r="M118" s="1"/>
      <c r="N118" s="5">
        <f t="shared" si="52"/>
        <v>0</v>
      </c>
      <c r="O118" s="12"/>
      <c r="P118" s="1">
        <f>SUM(OSRRefP22_7x_0)</f>
        <v>-216.09999999999997</v>
      </c>
      <c r="Q118" s="1"/>
      <c r="R118" s="5">
        <f t="shared" si="53"/>
        <v>-1.4622288195664912E-4</v>
      </c>
      <c r="S118" s="1"/>
      <c r="T118" s="1">
        <f>SUM(OSRRefT22_7x_0)</f>
        <v>81.180000000000007</v>
      </c>
      <c r="U118" s="1"/>
      <c r="V118" s="5">
        <f t="shared" si="54"/>
        <v>3.2955420425792317E-5</v>
      </c>
      <c r="W118" s="1"/>
      <c r="X118" s="1">
        <f t="shared" si="55"/>
        <v>-297.27999999999997</v>
      </c>
      <c r="Y118" s="1"/>
      <c r="Z118" s="5">
        <f t="shared" si="56"/>
        <v>-3.6619857107661979</v>
      </c>
    </row>
    <row r="119" spans="1:26" s="23" customFormat="1" hidden="1" outlineLevel="2" x14ac:dyDescent="0.25">
      <c r="A119" s="25"/>
      <c r="B119" s="10" t="str">
        <f>CONCATENATE("          ", "6305", " - ", "FREIGHT OUT")</f>
        <v xml:space="preserve">          6305 - FREIGHT OUT</v>
      </c>
      <c r="C119" s="10"/>
      <c r="D119" s="6">
        <v>-233.44</v>
      </c>
      <c r="E119" s="2"/>
      <c r="F119" s="7">
        <f t="shared" si="49"/>
        <v>-1.3999171108023238E-3</v>
      </c>
      <c r="G119" s="2"/>
      <c r="H119" s="6"/>
      <c r="I119" s="2"/>
      <c r="J119" s="7">
        <f t="shared" si="50"/>
        <v>0</v>
      </c>
      <c r="K119" s="2"/>
      <c r="L119" s="6">
        <f t="shared" si="51"/>
        <v>-233.44</v>
      </c>
      <c r="M119" s="2"/>
      <c r="N119" s="7">
        <f t="shared" si="52"/>
        <v>0</v>
      </c>
      <c r="O119" s="10"/>
      <c r="P119" s="6">
        <v>73.239999999999995</v>
      </c>
      <c r="Q119" s="2"/>
      <c r="R119" s="7">
        <f t="shared" si="53"/>
        <v>4.955744504629793E-5</v>
      </c>
      <c r="S119" s="2"/>
      <c r="T119" s="6">
        <v>80.680000000000007</v>
      </c>
      <c r="U119" s="2"/>
      <c r="V119" s="7">
        <f t="shared" si="54"/>
        <v>3.2752442965667945E-5</v>
      </c>
      <c r="W119" s="2"/>
      <c r="X119" s="6">
        <f t="shared" si="55"/>
        <v>-7.4400000000000119</v>
      </c>
      <c r="Y119" s="2"/>
      <c r="Z119" s="7">
        <f t="shared" si="56"/>
        <v>-9.2216162617749273E-2</v>
      </c>
    </row>
    <row r="120" spans="1:26" s="23" customFormat="1" hidden="1" outlineLevel="2" x14ac:dyDescent="0.25">
      <c r="A120" s="25"/>
      <c r="B120" s="10" t="str">
        <f>CONCATENATE("          ", "6307", " - ", "POSTAGE")</f>
        <v xml:space="preserve">          6307 - POSTAGE</v>
      </c>
      <c r="C120" s="10"/>
      <c r="D120" s="6">
        <v>-269.19</v>
      </c>
      <c r="E120" s="2"/>
      <c r="F120" s="7">
        <f t="shared" si="49"/>
        <v>-1.6143064044588655E-3</v>
      </c>
      <c r="G120" s="2"/>
      <c r="H120" s="6"/>
      <c r="I120" s="2"/>
      <c r="J120" s="7">
        <f t="shared" si="50"/>
        <v>0</v>
      </c>
      <c r="K120" s="2"/>
      <c r="L120" s="6">
        <f t="shared" si="51"/>
        <v>-269.19</v>
      </c>
      <c r="M120" s="2"/>
      <c r="N120" s="7">
        <f t="shared" si="52"/>
        <v>0</v>
      </c>
      <c r="O120" s="10"/>
      <c r="P120" s="6">
        <v>-289.33999999999997</v>
      </c>
      <c r="Q120" s="2"/>
      <c r="R120" s="7">
        <f t="shared" si="53"/>
        <v>-1.9578032700294707E-4</v>
      </c>
      <c r="S120" s="2"/>
      <c r="T120" s="6">
        <v>0.5</v>
      </c>
      <c r="U120" s="2"/>
      <c r="V120" s="7">
        <f t="shared" si="54"/>
        <v>2.0297746012436752E-7</v>
      </c>
      <c r="W120" s="2"/>
      <c r="X120" s="6">
        <f t="shared" si="55"/>
        <v>-289.83999999999997</v>
      </c>
      <c r="Y120" s="2"/>
      <c r="Z120" s="7">
        <f t="shared" si="56"/>
        <v>-579.67999999999995</v>
      </c>
    </row>
    <row r="121" spans="1:26" s="26" customFormat="1" outlineLevel="1" collapsed="1" x14ac:dyDescent="0.25">
      <c r="A121" s="27"/>
      <c r="B121" s="12" t="str">
        <f>CONCATENATE("     ","General                                           ")</f>
        <v xml:space="preserve">     General                                           </v>
      </c>
      <c r="C121" s="12"/>
      <c r="D121" s="1">
        <f>SUM(OSRRefD22_8x_0)</f>
        <v>0</v>
      </c>
      <c r="E121" s="1"/>
      <c r="F121" s="5">
        <f t="shared" ref="F121:F127" si="57">IF(D$12=0,0,D121/D$12)</f>
        <v>0</v>
      </c>
      <c r="G121" s="1"/>
      <c r="H121" s="1">
        <f>SUM(OSRRefH22_8x_0)</f>
        <v>0</v>
      </c>
      <c r="I121" s="1"/>
      <c r="J121" s="5">
        <f t="shared" ref="J121:J127" si="58">IF(H$12=0,0,H121/H$12)</f>
        <v>0</v>
      </c>
      <c r="K121" s="1"/>
      <c r="L121" s="1">
        <f t="shared" ref="L121:L127" si="59">+D121-H121</f>
        <v>0</v>
      </c>
      <c r="M121" s="1"/>
      <c r="N121" s="5">
        <f t="shared" ref="N121:N127" si="60">IF(H121=0,0,L121/H121)</f>
        <v>0</v>
      </c>
      <c r="O121" s="12"/>
      <c r="P121" s="1">
        <f>SUM(OSRRefP22_8x_0)</f>
        <v>1285.46</v>
      </c>
      <c r="Q121" s="1"/>
      <c r="R121" s="5">
        <f t="shared" ref="R121:R127" si="61">IF(P$12=0,0,P121/P$12)</f>
        <v>8.6979947172602606E-4</v>
      </c>
      <c r="S121" s="1"/>
      <c r="T121" s="1">
        <f>SUM(OSRRefT22_8x_0)</f>
        <v>1271.44</v>
      </c>
      <c r="U121" s="1"/>
      <c r="V121" s="5">
        <f t="shared" ref="V121:V127" si="62">IF(T$12=0,0,T121/T$12)</f>
        <v>5.1614732380105173E-4</v>
      </c>
      <c r="W121" s="1"/>
      <c r="X121" s="1">
        <f t="shared" ref="X121:X127" si="63">+P121-T121</f>
        <v>14.019999999999982</v>
      </c>
      <c r="Y121" s="1"/>
      <c r="Z121" s="5">
        <f t="shared" ref="Z121:Z127" si="64">IF(T121=0,0,X121/T121)</f>
        <v>1.1026867174227633E-2</v>
      </c>
    </row>
    <row r="122" spans="1:26" s="23" customFormat="1" hidden="1" outlineLevel="2" x14ac:dyDescent="0.25">
      <c r="A122" s="25"/>
      <c r="B122" s="10" t="str">
        <f>CONCATENATE("          ", "6279", " - ", "GENERAL EXPENSE")</f>
        <v xml:space="preserve">          6279 - GENERAL EXPENSE</v>
      </c>
      <c r="C122" s="10"/>
      <c r="D122" s="6"/>
      <c r="E122" s="2"/>
      <c r="F122" s="7">
        <f t="shared" si="57"/>
        <v>0</v>
      </c>
      <c r="G122" s="2"/>
      <c r="H122" s="6"/>
      <c r="I122" s="2"/>
      <c r="J122" s="7">
        <f t="shared" si="58"/>
        <v>0</v>
      </c>
      <c r="K122" s="2"/>
      <c r="L122" s="6">
        <f t="shared" si="59"/>
        <v>0</v>
      </c>
      <c r="M122" s="2"/>
      <c r="N122" s="7">
        <f t="shared" si="60"/>
        <v>0</v>
      </c>
      <c r="O122" s="10"/>
      <c r="P122" s="6">
        <v>1285.46</v>
      </c>
      <c r="Q122" s="2"/>
      <c r="R122" s="7">
        <f t="shared" si="61"/>
        <v>8.6979947172602606E-4</v>
      </c>
      <c r="S122" s="2"/>
      <c r="T122" s="6">
        <v>1271.44</v>
      </c>
      <c r="U122" s="2"/>
      <c r="V122" s="7">
        <f t="shared" si="62"/>
        <v>5.1614732380105173E-4</v>
      </c>
      <c r="W122" s="2"/>
      <c r="X122" s="6">
        <f t="shared" si="63"/>
        <v>14.019999999999982</v>
      </c>
      <c r="Y122" s="2"/>
      <c r="Z122" s="7">
        <f t="shared" si="64"/>
        <v>1.1026867174227633E-2</v>
      </c>
    </row>
    <row r="123" spans="1:26" s="26" customFormat="1" outlineLevel="1" collapsed="1" x14ac:dyDescent="0.25">
      <c r="A123" s="27"/>
      <c r="B123" s="12" t="str">
        <f>CONCATENATE("     ","Insurance                                         ")</f>
        <v xml:space="preserve">     Insurance                                         </v>
      </c>
      <c r="C123" s="12"/>
      <c r="D123" s="1">
        <f>SUM(OSRRefD22_9x_0)</f>
        <v>161.18</v>
      </c>
      <c r="E123" s="1"/>
      <c r="F123" s="5">
        <f t="shared" si="57"/>
        <v>9.6658087696675191E-4</v>
      </c>
      <c r="G123" s="1"/>
      <c r="H123" s="1">
        <f>SUM(OSRRefH22_9x_0)</f>
        <v>161.18</v>
      </c>
      <c r="I123" s="1"/>
      <c r="J123" s="5">
        <f t="shared" si="58"/>
        <v>1.195325873880884E-3</v>
      </c>
      <c r="K123" s="1"/>
      <c r="L123" s="1">
        <f t="shared" si="59"/>
        <v>0</v>
      </c>
      <c r="M123" s="1"/>
      <c r="N123" s="5">
        <f t="shared" si="60"/>
        <v>0</v>
      </c>
      <c r="O123" s="12"/>
      <c r="P123" s="1">
        <f>SUM(OSRRefP22_9x_0)</f>
        <v>1450.62</v>
      </c>
      <c r="Q123" s="1"/>
      <c r="R123" s="5">
        <f t="shared" si="61"/>
        <v>9.8155408155462453E-4</v>
      </c>
      <c r="S123" s="1"/>
      <c r="T123" s="1">
        <f>SUM(OSRRefT22_9x_0)</f>
        <v>1450.62</v>
      </c>
      <c r="U123" s="1"/>
      <c r="V123" s="5">
        <f t="shared" si="62"/>
        <v>5.8888632641121994E-4</v>
      </c>
      <c r="W123" s="1"/>
      <c r="X123" s="1">
        <f t="shared" si="63"/>
        <v>0</v>
      </c>
      <c r="Y123" s="1"/>
      <c r="Z123" s="5">
        <f t="shared" si="64"/>
        <v>0</v>
      </c>
    </row>
    <row r="124" spans="1:26" s="23" customFormat="1" hidden="1" outlineLevel="2" x14ac:dyDescent="0.25">
      <c r="A124" s="25"/>
      <c r="B124" s="10" t="str">
        <f>CONCATENATE("          ", "6314", " - ", "LIABILITY INSURANCE")</f>
        <v xml:space="preserve">          6314 - LIABILITY INSURANCE</v>
      </c>
      <c r="C124" s="10"/>
      <c r="D124" s="6">
        <v>161.18</v>
      </c>
      <c r="E124" s="2"/>
      <c r="F124" s="7">
        <f t="shared" si="57"/>
        <v>9.6658087696675191E-4</v>
      </c>
      <c r="G124" s="2"/>
      <c r="H124" s="6">
        <v>161.18</v>
      </c>
      <c r="I124" s="2"/>
      <c r="J124" s="7">
        <f t="shared" si="58"/>
        <v>1.195325873880884E-3</v>
      </c>
      <c r="K124" s="2"/>
      <c r="L124" s="6">
        <f t="shared" si="59"/>
        <v>0</v>
      </c>
      <c r="M124" s="2"/>
      <c r="N124" s="7">
        <f t="shared" si="60"/>
        <v>0</v>
      </c>
      <c r="O124" s="10"/>
      <c r="P124" s="6">
        <v>1450.62</v>
      </c>
      <c r="Q124" s="2"/>
      <c r="R124" s="7">
        <f t="shared" si="61"/>
        <v>9.8155408155462453E-4</v>
      </c>
      <c r="S124" s="2"/>
      <c r="T124" s="6">
        <v>1450.62</v>
      </c>
      <c r="U124" s="2"/>
      <c r="V124" s="7">
        <f t="shared" si="62"/>
        <v>5.8888632641121994E-4</v>
      </c>
      <c r="W124" s="2"/>
      <c r="X124" s="6">
        <f t="shared" si="63"/>
        <v>0</v>
      </c>
      <c r="Y124" s="2"/>
      <c r="Z124" s="7">
        <f t="shared" si="64"/>
        <v>0</v>
      </c>
    </row>
    <row r="125" spans="1:26" s="26" customFormat="1" outlineLevel="1" collapsed="1" x14ac:dyDescent="0.25">
      <c r="A125" s="27"/>
      <c r="B125" s="12" t="str">
        <f>CONCATENATE("     ","Inventory Adjustment                              ")</f>
        <v xml:space="preserve">     Inventory Adjustment                              </v>
      </c>
      <c r="C125" s="12"/>
      <c r="D125" s="1">
        <f>SUM(OSRRefD22_10x_0)</f>
        <v>1100</v>
      </c>
      <c r="E125" s="1"/>
      <c r="F125" s="5">
        <f t="shared" si="57"/>
        <v>6.5965936509705114E-3</v>
      </c>
      <c r="G125" s="1"/>
      <c r="H125" s="1">
        <f>SUM(OSRRefH22_10x_0)</f>
        <v>3450</v>
      </c>
      <c r="I125" s="1"/>
      <c r="J125" s="5">
        <f t="shared" si="58"/>
        <v>2.5585520938634133E-2</v>
      </c>
      <c r="K125" s="1"/>
      <c r="L125" s="1">
        <f t="shared" si="59"/>
        <v>-2350</v>
      </c>
      <c r="M125" s="1"/>
      <c r="N125" s="5">
        <f t="shared" si="60"/>
        <v>-0.6811594202898551</v>
      </c>
      <c r="O125" s="12"/>
      <c r="P125" s="1">
        <f>SUM(OSRRefP22_10x_0)</f>
        <v>9900</v>
      </c>
      <c r="Q125" s="1"/>
      <c r="R125" s="5">
        <f t="shared" si="61"/>
        <v>6.6987808022712942E-3</v>
      </c>
      <c r="S125" s="1"/>
      <c r="T125" s="1">
        <f>SUM(OSRRefT22_10x_0)</f>
        <v>28650</v>
      </c>
      <c r="U125" s="1"/>
      <c r="V125" s="5">
        <f t="shared" si="62"/>
        <v>1.1630608465126259E-2</v>
      </c>
      <c r="W125" s="1"/>
      <c r="X125" s="1">
        <f t="shared" si="63"/>
        <v>-18750</v>
      </c>
      <c r="Y125" s="1"/>
      <c r="Z125" s="5">
        <f t="shared" si="64"/>
        <v>-0.65445026178010468</v>
      </c>
    </row>
    <row r="126" spans="1:26" s="23" customFormat="1" hidden="1" outlineLevel="2" x14ac:dyDescent="0.25">
      <c r="A126" s="25"/>
      <c r="B126" s="10" t="str">
        <f>CONCATENATE("          ", "6408", " - ", "INVENTORY ADJUSTMENT")</f>
        <v xml:space="preserve">          6408 - INVENTORY ADJUSTMENT</v>
      </c>
      <c r="C126" s="10"/>
      <c r="D126" s="6">
        <v>1100</v>
      </c>
      <c r="E126" s="2"/>
      <c r="F126" s="7">
        <f t="shared" si="57"/>
        <v>6.5965936509705114E-3</v>
      </c>
      <c r="G126" s="2"/>
      <c r="H126" s="6">
        <v>3450</v>
      </c>
      <c r="I126" s="2"/>
      <c r="J126" s="7">
        <f t="shared" si="58"/>
        <v>2.5585520938634133E-2</v>
      </c>
      <c r="K126" s="2"/>
      <c r="L126" s="6">
        <f t="shared" si="59"/>
        <v>-2350</v>
      </c>
      <c r="M126" s="2"/>
      <c r="N126" s="7">
        <f t="shared" si="60"/>
        <v>-0.6811594202898551</v>
      </c>
      <c r="O126" s="10"/>
      <c r="P126" s="6">
        <v>9900</v>
      </c>
      <c r="Q126" s="2"/>
      <c r="R126" s="7">
        <f t="shared" si="61"/>
        <v>6.6987808022712942E-3</v>
      </c>
      <c r="S126" s="2"/>
      <c r="T126" s="6">
        <v>28650</v>
      </c>
      <c r="U126" s="2"/>
      <c r="V126" s="7">
        <f t="shared" si="62"/>
        <v>1.1630608465126259E-2</v>
      </c>
      <c r="W126" s="2"/>
      <c r="X126" s="6">
        <f t="shared" si="63"/>
        <v>-18750</v>
      </c>
      <c r="Y126" s="2"/>
      <c r="Z126" s="7">
        <f t="shared" si="64"/>
        <v>-0.65445026178010468</v>
      </c>
    </row>
    <row r="127" spans="1:26" s="23" customFormat="1" hidden="1" outlineLevel="2" x14ac:dyDescent="0.25">
      <c r="A127" s="25"/>
      <c r="B127" s="10" t="str">
        <f>CONCATENATE("          ", "7741", " - ", "INV. SHRINKAGE-LOGO GIFTS")</f>
        <v xml:space="preserve">          7741 - INV. SHRINKAGE-LOGO GIFTS</v>
      </c>
      <c r="C127" s="10"/>
      <c r="D127" s="6"/>
      <c r="E127" s="2"/>
      <c r="F127" s="7">
        <f t="shared" si="57"/>
        <v>0</v>
      </c>
      <c r="G127" s="2"/>
      <c r="H127" s="6"/>
      <c r="I127" s="2"/>
      <c r="J127" s="7">
        <f t="shared" si="58"/>
        <v>0</v>
      </c>
      <c r="K127" s="2"/>
      <c r="L127" s="6">
        <f t="shared" si="59"/>
        <v>0</v>
      </c>
      <c r="M127" s="2"/>
      <c r="N127" s="7">
        <f t="shared" si="60"/>
        <v>0</v>
      </c>
      <c r="O127" s="10"/>
      <c r="P127" s="6">
        <v>0</v>
      </c>
      <c r="Q127" s="2"/>
      <c r="R127" s="7">
        <f t="shared" si="61"/>
        <v>0</v>
      </c>
      <c r="S127" s="2"/>
      <c r="T127" s="6"/>
      <c r="U127" s="2"/>
      <c r="V127" s="7">
        <f t="shared" si="62"/>
        <v>0</v>
      </c>
      <c r="W127" s="2"/>
      <c r="X127" s="6">
        <f t="shared" si="63"/>
        <v>0</v>
      </c>
      <c r="Y127" s="2"/>
      <c r="Z127" s="7">
        <f t="shared" si="64"/>
        <v>0</v>
      </c>
    </row>
    <row r="128" spans="1:26" s="26" customFormat="1" outlineLevel="1" collapsed="1" x14ac:dyDescent="0.25">
      <c r="A128" s="27"/>
      <c r="B128" s="12" t="str">
        <f>CONCATENATE("     ","Professional Services                             ")</f>
        <v xml:space="preserve">     Professional Services                             </v>
      </c>
      <c r="C128" s="12"/>
      <c r="D128" s="1">
        <f>SUM(OSRRefD22_11x_0)</f>
        <v>0</v>
      </c>
      <c r="E128" s="1"/>
      <c r="F128" s="5">
        <f t="shared" ref="F128:F135" si="65">IF(D$12=0,0,D128/D$12)</f>
        <v>0</v>
      </c>
      <c r="G128" s="1"/>
      <c r="H128" s="1">
        <f>SUM(OSRRefH22_11x_0)</f>
        <v>0</v>
      </c>
      <c r="I128" s="1"/>
      <c r="J128" s="5">
        <f t="shared" ref="J128:J135" si="66">IF(H$12=0,0,H128/H$12)</f>
        <v>0</v>
      </c>
      <c r="K128" s="1"/>
      <c r="L128" s="1">
        <f t="shared" ref="L128:L135" si="67">+D128-H128</f>
        <v>0</v>
      </c>
      <c r="M128" s="1"/>
      <c r="N128" s="5">
        <f t="shared" ref="N128:N135" si="68">IF(H128=0,0,L128/H128)</f>
        <v>0</v>
      </c>
      <c r="O128" s="12"/>
      <c r="P128" s="1">
        <f>SUM(OSRRefP22_11x_0)</f>
        <v>0</v>
      </c>
      <c r="Q128" s="1"/>
      <c r="R128" s="5">
        <f t="shared" ref="R128:R135" si="69">IF(P$12=0,0,P128/P$12)</f>
        <v>0</v>
      </c>
      <c r="S128" s="1"/>
      <c r="T128" s="1">
        <f>SUM(OSRRefT22_11x_0)</f>
        <v>750</v>
      </c>
      <c r="U128" s="1"/>
      <c r="V128" s="5">
        <f t="shared" ref="V128:V135" si="70">IF(T$12=0,0,T128/T$12)</f>
        <v>3.0446619018655128E-4</v>
      </c>
      <c r="W128" s="1"/>
      <c r="X128" s="1">
        <f t="shared" ref="X128:X135" si="71">+P128-T128</f>
        <v>-750</v>
      </c>
      <c r="Y128" s="1"/>
      <c r="Z128" s="5">
        <f t="shared" ref="Z128:Z135" si="72">IF(T128=0,0,X128/T128)</f>
        <v>-1</v>
      </c>
    </row>
    <row r="129" spans="1:26" s="23" customFormat="1" hidden="1" outlineLevel="2" x14ac:dyDescent="0.25">
      <c r="A129" s="25"/>
      <c r="B129" s="10" t="str">
        <f>CONCATENATE("          ", "6336", " - ", "PROFESSIONAL SERVICES")</f>
        <v xml:space="preserve">          6336 - PROFESSIONAL SERVICES</v>
      </c>
      <c r="C129" s="10"/>
      <c r="D129" s="6"/>
      <c r="E129" s="2"/>
      <c r="F129" s="7">
        <f t="shared" si="65"/>
        <v>0</v>
      </c>
      <c r="G129" s="2"/>
      <c r="H129" s="6"/>
      <c r="I129" s="2"/>
      <c r="J129" s="7">
        <f t="shared" si="66"/>
        <v>0</v>
      </c>
      <c r="K129" s="2"/>
      <c r="L129" s="6">
        <f t="shared" si="67"/>
        <v>0</v>
      </c>
      <c r="M129" s="2"/>
      <c r="N129" s="7">
        <f t="shared" si="68"/>
        <v>0</v>
      </c>
      <c r="O129" s="10"/>
      <c r="P129" s="6"/>
      <c r="Q129" s="2"/>
      <c r="R129" s="7">
        <f t="shared" si="69"/>
        <v>0</v>
      </c>
      <c r="S129" s="2"/>
      <c r="T129" s="6">
        <v>750</v>
      </c>
      <c r="U129" s="2"/>
      <c r="V129" s="7">
        <f t="shared" si="70"/>
        <v>3.0446619018655128E-4</v>
      </c>
      <c r="W129" s="2"/>
      <c r="X129" s="6">
        <f t="shared" si="71"/>
        <v>-750</v>
      </c>
      <c r="Y129" s="2"/>
      <c r="Z129" s="7">
        <f t="shared" si="72"/>
        <v>-1</v>
      </c>
    </row>
    <row r="130" spans="1:26" s="26" customFormat="1" outlineLevel="1" collapsed="1" x14ac:dyDescent="0.25">
      <c r="A130" s="27"/>
      <c r="B130" s="12" t="str">
        <f>CONCATENATE("     ","Rent                                              ")</f>
        <v xml:space="preserve">     Rent                                              </v>
      </c>
      <c r="C130" s="12"/>
      <c r="D130" s="1">
        <f>SUM(OSRRefD22_12x_0)</f>
        <v>6900</v>
      </c>
      <c r="E130" s="1"/>
      <c r="F130" s="5">
        <f t="shared" si="65"/>
        <v>4.1378632901542298E-2</v>
      </c>
      <c r="G130" s="1"/>
      <c r="H130" s="1">
        <f>SUM(OSRRefH22_12x_0)</f>
        <v>6900</v>
      </c>
      <c r="I130" s="1"/>
      <c r="J130" s="5">
        <f t="shared" si="66"/>
        <v>5.1171041877268265E-2</v>
      </c>
      <c r="K130" s="1"/>
      <c r="L130" s="1">
        <f t="shared" si="67"/>
        <v>0</v>
      </c>
      <c r="M130" s="1"/>
      <c r="N130" s="5">
        <f t="shared" si="68"/>
        <v>0</v>
      </c>
      <c r="O130" s="12"/>
      <c r="P130" s="1">
        <f>SUM(OSRRefP22_12x_0)</f>
        <v>62100</v>
      </c>
      <c r="Q130" s="1"/>
      <c r="R130" s="5">
        <f t="shared" si="69"/>
        <v>4.2019625032429023E-2</v>
      </c>
      <c r="S130" s="1"/>
      <c r="T130" s="1">
        <f>SUM(OSRRefT22_12x_0)</f>
        <v>62100</v>
      </c>
      <c r="U130" s="1"/>
      <c r="V130" s="5">
        <f t="shared" si="70"/>
        <v>2.5209800547446447E-2</v>
      </c>
      <c r="W130" s="1"/>
      <c r="X130" s="1">
        <f t="shared" si="71"/>
        <v>0</v>
      </c>
      <c r="Y130" s="1"/>
      <c r="Z130" s="5">
        <f t="shared" si="72"/>
        <v>0</v>
      </c>
    </row>
    <row r="131" spans="1:26" s="23" customFormat="1" hidden="1" outlineLevel="2" x14ac:dyDescent="0.25">
      <c r="A131" s="25"/>
      <c r="B131" s="10" t="str">
        <f>CONCATENATE("          ", "6273", " - ", "RENT")</f>
        <v xml:space="preserve">          6273 - RENT</v>
      </c>
      <c r="C131" s="10"/>
      <c r="D131" s="6">
        <v>6900</v>
      </c>
      <c r="E131" s="2"/>
      <c r="F131" s="7">
        <f t="shared" si="65"/>
        <v>4.1378632901542298E-2</v>
      </c>
      <c r="G131" s="2"/>
      <c r="H131" s="6">
        <v>6900</v>
      </c>
      <c r="I131" s="2"/>
      <c r="J131" s="7">
        <f t="shared" si="66"/>
        <v>5.1171041877268265E-2</v>
      </c>
      <c r="K131" s="2"/>
      <c r="L131" s="6">
        <f t="shared" si="67"/>
        <v>0</v>
      </c>
      <c r="M131" s="2"/>
      <c r="N131" s="7">
        <f t="shared" si="68"/>
        <v>0</v>
      </c>
      <c r="O131" s="10"/>
      <c r="P131" s="6">
        <v>62100</v>
      </c>
      <c r="Q131" s="2"/>
      <c r="R131" s="7">
        <f t="shared" si="69"/>
        <v>4.2019625032429023E-2</v>
      </c>
      <c r="S131" s="2"/>
      <c r="T131" s="6">
        <v>62100</v>
      </c>
      <c r="U131" s="2"/>
      <c r="V131" s="7">
        <f t="shared" si="70"/>
        <v>2.5209800547446447E-2</v>
      </c>
      <c r="W131" s="2"/>
      <c r="X131" s="6">
        <f t="shared" si="71"/>
        <v>0</v>
      </c>
      <c r="Y131" s="2"/>
      <c r="Z131" s="7">
        <f t="shared" si="72"/>
        <v>0</v>
      </c>
    </row>
    <row r="132" spans="1:26" s="26" customFormat="1" outlineLevel="1" collapsed="1" x14ac:dyDescent="0.25">
      <c r="A132" s="27"/>
      <c r="B132" s="12" t="str">
        <f>CONCATENATE("     ","Repair and Maintenance                            ")</f>
        <v xml:space="preserve">     Repair and Maintenance                            </v>
      </c>
      <c r="C132" s="12"/>
      <c r="D132" s="1">
        <f>SUM(OSRRefD22_13x_0)</f>
        <v>213.79</v>
      </c>
      <c r="E132" s="1"/>
      <c r="F132" s="5">
        <f t="shared" si="65"/>
        <v>1.2820779605827142E-3</v>
      </c>
      <c r="G132" s="1"/>
      <c r="H132" s="1">
        <f>SUM(OSRRefH22_13x_0)</f>
        <v>358.01</v>
      </c>
      <c r="I132" s="1"/>
      <c r="J132" s="5">
        <f t="shared" si="66"/>
        <v>2.6550354641276539E-3</v>
      </c>
      <c r="K132" s="1"/>
      <c r="L132" s="1">
        <f t="shared" si="67"/>
        <v>-144.22</v>
      </c>
      <c r="M132" s="1"/>
      <c r="N132" s="5">
        <f t="shared" si="68"/>
        <v>-0.40283790955559901</v>
      </c>
      <c r="O132" s="12"/>
      <c r="P132" s="1">
        <f>SUM(OSRRefP22_13x_0)</f>
        <v>309.70999999999998</v>
      </c>
      <c r="Q132" s="1"/>
      <c r="R132" s="5">
        <f t="shared" si="69"/>
        <v>2.0956357598701436E-4</v>
      </c>
      <c r="S132" s="1"/>
      <c r="T132" s="1">
        <f>SUM(OSRRefT22_13x_0)</f>
        <v>633.76</v>
      </c>
      <c r="U132" s="1"/>
      <c r="V132" s="5">
        <f t="shared" si="70"/>
        <v>2.5727799025683832E-4</v>
      </c>
      <c r="W132" s="1"/>
      <c r="X132" s="1">
        <f t="shared" si="71"/>
        <v>-324.05</v>
      </c>
      <c r="Y132" s="1"/>
      <c r="Z132" s="5">
        <f t="shared" si="72"/>
        <v>-0.51131343095177983</v>
      </c>
    </row>
    <row r="133" spans="1:26" s="23" customFormat="1" hidden="1" outlineLevel="2" x14ac:dyDescent="0.25">
      <c r="A133" s="25"/>
      <c r="B133" s="10" t="str">
        <f>CONCATENATE("          ", "6372", " - ", "COMPUTER HARDWARE MAINTENANCE")</f>
        <v xml:space="preserve">          6372 - COMPUTER HARDWARE MAINTENANCE</v>
      </c>
      <c r="C133" s="10"/>
      <c r="D133" s="6"/>
      <c r="E133" s="2"/>
      <c r="F133" s="7">
        <f t="shared" si="65"/>
        <v>0</v>
      </c>
      <c r="G133" s="2"/>
      <c r="H133" s="6"/>
      <c r="I133" s="2"/>
      <c r="J133" s="7">
        <f t="shared" si="66"/>
        <v>0</v>
      </c>
      <c r="K133" s="2"/>
      <c r="L133" s="6">
        <f t="shared" si="67"/>
        <v>0</v>
      </c>
      <c r="M133" s="2"/>
      <c r="N133" s="7">
        <f t="shared" si="68"/>
        <v>0</v>
      </c>
      <c r="O133" s="10"/>
      <c r="P133" s="6">
        <v>-0.52</v>
      </c>
      <c r="Q133" s="2"/>
      <c r="R133" s="7">
        <f t="shared" si="69"/>
        <v>-3.5185515325061341E-7</v>
      </c>
      <c r="S133" s="2"/>
      <c r="T133" s="6"/>
      <c r="U133" s="2"/>
      <c r="V133" s="7">
        <f t="shared" si="70"/>
        <v>0</v>
      </c>
      <c r="W133" s="2"/>
      <c r="X133" s="6">
        <f t="shared" si="71"/>
        <v>-0.52</v>
      </c>
      <c r="Y133" s="2"/>
      <c r="Z133" s="7">
        <f t="shared" si="72"/>
        <v>0</v>
      </c>
    </row>
    <row r="134" spans="1:26" s="23" customFormat="1" hidden="1" outlineLevel="2" x14ac:dyDescent="0.25">
      <c r="A134" s="25"/>
      <c r="B134" s="10" t="str">
        <f>CONCATENATE("          ", "6373", " - ", "MAINTENANCE CONTRACTS")</f>
        <v xml:space="preserve">          6373 - MAINTENANCE CONTRACTS</v>
      </c>
      <c r="C134" s="10"/>
      <c r="D134" s="6">
        <v>48.23</v>
      </c>
      <c r="E134" s="2"/>
      <c r="F134" s="7">
        <f t="shared" si="65"/>
        <v>2.8923064707846158E-4</v>
      </c>
      <c r="G134" s="2"/>
      <c r="H134" s="6">
        <v>358.01</v>
      </c>
      <c r="I134" s="2"/>
      <c r="J134" s="7">
        <f t="shared" si="66"/>
        <v>2.6550354641276539E-3</v>
      </c>
      <c r="K134" s="2"/>
      <c r="L134" s="6">
        <f t="shared" si="67"/>
        <v>-309.77999999999997</v>
      </c>
      <c r="M134" s="2"/>
      <c r="N134" s="7">
        <f t="shared" si="68"/>
        <v>-0.8652830926510432</v>
      </c>
      <c r="O134" s="10"/>
      <c r="P134" s="6">
        <v>144.66999999999999</v>
      </c>
      <c r="Q134" s="2"/>
      <c r="R134" s="7">
        <f t="shared" si="69"/>
        <v>9.7890163501473536E-5</v>
      </c>
      <c r="S134" s="2"/>
      <c r="T134" s="6">
        <v>451.23</v>
      </c>
      <c r="U134" s="2"/>
      <c r="V134" s="7">
        <f t="shared" si="70"/>
        <v>1.8317903866383673E-4</v>
      </c>
      <c r="W134" s="2"/>
      <c r="X134" s="6">
        <f t="shared" si="71"/>
        <v>-306.56000000000006</v>
      </c>
      <c r="Y134" s="2"/>
      <c r="Z134" s="7">
        <f t="shared" si="72"/>
        <v>-0.67938745207543838</v>
      </c>
    </row>
    <row r="135" spans="1:26" s="23" customFormat="1" hidden="1" outlineLevel="2" x14ac:dyDescent="0.25">
      <c r="A135" s="25"/>
      <c r="B135" s="10" t="str">
        <f>CONCATENATE("          ", "6375", " - ", "OUTSIDE REPAIRS &amp; MAINTENANCE")</f>
        <v xml:space="preserve">          6375 - OUTSIDE REPAIRS &amp; MAINTENANCE</v>
      </c>
      <c r="C135" s="10"/>
      <c r="D135" s="6">
        <v>165.56</v>
      </c>
      <c r="E135" s="2"/>
      <c r="F135" s="7">
        <f t="shared" si="65"/>
        <v>9.9284731350425255E-4</v>
      </c>
      <c r="G135" s="2"/>
      <c r="H135" s="6"/>
      <c r="I135" s="2"/>
      <c r="J135" s="7">
        <f t="shared" si="66"/>
        <v>0</v>
      </c>
      <c r="K135" s="2"/>
      <c r="L135" s="6">
        <f t="shared" si="67"/>
        <v>165.56</v>
      </c>
      <c r="M135" s="2"/>
      <c r="N135" s="7">
        <f t="shared" si="68"/>
        <v>0</v>
      </c>
      <c r="O135" s="10"/>
      <c r="P135" s="6">
        <v>165.56</v>
      </c>
      <c r="Q135" s="2"/>
      <c r="R135" s="7">
        <f t="shared" si="69"/>
        <v>1.1202526763879146E-4</v>
      </c>
      <c r="S135" s="2"/>
      <c r="T135" s="6">
        <v>182.53</v>
      </c>
      <c r="U135" s="2"/>
      <c r="V135" s="7">
        <f t="shared" si="70"/>
        <v>7.4098951593001602E-5</v>
      </c>
      <c r="W135" s="2"/>
      <c r="X135" s="6">
        <f t="shared" si="71"/>
        <v>-16.97</v>
      </c>
      <c r="Y135" s="2"/>
      <c r="Z135" s="7">
        <f t="shared" si="72"/>
        <v>-9.2971018462718449E-2</v>
      </c>
    </row>
    <row r="136" spans="1:26" s="26" customFormat="1" outlineLevel="1" collapsed="1" x14ac:dyDescent="0.25">
      <c r="A136" s="27"/>
      <c r="B136" s="12" t="str">
        <f>CONCATENATE("     ","Royalty &amp; Commissions                             ")</f>
        <v xml:space="preserve">     Royalty &amp; Commissions                             </v>
      </c>
      <c r="C136" s="12"/>
      <c r="D136" s="1">
        <f>SUM(OSRRefD22_14x_0)</f>
        <v>0</v>
      </c>
      <c r="E136" s="1"/>
      <c r="F136" s="5">
        <f t="shared" ref="F136:F138" si="73">IF(D$12=0,0,D136/D$12)</f>
        <v>0</v>
      </c>
      <c r="G136" s="1"/>
      <c r="H136" s="1">
        <f>SUM(OSRRefH22_14x_0)</f>
        <v>2844.96</v>
      </c>
      <c r="I136" s="1"/>
      <c r="J136" s="5">
        <f t="shared" ref="J136:J138" si="74">IF(H$12=0,0,H136/H$12)</f>
        <v>2.1098488014370018E-2</v>
      </c>
      <c r="K136" s="1"/>
      <c r="L136" s="1">
        <f t="shared" ref="L136:L138" si="75">+D136-H136</f>
        <v>-2844.96</v>
      </c>
      <c r="M136" s="1"/>
      <c r="N136" s="5">
        <f t="shared" ref="N136:N138" si="76">IF(H136=0,0,L136/H136)</f>
        <v>-1</v>
      </c>
      <c r="O136" s="12"/>
      <c r="P136" s="1">
        <f>SUM(OSRRefP22_14x_0)</f>
        <v>26197.58</v>
      </c>
      <c r="Q136" s="1"/>
      <c r="R136" s="5">
        <f t="shared" ref="R136:R138" si="77">IF(P$12=0,0,P136/P$12)</f>
        <v>1.7726449087875396E-2</v>
      </c>
      <c r="S136" s="1"/>
      <c r="T136" s="1">
        <f>SUM(OSRRefT22_14x_0)</f>
        <v>26286.15</v>
      </c>
      <c r="U136" s="1"/>
      <c r="V136" s="5">
        <f t="shared" ref="V136:V138" si="78">IF(T$12=0,0,T136/T$12)</f>
        <v>1.0670991926896287E-2</v>
      </c>
      <c r="W136" s="1"/>
      <c r="X136" s="1">
        <f t="shared" ref="X136:X138" si="79">+P136-T136</f>
        <v>-88.569999999999709</v>
      </c>
      <c r="Y136" s="1"/>
      <c r="Z136" s="5">
        <f t="shared" ref="Z136:Z138" si="80">IF(T136=0,0,X136/T136)</f>
        <v>-3.3694550171858451E-3</v>
      </c>
    </row>
    <row r="137" spans="1:26" s="23" customFormat="1" hidden="1" outlineLevel="2" x14ac:dyDescent="0.25">
      <c r="A137" s="25"/>
      <c r="B137" s="10" t="str">
        <f>CONCATENATE("          ", "6253", " - ", "ROYALTY DUE ATHLETICS-LRG")</f>
        <v xml:space="preserve">          6253 - ROYALTY DUE ATHLETICS-LRG</v>
      </c>
      <c r="C137" s="10"/>
      <c r="D137" s="6"/>
      <c r="E137" s="2"/>
      <c r="F137" s="7">
        <f t="shared" si="73"/>
        <v>0</v>
      </c>
      <c r="G137" s="2"/>
      <c r="H137" s="6">
        <v>1669.49</v>
      </c>
      <c r="I137" s="2"/>
      <c r="J137" s="7">
        <f t="shared" si="74"/>
        <v>1.2381093145460955E-2</v>
      </c>
      <c r="K137" s="2"/>
      <c r="L137" s="6">
        <f t="shared" si="75"/>
        <v>-1669.49</v>
      </c>
      <c r="M137" s="2"/>
      <c r="N137" s="7">
        <f t="shared" si="76"/>
        <v>-1</v>
      </c>
      <c r="O137" s="10"/>
      <c r="P137" s="6">
        <v>26197.58</v>
      </c>
      <c r="Q137" s="2"/>
      <c r="R137" s="7">
        <f t="shared" si="77"/>
        <v>1.7726449087875396E-2</v>
      </c>
      <c r="S137" s="2"/>
      <c r="T137" s="6">
        <v>18314.93</v>
      </c>
      <c r="U137" s="2"/>
      <c r="V137" s="7">
        <f t="shared" si="78"/>
        <v>7.4350359475111654E-3</v>
      </c>
      <c r="W137" s="2"/>
      <c r="X137" s="6">
        <f t="shared" si="79"/>
        <v>7882.6500000000015</v>
      </c>
      <c r="Y137" s="2"/>
      <c r="Z137" s="7">
        <f t="shared" si="80"/>
        <v>0.43039476536355864</v>
      </c>
    </row>
    <row r="138" spans="1:26" s="23" customFormat="1" hidden="1" outlineLevel="2" x14ac:dyDescent="0.25">
      <c r="A138" s="25"/>
      <c r="B138" s="10" t="str">
        <f>CONCATENATE("          ", "6254", " - ", "ROYALTY &amp; COMMISSIONS")</f>
        <v xml:space="preserve">          6254 - ROYALTY &amp; COMMISSIONS</v>
      </c>
      <c r="C138" s="10"/>
      <c r="D138" s="6"/>
      <c r="E138" s="2"/>
      <c r="F138" s="7">
        <f t="shared" si="73"/>
        <v>0</v>
      </c>
      <c r="G138" s="2"/>
      <c r="H138" s="6">
        <v>1175.47</v>
      </c>
      <c r="I138" s="2"/>
      <c r="J138" s="7">
        <f t="shared" si="74"/>
        <v>8.7173948689090626E-3</v>
      </c>
      <c r="K138" s="2"/>
      <c r="L138" s="6">
        <f t="shared" si="75"/>
        <v>-1175.47</v>
      </c>
      <c r="M138" s="2"/>
      <c r="N138" s="7">
        <f t="shared" si="76"/>
        <v>-1</v>
      </c>
      <c r="O138" s="10"/>
      <c r="P138" s="6"/>
      <c r="Q138" s="2"/>
      <c r="R138" s="7">
        <f t="shared" si="77"/>
        <v>0</v>
      </c>
      <c r="S138" s="2"/>
      <c r="T138" s="6">
        <v>7971.22</v>
      </c>
      <c r="U138" s="2"/>
      <c r="V138" s="7">
        <f t="shared" si="78"/>
        <v>3.235955979385122E-3</v>
      </c>
      <c r="W138" s="2"/>
      <c r="X138" s="6">
        <f t="shared" si="79"/>
        <v>-7971.22</v>
      </c>
      <c r="Y138" s="2"/>
      <c r="Z138" s="7">
        <f t="shared" si="80"/>
        <v>-1</v>
      </c>
    </row>
    <row r="139" spans="1:26" s="26" customFormat="1" outlineLevel="1" collapsed="1" x14ac:dyDescent="0.25">
      <c r="A139" s="27"/>
      <c r="B139" s="12" t="str">
        <f>CONCATENATE("     ","Services                                          ")</f>
        <v xml:space="preserve">     Services                                          </v>
      </c>
      <c r="C139" s="12"/>
      <c r="D139" s="1">
        <f>SUM(OSRRefD22_15x_0)</f>
        <v>250.83999999999997</v>
      </c>
      <c r="E139" s="1"/>
      <c r="F139" s="5">
        <f t="shared" ref="F139:F142" si="81">IF(D$12=0,0,D139/D$12)</f>
        <v>1.504263228554039E-3</v>
      </c>
      <c r="G139" s="1"/>
      <c r="H139" s="1">
        <f>SUM(OSRRefH22_15x_0)</f>
        <v>250.18</v>
      </c>
      <c r="I139" s="1"/>
      <c r="J139" s="5">
        <f t="shared" ref="J139:J142" si="82">IF(H$12=0,0,H139/H$12)</f>
        <v>1.8553581531673877E-3</v>
      </c>
      <c r="K139" s="1"/>
      <c r="L139" s="1">
        <f t="shared" ref="L139:L142" si="83">+D139-H139</f>
        <v>0.65999999999996817</v>
      </c>
      <c r="M139" s="1"/>
      <c r="N139" s="5">
        <f t="shared" ref="N139:N142" si="84">IF(H139=0,0,L139/H139)</f>
        <v>2.6381005675912071E-3</v>
      </c>
      <c r="O139" s="12"/>
      <c r="P139" s="1">
        <f>SUM(OSRRefP22_15x_0)</f>
        <v>607.34</v>
      </c>
      <c r="Q139" s="1"/>
      <c r="R139" s="5">
        <f t="shared" ref="R139:R142" si="85">IF(P$12=0,0,P139/P$12)</f>
        <v>4.1095328610620685E-4</v>
      </c>
      <c r="S139" s="1"/>
      <c r="T139" s="1">
        <f>SUM(OSRRefT22_15x_0)</f>
        <v>2631.36</v>
      </c>
      <c r="U139" s="1"/>
      <c r="V139" s="5">
        <f t="shared" ref="V139:V142" si="86">IF(T$12=0,0,T139/T$12)</f>
        <v>1.0682135389457116E-3</v>
      </c>
      <c r="W139" s="1"/>
      <c r="X139" s="1">
        <f t="shared" ref="X139:X142" si="87">+P139-T139</f>
        <v>-2024.02</v>
      </c>
      <c r="Y139" s="1"/>
      <c r="Z139" s="5">
        <f t="shared" ref="Z139:Z142" si="88">IF(T139=0,0,X139/T139)</f>
        <v>-0.7691915967408488</v>
      </c>
    </row>
    <row r="140" spans="1:26" s="23" customFormat="1" hidden="1" outlineLevel="2" x14ac:dyDescent="0.25">
      <c r="A140" s="25"/>
      <c r="B140" s="10" t="str">
        <f>CONCATENATE("          ", "6283", " - ", "PLANT SERVICE")</f>
        <v xml:space="preserve">          6283 - PLANT SERVICE</v>
      </c>
      <c r="C140" s="10"/>
      <c r="D140" s="6"/>
      <c r="E140" s="2"/>
      <c r="F140" s="7">
        <f t="shared" si="81"/>
        <v>0</v>
      </c>
      <c r="G140" s="2"/>
      <c r="H140" s="6"/>
      <c r="I140" s="2"/>
      <c r="J140" s="7">
        <f t="shared" si="82"/>
        <v>0</v>
      </c>
      <c r="K140" s="2"/>
      <c r="L140" s="6">
        <f t="shared" si="83"/>
        <v>0</v>
      </c>
      <c r="M140" s="2"/>
      <c r="N140" s="7">
        <f t="shared" si="84"/>
        <v>0</v>
      </c>
      <c r="O140" s="10"/>
      <c r="P140" s="6">
        <v>41.31</v>
      </c>
      <c r="Q140" s="2"/>
      <c r="R140" s="7">
        <f t="shared" si="85"/>
        <v>2.7952185347659309E-5</v>
      </c>
      <c r="S140" s="2"/>
      <c r="T140" s="6">
        <v>178.65</v>
      </c>
      <c r="U140" s="2"/>
      <c r="V140" s="7">
        <f t="shared" si="86"/>
        <v>7.2523846502436516E-5</v>
      </c>
      <c r="W140" s="2"/>
      <c r="X140" s="6">
        <f t="shared" si="87"/>
        <v>-137.34</v>
      </c>
      <c r="Y140" s="2"/>
      <c r="Z140" s="7">
        <f t="shared" si="88"/>
        <v>-0.7687657430730479</v>
      </c>
    </row>
    <row r="141" spans="1:26" s="23" customFormat="1" hidden="1" outlineLevel="2" x14ac:dyDescent="0.25">
      <c r="A141" s="25"/>
      <c r="B141" s="10" t="str">
        <f>CONCATENATE("          ", "6284", " - ", "TRASH REMOVAL EXPENSE")</f>
        <v xml:space="preserve">          6284 - TRASH REMOVAL EXPENSE</v>
      </c>
      <c r="C141" s="10"/>
      <c r="D141" s="6">
        <v>142.57</v>
      </c>
      <c r="E141" s="2"/>
      <c r="F141" s="7">
        <f t="shared" si="81"/>
        <v>8.5497850619896886E-4</v>
      </c>
      <c r="G141" s="2"/>
      <c r="H141" s="6">
        <v>134.82</v>
      </c>
      <c r="I141" s="2"/>
      <c r="J141" s="7">
        <f t="shared" si="82"/>
        <v>9.9983766172366778E-4</v>
      </c>
      <c r="K141" s="2"/>
      <c r="L141" s="6">
        <f t="shared" si="83"/>
        <v>7.75</v>
      </c>
      <c r="M141" s="2"/>
      <c r="N141" s="7">
        <f t="shared" si="84"/>
        <v>5.7484052811155616E-2</v>
      </c>
      <c r="O141" s="10"/>
      <c r="P141" s="6">
        <v>1298.1500000000001</v>
      </c>
      <c r="Q141" s="2"/>
      <c r="R141" s="7">
        <f t="shared" si="85"/>
        <v>8.7838609075439195E-4</v>
      </c>
      <c r="S141" s="2"/>
      <c r="T141" s="6">
        <v>1213.3800000000001</v>
      </c>
      <c r="U141" s="2"/>
      <c r="V141" s="7">
        <f t="shared" si="86"/>
        <v>4.9257758113141015E-4</v>
      </c>
      <c r="W141" s="2"/>
      <c r="X141" s="6">
        <f t="shared" si="87"/>
        <v>84.769999999999982</v>
      </c>
      <c r="Y141" s="2"/>
      <c r="Z141" s="7">
        <f t="shared" si="88"/>
        <v>6.9862697588554262E-2</v>
      </c>
    </row>
    <row r="142" spans="1:26" s="23" customFormat="1" hidden="1" outlineLevel="2" x14ac:dyDescent="0.25">
      <c r="A142" s="25"/>
      <c r="B142" s="10" t="str">
        <f>CONCATENATE("          ", "6285", " - ", "JANITORIAL SERVICES")</f>
        <v xml:space="preserve">          6285 - JANITORIAL SERVICES</v>
      </c>
      <c r="C142" s="10"/>
      <c r="D142" s="6">
        <v>108.27</v>
      </c>
      <c r="E142" s="2"/>
      <c r="F142" s="7">
        <f t="shared" si="81"/>
        <v>6.4928472235507026E-4</v>
      </c>
      <c r="G142" s="2"/>
      <c r="H142" s="6">
        <v>115.36</v>
      </c>
      <c r="I142" s="2"/>
      <c r="J142" s="7">
        <f t="shared" si="82"/>
        <v>8.5552049144371983E-4</v>
      </c>
      <c r="K142" s="2"/>
      <c r="L142" s="6">
        <f t="shared" si="83"/>
        <v>-7.0900000000000034</v>
      </c>
      <c r="M142" s="2"/>
      <c r="N142" s="7">
        <f t="shared" si="84"/>
        <v>-6.1459778085991706E-2</v>
      </c>
      <c r="O142" s="10"/>
      <c r="P142" s="6">
        <v>-732.12</v>
      </c>
      <c r="Q142" s="2"/>
      <c r="R142" s="7">
        <f t="shared" si="85"/>
        <v>-4.9538498999584439E-4</v>
      </c>
      <c r="S142" s="2"/>
      <c r="T142" s="6">
        <v>1239.33</v>
      </c>
      <c r="U142" s="2"/>
      <c r="V142" s="7">
        <f t="shared" si="86"/>
        <v>5.0311211131186479E-4</v>
      </c>
      <c r="W142" s="2"/>
      <c r="X142" s="6">
        <f t="shared" si="87"/>
        <v>-1971.4499999999998</v>
      </c>
      <c r="Y142" s="2"/>
      <c r="Z142" s="7">
        <f t="shared" si="88"/>
        <v>-1.5907385442134057</v>
      </c>
    </row>
    <row r="143" spans="1:26" s="26" customFormat="1" outlineLevel="1" collapsed="1" x14ac:dyDescent="0.25">
      <c r="A143" s="27"/>
      <c r="B143" s="12" t="str">
        <f>CONCATENATE("     ","Subscriptions &amp; Dues                              ")</f>
        <v xml:space="preserve">     Subscriptions &amp; Dues                              </v>
      </c>
      <c r="C143" s="12"/>
      <c r="D143" s="1">
        <f>SUM(OSRRefD22_16x_0)</f>
        <v>75</v>
      </c>
      <c r="E143" s="1"/>
      <c r="F143" s="5">
        <f t="shared" ref="F143:F145" si="89">IF(D$12=0,0,D143/D$12)</f>
        <v>4.4976774892980761E-4</v>
      </c>
      <c r="G143" s="1"/>
      <c r="H143" s="1">
        <f>SUM(OSRRefH22_16x_0)</f>
        <v>-10</v>
      </c>
      <c r="I143" s="1"/>
      <c r="J143" s="5">
        <f t="shared" ref="J143:J145" si="90">IF(H$12=0,0,H143/H$12)</f>
        <v>-7.4160930256910533E-5</v>
      </c>
      <c r="K143" s="1"/>
      <c r="L143" s="1">
        <f t="shared" ref="L143:L145" si="91">+D143-H143</f>
        <v>85</v>
      </c>
      <c r="M143" s="1"/>
      <c r="N143" s="5">
        <f t="shared" ref="N143:N145" si="92">IF(H143=0,0,L143/H143)</f>
        <v>-8.5</v>
      </c>
      <c r="O143" s="12"/>
      <c r="P143" s="1">
        <f>SUM(OSRRefP22_16x_0)</f>
        <v>7.7000000000000455</v>
      </c>
      <c r="Q143" s="1"/>
      <c r="R143" s="5">
        <f t="shared" ref="R143:R145" si="93">IF(P$12=0,0,P143/P$12)</f>
        <v>5.2101628462110372E-6</v>
      </c>
      <c r="S143" s="1"/>
      <c r="T143" s="1">
        <f>SUM(OSRRefT22_16x_0)</f>
        <v>572.99</v>
      </c>
      <c r="U143" s="1"/>
      <c r="V143" s="5">
        <f t="shared" ref="V143:V145" si="94">IF(T$12=0,0,T143/T$12)</f>
        <v>2.326081097533227E-4</v>
      </c>
      <c r="W143" s="1"/>
      <c r="X143" s="1">
        <f t="shared" ref="X143:X145" si="95">+P143-T143</f>
        <v>-565.29</v>
      </c>
      <c r="Y143" s="1"/>
      <c r="Z143" s="5">
        <f t="shared" ref="Z143:Z145" si="96">IF(T143=0,0,X143/T143)</f>
        <v>-0.98656172009982712</v>
      </c>
    </row>
    <row r="144" spans="1:26" s="23" customFormat="1" hidden="1" outlineLevel="2" x14ac:dyDescent="0.25">
      <c r="A144" s="25"/>
      <c r="B144" s="10" t="str">
        <f>CONCATENATE("          ", "6258", " - ", "MEMBERSHIP DUES")</f>
        <v xml:space="preserve">          6258 - MEMBERSHIP DUES</v>
      </c>
      <c r="C144" s="10"/>
      <c r="D144" s="6"/>
      <c r="E144" s="2"/>
      <c r="F144" s="7">
        <f t="shared" si="89"/>
        <v>0</v>
      </c>
      <c r="G144" s="2"/>
      <c r="H144" s="6">
        <v>-10</v>
      </c>
      <c r="I144" s="2"/>
      <c r="J144" s="7">
        <f t="shared" si="90"/>
        <v>-7.4160930256910533E-5</v>
      </c>
      <c r="K144" s="2"/>
      <c r="L144" s="6">
        <f t="shared" si="91"/>
        <v>10</v>
      </c>
      <c r="M144" s="2"/>
      <c r="N144" s="7">
        <f t="shared" si="92"/>
        <v>-1</v>
      </c>
      <c r="O144" s="10"/>
      <c r="P144" s="6">
        <v>-368.03</v>
      </c>
      <c r="Q144" s="2"/>
      <c r="R144" s="7">
        <f t="shared" si="93"/>
        <v>-2.4902548471312163E-4</v>
      </c>
      <c r="S144" s="2"/>
      <c r="T144" s="6">
        <v>112.93</v>
      </c>
      <c r="U144" s="2"/>
      <c r="V144" s="7">
        <f t="shared" si="94"/>
        <v>4.5844489143689654E-5</v>
      </c>
      <c r="W144" s="2"/>
      <c r="X144" s="6">
        <f t="shared" si="95"/>
        <v>-480.96</v>
      </c>
      <c r="Y144" s="2"/>
      <c r="Z144" s="7">
        <f t="shared" si="96"/>
        <v>-4.2589214557690598</v>
      </c>
    </row>
    <row r="145" spans="1:26" s="23" customFormat="1" hidden="1" outlineLevel="2" x14ac:dyDescent="0.25">
      <c r="A145" s="25"/>
      <c r="B145" s="10" t="str">
        <f>CONCATENATE("          ", "6275", " - ", "SUBSCRIPTIONS")</f>
        <v xml:space="preserve">          6275 - SUBSCRIPTIONS</v>
      </c>
      <c r="C145" s="10"/>
      <c r="D145" s="6">
        <v>75</v>
      </c>
      <c r="E145" s="2"/>
      <c r="F145" s="7">
        <f t="shared" si="89"/>
        <v>4.4976774892980761E-4</v>
      </c>
      <c r="G145" s="2"/>
      <c r="H145" s="6"/>
      <c r="I145" s="2"/>
      <c r="J145" s="7">
        <f t="shared" si="90"/>
        <v>0</v>
      </c>
      <c r="K145" s="2"/>
      <c r="L145" s="6">
        <f t="shared" si="91"/>
        <v>75</v>
      </c>
      <c r="M145" s="2"/>
      <c r="N145" s="7">
        <f t="shared" si="92"/>
        <v>0</v>
      </c>
      <c r="O145" s="10"/>
      <c r="P145" s="6">
        <v>375.73</v>
      </c>
      <c r="Q145" s="2"/>
      <c r="R145" s="7">
        <f t="shared" si="93"/>
        <v>2.5423564755933266E-4</v>
      </c>
      <c r="S145" s="2"/>
      <c r="T145" s="6">
        <v>460.06</v>
      </c>
      <c r="U145" s="2"/>
      <c r="V145" s="7">
        <f t="shared" si="94"/>
        <v>1.8676362060963305E-4</v>
      </c>
      <c r="W145" s="2"/>
      <c r="X145" s="6">
        <f t="shared" si="95"/>
        <v>-84.329999999999984</v>
      </c>
      <c r="Y145" s="2"/>
      <c r="Z145" s="7">
        <f t="shared" si="96"/>
        <v>-0.18330217797678561</v>
      </c>
    </row>
    <row r="146" spans="1:26" s="26" customFormat="1" outlineLevel="1" collapsed="1" x14ac:dyDescent="0.25">
      <c r="A146" s="27"/>
      <c r="B146" s="12" t="str">
        <f>CONCATENATE("     ","Supplies                                          ")</f>
        <v xml:space="preserve">     Supplies                                          </v>
      </c>
      <c r="C146" s="12"/>
      <c r="D146" s="1">
        <f>SUM(OSRRefD22_17x_0)</f>
        <v>266.36</v>
      </c>
      <c r="E146" s="1"/>
      <c r="F146" s="5">
        <f t="shared" ref="F146:F152" si="97">IF(D$12=0,0,D146/D$12)</f>
        <v>1.5973351680659141E-3</v>
      </c>
      <c r="G146" s="1"/>
      <c r="H146" s="1">
        <f>SUM(OSRRefH22_17x_0)</f>
        <v>536.04</v>
      </c>
      <c r="I146" s="1"/>
      <c r="J146" s="5">
        <f t="shared" ref="J146:J152" si="98">IF(H$12=0,0,H146/H$12)</f>
        <v>3.9753225054914316E-3</v>
      </c>
      <c r="K146" s="1"/>
      <c r="L146" s="1">
        <f t="shared" ref="L146:L152" si="99">+D146-H146</f>
        <v>-269.67999999999995</v>
      </c>
      <c r="M146" s="1"/>
      <c r="N146" s="5">
        <f t="shared" ref="N146:N152" si="100">IF(H146=0,0,L146/H146)</f>
        <v>-0.50309678382210277</v>
      </c>
      <c r="O146" s="12"/>
      <c r="P146" s="1">
        <f>SUM(OSRRefP22_17x_0)</f>
        <v>4189.1200000000008</v>
      </c>
      <c r="Q146" s="1"/>
      <c r="R146" s="5">
        <f t="shared" ref="R146:R152" si="101">IF(P$12=0,0,P146/P$12)</f>
        <v>2.8345451145869423E-3</v>
      </c>
      <c r="S146" s="1"/>
      <c r="T146" s="1">
        <f>SUM(OSRRefT22_17x_0)</f>
        <v>7017.53</v>
      </c>
      <c r="U146" s="1"/>
      <c r="V146" s="5">
        <f t="shared" ref="V146:V152" si="102">IF(T$12=0,0,T146/T$12)</f>
        <v>2.8488008314931056E-3</v>
      </c>
      <c r="W146" s="1"/>
      <c r="X146" s="1">
        <f t="shared" ref="X146:X152" si="103">+P146-T146</f>
        <v>-2828.4099999999989</v>
      </c>
      <c r="Y146" s="1"/>
      <c r="Z146" s="5">
        <f t="shared" ref="Z146:Z152" si="104">IF(T146=0,0,X146/T146)</f>
        <v>-0.40304922102221136</v>
      </c>
    </row>
    <row r="147" spans="1:26" s="23" customFormat="1" hidden="1" outlineLevel="2" x14ac:dyDescent="0.25">
      <c r="A147" s="25"/>
      <c r="B147" s="10" t="str">
        <f>CONCATENATE("          ", "6234", " - ", "EXPENDABLE SUPPLIES &amp; EQUIPMEN")</f>
        <v xml:space="preserve">          6234 - EXPENDABLE SUPPLIES &amp; EQUIPMEN</v>
      </c>
      <c r="C147" s="10"/>
      <c r="D147" s="6"/>
      <c r="E147" s="2"/>
      <c r="F147" s="7">
        <f t="shared" si="97"/>
        <v>0</v>
      </c>
      <c r="G147" s="2"/>
      <c r="H147" s="6"/>
      <c r="I147" s="2"/>
      <c r="J147" s="7">
        <f t="shared" si="98"/>
        <v>0</v>
      </c>
      <c r="K147" s="2"/>
      <c r="L147" s="6">
        <f t="shared" si="99"/>
        <v>0</v>
      </c>
      <c r="M147" s="2"/>
      <c r="N147" s="7">
        <f t="shared" si="100"/>
        <v>0</v>
      </c>
      <c r="O147" s="10"/>
      <c r="P147" s="6">
        <v>396.5</v>
      </c>
      <c r="Q147" s="2"/>
      <c r="R147" s="7">
        <f t="shared" si="101"/>
        <v>2.6828955435359271E-4</v>
      </c>
      <c r="S147" s="2"/>
      <c r="T147" s="6">
        <v>836.14</v>
      </c>
      <c r="U147" s="2"/>
      <c r="V147" s="7">
        <f t="shared" si="102"/>
        <v>3.394351470167773E-4</v>
      </c>
      <c r="W147" s="2"/>
      <c r="X147" s="6">
        <f t="shared" si="103"/>
        <v>-439.64</v>
      </c>
      <c r="Y147" s="2"/>
      <c r="Z147" s="7">
        <f t="shared" si="104"/>
        <v>-0.52579711531561701</v>
      </c>
    </row>
    <row r="148" spans="1:26" s="23" customFormat="1" hidden="1" outlineLevel="2" x14ac:dyDescent="0.25">
      <c r="A148" s="25"/>
      <c r="B148" s="10" t="str">
        <f>CONCATENATE("          ", "6235", " - ", "COVID-19 EXPENSES")</f>
        <v xml:space="preserve">          6235 - COVID-19 EXPENSES</v>
      </c>
      <c r="C148" s="10"/>
      <c r="D148" s="6"/>
      <c r="E148" s="2"/>
      <c r="F148" s="7">
        <f t="shared" si="97"/>
        <v>0</v>
      </c>
      <c r="G148" s="2"/>
      <c r="H148" s="6"/>
      <c r="I148" s="2"/>
      <c r="J148" s="7">
        <f t="shared" si="98"/>
        <v>0</v>
      </c>
      <c r="K148" s="2"/>
      <c r="L148" s="6">
        <f t="shared" si="99"/>
        <v>0</v>
      </c>
      <c r="M148" s="2"/>
      <c r="N148" s="7">
        <f t="shared" si="100"/>
        <v>0</v>
      </c>
      <c r="O148" s="10"/>
      <c r="P148" s="6">
        <v>1292.1300000000001</v>
      </c>
      <c r="Q148" s="2"/>
      <c r="R148" s="7">
        <f t="shared" si="101"/>
        <v>8.7431269071099071E-4</v>
      </c>
      <c r="S148" s="2"/>
      <c r="T148" s="6"/>
      <c r="U148" s="2"/>
      <c r="V148" s="7">
        <f t="shared" si="102"/>
        <v>0</v>
      </c>
      <c r="W148" s="2"/>
      <c r="X148" s="6">
        <f t="shared" si="103"/>
        <v>1292.1300000000001</v>
      </c>
      <c r="Y148" s="2"/>
      <c r="Z148" s="7">
        <f t="shared" si="104"/>
        <v>0</v>
      </c>
    </row>
    <row r="149" spans="1:26" s="23" customFormat="1" hidden="1" outlineLevel="2" x14ac:dyDescent="0.25">
      <c r="A149" s="25"/>
      <c r="B149" s="10" t="str">
        <f>CONCATENATE("          ", "6237", " - ", "JANITORIAL SUPPLIES")</f>
        <v xml:space="preserve">          6237 - JANITORIAL SUPPLIES</v>
      </c>
      <c r="C149" s="10"/>
      <c r="D149" s="6"/>
      <c r="E149" s="2"/>
      <c r="F149" s="7">
        <f t="shared" si="97"/>
        <v>0</v>
      </c>
      <c r="G149" s="2"/>
      <c r="H149" s="6">
        <v>382.7</v>
      </c>
      <c r="I149" s="2"/>
      <c r="J149" s="7">
        <f t="shared" si="98"/>
        <v>2.8381388009319657E-3</v>
      </c>
      <c r="K149" s="2"/>
      <c r="L149" s="6">
        <f t="shared" si="99"/>
        <v>-382.7</v>
      </c>
      <c r="M149" s="2"/>
      <c r="N149" s="7">
        <f t="shared" si="100"/>
        <v>-1</v>
      </c>
      <c r="O149" s="10"/>
      <c r="P149" s="6">
        <v>191.74</v>
      </c>
      <c r="Q149" s="2"/>
      <c r="R149" s="7">
        <f t="shared" si="101"/>
        <v>1.2973982131590889E-4</v>
      </c>
      <c r="S149" s="2"/>
      <c r="T149" s="6">
        <v>670.42</v>
      </c>
      <c r="U149" s="2"/>
      <c r="V149" s="7">
        <f t="shared" si="102"/>
        <v>2.7216029763315691E-4</v>
      </c>
      <c r="W149" s="2"/>
      <c r="X149" s="6">
        <f t="shared" si="103"/>
        <v>-478.67999999999995</v>
      </c>
      <c r="Y149" s="2"/>
      <c r="Z149" s="7">
        <f t="shared" si="104"/>
        <v>-0.71400017899227342</v>
      </c>
    </row>
    <row r="150" spans="1:26" s="23" customFormat="1" hidden="1" outlineLevel="2" x14ac:dyDescent="0.25">
      <c r="A150" s="25"/>
      <c r="B150" s="10" t="str">
        <f>CONCATENATE("          ", "6241", " - ", "OFFICE EXPENSE")</f>
        <v xml:space="preserve">          6241 - OFFICE EXPENSE</v>
      </c>
      <c r="C150" s="10"/>
      <c r="D150" s="6">
        <v>266.36</v>
      </c>
      <c r="E150" s="2"/>
      <c r="F150" s="7">
        <f t="shared" si="97"/>
        <v>1.5973351680659141E-3</v>
      </c>
      <c r="G150" s="2"/>
      <c r="H150" s="6">
        <v>157.34</v>
      </c>
      <c r="I150" s="2"/>
      <c r="J150" s="7">
        <f t="shared" si="98"/>
        <v>1.1668480766622302E-3</v>
      </c>
      <c r="K150" s="2"/>
      <c r="L150" s="6">
        <f t="shared" si="99"/>
        <v>109.02000000000001</v>
      </c>
      <c r="M150" s="2"/>
      <c r="N150" s="7">
        <f t="shared" si="100"/>
        <v>0.69289436888267453</v>
      </c>
      <c r="O150" s="10"/>
      <c r="P150" s="6">
        <v>1198.52</v>
      </c>
      <c r="Q150" s="2"/>
      <c r="R150" s="7">
        <f t="shared" si="101"/>
        <v>8.1097199668062536E-4</v>
      </c>
      <c r="S150" s="2"/>
      <c r="T150" s="6">
        <v>4778.54</v>
      </c>
      <c r="U150" s="2"/>
      <c r="V150" s="7">
        <f t="shared" si="102"/>
        <v>1.9398718246053904E-3</v>
      </c>
      <c r="W150" s="2"/>
      <c r="X150" s="6">
        <f t="shared" si="103"/>
        <v>-3580.02</v>
      </c>
      <c r="Y150" s="2"/>
      <c r="Z150" s="7">
        <f t="shared" si="104"/>
        <v>-0.74918699016854517</v>
      </c>
    </row>
    <row r="151" spans="1:26" s="23" customFormat="1" hidden="1" outlineLevel="2" x14ac:dyDescent="0.25">
      <c r="A151" s="25"/>
      <c r="B151" s="10" t="str">
        <f>CONCATENATE("          ", "6245", " - ", "PRINTING")</f>
        <v xml:space="preserve">          6245 - PRINTING</v>
      </c>
      <c r="C151" s="10"/>
      <c r="D151" s="6"/>
      <c r="E151" s="2"/>
      <c r="F151" s="7">
        <f t="shared" si="97"/>
        <v>0</v>
      </c>
      <c r="G151" s="2"/>
      <c r="H151" s="6"/>
      <c r="I151" s="2"/>
      <c r="J151" s="7">
        <f t="shared" si="98"/>
        <v>0</v>
      </c>
      <c r="K151" s="2"/>
      <c r="L151" s="6">
        <f t="shared" si="99"/>
        <v>0</v>
      </c>
      <c r="M151" s="2"/>
      <c r="N151" s="7">
        <f t="shared" si="100"/>
        <v>0</v>
      </c>
      <c r="O151" s="10"/>
      <c r="P151" s="6"/>
      <c r="Q151" s="2"/>
      <c r="R151" s="7">
        <f t="shared" si="101"/>
        <v>0</v>
      </c>
      <c r="S151" s="2"/>
      <c r="T151" s="6">
        <v>-506.93</v>
      </c>
      <c r="U151" s="2"/>
      <c r="V151" s="7">
        <f t="shared" si="102"/>
        <v>-2.0579072772169125E-4</v>
      </c>
      <c r="W151" s="2"/>
      <c r="X151" s="6">
        <f t="shared" si="103"/>
        <v>506.93</v>
      </c>
      <c r="Y151" s="2"/>
      <c r="Z151" s="7">
        <f t="shared" si="104"/>
        <v>-1</v>
      </c>
    </row>
    <row r="152" spans="1:26" s="23" customFormat="1" hidden="1" outlineLevel="2" x14ac:dyDescent="0.25">
      <c r="A152" s="25"/>
      <c r="B152" s="10" t="str">
        <f>CONCATENATE("          ", "6247", " - ", "STORE SUPPLIES")</f>
        <v xml:space="preserve">          6247 - STORE SUPPLIES</v>
      </c>
      <c r="C152" s="10"/>
      <c r="D152" s="6"/>
      <c r="E152" s="2"/>
      <c r="F152" s="7">
        <f t="shared" si="97"/>
        <v>0</v>
      </c>
      <c r="G152" s="2"/>
      <c r="H152" s="6">
        <v>-4</v>
      </c>
      <c r="I152" s="2"/>
      <c r="J152" s="7">
        <f t="shared" si="98"/>
        <v>-2.9664372102764213E-5</v>
      </c>
      <c r="K152" s="2"/>
      <c r="L152" s="6">
        <f t="shared" si="99"/>
        <v>4</v>
      </c>
      <c r="M152" s="2"/>
      <c r="N152" s="7">
        <f t="shared" si="100"/>
        <v>-1</v>
      </c>
      <c r="O152" s="10"/>
      <c r="P152" s="6">
        <v>1110.23</v>
      </c>
      <c r="Q152" s="2"/>
      <c r="R152" s="7">
        <f t="shared" si="101"/>
        <v>7.5123105152582407E-4</v>
      </c>
      <c r="S152" s="2"/>
      <c r="T152" s="6">
        <v>1239.3599999999999</v>
      </c>
      <c r="U152" s="2"/>
      <c r="V152" s="7">
        <f t="shared" si="102"/>
        <v>5.0312428995947221E-4</v>
      </c>
      <c r="W152" s="2"/>
      <c r="X152" s="6">
        <f t="shared" si="103"/>
        <v>-129.12999999999988</v>
      </c>
      <c r="Y152" s="2"/>
      <c r="Z152" s="7">
        <f t="shared" si="104"/>
        <v>-0.10419087270849461</v>
      </c>
    </row>
    <row r="153" spans="1:26" s="26" customFormat="1" outlineLevel="1" collapsed="1" x14ac:dyDescent="0.25">
      <c r="A153" s="27"/>
      <c r="B153" s="12" t="str">
        <f>CONCATENATE("     ","Telephone/Data Lines                              ")</f>
        <v xml:space="preserve">     Telephone/Data Lines                              </v>
      </c>
      <c r="C153" s="12"/>
      <c r="D153" s="1">
        <f>SUM(OSRRefD22_18x_0)</f>
        <v>326.89999999999998</v>
      </c>
      <c r="E153" s="1"/>
      <c r="F153" s="5">
        <f t="shared" ref="F153:F159" si="105">IF(D$12=0,0,D153/D$12)</f>
        <v>1.9603876950020547E-3</v>
      </c>
      <c r="G153" s="1"/>
      <c r="H153" s="1">
        <f>SUM(OSRRefH22_18x_0)</f>
        <v>-323.99</v>
      </c>
      <c r="I153" s="1"/>
      <c r="J153" s="5">
        <f t="shared" ref="J153:J159" si="106">IF(H$12=0,0,H153/H$12)</f>
        <v>-2.4027399793936444E-3</v>
      </c>
      <c r="K153" s="1"/>
      <c r="L153" s="1">
        <f t="shared" ref="L153:L159" si="107">+D153-H153</f>
        <v>650.89</v>
      </c>
      <c r="M153" s="1"/>
      <c r="N153" s="5">
        <f t="shared" ref="N153:N159" si="108">IF(H153=0,0,L153/H153)</f>
        <v>-2.0089817586962559</v>
      </c>
      <c r="O153" s="12"/>
      <c r="P153" s="1">
        <f>SUM(OSRRefP22_18x_0)</f>
        <v>5428.73</v>
      </c>
      <c r="Q153" s="1"/>
      <c r="R153" s="5">
        <f t="shared" ref="R153:R159" si="109">IF(P$12=0,0,P153/P$12)</f>
        <v>3.6733204348196199E-3</v>
      </c>
      <c r="S153" s="1"/>
      <c r="T153" s="1">
        <f>SUM(OSRRefT22_18x_0)</f>
        <v>7011.8</v>
      </c>
      <c r="U153" s="1"/>
      <c r="V153" s="5">
        <f t="shared" ref="V153:V159" si="110">IF(T$12=0,0,T153/T$12)</f>
        <v>2.8464747098000806E-3</v>
      </c>
      <c r="W153" s="1"/>
      <c r="X153" s="1">
        <f t="shared" ref="X153:X159" si="111">+P153-T153</f>
        <v>-1583.0700000000006</v>
      </c>
      <c r="Y153" s="1"/>
      <c r="Z153" s="5">
        <f t="shared" ref="Z153:Z159" si="112">IF(T153=0,0,X153/T153)</f>
        <v>-0.22577226960266986</v>
      </c>
    </row>
    <row r="154" spans="1:26" s="23" customFormat="1" hidden="1" outlineLevel="2" x14ac:dyDescent="0.25">
      <c r="A154" s="25"/>
      <c r="B154" s="10" t="str">
        <f>CONCATENATE("          ", "6309", " - ", "TELEPHONE")</f>
        <v xml:space="preserve">          6309 - TELEPHONE</v>
      </c>
      <c r="C154" s="10"/>
      <c r="D154" s="6">
        <v>326.89999999999998</v>
      </c>
      <c r="E154" s="2"/>
      <c r="F154" s="7">
        <f t="shared" si="105"/>
        <v>1.9603876950020547E-3</v>
      </c>
      <c r="G154" s="2"/>
      <c r="H154" s="6">
        <v>-323.99</v>
      </c>
      <c r="I154" s="2"/>
      <c r="J154" s="7">
        <f t="shared" si="106"/>
        <v>-2.4027399793936444E-3</v>
      </c>
      <c r="K154" s="2"/>
      <c r="L154" s="6">
        <f t="shared" si="107"/>
        <v>650.89</v>
      </c>
      <c r="M154" s="2"/>
      <c r="N154" s="7">
        <f t="shared" si="108"/>
        <v>-2.0089817586962559</v>
      </c>
      <c r="O154" s="10"/>
      <c r="P154" s="6">
        <v>5428.73</v>
      </c>
      <c r="Q154" s="2"/>
      <c r="R154" s="7">
        <f t="shared" si="109"/>
        <v>3.6733204348196199E-3</v>
      </c>
      <c r="S154" s="2"/>
      <c r="T154" s="6">
        <v>7011.8</v>
      </c>
      <c r="U154" s="2"/>
      <c r="V154" s="7">
        <f t="shared" si="110"/>
        <v>2.8464747098000806E-3</v>
      </c>
      <c r="W154" s="2"/>
      <c r="X154" s="6">
        <f t="shared" si="111"/>
        <v>-1583.0700000000006</v>
      </c>
      <c r="Y154" s="2"/>
      <c r="Z154" s="7">
        <f t="shared" si="112"/>
        <v>-0.22577226960266986</v>
      </c>
    </row>
    <row r="155" spans="1:26" s="26" customFormat="1" outlineLevel="1" collapsed="1" x14ac:dyDescent="0.25">
      <c r="A155" s="27"/>
      <c r="B155" s="12" t="str">
        <f>CONCATENATE("     ","Training                                          ")</f>
        <v xml:space="preserve">     Training                                          </v>
      </c>
      <c r="C155" s="12"/>
      <c r="D155" s="1">
        <f>SUM(OSRRefD22_19x_0)</f>
        <v>0</v>
      </c>
      <c r="E155" s="1"/>
      <c r="F155" s="5">
        <f t="shared" si="105"/>
        <v>0</v>
      </c>
      <c r="G155" s="1"/>
      <c r="H155" s="1">
        <f>SUM(OSRRefH22_19x_0)</f>
        <v>1558.55</v>
      </c>
      <c r="I155" s="1"/>
      <c r="J155" s="5">
        <f t="shared" si="106"/>
        <v>1.1558351785190791E-2</v>
      </c>
      <c r="K155" s="1"/>
      <c r="L155" s="1">
        <f t="shared" si="107"/>
        <v>-1558.55</v>
      </c>
      <c r="M155" s="1"/>
      <c r="N155" s="5">
        <f t="shared" si="108"/>
        <v>-1</v>
      </c>
      <c r="O155" s="12"/>
      <c r="P155" s="1">
        <f>SUM(OSRRefP22_19x_0)</f>
        <v>0</v>
      </c>
      <c r="Q155" s="1"/>
      <c r="R155" s="5">
        <f t="shared" si="109"/>
        <v>0</v>
      </c>
      <c r="S155" s="1"/>
      <c r="T155" s="1">
        <f>SUM(OSRRefT22_19x_0)</f>
        <v>5264.54</v>
      </c>
      <c r="U155" s="1"/>
      <c r="V155" s="5">
        <f t="shared" si="110"/>
        <v>2.1371659158462755E-3</v>
      </c>
      <c r="W155" s="1"/>
      <c r="X155" s="1">
        <f t="shared" si="111"/>
        <v>-5264.54</v>
      </c>
      <c r="Y155" s="1"/>
      <c r="Z155" s="5">
        <f t="shared" si="112"/>
        <v>-1</v>
      </c>
    </row>
    <row r="156" spans="1:26" s="23" customFormat="1" hidden="1" outlineLevel="2" x14ac:dyDescent="0.25">
      <c r="A156" s="25"/>
      <c r="B156" s="10" t="str">
        <f>CONCATENATE("          ", "6376", " - ", "TRAINING")</f>
        <v xml:space="preserve">          6376 - TRAINING</v>
      </c>
      <c r="C156" s="10"/>
      <c r="D156" s="6"/>
      <c r="E156" s="2"/>
      <c r="F156" s="7">
        <f t="shared" si="105"/>
        <v>0</v>
      </c>
      <c r="G156" s="2"/>
      <c r="H156" s="6">
        <v>1558.55</v>
      </c>
      <c r="I156" s="2"/>
      <c r="J156" s="7">
        <f t="shared" si="106"/>
        <v>1.1558351785190791E-2</v>
      </c>
      <c r="K156" s="2"/>
      <c r="L156" s="6">
        <f t="shared" si="107"/>
        <v>-1558.55</v>
      </c>
      <c r="M156" s="2"/>
      <c r="N156" s="7">
        <f t="shared" si="108"/>
        <v>-1</v>
      </c>
      <c r="O156" s="10"/>
      <c r="P156" s="6"/>
      <c r="Q156" s="2"/>
      <c r="R156" s="7">
        <f t="shared" si="109"/>
        <v>0</v>
      </c>
      <c r="S156" s="2"/>
      <c r="T156" s="6">
        <v>5264.54</v>
      </c>
      <c r="U156" s="2"/>
      <c r="V156" s="7">
        <f t="shared" si="110"/>
        <v>2.1371659158462755E-3</v>
      </c>
      <c r="W156" s="2"/>
      <c r="X156" s="6">
        <f t="shared" si="111"/>
        <v>-5264.54</v>
      </c>
      <c r="Y156" s="2"/>
      <c r="Z156" s="7">
        <f t="shared" si="112"/>
        <v>-1</v>
      </c>
    </row>
    <row r="157" spans="1:26" s="26" customFormat="1" outlineLevel="1" collapsed="1" x14ac:dyDescent="0.25">
      <c r="A157" s="27"/>
      <c r="B157" s="12" t="str">
        <f>CONCATENATE("     ","Travel                                            ")</f>
        <v xml:space="preserve">     Travel                                            </v>
      </c>
      <c r="C157" s="12"/>
      <c r="D157" s="1">
        <f>SUM(OSRRefD22_20x_0)</f>
        <v>93.02</v>
      </c>
      <c r="E157" s="1"/>
      <c r="F157" s="5">
        <f t="shared" si="105"/>
        <v>5.5783194673934269E-4</v>
      </c>
      <c r="G157" s="1"/>
      <c r="H157" s="1">
        <f>SUM(OSRRefH22_20x_0)</f>
        <v>14.13</v>
      </c>
      <c r="I157" s="1"/>
      <c r="J157" s="5">
        <f t="shared" si="106"/>
        <v>1.0478939445301458E-4</v>
      </c>
      <c r="K157" s="1"/>
      <c r="L157" s="1">
        <f t="shared" si="107"/>
        <v>78.89</v>
      </c>
      <c r="M157" s="1"/>
      <c r="N157" s="5">
        <f t="shared" si="108"/>
        <v>5.5831564048124553</v>
      </c>
      <c r="O157" s="12"/>
      <c r="P157" s="1">
        <f>SUM(OSRRefP22_20x_0)</f>
        <v>544.28</v>
      </c>
      <c r="Q157" s="1"/>
      <c r="R157" s="5">
        <f t="shared" si="109"/>
        <v>3.682840823293151E-4</v>
      </c>
      <c r="S157" s="1"/>
      <c r="T157" s="1">
        <f>SUM(OSRRefT22_20x_0)</f>
        <v>612.98</v>
      </c>
      <c r="U157" s="1"/>
      <c r="V157" s="5">
        <f t="shared" si="110"/>
        <v>2.4884224701406961E-4</v>
      </c>
      <c r="W157" s="1"/>
      <c r="X157" s="1">
        <f t="shared" si="111"/>
        <v>-68.700000000000045</v>
      </c>
      <c r="Y157" s="1"/>
      <c r="Z157" s="5">
        <f t="shared" si="112"/>
        <v>-0.11207543476132997</v>
      </c>
    </row>
    <row r="158" spans="1:26" s="23" customFormat="1" hidden="1" outlineLevel="2" x14ac:dyDescent="0.25">
      <c r="A158" s="25"/>
      <c r="B158" s="10" t="str">
        <f>CONCATENATE("          ", "6292", " - ", "TRAVEL/CONFERENCE")</f>
        <v xml:space="preserve">          6292 - TRAVEL/CONFERENCE</v>
      </c>
      <c r="C158" s="10"/>
      <c r="D158" s="6"/>
      <c r="E158" s="2"/>
      <c r="F158" s="7">
        <f t="shared" si="105"/>
        <v>0</v>
      </c>
      <c r="G158" s="2"/>
      <c r="H158" s="6"/>
      <c r="I158" s="2"/>
      <c r="J158" s="7">
        <f t="shared" si="106"/>
        <v>0</v>
      </c>
      <c r="K158" s="2"/>
      <c r="L158" s="6">
        <f t="shared" si="107"/>
        <v>0</v>
      </c>
      <c r="M158" s="2"/>
      <c r="N158" s="7">
        <f t="shared" si="108"/>
        <v>0</v>
      </c>
      <c r="O158" s="10"/>
      <c r="P158" s="6"/>
      <c r="Q158" s="2"/>
      <c r="R158" s="7">
        <f t="shared" si="109"/>
        <v>0</v>
      </c>
      <c r="S158" s="2"/>
      <c r="T158" s="6">
        <v>107.04</v>
      </c>
      <c r="U158" s="2"/>
      <c r="V158" s="7">
        <f t="shared" si="110"/>
        <v>4.3453414663424602E-5</v>
      </c>
      <c r="W158" s="2"/>
      <c r="X158" s="6">
        <f t="shared" si="111"/>
        <v>-107.04</v>
      </c>
      <c r="Y158" s="2"/>
      <c r="Z158" s="7">
        <f t="shared" si="112"/>
        <v>-1</v>
      </c>
    </row>
    <row r="159" spans="1:26" s="23" customFormat="1" hidden="1" outlineLevel="2" x14ac:dyDescent="0.25">
      <c r="A159" s="25"/>
      <c r="B159" s="10" t="str">
        <f>CONCATENATE("          ", "6294", " - ", "TRAVEL OPERATIONAL")</f>
        <v xml:space="preserve">          6294 - TRAVEL OPERATIONAL</v>
      </c>
      <c r="C159" s="10"/>
      <c r="D159" s="6">
        <v>93.02</v>
      </c>
      <c r="E159" s="2"/>
      <c r="F159" s="7">
        <f t="shared" si="105"/>
        <v>5.5783194673934269E-4</v>
      </c>
      <c r="G159" s="2"/>
      <c r="H159" s="6">
        <v>14.13</v>
      </c>
      <c r="I159" s="2"/>
      <c r="J159" s="7">
        <f t="shared" si="106"/>
        <v>1.0478939445301458E-4</v>
      </c>
      <c r="K159" s="2"/>
      <c r="L159" s="6">
        <f t="shared" si="107"/>
        <v>78.89</v>
      </c>
      <c r="M159" s="2"/>
      <c r="N159" s="7">
        <f t="shared" si="108"/>
        <v>5.5831564048124553</v>
      </c>
      <c r="O159" s="10"/>
      <c r="P159" s="6">
        <v>544.28</v>
      </c>
      <c r="Q159" s="2"/>
      <c r="R159" s="7">
        <f t="shared" si="109"/>
        <v>3.682840823293151E-4</v>
      </c>
      <c r="S159" s="2"/>
      <c r="T159" s="6">
        <v>505.94</v>
      </c>
      <c r="U159" s="2"/>
      <c r="V159" s="7">
        <f t="shared" si="110"/>
        <v>2.0538883235064501E-4</v>
      </c>
      <c r="W159" s="2"/>
      <c r="X159" s="6">
        <f t="shared" si="111"/>
        <v>38.339999999999975</v>
      </c>
      <c r="Y159" s="2"/>
      <c r="Z159" s="7">
        <f t="shared" si="112"/>
        <v>7.577973672767517E-2</v>
      </c>
    </row>
    <row r="160" spans="1:26" s="26" customFormat="1" outlineLevel="1" collapsed="1" x14ac:dyDescent="0.25">
      <c r="A160" s="27"/>
      <c r="B160" s="12" t="str">
        <f>CONCATENATE("     ","Utilities                                         ")</f>
        <v xml:space="preserve">     Utilities                                         </v>
      </c>
      <c r="C160" s="12"/>
      <c r="D160" s="1">
        <f>SUM(OSRRefD22_21x_0)</f>
        <v>30.45</v>
      </c>
      <c r="E160" s="1"/>
      <c r="F160" s="5">
        <f t="shared" ref="F160:F161" si="113">IF(D$12=0,0,D160/D$12)</f>
        <v>1.8260570606550187E-4</v>
      </c>
      <c r="G160" s="1"/>
      <c r="H160" s="1">
        <f>SUM(OSRRefH22_21x_0)</f>
        <v>12.51</v>
      </c>
      <c r="I160" s="1"/>
      <c r="J160" s="5">
        <f t="shared" ref="J160:J161" si="114">IF(H$12=0,0,H160/H$12)</f>
        <v>9.2775323751395069E-5</v>
      </c>
      <c r="K160" s="1"/>
      <c r="L160" s="1">
        <f t="shared" ref="L160:L161" si="115">+D160-H160</f>
        <v>17.939999999999998</v>
      </c>
      <c r="M160" s="1"/>
      <c r="N160" s="5">
        <f t="shared" ref="N160:N161" si="116">IF(H160=0,0,L160/H160)</f>
        <v>1.4340527577937647</v>
      </c>
      <c r="O160" s="12"/>
      <c r="P160" s="1">
        <f>SUM(OSRRefP22_21x_0)</f>
        <v>235.6</v>
      </c>
      <c r="Q160" s="1"/>
      <c r="R160" s="5">
        <f t="shared" ref="R160:R161" si="117">IF(P$12=0,0,P160/P$12)</f>
        <v>1.5941745020354715E-4</v>
      </c>
      <c r="S160" s="1"/>
      <c r="T160" s="1">
        <f>SUM(OSRRefT22_21x_0)</f>
        <v>2866.3</v>
      </c>
      <c r="U160" s="1"/>
      <c r="V160" s="5">
        <f t="shared" ref="V160:V161" si="118">IF(T$12=0,0,T160/T$12)</f>
        <v>1.1635885879089493E-3</v>
      </c>
      <c r="W160" s="1"/>
      <c r="X160" s="1">
        <f t="shared" ref="X160:X161" si="119">+P160-T160</f>
        <v>-2630.7000000000003</v>
      </c>
      <c r="Y160" s="1"/>
      <c r="Z160" s="5">
        <f t="shared" ref="Z160:Z161" si="120">IF(T160=0,0,X160/T160)</f>
        <v>-0.91780343997488056</v>
      </c>
    </row>
    <row r="161" spans="1:26" s="23" customFormat="1" hidden="1" outlineLevel="2" x14ac:dyDescent="0.25">
      <c r="A161" s="25"/>
      <c r="B161" s="10" t="str">
        <f>CONCATENATE("          ", "6274", " - ", "UTILITIES")</f>
        <v xml:space="preserve">          6274 - UTILITIES</v>
      </c>
      <c r="C161" s="10"/>
      <c r="D161" s="6">
        <v>30.45</v>
      </c>
      <c r="E161" s="2"/>
      <c r="F161" s="7">
        <f t="shared" si="113"/>
        <v>1.8260570606550187E-4</v>
      </c>
      <c r="G161" s="2"/>
      <c r="H161" s="6">
        <v>12.51</v>
      </c>
      <c r="I161" s="2"/>
      <c r="J161" s="7">
        <f t="shared" si="114"/>
        <v>9.2775323751395069E-5</v>
      </c>
      <c r="K161" s="2"/>
      <c r="L161" s="6">
        <f t="shared" si="115"/>
        <v>17.939999999999998</v>
      </c>
      <c r="M161" s="2"/>
      <c r="N161" s="7">
        <f t="shared" si="116"/>
        <v>1.4340527577937647</v>
      </c>
      <c r="O161" s="10"/>
      <c r="P161" s="6">
        <v>235.6</v>
      </c>
      <c r="Q161" s="2"/>
      <c r="R161" s="7">
        <f t="shared" si="117"/>
        <v>1.5941745020354715E-4</v>
      </c>
      <c r="S161" s="2"/>
      <c r="T161" s="6">
        <v>2866.3</v>
      </c>
      <c r="U161" s="2"/>
      <c r="V161" s="7">
        <f t="shared" si="118"/>
        <v>1.1635885879089493E-3</v>
      </c>
      <c r="W161" s="2"/>
      <c r="X161" s="6">
        <f t="shared" si="119"/>
        <v>-2630.7000000000003</v>
      </c>
      <c r="Y161" s="2"/>
      <c r="Z161" s="7">
        <f t="shared" si="120"/>
        <v>-0.91780343997488056</v>
      </c>
    </row>
    <row r="162" spans="1:26" s="60" customFormat="1" x14ac:dyDescent="0.25">
      <c r="A162" s="37"/>
      <c r="B162" s="37"/>
      <c r="C162" s="37"/>
      <c r="D162" s="1"/>
      <c r="E162" s="1"/>
      <c r="F162" s="5"/>
      <c r="G162" s="1"/>
      <c r="H162" s="1"/>
      <c r="I162" s="1"/>
      <c r="J162" s="5"/>
      <c r="K162" s="1"/>
      <c r="L162" s="1"/>
      <c r="M162" s="1"/>
      <c r="N162" s="5"/>
      <c r="O162" s="37"/>
      <c r="P162" s="1"/>
      <c r="Q162" s="1"/>
      <c r="R162" s="5"/>
      <c r="S162" s="1"/>
      <c r="T162" s="1"/>
      <c r="U162" s="1"/>
      <c r="V162" s="5"/>
      <c r="W162" s="1"/>
      <c r="X162" s="1"/>
      <c r="Y162" s="1"/>
      <c r="Z162" s="5"/>
    </row>
    <row r="163" spans="1:26" s="24" customFormat="1" collapsed="1" x14ac:dyDescent="0.25">
      <c r="A163" s="11"/>
      <c r="B163" s="28" t="s">
        <v>292</v>
      </c>
      <c r="C163" s="11"/>
      <c r="D163" s="4">
        <f>SUM(OSRRefD25x_0)</f>
        <v>175014.7</v>
      </c>
      <c r="E163" s="4"/>
      <c r="F163" s="13">
        <f t="shared" ref="F163:F165" si="121">IF(D$12=0,0,D163/D$12)</f>
        <v>1.049546235315008</v>
      </c>
      <c r="G163" s="4"/>
      <c r="H163" s="4">
        <f>SUM(OSRRefH25x_0)</f>
        <v>3338.98</v>
      </c>
      <c r="I163" s="4"/>
      <c r="J163" s="13">
        <f t="shared" ref="J163:J165" si="122">IF(H$12=0,0,H163/H$12)</f>
        <v>2.476218629092191E-2</v>
      </c>
      <c r="K163" s="4"/>
      <c r="L163" s="4">
        <f t="shared" ref="L163:L165" si="123">+D163-H163</f>
        <v>171675.72</v>
      </c>
      <c r="M163" s="4"/>
      <c r="N163" s="13">
        <f t="shared" ref="N163:N165" si="124">IF(H163=0,0,L163/H163)</f>
        <v>51.415617943204211</v>
      </c>
      <c r="O163" s="11"/>
      <c r="P163" s="4">
        <f>SUM(OSRRefP25x_0)</f>
        <v>392807.77</v>
      </c>
      <c r="Q163" s="4"/>
      <c r="R163" s="13">
        <f t="shared" ref="R163:R165" si="125">IF(P$12=0,0,P163/P$12)</f>
        <v>0.26579122713727255</v>
      </c>
      <c r="S163" s="4"/>
      <c r="T163" s="4">
        <f>SUM(OSRRefT25x_0)</f>
        <v>42793.87</v>
      </c>
      <c r="U163" s="4"/>
      <c r="V163" s="13">
        <f t="shared" ref="V163:V165" si="126">IF(T$12=0,0,T163/T$12)</f>
        <v>1.7372382082984736E-2</v>
      </c>
      <c r="W163" s="4"/>
      <c r="X163" s="4">
        <f t="shared" ref="X163:X165" si="127">+P163-T163</f>
        <v>350013.9</v>
      </c>
      <c r="Y163" s="4"/>
      <c r="Z163" s="13">
        <f t="shared" ref="Z163:Z165" si="128">IF(T163=0,0,X163/T163)</f>
        <v>8.1790663008510336</v>
      </c>
    </row>
    <row r="164" spans="1:26" s="23" customFormat="1" hidden="1" outlineLevel="1" x14ac:dyDescent="0.25">
      <c r="A164" s="44"/>
      <c r="B164" s="10" t="str">
        <f>CONCATENATE("          ", "9150", " - ", "MISC. INCOME")</f>
        <v xml:space="preserve">          9150 - MISC. INCOME</v>
      </c>
      <c r="C164" s="10"/>
      <c r="D164" s="2">
        <f>0</f>
        <v>0</v>
      </c>
      <c r="E164" s="2"/>
      <c r="F164" s="19">
        <f t="shared" si="121"/>
        <v>0</v>
      </c>
      <c r="G164" s="2"/>
      <c r="H164" s="2">
        <f>--3338.98</f>
        <v>3338.98</v>
      </c>
      <c r="I164" s="2"/>
      <c r="J164" s="19">
        <f t="shared" si="122"/>
        <v>2.476218629092191E-2</v>
      </c>
      <c r="K164" s="2"/>
      <c r="L164" s="2">
        <f t="shared" si="123"/>
        <v>-3338.98</v>
      </c>
      <c r="M164" s="2"/>
      <c r="N164" s="19">
        <f t="shared" si="124"/>
        <v>-1</v>
      </c>
      <c r="O164" s="10"/>
      <c r="P164" s="2">
        <f>--46373.31</f>
        <v>46373.31</v>
      </c>
      <c r="Q164" s="2"/>
      <c r="R164" s="19">
        <f t="shared" si="125"/>
        <v>3.1378246339977316E-2</v>
      </c>
      <c r="S164" s="2"/>
      <c r="T164" s="2">
        <f>--42793.87</f>
        <v>42793.87</v>
      </c>
      <c r="U164" s="2"/>
      <c r="V164" s="19">
        <f t="shared" si="126"/>
        <v>1.7372382082984736E-2</v>
      </c>
      <c r="W164" s="2"/>
      <c r="X164" s="2">
        <f t="shared" si="127"/>
        <v>3579.4399999999951</v>
      </c>
      <c r="Y164" s="2"/>
      <c r="Z164" s="19">
        <f t="shared" si="128"/>
        <v>8.36437555191899E-2</v>
      </c>
    </row>
    <row r="165" spans="1:26" s="23" customFormat="1" hidden="1" outlineLevel="1" x14ac:dyDescent="0.25">
      <c r="A165" s="44"/>
      <c r="B165" s="10" t="str">
        <f>CONCATENATE("          ", "9163", " - ", "MISC. INCOME")</f>
        <v xml:space="preserve">          9163 - MISC. INCOME</v>
      </c>
      <c r="C165" s="10"/>
      <c r="D165" s="2">
        <f>--175014.7</f>
        <v>175014.7</v>
      </c>
      <c r="E165" s="2"/>
      <c r="F165" s="19">
        <f t="shared" si="121"/>
        <v>1.049546235315008</v>
      </c>
      <c r="G165" s="2"/>
      <c r="H165" s="2">
        <f>0</f>
        <v>0</v>
      </c>
      <c r="I165" s="2"/>
      <c r="J165" s="19">
        <f t="shared" si="122"/>
        <v>0</v>
      </c>
      <c r="K165" s="2"/>
      <c r="L165" s="2">
        <f t="shared" si="123"/>
        <v>175014.7</v>
      </c>
      <c r="M165" s="2"/>
      <c r="N165" s="19">
        <f t="shared" si="124"/>
        <v>0</v>
      </c>
      <c r="O165" s="10"/>
      <c r="P165" s="2">
        <f>--346434.46</f>
        <v>346434.46</v>
      </c>
      <c r="Q165" s="2"/>
      <c r="R165" s="19">
        <f t="shared" si="125"/>
        <v>0.23441298079729522</v>
      </c>
      <c r="S165" s="2"/>
      <c r="T165" s="2">
        <f>0</f>
        <v>0</v>
      </c>
      <c r="U165" s="2"/>
      <c r="V165" s="19">
        <f t="shared" si="126"/>
        <v>0</v>
      </c>
      <c r="W165" s="2"/>
      <c r="X165" s="2">
        <f t="shared" si="127"/>
        <v>346434.46</v>
      </c>
      <c r="Y165" s="2"/>
      <c r="Z165" s="19">
        <f t="shared" si="128"/>
        <v>0</v>
      </c>
    </row>
    <row r="166" spans="1:26" x14ac:dyDescent="0.25">
      <c r="A166" s="9"/>
      <c r="B166" s="11"/>
      <c r="C166" s="11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O166" s="11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4" customFormat="1" x14ac:dyDescent="0.25">
      <c r="A167" s="11"/>
      <c r="B167" s="29" t="s">
        <v>276</v>
      </c>
      <c r="C167" s="29"/>
      <c r="D167" s="22">
        <f>+D88-D90+D163</f>
        <v>188846.75000000003</v>
      </c>
      <c r="E167" s="14"/>
      <c r="F167" s="20">
        <f>IF(D$12=0,0,D167/D$12)</f>
        <v>1.1324957018694688</v>
      </c>
      <c r="G167" s="14"/>
      <c r="H167" s="22">
        <f>+H88-H90+H163</f>
        <v>-5907.7400000000162</v>
      </c>
      <c r="I167" s="14"/>
      <c r="J167" s="20">
        <f>IF(H$12=0,0,H167/H$12)</f>
        <v>-4.3812349411596181E-2</v>
      </c>
      <c r="K167" s="15"/>
      <c r="L167" s="22">
        <f>+D167-H167</f>
        <v>194754.49000000005</v>
      </c>
      <c r="M167" s="15"/>
      <c r="N167" s="20">
        <f>IF(H167=0,0,L167/H167)</f>
        <v>-32.965988686028751</v>
      </c>
      <c r="O167" s="28"/>
      <c r="P167" s="22">
        <f>+P88-P90+P163</f>
        <v>428581.31000000017</v>
      </c>
      <c r="Q167" s="14"/>
      <c r="R167" s="20">
        <f>IF(P$12=0,0,P167/P$12)</f>
        <v>0.28999719713538213</v>
      </c>
      <c r="S167" s="14"/>
      <c r="T167" s="22">
        <f>+T88-T90+T163</f>
        <v>538336.99000000022</v>
      </c>
      <c r="U167" s="14"/>
      <c r="V167" s="20">
        <f>IF(T$12=0,0,T167/T$12)</f>
        <v>0.21854054984239416</v>
      </c>
      <c r="W167" s="15"/>
      <c r="X167" s="22">
        <f>+P167-T167</f>
        <v>-109755.68000000005</v>
      </c>
      <c r="Y167" s="15"/>
      <c r="Z167" s="20">
        <f>IF(T167=0,0,X167/T167)</f>
        <v>-0.20387913526061066</v>
      </c>
    </row>
    <row r="168" spans="1:26" x14ac:dyDescent="0.25">
      <c r="A168" s="9"/>
      <c r="B168" s="11"/>
      <c r="C168" s="9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4" customFormat="1" x14ac:dyDescent="0.25">
      <c r="A169" s="51"/>
      <c r="B169" s="11" t="s">
        <v>127</v>
      </c>
      <c r="C169" s="11"/>
      <c r="D169" s="4">
        <v>44928.43</v>
      </c>
      <c r="E169" s="4"/>
      <c r="F169" s="13">
        <f>IF(D$12=0,0,D169/D$12)</f>
        <v>0.26943145098733912</v>
      </c>
      <c r="G169" s="4"/>
      <c r="H169" s="4">
        <v>26632.78</v>
      </c>
      <c r="I169" s="4"/>
      <c r="J169" s="13">
        <f>IF(H$12=0,0,H169/H$12)</f>
        <v>0.19751117401276413</v>
      </c>
      <c r="K169" s="4"/>
      <c r="L169" s="4">
        <f>+D169-H169</f>
        <v>18295.650000000001</v>
      </c>
      <c r="M169" s="4"/>
      <c r="N169" s="13">
        <f>IF(H169=0,0,L169/H169)</f>
        <v>0.68695982920295973</v>
      </c>
      <c r="O169" s="11"/>
      <c r="P169" s="4">
        <v>304578.7</v>
      </c>
      <c r="Q169" s="4"/>
      <c r="R169" s="13">
        <f>IF(P$12=0,0,P169/P$12)</f>
        <v>0.20609150993340886</v>
      </c>
      <c r="S169" s="4"/>
      <c r="T169" s="4">
        <v>263951.53000000003</v>
      </c>
      <c r="U169" s="4"/>
      <c r="V169" s="13">
        <f>IF(T$12=0,0,T169/T$12)</f>
        <v>0.1071524223106816</v>
      </c>
      <c r="W169" s="4"/>
      <c r="X169" s="4">
        <f>+P169-T169</f>
        <v>40627.169999999984</v>
      </c>
      <c r="Y169" s="4"/>
      <c r="Z169" s="13">
        <f>IF(T169=0,0,X169/T169)</f>
        <v>0.15391905475978859</v>
      </c>
    </row>
    <row r="170" spans="1:26" x14ac:dyDescent="0.25">
      <c r="A170" s="9"/>
      <c r="B170" s="11"/>
      <c r="C170" s="11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O170" s="11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4" customFormat="1" ht="15.75" thickBot="1" x14ac:dyDescent="0.3">
      <c r="A171" s="11"/>
      <c r="B171" s="29" t="s">
        <v>125</v>
      </c>
      <c r="C171" s="29"/>
      <c r="D171" s="30">
        <f>+D167-D169</f>
        <v>143918.32000000004</v>
      </c>
      <c r="E171" s="14"/>
      <c r="F171" s="36">
        <f>IF(D$12=0,0,D171/D$12)</f>
        <v>0.86306425088212968</v>
      </c>
      <c r="G171" s="14"/>
      <c r="H171" s="30">
        <f>+H167-H169</f>
        <v>-32540.520000000015</v>
      </c>
      <c r="I171" s="14"/>
      <c r="J171" s="36">
        <f>IF(H$12=0,0,H171/H$12)</f>
        <v>-0.24132352342436034</v>
      </c>
      <c r="K171" s="15"/>
      <c r="L171" s="30">
        <f>D171-H171</f>
        <v>176458.84000000005</v>
      </c>
      <c r="M171" s="15"/>
      <c r="N171" s="36">
        <f>IF(H171=0,0,L171/H171)</f>
        <v>-5.4227418615314065</v>
      </c>
      <c r="O171" s="28"/>
      <c r="P171" s="30">
        <f>+P167-P169</f>
        <v>124002.61000000016</v>
      </c>
      <c r="Q171" s="14"/>
      <c r="R171" s="36">
        <f>IF(P$12=0,0,P171/P$12)</f>
        <v>8.3905687201973278E-2</v>
      </c>
      <c r="S171" s="14"/>
      <c r="T171" s="30">
        <f>+T167-T169</f>
        <v>274385.4600000002</v>
      </c>
      <c r="U171" s="14"/>
      <c r="V171" s="36">
        <f>IF(T$12=0,0,T171/T$12)</f>
        <v>0.11138812753171255</v>
      </c>
      <c r="W171" s="15"/>
      <c r="X171" s="30">
        <f>P171-T171</f>
        <v>-150382.85000000003</v>
      </c>
      <c r="Y171" s="15"/>
      <c r="Z171" s="36">
        <f>IF(T171=0,0,X171/T171)</f>
        <v>-0.54807149766609331</v>
      </c>
    </row>
    <row r="172" spans="1:26" ht="15.75" thickTop="1" x14ac:dyDescent="0.25">
      <c r="A172" s="9"/>
      <c r="B172" s="9"/>
      <c r="C172" s="9"/>
      <c r="D172" s="3"/>
      <c r="E172" s="3"/>
      <c r="F172" s="8"/>
      <c r="G172" s="3"/>
      <c r="H172" s="3"/>
      <c r="I172" s="3"/>
      <c r="J172" s="8"/>
      <c r="K172" s="3"/>
      <c r="L172" s="3"/>
      <c r="M172" s="3"/>
      <c r="N172" s="8"/>
      <c r="P172" s="3"/>
      <c r="Q172" s="3"/>
      <c r="R172" s="8"/>
      <c r="S172" s="3"/>
      <c r="T172" s="3"/>
      <c r="U172" s="3"/>
      <c r="V172" s="8"/>
      <c r="W172" s="3"/>
      <c r="X172" s="3"/>
      <c r="Y172" s="3"/>
      <c r="Z172" s="8"/>
    </row>
    <row r="173" spans="1:26" x14ac:dyDescent="0.25">
      <c r="A173" s="9"/>
      <c r="B173" s="9"/>
      <c r="C173" s="9"/>
      <c r="D173" s="3"/>
      <c r="E173" s="3"/>
      <c r="F173" s="8"/>
      <c r="G173" s="3"/>
      <c r="H173" s="3"/>
      <c r="I173" s="3"/>
      <c r="J173" s="8"/>
      <c r="K173" s="3"/>
      <c r="L173" s="3"/>
      <c r="M173" s="3"/>
      <c r="N173" s="8"/>
      <c r="P173" s="3"/>
      <c r="Q173" s="3"/>
      <c r="R173" s="8"/>
      <c r="S173" s="3"/>
      <c r="T173" s="3"/>
      <c r="U173" s="3"/>
      <c r="V173" s="8"/>
      <c r="W173" s="3"/>
      <c r="X173" s="3"/>
      <c r="Y173" s="3"/>
      <c r="Z173" s="8"/>
    </row>
    <row r="174" spans="1:26" s="24" customFormat="1" ht="15.75" thickBot="1" x14ac:dyDescent="0.3">
      <c r="A174" s="11"/>
      <c r="B174" s="29" t="s">
        <v>293</v>
      </c>
      <c r="C174" s="29"/>
      <c r="D174" s="35">
        <f>SUM(D171:D173)</f>
        <v>143918.32000000004</v>
      </c>
      <c r="E174" s="14"/>
      <c r="F174" s="34">
        <f>IF(D$12=0,0,D174/D$12)</f>
        <v>0.86306425088212968</v>
      </c>
      <c r="G174" s="14"/>
      <c r="H174" s="35">
        <f>SUM(H171:H173)</f>
        <v>-32540.520000000015</v>
      </c>
      <c r="I174" s="14"/>
      <c r="J174" s="34">
        <f>IF(H$12=0,0,H174/H$12)</f>
        <v>-0.24132352342436034</v>
      </c>
      <c r="K174" s="15"/>
      <c r="L174" s="35">
        <f>+D174-H174</f>
        <v>176458.84000000005</v>
      </c>
      <c r="M174" s="15"/>
      <c r="N174" s="34">
        <f>IF(H174=0,0,L174/H174)</f>
        <v>-5.4227418615314065</v>
      </c>
      <c r="O174" s="28"/>
      <c r="P174" s="35">
        <f>SUM(P171:P173)</f>
        <v>124002.61000000016</v>
      </c>
      <c r="Q174" s="14"/>
      <c r="R174" s="34">
        <f>IF(P$12=0,0,P174/P$12)</f>
        <v>8.3905687201973278E-2</v>
      </c>
      <c r="S174" s="14"/>
      <c r="T174" s="35">
        <f>SUM(T171:T173)</f>
        <v>274385.4600000002</v>
      </c>
      <c r="U174" s="14"/>
      <c r="V174" s="34">
        <f>IF(T$12=0,0,T174/T$12)</f>
        <v>0.11138812753171255</v>
      </c>
      <c r="W174" s="15"/>
      <c r="X174" s="35">
        <f>+P174-T174</f>
        <v>-150382.85000000003</v>
      </c>
      <c r="Y174" s="15"/>
      <c r="Z174" s="34">
        <f>IF(T174=0,0,X174/T174)</f>
        <v>-0.54807149766609331</v>
      </c>
    </row>
    <row r="175" spans="1:26" ht="15.75" thickTop="1" x14ac:dyDescent="0.25">
      <c r="A175" s="9"/>
      <c r="C175" s="9"/>
      <c r="D175" s="18"/>
      <c r="E175" s="18"/>
      <c r="G175" s="18"/>
      <c r="H175" s="18"/>
      <c r="I175" s="18"/>
      <c r="J175" s="43"/>
      <c r="K175" s="18"/>
      <c r="L175" s="18"/>
      <c r="M175" s="18"/>
      <c r="P175" s="18"/>
      <c r="Q175" s="18"/>
      <c r="R175" s="43"/>
      <c r="S175" s="18"/>
      <c r="T175" s="18"/>
      <c r="U175" s="18"/>
      <c r="V175" s="43"/>
      <c r="W175" s="18"/>
      <c r="X175" s="18"/>
    </row>
    <row r="176" spans="1:26" x14ac:dyDescent="0.25">
      <c r="A176" s="9"/>
      <c r="B176" s="54">
        <v>44295.963209953705</v>
      </c>
      <c r="D176" s="18"/>
      <c r="E176" s="18"/>
      <c r="G176" s="18"/>
      <c r="H176" s="18"/>
      <c r="I176" s="18"/>
      <c r="J176" s="43"/>
      <c r="K176" s="18"/>
      <c r="L176" s="18"/>
      <c r="M176" s="18"/>
      <c r="P176" s="18"/>
      <c r="Q176" s="18"/>
      <c r="R176" s="43"/>
      <c r="S176" s="18"/>
      <c r="T176" s="18"/>
      <c r="U176" s="18"/>
      <c r="V176" s="43"/>
      <c r="W176" s="18"/>
      <c r="X176" s="18"/>
    </row>
    <row r="177" spans="1:24" x14ac:dyDescent="0.25">
      <c r="A177" s="9"/>
      <c r="B177" s="58" t="s">
        <v>56</v>
      </c>
      <c r="D177" s="18"/>
      <c r="E177" s="18"/>
      <c r="G177" s="18"/>
      <c r="H177" s="18"/>
      <c r="I177" s="18"/>
      <c r="J177" s="43"/>
      <c r="K177" s="18"/>
      <c r="L177" s="18"/>
      <c r="M177" s="18"/>
      <c r="P177" s="18"/>
      <c r="Q177" s="18"/>
      <c r="R177" s="43"/>
      <c r="S177" s="18"/>
      <c r="T177" s="18"/>
      <c r="U177" s="18"/>
      <c r="V177" s="43"/>
      <c r="W177" s="18"/>
      <c r="X177" s="18"/>
    </row>
    <row r="178" spans="1:24" x14ac:dyDescent="0.25">
      <c r="A178" s="9"/>
      <c r="B178" s="62"/>
      <c r="D178" s="18"/>
      <c r="E178" s="18"/>
      <c r="G178" s="18"/>
      <c r="H178" s="18"/>
      <c r="I178" s="18"/>
      <c r="J178" s="43"/>
      <c r="K178" s="18"/>
      <c r="L178" s="18"/>
      <c r="M178" s="18"/>
      <c r="P178" s="18"/>
      <c r="Q178" s="18"/>
      <c r="R178" s="43"/>
      <c r="S178" s="18"/>
      <c r="T178" s="18"/>
      <c r="U178" s="18"/>
      <c r="V178" s="43"/>
      <c r="W178" s="18"/>
      <c r="X178" s="18"/>
    </row>
    <row r="179" spans="1:24" x14ac:dyDescent="0.25">
      <c r="D179" s="18"/>
      <c r="E179" s="18"/>
      <c r="G179" s="18"/>
      <c r="H179" s="18"/>
      <c r="I179" s="18"/>
      <c r="J179" s="43"/>
      <c r="K179" s="18"/>
      <c r="L179" s="18"/>
      <c r="M179" s="18"/>
      <c r="P179" s="18"/>
      <c r="Q179" s="18"/>
      <c r="R179" s="43"/>
      <c r="S179" s="18"/>
      <c r="T179" s="18"/>
      <c r="U179" s="18"/>
      <c r="V179" s="43"/>
      <c r="W179" s="18"/>
      <c r="X179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217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SUM(0)</f>
        <v>0</v>
      </c>
      <c r="E18" s="21"/>
      <c r="F18" s="31">
        <f>IF(D$12=0,0,D18/D$12)</f>
        <v>0</v>
      </c>
      <c r="G18" s="21"/>
      <c r="H18" s="21">
        <f>SUM(0)</f>
        <v>0</v>
      </c>
      <c r="I18" s="21"/>
      <c r="J18" s="31">
        <f>IF(H$12=0,0,H18/H$12)</f>
        <v>0</v>
      </c>
      <c r="K18" s="4"/>
      <c r="L18" s="21">
        <f>+D18-H18</f>
        <v>0</v>
      </c>
      <c r="M18" s="4"/>
      <c r="N18" s="31">
        <f>IF(H18=0,0,L18/H18)</f>
        <v>0</v>
      </c>
      <c r="O18" s="11"/>
      <c r="P18" s="21">
        <f>SUM(0)</f>
        <v>0</v>
      </c>
      <c r="Q18" s="21"/>
      <c r="R18" s="31">
        <f>IF(P$12=0,0,P18/P$12)</f>
        <v>0</v>
      </c>
      <c r="S18" s="21"/>
      <c r="T18" s="21">
        <f>SUM(0)</f>
        <v>0</v>
      </c>
      <c r="U18" s="21"/>
      <c r="V18" s="31">
        <f>IF(T$12=0,0,T18/T$12)</f>
        <v>0</v>
      </c>
      <c r="W18" s="4"/>
      <c r="X18" s="21">
        <f>+P18-T18</f>
        <v>0</v>
      </c>
      <c r="Y18" s="4"/>
      <c r="Z18" s="31">
        <f>IF(T18=0,0,X18/T18)</f>
        <v>0</v>
      </c>
    </row>
    <row r="19" spans="1:26" s="60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292</v>
      </c>
      <c r="C20" s="11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1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1"/>
      <c r="C21" s="11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1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4" customFormat="1" x14ac:dyDescent="0.25">
      <c r="A22" s="11"/>
      <c r="B22" s="29" t="s">
        <v>276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51"/>
      <c r="B24" s="11" t="s">
        <v>127</v>
      </c>
      <c r="C24" s="11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1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1"/>
      <c r="C25" s="11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1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4" customFormat="1" ht="15.75" thickBot="1" x14ac:dyDescent="0.3">
      <c r="A26" s="11"/>
      <c r="B26" s="29" t="s">
        <v>125</v>
      </c>
      <c r="C26" s="29"/>
      <c r="D26" s="30">
        <f>+D22-D24</f>
        <v>0</v>
      </c>
      <c r="E26" s="14"/>
      <c r="F26" s="36">
        <f>IF(D$12=0,0,D26/D$12)</f>
        <v>0</v>
      </c>
      <c r="G26" s="14"/>
      <c r="H26" s="30">
        <f>+H22-H24</f>
        <v>0</v>
      </c>
      <c r="I26" s="14"/>
      <c r="J26" s="36">
        <f>IF(H$12=0,0,H26/H$12)</f>
        <v>0</v>
      </c>
      <c r="K26" s="15"/>
      <c r="L26" s="30">
        <f>D26-H26</f>
        <v>0</v>
      </c>
      <c r="M26" s="15"/>
      <c r="N26" s="36">
        <f>IF(H26=0,0,L26/H26)</f>
        <v>0</v>
      </c>
      <c r="O26" s="28"/>
      <c r="P26" s="30">
        <f>+P22-P24</f>
        <v>0</v>
      </c>
      <c r="Q26" s="14"/>
      <c r="R26" s="36">
        <f>IF(P$12=0,0,P26/P$12)</f>
        <v>0</v>
      </c>
      <c r="S26" s="14"/>
      <c r="T26" s="30">
        <f>+T22-T24</f>
        <v>0</v>
      </c>
      <c r="U26" s="14"/>
      <c r="V26" s="36">
        <f>IF(T$12=0,0,T26/T$12)</f>
        <v>0</v>
      </c>
      <c r="W26" s="15"/>
      <c r="X26" s="30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51"/>
      <c r="B28" s="11" t="s">
        <v>183</v>
      </c>
      <c r="C28" s="11"/>
      <c r="D28" s="4">
        <f>--105259.22</f>
        <v>105259.22</v>
      </c>
      <c r="E28" s="4"/>
      <c r="F28" s="13">
        <f t="shared" ref="F28:F29" si="0">IF(D$12=0,0,D28/D$12)</f>
        <v>0</v>
      </c>
      <c r="G28" s="4"/>
      <c r="H28" s="4">
        <f>-1331706.58</f>
        <v>-1331706.58</v>
      </c>
      <c r="I28" s="4"/>
      <c r="J28" s="13">
        <f t="shared" ref="J28:J29" si="1">IF(H$12=0,0,H28/H$12)</f>
        <v>0</v>
      </c>
      <c r="K28" s="4"/>
      <c r="L28" s="4">
        <f t="shared" ref="L28:L29" si="2">+D28-H28</f>
        <v>1436965.8</v>
      </c>
      <c r="M28" s="4"/>
      <c r="N28" s="13">
        <f t="shared" ref="N28:N29" si="3">IF(H28=0,0,L28/H28)</f>
        <v>-1.0790408499746242</v>
      </c>
      <c r="O28" s="11"/>
      <c r="P28" s="4">
        <f>--2296813.19</f>
        <v>2296813.19</v>
      </c>
      <c r="Q28" s="4"/>
      <c r="R28" s="13">
        <f t="shared" ref="R28:R29" si="4">IF(P$12=0,0,P28/P$12)</f>
        <v>0</v>
      </c>
      <c r="S28" s="4"/>
      <c r="T28" s="4">
        <f>-1466541.45</f>
        <v>-1466541.45</v>
      </c>
      <c r="U28" s="4"/>
      <c r="V28" s="13">
        <f t="shared" ref="V28:V29" si="5">IF(T$12=0,0,T28/T$12)</f>
        <v>0</v>
      </c>
      <c r="W28" s="4"/>
      <c r="X28" s="4">
        <f t="shared" ref="X28:X29" si="6">+P28-T28</f>
        <v>3763354.6399999997</v>
      </c>
      <c r="Y28" s="4"/>
      <c r="Z28" s="13">
        <f t="shared" ref="Z28:Z29" si="7">IF(T28=0,0,X28/T28)</f>
        <v>-2.5661427026150538</v>
      </c>
    </row>
    <row r="29" spans="1:26" s="24" customFormat="1" x14ac:dyDescent="0.25">
      <c r="A29" s="51"/>
      <c r="B29" s="11" t="s">
        <v>81</v>
      </c>
      <c r="C29" s="11"/>
      <c r="D29" s="4">
        <f>--15480.93</f>
        <v>15480.93</v>
      </c>
      <c r="E29" s="4"/>
      <c r="F29" s="13">
        <f t="shared" si="0"/>
        <v>0</v>
      </c>
      <c r="G29" s="4"/>
      <c r="H29" s="4">
        <f>--22571.86</f>
        <v>22571.86</v>
      </c>
      <c r="I29" s="4"/>
      <c r="J29" s="13">
        <f t="shared" si="1"/>
        <v>0</v>
      </c>
      <c r="K29" s="4"/>
      <c r="L29" s="4">
        <f t="shared" si="2"/>
        <v>-7090.93</v>
      </c>
      <c r="M29" s="4"/>
      <c r="N29" s="13">
        <f t="shared" si="3"/>
        <v>-0.31414912195982075</v>
      </c>
      <c r="O29" s="11"/>
      <c r="P29" s="4">
        <f>--82536.19</f>
        <v>82536.19</v>
      </c>
      <c r="Q29" s="4"/>
      <c r="R29" s="13">
        <f t="shared" si="4"/>
        <v>0</v>
      </c>
      <c r="S29" s="4"/>
      <c r="T29" s="4">
        <f>--229561.13</f>
        <v>229561.13</v>
      </c>
      <c r="U29" s="4"/>
      <c r="V29" s="13">
        <f t="shared" si="5"/>
        <v>0</v>
      </c>
      <c r="W29" s="4"/>
      <c r="X29" s="4">
        <f t="shared" si="6"/>
        <v>-147024.94</v>
      </c>
      <c r="Y29" s="4"/>
      <c r="Z29" s="13">
        <f t="shared" si="7"/>
        <v>-0.64046095260116553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293</v>
      </c>
      <c r="C31" s="29"/>
      <c r="D31" s="35">
        <f>SUM(D26:D30)</f>
        <v>120740.15</v>
      </c>
      <c r="E31" s="14"/>
      <c r="F31" s="34">
        <f>IF(D$12=0,0,D31/D$12)</f>
        <v>0</v>
      </c>
      <c r="G31" s="14"/>
      <c r="H31" s="35">
        <f>SUM(H26:H30)</f>
        <v>-1309134.72</v>
      </c>
      <c r="I31" s="14"/>
      <c r="J31" s="34">
        <f>IF(H$12=0,0,H31/H$12)</f>
        <v>0</v>
      </c>
      <c r="K31" s="15"/>
      <c r="L31" s="35">
        <f>+D31-H31</f>
        <v>1429874.8699999999</v>
      </c>
      <c r="M31" s="15"/>
      <c r="N31" s="34">
        <f>IF(H31=0,0,L31/H31)</f>
        <v>-1.0922289724315004</v>
      </c>
      <c r="O31" s="28"/>
      <c r="P31" s="35">
        <f>SUM(P26:P30)</f>
        <v>2379349.38</v>
      </c>
      <c r="Q31" s="14"/>
      <c r="R31" s="34">
        <f>IF(P$12=0,0,P31/P$12)</f>
        <v>0</v>
      </c>
      <c r="S31" s="14"/>
      <c r="T31" s="35">
        <f>SUM(T26:T30)</f>
        <v>-1236980.3199999998</v>
      </c>
      <c r="U31" s="14"/>
      <c r="V31" s="34">
        <f>IF(T$12=0,0,T31/T$12)</f>
        <v>0</v>
      </c>
      <c r="W31" s="15"/>
      <c r="X31" s="35">
        <f>+P31-T31</f>
        <v>3616329.6999999997</v>
      </c>
      <c r="Y31" s="15"/>
      <c r="Z31" s="34">
        <f>IF(T31=0,0,X31/T31)</f>
        <v>-2.9235143369136223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4">
        <v>44295.963221608799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8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2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","315", " - ", "Beach Shop")</f>
        <v>Department 315 - Beach Shop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142705.22999999998</v>
      </c>
      <c r="E12" s="4"/>
      <c r="F12" s="13"/>
      <c r="G12" s="4"/>
      <c r="H12" s="4">
        <f>SUM(OSRRefH13x_0)</f>
        <v>107908.51</v>
      </c>
      <c r="I12" s="4"/>
      <c r="J12" s="13"/>
      <c r="K12" s="4"/>
      <c r="L12" s="4">
        <f t="shared" ref="L12:L50" si="0">+D12-H12</f>
        <v>34796.719999999987</v>
      </c>
      <c r="M12" s="4"/>
      <c r="N12" s="13">
        <f t="shared" ref="N12:N50" si="1">IF(H12=0,0,L12/H12)</f>
        <v>0.32246502152610568</v>
      </c>
      <c r="O12" s="11"/>
      <c r="P12" s="4">
        <f>SUM(OSRRefP13x_0)</f>
        <v>1269594.9500000004</v>
      </c>
      <c r="Q12" s="4"/>
      <c r="R12" s="13"/>
      <c r="S12" s="4"/>
      <c r="T12" s="4">
        <f>SUM(OSRRefT13x_0)</f>
        <v>2033486.83</v>
      </c>
      <c r="U12" s="4"/>
      <c r="V12" s="13"/>
      <c r="W12" s="4"/>
      <c r="X12" s="4">
        <f t="shared" ref="X12:X50" si="2">+P12-T12</f>
        <v>-763891.87999999966</v>
      </c>
      <c r="Y12" s="4"/>
      <c r="Z12" s="13">
        <f t="shared" ref="Z12:Z50" si="3">IF(T12=0,0,X12/T12)</f>
        <v>-0.37565617280147307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-10801.86</f>
        <v>-10801.86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-10801.86</v>
      </c>
      <c r="M13" s="2"/>
      <c r="N13" s="19">
        <f t="shared" si="1"/>
        <v>0</v>
      </c>
      <c r="O13" s="10"/>
      <c r="P13" s="2">
        <f>-104956.22</f>
        <v>-104956.22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-104956.22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"4026", " - ", "TAXABLE SALES-WRITING INSTRUME")</f>
        <v xml:space="preserve">          4026 - TAXABLE SALES-WRITING INSTRUME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3" customFormat="1" hidden="1" outlineLevel="1" x14ac:dyDescent="0.25">
      <c r="A15" s="44"/>
      <c r="B15" s="10" t="str">
        <f>CONCATENATE("          ", "4027", " - ", "TAXABLE SALES-SCHOOL SUPPLIES")</f>
        <v xml:space="preserve">          4027 - TAXABLE SALES-SCHOOL SUPPLIES</v>
      </c>
      <c r="C15" s="10"/>
      <c r="D15" s="2">
        <f>--2968.83</f>
        <v>2968.83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2968.83</v>
      </c>
      <c r="M15" s="2"/>
      <c r="N15" s="19">
        <f t="shared" si="1"/>
        <v>0</v>
      </c>
      <c r="O15" s="10"/>
      <c r="P15" s="2">
        <f>--49128.95</f>
        <v>49128.95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49128.95</v>
      </c>
      <c r="Y15" s="2"/>
      <c r="Z15" s="19">
        <f t="shared" si="3"/>
        <v>0</v>
      </c>
    </row>
    <row r="16" spans="1:26" s="23" customFormat="1" hidden="1" outlineLevel="1" x14ac:dyDescent="0.25">
      <c r="A16" s="44"/>
      <c r="B16" s="10" t="str">
        <f>CONCATENATE("          ", "4028", " - ", "TAXABLE SALES-ART/TECH")</f>
        <v xml:space="preserve">          4028 - TAXABLE SALES-ART/TECH</v>
      </c>
      <c r="C16" s="10"/>
      <c r="D16" s="2">
        <f>--3372.76</f>
        <v>3372.76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3372.76</v>
      </c>
      <c r="M16" s="2"/>
      <c r="N16" s="19">
        <f t="shared" si="1"/>
        <v>0</v>
      </c>
      <c r="O16" s="10"/>
      <c r="P16" s="2">
        <f>--31741.09</f>
        <v>31741.09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31741.09</v>
      </c>
      <c r="Y16" s="2"/>
      <c r="Z16" s="19">
        <f t="shared" si="3"/>
        <v>0</v>
      </c>
    </row>
    <row r="17" spans="1:26" s="23" customFormat="1" hidden="1" outlineLevel="1" x14ac:dyDescent="0.25">
      <c r="A17" s="44"/>
      <c r="B17" s="10" t="str">
        <f>CONCATENATE("          ", "4031", " - ", "TAXABLE SALES-FOOD")</f>
        <v xml:space="preserve">          4031 - TAXABLE SALES-FOOD</v>
      </c>
      <c r="C17" s="10"/>
      <c r="D17" s="2">
        <f>--434.03</f>
        <v>434.03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434.03</v>
      </c>
      <c r="M17" s="2"/>
      <c r="N17" s="19">
        <f t="shared" si="1"/>
        <v>0</v>
      </c>
      <c r="O17" s="10"/>
      <c r="P17" s="2">
        <f>--3240.32</f>
        <v>3240.32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3240.32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"4034", " - ", "TAXABLE SALES-SODA")</f>
        <v xml:space="preserve">          4034 - TAXABLE SALES-SODA</v>
      </c>
      <c r="C18" s="10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3" customFormat="1" hidden="1" outlineLevel="1" x14ac:dyDescent="0.25">
      <c r="A19" s="44"/>
      <c r="B19" s="10" t="str">
        <f>CONCATENATE("          ", "4040", " - ", "TAXABLE SALES-LOGO CLOTHING")</f>
        <v xml:space="preserve">          4040 - TAXABLE SALES-LOGO CLOTHING</v>
      </c>
      <c r="C19" s="10"/>
      <c r="D19" s="2">
        <f>--62935.57</f>
        <v>62935.57</v>
      </c>
      <c r="E19" s="2"/>
      <c r="F19" s="19"/>
      <c r="G19" s="2"/>
      <c r="H19" s="2">
        <f>--70923.69</f>
        <v>70923.69</v>
      </c>
      <c r="I19" s="2"/>
      <c r="J19" s="19"/>
      <c r="K19" s="2"/>
      <c r="L19" s="2">
        <f t="shared" si="0"/>
        <v>-7988.1200000000026</v>
      </c>
      <c r="M19" s="2"/>
      <c r="N19" s="19">
        <f t="shared" si="1"/>
        <v>-0.1126297856188814</v>
      </c>
      <c r="O19" s="10"/>
      <c r="P19" s="2">
        <f>--580543.51</f>
        <v>580543.51</v>
      </c>
      <c r="Q19" s="2"/>
      <c r="R19" s="19"/>
      <c r="S19" s="2"/>
      <c r="T19" s="2">
        <f>--1414254.82</f>
        <v>1414254.82</v>
      </c>
      <c r="U19" s="2"/>
      <c r="V19" s="19"/>
      <c r="W19" s="2"/>
      <c r="X19" s="2">
        <f t="shared" si="2"/>
        <v>-833711.31</v>
      </c>
      <c r="Y19" s="2"/>
      <c r="Z19" s="19">
        <f t="shared" si="3"/>
        <v>-0.5895057228795586</v>
      </c>
    </row>
    <row r="20" spans="1:26" s="23" customFormat="1" hidden="1" outlineLevel="1" x14ac:dyDescent="0.25">
      <c r="A20" s="44"/>
      <c r="B20" s="10" t="str">
        <f>CONCATENATE("          ", "4041", " - ", "TAXABLE SALES-LOGO GIFTS")</f>
        <v xml:space="preserve">          4041 - TAXABLE SALES-LOGO GIFTS</v>
      </c>
      <c r="C20" s="10"/>
      <c r="D20" s="2">
        <f>--44302.47</f>
        <v>44302.47</v>
      </c>
      <c r="E20" s="2"/>
      <c r="F20" s="19"/>
      <c r="G20" s="2"/>
      <c r="H20" s="2">
        <f>--21083.23</f>
        <v>21083.23</v>
      </c>
      <c r="I20" s="2"/>
      <c r="J20" s="19"/>
      <c r="K20" s="2"/>
      <c r="L20" s="2">
        <f t="shared" si="0"/>
        <v>23219.24</v>
      </c>
      <c r="M20" s="2"/>
      <c r="N20" s="19">
        <f t="shared" si="1"/>
        <v>1.1013132238276584</v>
      </c>
      <c r="O20" s="10"/>
      <c r="P20" s="2">
        <f>--204521.47</f>
        <v>204521.47</v>
      </c>
      <c r="Q20" s="2"/>
      <c r="R20" s="19"/>
      <c r="S20" s="2"/>
      <c r="T20" s="2">
        <f>--243790.63</f>
        <v>243790.63</v>
      </c>
      <c r="U20" s="2"/>
      <c r="V20" s="19"/>
      <c r="W20" s="2"/>
      <c r="X20" s="2">
        <f t="shared" si="2"/>
        <v>-39269.160000000003</v>
      </c>
      <c r="Y20" s="2"/>
      <c r="Z20" s="19">
        <f t="shared" si="3"/>
        <v>-0.16107739661692494</v>
      </c>
    </row>
    <row r="21" spans="1:26" s="23" customFormat="1" hidden="1" outlineLevel="1" x14ac:dyDescent="0.25">
      <c r="A21" s="44"/>
      <c r="B21" s="10" t="str">
        <f>CONCATENATE("          ", "4042", " - ", "TAXABLE SALES-EVERYDAY GIFTS")</f>
        <v xml:space="preserve">          4042 - TAXABLE SALES-EVERYDAY GIFTS</v>
      </c>
      <c r="C21" s="10"/>
      <c r="D21" s="2">
        <f>--9072.61</f>
        <v>9072.61</v>
      </c>
      <c r="E21" s="2"/>
      <c r="F21" s="19"/>
      <c r="G21" s="2"/>
      <c r="H21" s="2">
        <f>--4834.92</f>
        <v>4834.92</v>
      </c>
      <c r="I21" s="2"/>
      <c r="J21" s="19"/>
      <c r="K21" s="2"/>
      <c r="L21" s="2">
        <f t="shared" si="0"/>
        <v>4237.6900000000005</v>
      </c>
      <c r="M21" s="2"/>
      <c r="N21" s="19">
        <f t="shared" si="1"/>
        <v>0.8764757224524915</v>
      </c>
      <c r="O21" s="10"/>
      <c r="P21" s="2">
        <f>--66009.22</f>
        <v>66009.22</v>
      </c>
      <c r="Q21" s="2"/>
      <c r="R21" s="19"/>
      <c r="S21" s="2"/>
      <c r="T21" s="2">
        <f>--172110.73</f>
        <v>172110.73</v>
      </c>
      <c r="U21" s="2"/>
      <c r="V21" s="19"/>
      <c r="W21" s="2"/>
      <c r="X21" s="2">
        <f t="shared" si="2"/>
        <v>-106101.51000000001</v>
      </c>
      <c r="Y21" s="2"/>
      <c r="Z21" s="19">
        <f t="shared" si="3"/>
        <v>-0.61647237217574991</v>
      </c>
    </row>
    <row r="22" spans="1:26" s="23" customFormat="1" hidden="1" outlineLevel="1" x14ac:dyDescent="0.25">
      <c r="A22" s="44"/>
      <c r="B22" s="10" t="str">
        <f>CONCATENATE("          ", "4043", " - ", "TAXABLE SALES-CARDS")</f>
        <v xml:space="preserve">          4043 - TAXABLE SALES-CARDS</v>
      </c>
      <c r="C22" s="10"/>
      <c r="D22" s="2">
        <f>--7137.65</f>
        <v>7137.65</v>
      </c>
      <c r="E22" s="2"/>
      <c r="F22" s="19"/>
      <c r="G22" s="2"/>
      <c r="H22" s="2">
        <f>--615.62</f>
        <v>615.62</v>
      </c>
      <c r="I22" s="2"/>
      <c r="J22" s="19"/>
      <c r="K22" s="2"/>
      <c r="L22" s="2">
        <f t="shared" si="0"/>
        <v>6522.03</v>
      </c>
      <c r="M22" s="2"/>
      <c r="N22" s="19">
        <f t="shared" si="1"/>
        <v>10.594246450732594</v>
      </c>
      <c r="O22" s="10"/>
      <c r="P22" s="2">
        <f>--121693.59</f>
        <v>121693.59</v>
      </c>
      <c r="Q22" s="2"/>
      <c r="R22" s="19"/>
      <c r="S22" s="2"/>
      <c r="T22" s="2">
        <f>--74753.49</f>
        <v>74753.490000000005</v>
      </c>
      <c r="U22" s="2"/>
      <c r="V22" s="19"/>
      <c r="W22" s="2"/>
      <c r="X22" s="2">
        <f t="shared" si="2"/>
        <v>46940.099999999991</v>
      </c>
      <c r="Y22" s="2"/>
      <c r="Z22" s="19">
        <f t="shared" si="3"/>
        <v>0.62793188652462895</v>
      </c>
    </row>
    <row r="23" spans="1:26" s="23" customFormat="1" hidden="1" outlineLevel="1" x14ac:dyDescent="0.25">
      <c r="A23" s="44"/>
      <c r="B23" s="10" t="str">
        <f>CONCATENATE("          ", "4044", " - ", "TAXABLE SALES-ACCESSORIES")</f>
        <v xml:space="preserve">          4044 - TAXABLE SALES-ACCESSORIES</v>
      </c>
      <c r="C23" s="10"/>
      <c r="D23" s="2">
        <f>--1633.81</f>
        <v>1633.81</v>
      </c>
      <c r="E23" s="2"/>
      <c r="F23" s="19"/>
      <c r="G23" s="2"/>
      <c r="H23" s="2">
        <f>--3471.84</f>
        <v>3471.84</v>
      </c>
      <c r="I23" s="2"/>
      <c r="J23" s="19"/>
      <c r="K23" s="2"/>
      <c r="L23" s="2">
        <f t="shared" si="0"/>
        <v>-1838.0300000000002</v>
      </c>
      <c r="M23" s="2"/>
      <c r="N23" s="19">
        <f t="shared" si="1"/>
        <v>-0.52941091755380432</v>
      </c>
      <c r="O23" s="10"/>
      <c r="P23" s="2">
        <f>--29035.46</f>
        <v>29035.46</v>
      </c>
      <c r="Q23" s="2"/>
      <c r="R23" s="19"/>
      <c r="S23" s="2"/>
      <c r="T23" s="2">
        <f>--62150.5</f>
        <v>62150.5</v>
      </c>
      <c r="U23" s="2"/>
      <c r="V23" s="19"/>
      <c r="W23" s="2"/>
      <c r="X23" s="2">
        <f t="shared" si="2"/>
        <v>-33115.040000000001</v>
      </c>
      <c r="Y23" s="2"/>
      <c r="Z23" s="19">
        <f t="shared" si="3"/>
        <v>-0.5328201703928368</v>
      </c>
    </row>
    <row r="24" spans="1:26" s="23" customFormat="1" hidden="1" outlineLevel="1" x14ac:dyDescent="0.25">
      <c r="A24" s="44"/>
      <c r="B24" s="10" t="str">
        <f>CONCATENATE("          ", "4045", " - ", "TAXABLE SALES-SPECIAL ORDERS")</f>
        <v xml:space="preserve">          4045 - TAXABLE SALES-SPECIAL ORDERS</v>
      </c>
      <c r="C24" s="10"/>
      <c r="D24" s="2">
        <f>--8707.87</f>
        <v>8707.8700000000008</v>
      </c>
      <c r="E24" s="2"/>
      <c r="F24" s="19"/>
      <c r="G24" s="2"/>
      <c r="H24" s="2">
        <f>--3847.78</f>
        <v>3847.78</v>
      </c>
      <c r="I24" s="2"/>
      <c r="J24" s="19"/>
      <c r="K24" s="2"/>
      <c r="L24" s="2">
        <f t="shared" si="0"/>
        <v>4860.09</v>
      </c>
      <c r="M24" s="2"/>
      <c r="N24" s="19">
        <f t="shared" si="1"/>
        <v>1.2630893658161328</v>
      </c>
      <c r="O24" s="10"/>
      <c r="P24" s="2">
        <f>--143871.07</f>
        <v>143871.07</v>
      </c>
      <c r="Q24" s="2"/>
      <c r="R24" s="19"/>
      <c r="S24" s="2"/>
      <c r="T24" s="2">
        <f>--73933.22</f>
        <v>73933.22</v>
      </c>
      <c r="U24" s="2"/>
      <c r="V24" s="19"/>
      <c r="W24" s="2"/>
      <c r="X24" s="2">
        <f t="shared" si="2"/>
        <v>69937.850000000006</v>
      </c>
      <c r="Y24" s="2"/>
      <c r="Z24" s="19">
        <f t="shared" si="3"/>
        <v>0.94595974583549869</v>
      </c>
    </row>
    <row r="25" spans="1:26" s="23" customFormat="1" hidden="1" outlineLevel="1" x14ac:dyDescent="0.25">
      <c r="A25" s="44"/>
      <c r="B25" s="10" t="str">
        <f>CONCATENATE("          ", "4126", " - ", "NON-TAXABLE SALES-WRITING INST")</f>
        <v xml:space="preserve">          4126 - NON-TAXABLE SALES-WRITING INST</v>
      </c>
      <c r="C25" s="10"/>
      <c r="D25" s="2">
        <f>0</f>
        <v>0</v>
      </c>
      <c r="E25" s="2"/>
      <c r="F25" s="19"/>
      <c r="G25" s="2"/>
      <c r="H25" s="2">
        <f t="shared" ref="H25:H32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--52.68</f>
        <v>52.68</v>
      </c>
      <c r="Q25" s="2"/>
      <c r="R25" s="19"/>
      <c r="S25" s="2"/>
      <c r="T25" s="2">
        <f t="shared" ref="T25:T32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3" customFormat="1" hidden="1" outlineLevel="1" x14ac:dyDescent="0.25">
      <c r="A26" s="44"/>
      <c r="B26" s="10" t="str">
        <f>CONCATENATE("          ", "4127", " - ", "NON-TAXABLE SALES-SCHOOL SUPPL")</f>
        <v xml:space="preserve">          4127 - NON-TAXABLE SALES-SCHOOL SUPPL</v>
      </c>
      <c r="C26" s="10"/>
      <c r="D26" s="2">
        <f>--389.95</f>
        <v>389.95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389.95</v>
      </c>
      <c r="M26" s="2"/>
      <c r="N26" s="19">
        <f t="shared" si="1"/>
        <v>0</v>
      </c>
      <c r="O26" s="10"/>
      <c r="P26" s="2">
        <f>--6607.31</f>
        <v>6607.31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6607.31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"4128", " - ", "NON-TAXABLE SALES-ART/TECH")</f>
        <v xml:space="preserve">          4128 - NON-TAXABLE SALES-ART/TECH</v>
      </c>
      <c r="C27" s="10"/>
      <c r="D27" s="2">
        <f>0</f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--38.58</f>
        <v>38.58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38.58</v>
      </c>
      <c r="Y27" s="2"/>
      <c r="Z27" s="19">
        <f t="shared" si="3"/>
        <v>0</v>
      </c>
    </row>
    <row r="28" spans="1:26" s="23" customFormat="1" hidden="1" outlineLevel="1" x14ac:dyDescent="0.25">
      <c r="A28" s="44"/>
      <c r="B28" s="10" t="str">
        <f>CONCATENATE("          ", "4131", " - ", "NON-TAXABLE SALES-FOOD")</f>
        <v xml:space="preserve">          4131 - NON-TAXABLE SALES-FOOD</v>
      </c>
      <c r="C28" s="10"/>
      <c r="D28" s="2">
        <f>--826.28</f>
        <v>826.28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826.28</v>
      </c>
      <c r="M28" s="2"/>
      <c r="N28" s="19">
        <f t="shared" si="1"/>
        <v>0</v>
      </c>
      <c r="O28" s="10"/>
      <c r="P28" s="2">
        <f>--8512.27</f>
        <v>8512.27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8512.27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"4132", " - ", "NON-TAXABLE SALES-JUICE")</f>
        <v xml:space="preserve">          4132 - NON-TAXABLE SALES-JUICE</v>
      </c>
      <c r="C29" s="10"/>
      <c r="D29" s="2">
        <f t="shared" ref="D29:D32" si="8">0</f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--22.49</f>
        <v>22.49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3" customFormat="1" hidden="1" outlineLevel="1" x14ac:dyDescent="0.25">
      <c r="A30" s="44"/>
      <c r="B30" s="10" t="str">
        <f>CONCATENATE("          ", "4133", " - ", "NON-TAXABLE SALES-CANDY")</f>
        <v xml:space="preserve">          4133 - NON-TAXABLE SALES-CANDY</v>
      </c>
      <c r="C30" s="10"/>
      <c r="D30" s="2">
        <f t="shared" si="8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--80.71</f>
        <v>80.709999999999994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"4134", " - ", "NON-TAXABLE SALES-SODA")</f>
        <v xml:space="preserve">          4134 - NON-TAXABLE SALES-SODA</v>
      </c>
      <c r="C31" s="10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--45.53</f>
        <v>45.53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3" customFormat="1" hidden="1" outlineLevel="1" x14ac:dyDescent="0.25">
      <c r="A32" s="44"/>
      <c r="B32" s="10" t="str">
        <f>CONCATENATE("          ", "4137", " - ", "NON-TAXABLE SALES-WATER")</f>
        <v xml:space="preserve">          4137 - NON-TAXABLE SALES-WATER</v>
      </c>
      <c r="C32" s="10"/>
      <c r="D32" s="2">
        <f t="shared" si="8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--59.25</f>
        <v>59.25</v>
      </c>
      <c r="Q32" s="2"/>
      <c r="R32" s="19"/>
      <c r="S32" s="2"/>
      <c r="T32" s="2">
        <f t="shared" si="7"/>
        <v>0</v>
      </c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"4140", " - ", "NON-TAXABLE SALES-LOGO CLOTHIN")</f>
        <v xml:space="preserve">          4140 - NON-TAXABLE SALES-LOGO CLOTHIN</v>
      </c>
      <c r="C33" s="10"/>
      <c r="D33" s="2">
        <f>--16592.7</f>
        <v>16592.7</v>
      </c>
      <c r="E33" s="2"/>
      <c r="F33" s="19"/>
      <c r="G33" s="2"/>
      <c r="H33" s="2">
        <f>--5466.31</f>
        <v>5466.31</v>
      </c>
      <c r="I33" s="2"/>
      <c r="J33" s="19"/>
      <c r="K33" s="2"/>
      <c r="L33" s="2">
        <f t="shared" si="0"/>
        <v>11126.39</v>
      </c>
      <c r="M33" s="2"/>
      <c r="N33" s="19">
        <f t="shared" si="1"/>
        <v>2.0354480444760723</v>
      </c>
      <c r="O33" s="10"/>
      <c r="P33" s="2">
        <f>--131552.2</f>
        <v>131552.20000000001</v>
      </c>
      <c r="Q33" s="2"/>
      <c r="R33" s="19"/>
      <c r="S33" s="2"/>
      <c r="T33" s="2">
        <f>--48048.98</f>
        <v>48048.98</v>
      </c>
      <c r="U33" s="2"/>
      <c r="V33" s="19"/>
      <c r="W33" s="2"/>
      <c r="X33" s="2">
        <f t="shared" si="2"/>
        <v>83503.22</v>
      </c>
      <c r="Y33" s="2"/>
      <c r="Z33" s="19">
        <f t="shared" si="3"/>
        <v>1.7378770579521146</v>
      </c>
    </row>
    <row r="34" spans="1:26" s="23" customFormat="1" hidden="1" outlineLevel="1" x14ac:dyDescent="0.25">
      <c r="A34" s="44"/>
      <c r="B34" s="10" t="str">
        <f>CONCATENATE("          ", "4141", " - ", "NON-TAXABLE SALES-LOGO GIFTS")</f>
        <v xml:space="preserve">          4141 - NON-TAXABLE SALES-LOGO GIFTS</v>
      </c>
      <c r="C34" s="10"/>
      <c r="D34" s="2">
        <f>--1055.22</f>
        <v>1055.22</v>
      </c>
      <c r="E34" s="2"/>
      <c r="F34" s="19"/>
      <c r="G34" s="2"/>
      <c r="H34" s="2">
        <f>--235.74</f>
        <v>235.74</v>
      </c>
      <c r="I34" s="2"/>
      <c r="J34" s="19"/>
      <c r="K34" s="2"/>
      <c r="L34" s="2">
        <f t="shared" si="0"/>
        <v>819.48</v>
      </c>
      <c r="M34" s="2"/>
      <c r="N34" s="19">
        <f t="shared" si="1"/>
        <v>3.4762025960804275</v>
      </c>
      <c r="O34" s="10"/>
      <c r="P34" s="2">
        <f>--8289.6</f>
        <v>8289.6</v>
      </c>
      <c r="Q34" s="2"/>
      <c r="R34" s="19"/>
      <c r="S34" s="2"/>
      <c r="T34" s="2">
        <f>--10049.96</f>
        <v>10049.959999999999</v>
      </c>
      <c r="U34" s="2"/>
      <c r="V34" s="19"/>
      <c r="W34" s="2"/>
      <c r="X34" s="2">
        <f t="shared" si="2"/>
        <v>-1760.3599999999988</v>
      </c>
      <c r="Y34" s="2"/>
      <c r="Z34" s="19">
        <f t="shared" si="3"/>
        <v>-0.1751608961627707</v>
      </c>
    </row>
    <row r="35" spans="1:26" s="23" customFormat="1" hidden="1" outlineLevel="1" x14ac:dyDescent="0.25">
      <c r="A35" s="44"/>
      <c r="B35" s="10" t="str">
        <f>CONCATENATE("          ", "4142", " - ", "NON-TAXABLE SALES-EVERYDAY GIF")</f>
        <v xml:space="preserve">          4142 - NON-TAXABLE SALES-EVERYDAY GIF</v>
      </c>
      <c r="C35" s="10"/>
      <c r="D35" s="2">
        <f>--16.9</f>
        <v>16.899999999999999</v>
      </c>
      <c r="E35" s="2"/>
      <c r="F35" s="19"/>
      <c r="G35" s="2"/>
      <c r="H35" s="2">
        <f>--34.04</f>
        <v>34.04</v>
      </c>
      <c r="I35" s="2"/>
      <c r="J35" s="19"/>
      <c r="K35" s="2"/>
      <c r="L35" s="2">
        <f t="shared" si="0"/>
        <v>-17.14</v>
      </c>
      <c r="M35" s="2"/>
      <c r="N35" s="19">
        <f t="shared" si="1"/>
        <v>-0.5035252643948297</v>
      </c>
      <c r="O35" s="10"/>
      <c r="P35" s="2">
        <f>--1170.78</f>
        <v>1170.78</v>
      </c>
      <c r="Q35" s="2"/>
      <c r="R35" s="19"/>
      <c r="S35" s="2"/>
      <c r="T35" s="2">
        <f>--4225.55</f>
        <v>4225.55</v>
      </c>
      <c r="U35" s="2"/>
      <c r="V35" s="19"/>
      <c r="W35" s="2"/>
      <c r="X35" s="2">
        <f t="shared" si="2"/>
        <v>-3054.7700000000004</v>
      </c>
      <c r="Y35" s="2"/>
      <c r="Z35" s="19">
        <f t="shared" si="3"/>
        <v>-0.72292837618771533</v>
      </c>
    </row>
    <row r="36" spans="1:26" s="23" customFormat="1" hidden="1" outlineLevel="1" x14ac:dyDescent="0.25">
      <c r="A36" s="44"/>
      <c r="B36" s="10" t="str">
        <f>CONCATENATE("          ", "4143", " - ", "NON-TAXABLE SALES-CARDS")</f>
        <v xml:space="preserve">          4143 - NON-TAXABLE SALES-CARDS</v>
      </c>
      <c r="C36" s="10"/>
      <c r="D36" s="2">
        <f>--261.82</f>
        <v>261.82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261.82</v>
      </c>
      <c r="M36" s="2"/>
      <c r="N36" s="19">
        <f t="shared" si="1"/>
        <v>0</v>
      </c>
      <c r="O36" s="10"/>
      <c r="P36" s="2">
        <f>--2381.48</f>
        <v>2381.48</v>
      </c>
      <c r="Q36" s="2"/>
      <c r="R36" s="19"/>
      <c r="S36" s="2"/>
      <c r="T36" s="2">
        <f>--9.99</f>
        <v>9.99</v>
      </c>
      <c r="U36" s="2"/>
      <c r="V36" s="19"/>
      <c r="W36" s="2"/>
      <c r="X36" s="2">
        <f t="shared" si="2"/>
        <v>2371.4900000000002</v>
      </c>
      <c r="Y36" s="2"/>
      <c r="Z36" s="19">
        <f t="shared" si="3"/>
        <v>237.38638638638639</v>
      </c>
    </row>
    <row r="37" spans="1:26" s="23" customFormat="1" hidden="1" outlineLevel="1" x14ac:dyDescent="0.25">
      <c r="A37" s="44"/>
      <c r="B37" s="10" t="str">
        <f>CONCATENATE("          ", "4144", " - ", "NON-TAXABLE SALES-ACCESSORIES")</f>
        <v xml:space="preserve">          4144 - NON-TAXABLE SALES-ACCESSORIES</v>
      </c>
      <c r="C37" s="10"/>
      <c r="D37" s="2">
        <f>--29.9</f>
        <v>29.9</v>
      </c>
      <c r="E37" s="2"/>
      <c r="F37" s="19"/>
      <c r="G37" s="2"/>
      <c r="H37" s="2">
        <f>--150</f>
        <v>150</v>
      </c>
      <c r="I37" s="2"/>
      <c r="J37" s="19"/>
      <c r="K37" s="2"/>
      <c r="L37" s="2">
        <f t="shared" si="0"/>
        <v>-120.1</v>
      </c>
      <c r="M37" s="2"/>
      <c r="N37" s="19">
        <f t="shared" si="1"/>
        <v>-0.80066666666666664</v>
      </c>
      <c r="O37" s="10"/>
      <c r="P37" s="2">
        <f>--679.25</f>
        <v>679.25</v>
      </c>
      <c r="Q37" s="2"/>
      <c r="R37" s="19"/>
      <c r="S37" s="2"/>
      <c r="T37" s="2">
        <f>--2040.27</f>
        <v>2040.27</v>
      </c>
      <c r="U37" s="2"/>
      <c r="V37" s="19"/>
      <c r="W37" s="2"/>
      <c r="X37" s="2">
        <f t="shared" si="2"/>
        <v>-1361.02</v>
      </c>
      <c r="Y37" s="2"/>
      <c r="Z37" s="19">
        <f t="shared" si="3"/>
        <v>-0.66707837688149119</v>
      </c>
    </row>
    <row r="38" spans="1:26" s="23" customFormat="1" hidden="1" outlineLevel="1" x14ac:dyDescent="0.25">
      <c r="A38" s="44"/>
      <c r="B38" s="10" t="str">
        <f>CONCATENATE("          ", "4145", " - ", "NON-TAXABLE SALES-SPECIAL ORDE")</f>
        <v xml:space="preserve">          4145 - NON-TAXABLE SALES-SPECIAL ORDE</v>
      </c>
      <c r="C38" s="10"/>
      <c r="D38" s="2">
        <f t="shared" ref="D38:D39" si="9">0</f>
        <v>0</v>
      </c>
      <c r="E38" s="2"/>
      <c r="F38" s="19"/>
      <c r="G38" s="2"/>
      <c r="H38" s="2">
        <f t="shared" ref="H38:H41" si="10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>--53709.09</f>
        <v>53709.09</v>
      </c>
      <c r="Q38" s="2"/>
      <c r="R38" s="19"/>
      <c r="S38" s="2"/>
      <c r="T38" s="2">
        <f>--140</f>
        <v>140</v>
      </c>
      <c r="U38" s="2"/>
      <c r="V38" s="19"/>
      <c r="W38" s="2"/>
      <c r="X38" s="2">
        <f t="shared" si="2"/>
        <v>53569.09</v>
      </c>
      <c r="Y38" s="2"/>
      <c r="Z38" s="19">
        <f t="shared" si="3"/>
        <v>382.63635714285709</v>
      </c>
    </row>
    <row r="39" spans="1:26" s="23" customFormat="1" hidden="1" outlineLevel="1" x14ac:dyDescent="0.25">
      <c r="A39" s="44"/>
      <c r="B39" s="10" t="str">
        <f>CONCATENATE("          ", "4226", " - ", "SALES RETURN TAXABLE-WRITING I")</f>
        <v xml:space="preserve">          4226 - SALES RETURN TAXABLE-WRITING I</v>
      </c>
      <c r="C39" s="10"/>
      <c r="D39" s="2">
        <f t="shared" si="9"/>
        <v>0</v>
      </c>
      <c r="E39" s="2"/>
      <c r="F39" s="19"/>
      <c r="G39" s="2"/>
      <c r="H39" s="2">
        <f t="shared" si="10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>-6.38</f>
        <v>-6.38</v>
      </c>
      <c r="Q39" s="2"/>
      <c r="R39" s="19"/>
      <c r="S39" s="2"/>
      <c r="T39" s="2">
        <f t="shared" ref="T39:T41" si="11">0</f>
        <v>0</v>
      </c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3" customFormat="1" hidden="1" outlineLevel="1" x14ac:dyDescent="0.25">
      <c r="A40" s="44"/>
      <c r="B40" s="10" t="str">
        <f>CONCATENATE("          ", "4227", " - ", "SALES RETURN TAXABLE-SCHOOL SU")</f>
        <v xml:space="preserve">          4227 - SALES RETURN TAXABLE-SCHOOL SU</v>
      </c>
      <c r="C40" s="10"/>
      <c r="D40" s="2">
        <f>-64.39</f>
        <v>-64.39</v>
      </c>
      <c r="E40" s="2"/>
      <c r="F40" s="19"/>
      <c r="G40" s="2"/>
      <c r="H40" s="2">
        <f t="shared" si="10"/>
        <v>0</v>
      </c>
      <c r="I40" s="2"/>
      <c r="J40" s="19"/>
      <c r="K40" s="2"/>
      <c r="L40" s="2">
        <f t="shared" si="0"/>
        <v>-64.39</v>
      </c>
      <c r="M40" s="2"/>
      <c r="N40" s="19">
        <f t="shared" si="1"/>
        <v>0</v>
      </c>
      <c r="O40" s="10"/>
      <c r="P40" s="2">
        <f>-642.94</f>
        <v>-642.94000000000005</v>
      </c>
      <c r="Q40" s="2"/>
      <c r="R40" s="19"/>
      <c r="S40" s="2"/>
      <c r="T40" s="2">
        <f t="shared" si="11"/>
        <v>0</v>
      </c>
      <c r="U40" s="2"/>
      <c r="V40" s="19"/>
      <c r="W40" s="2"/>
      <c r="X40" s="2">
        <f t="shared" si="2"/>
        <v>-642.94000000000005</v>
      </c>
      <c r="Y40" s="2"/>
      <c r="Z40" s="19">
        <f t="shared" si="3"/>
        <v>0</v>
      </c>
    </row>
    <row r="41" spans="1:26" s="23" customFormat="1" hidden="1" outlineLevel="1" x14ac:dyDescent="0.25">
      <c r="A41" s="44"/>
      <c r="B41" s="10" t="str">
        <f>CONCATENATE("          ", "4228", " - ", "SALES RETURN TAXABLE-ART/TECH")</f>
        <v xml:space="preserve">          4228 - SALES RETURN TAXABLE-ART/TECH</v>
      </c>
      <c r="C41" s="10"/>
      <c r="D41" s="2">
        <f>-98.38</f>
        <v>-98.38</v>
      </c>
      <c r="E41" s="2"/>
      <c r="F41" s="19"/>
      <c r="G41" s="2"/>
      <c r="H41" s="2">
        <f t="shared" si="10"/>
        <v>0</v>
      </c>
      <c r="I41" s="2"/>
      <c r="J41" s="19"/>
      <c r="K41" s="2"/>
      <c r="L41" s="2">
        <f t="shared" si="0"/>
        <v>-98.38</v>
      </c>
      <c r="M41" s="2"/>
      <c r="N41" s="19">
        <f t="shared" si="1"/>
        <v>0</v>
      </c>
      <c r="O41" s="10"/>
      <c r="P41" s="2">
        <f>-12615.42</f>
        <v>-12615.42</v>
      </c>
      <c r="Q41" s="2"/>
      <c r="R41" s="19"/>
      <c r="S41" s="2"/>
      <c r="T41" s="2">
        <f t="shared" si="11"/>
        <v>0</v>
      </c>
      <c r="U41" s="2"/>
      <c r="V41" s="19"/>
      <c r="W41" s="2"/>
      <c r="X41" s="2">
        <f t="shared" si="2"/>
        <v>-12615.42</v>
      </c>
      <c r="Y41" s="2"/>
      <c r="Z41" s="19">
        <f t="shared" si="3"/>
        <v>0</v>
      </c>
    </row>
    <row r="42" spans="1:26" s="23" customFormat="1" hidden="1" outlineLevel="1" x14ac:dyDescent="0.25">
      <c r="A42" s="44"/>
      <c r="B42" s="10" t="str">
        <f>CONCATENATE("          ", "4240", " - ", "SALES RETURN TAXABLE-LOGO CLOT")</f>
        <v xml:space="preserve">          4240 - SALES RETURN TAXABLE-LOGO CLOT</v>
      </c>
      <c r="C42" s="10"/>
      <c r="D42" s="2">
        <f>-3309.8</f>
        <v>-3309.8</v>
      </c>
      <c r="E42" s="2"/>
      <c r="F42" s="19"/>
      <c r="G42" s="2"/>
      <c r="H42" s="2">
        <f>-2137.83</f>
        <v>-2137.83</v>
      </c>
      <c r="I42" s="2"/>
      <c r="J42" s="19"/>
      <c r="K42" s="2"/>
      <c r="L42" s="2">
        <f t="shared" si="0"/>
        <v>-1171.9700000000003</v>
      </c>
      <c r="M42" s="2"/>
      <c r="N42" s="19">
        <f t="shared" si="1"/>
        <v>0.54820542325629273</v>
      </c>
      <c r="O42" s="10"/>
      <c r="P42" s="2">
        <f>-27103.03</f>
        <v>-27103.03</v>
      </c>
      <c r="Q42" s="2"/>
      <c r="R42" s="19"/>
      <c r="S42" s="2"/>
      <c r="T42" s="2">
        <f>-56690.04</f>
        <v>-56690.04</v>
      </c>
      <c r="U42" s="2"/>
      <c r="V42" s="19"/>
      <c r="W42" s="2"/>
      <c r="X42" s="2">
        <f t="shared" si="2"/>
        <v>29587.010000000002</v>
      </c>
      <c r="Y42" s="2"/>
      <c r="Z42" s="19">
        <f t="shared" si="3"/>
        <v>-0.52190843400357456</v>
      </c>
    </row>
    <row r="43" spans="1:26" s="23" customFormat="1" hidden="1" outlineLevel="1" x14ac:dyDescent="0.25">
      <c r="A43" s="44"/>
      <c r="B43" s="10" t="str">
        <f>CONCATENATE("          ", "4241", " - ", "SALES RETURN TAXABLE-LOGO GIFT")</f>
        <v xml:space="preserve">          4241 - SALES RETURN TAXABLE-LOGO GIFT</v>
      </c>
      <c r="C43" s="10"/>
      <c r="D43" s="2">
        <f>-1043.03</f>
        <v>-1043.03</v>
      </c>
      <c r="E43" s="2"/>
      <c r="F43" s="19"/>
      <c r="G43" s="2"/>
      <c r="H43" s="2">
        <f>-207.45</f>
        <v>-207.45</v>
      </c>
      <c r="I43" s="2"/>
      <c r="J43" s="19"/>
      <c r="K43" s="2"/>
      <c r="L43" s="2">
        <f t="shared" si="0"/>
        <v>-835.57999999999993</v>
      </c>
      <c r="M43" s="2"/>
      <c r="N43" s="19">
        <f t="shared" si="1"/>
        <v>4.0278621354543258</v>
      </c>
      <c r="O43" s="10"/>
      <c r="P43" s="2">
        <f>-4693.34</f>
        <v>-4693.34</v>
      </c>
      <c r="Q43" s="2"/>
      <c r="R43" s="19"/>
      <c r="S43" s="2"/>
      <c r="T43" s="2">
        <f>-3821.87</f>
        <v>-3821.87</v>
      </c>
      <c r="U43" s="2"/>
      <c r="V43" s="19"/>
      <c r="W43" s="2"/>
      <c r="X43" s="2">
        <f t="shared" si="2"/>
        <v>-871.47000000000025</v>
      </c>
      <c r="Y43" s="2"/>
      <c r="Z43" s="19">
        <f t="shared" si="3"/>
        <v>0.22802188457482864</v>
      </c>
    </row>
    <row r="44" spans="1:26" s="23" customFormat="1" hidden="1" outlineLevel="1" x14ac:dyDescent="0.25">
      <c r="A44" s="44"/>
      <c r="B44" s="10" t="str">
        <f>CONCATENATE("          ", "4242", " - ", "SALES RETURN TAXABLE-EVERYDAY")</f>
        <v xml:space="preserve">          4242 - SALES RETURN TAXABLE-EVERYDAY</v>
      </c>
      <c r="C44" s="10"/>
      <c r="D44" s="2">
        <f>-535.13</f>
        <v>-535.13</v>
      </c>
      <c r="E44" s="2"/>
      <c r="F44" s="19"/>
      <c r="G44" s="2"/>
      <c r="H44" s="2">
        <f>-125.78</f>
        <v>-125.78</v>
      </c>
      <c r="I44" s="2"/>
      <c r="J44" s="19"/>
      <c r="K44" s="2"/>
      <c r="L44" s="2">
        <f t="shared" si="0"/>
        <v>-409.35</v>
      </c>
      <c r="M44" s="2"/>
      <c r="N44" s="19">
        <f t="shared" si="1"/>
        <v>3.2544919701065353</v>
      </c>
      <c r="O44" s="10"/>
      <c r="P44" s="2">
        <f>-1977.76</f>
        <v>-1977.76</v>
      </c>
      <c r="Q44" s="2"/>
      <c r="R44" s="19"/>
      <c r="S44" s="2"/>
      <c r="T44" s="2">
        <f>-3100.4</f>
        <v>-3100.4</v>
      </c>
      <c r="U44" s="2"/>
      <c r="V44" s="19"/>
      <c r="W44" s="2"/>
      <c r="X44" s="2">
        <f t="shared" si="2"/>
        <v>1122.6400000000001</v>
      </c>
      <c r="Y44" s="2"/>
      <c r="Z44" s="19">
        <f t="shared" si="3"/>
        <v>-0.36209521352083607</v>
      </c>
    </row>
    <row r="45" spans="1:26" s="23" customFormat="1" hidden="1" outlineLevel="1" x14ac:dyDescent="0.25">
      <c r="A45" s="44"/>
      <c r="B45" s="10" t="str">
        <f>CONCATENATE("          ", "4243", " - ", "SALES RETURN TAXABLE-CARDS")</f>
        <v xml:space="preserve">          4243 - SALES RETURN TAXABLE-CARDS</v>
      </c>
      <c r="C45" s="10"/>
      <c r="D45" s="2">
        <f>-572.63</f>
        <v>-572.63</v>
      </c>
      <c r="E45" s="2"/>
      <c r="F45" s="19"/>
      <c r="G45" s="2"/>
      <c r="H45" s="2">
        <f>-159.92</f>
        <v>-159.91999999999999</v>
      </c>
      <c r="I45" s="2"/>
      <c r="J45" s="19"/>
      <c r="K45" s="2"/>
      <c r="L45" s="2">
        <f t="shared" si="0"/>
        <v>-412.71000000000004</v>
      </c>
      <c r="M45" s="2"/>
      <c r="N45" s="19">
        <f t="shared" si="1"/>
        <v>2.5807278639319664</v>
      </c>
      <c r="O45" s="10"/>
      <c r="P45" s="2">
        <f>-5942.23</f>
        <v>-5942.23</v>
      </c>
      <c r="Q45" s="2"/>
      <c r="R45" s="19"/>
      <c r="S45" s="2"/>
      <c r="T45" s="2">
        <f>-2993.31</f>
        <v>-2993.31</v>
      </c>
      <c r="U45" s="2"/>
      <c r="V45" s="19"/>
      <c r="W45" s="2"/>
      <c r="X45" s="2">
        <f t="shared" si="2"/>
        <v>-2948.9199999999996</v>
      </c>
      <c r="Y45" s="2"/>
      <c r="Z45" s="19">
        <f t="shared" si="3"/>
        <v>0.98517026301986754</v>
      </c>
    </row>
    <row r="46" spans="1:26" s="23" customFormat="1" hidden="1" outlineLevel="1" x14ac:dyDescent="0.25">
      <c r="A46" s="44"/>
      <c r="B46" s="10" t="str">
        <f>CONCATENATE("          ", "4244", " - ", "SALES RETURN TAXABLE-ACCESSORI")</f>
        <v xml:space="preserve">          4244 - SALES RETURN TAXABLE-ACCESSORI</v>
      </c>
      <c r="C46" s="10"/>
      <c r="D46" s="2">
        <f>-227.47</f>
        <v>-227.47</v>
      </c>
      <c r="E46" s="2"/>
      <c r="F46" s="19"/>
      <c r="G46" s="2"/>
      <c r="H46" s="2">
        <f>-39.9</f>
        <v>-39.9</v>
      </c>
      <c r="I46" s="2"/>
      <c r="J46" s="19"/>
      <c r="K46" s="2"/>
      <c r="L46" s="2">
        <f t="shared" si="0"/>
        <v>-187.57</v>
      </c>
      <c r="M46" s="2"/>
      <c r="N46" s="19">
        <f t="shared" si="1"/>
        <v>4.701002506265664</v>
      </c>
      <c r="O46" s="10"/>
      <c r="P46" s="2">
        <f>-1192.38</f>
        <v>-1192.3800000000001</v>
      </c>
      <c r="Q46" s="2"/>
      <c r="R46" s="19"/>
      <c r="S46" s="2"/>
      <c r="T46" s="2">
        <f>-2339.9</f>
        <v>-2339.9</v>
      </c>
      <c r="U46" s="2"/>
      <c r="V46" s="19"/>
      <c r="W46" s="2"/>
      <c r="X46" s="2">
        <f t="shared" si="2"/>
        <v>1147.52</v>
      </c>
      <c r="Y46" s="2"/>
      <c r="Z46" s="19">
        <f t="shared" si="3"/>
        <v>-0.49041412026154962</v>
      </c>
    </row>
    <row r="47" spans="1:26" s="23" customFormat="1" hidden="1" outlineLevel="1" x14ac:dyDescent="0.25">
      <c r="A47" s="44"/>
      <c r="B47" s="10" t="str">
        <f>CONCATENATE("          ", "4245", " - ", "SALES RETURN TAXABLE-SPECIAL O")</f>
        <v xml:space="preserve">          4245 - SALES RETURN TAXABLE-SPECIAL O</v>
      </c>
      <c r="C47" s="10"/>
      <c r="D47" s="2">
        <f>0</f>
        <v>0</v>
      </c>
      <c r="E47" s="2"/>
      <c r="F47" s="19"/>
      <c r="G47" s="2"/>
      <c r="H47" s="2">
        <f>-19.98</f>
        <v>-19.98</v>
      </c>
      <c r="I47" s="2"/>
      <c r="J47" s="19"/>
      <c r="K47" s="2"/>
      <c r="L47" s="2">
        <f t="shared" si="0"/>
        <v>19.98</v>
      </c>
      <c r="M47" s="2"/>
      <c r="N47" s="19">
        <f t="shared" si="1"/>
        <v>-1</v>
      </c>
      <c r="O47" s="10"/>
      <c r="P47" s="2">
        <f>-11346.59</f>
        <v>-11346.59</v>
      </c>
      <c r="Q47" s="2"/>
      <c r="R47" s="19"/>
      <c r="S47" s="2"/>
      <c r="T47" s="2">
        <f>-1725.04</f>
        <v>-1725.04</v>
      </c>
      <c r="U47" s="2"/>
      <c r="V47" s="19"/>
      <c r="W47" s="2"/>
      <c r="X47" s="2">
        <f t="shared" si="2"/>
        <v>-9621.5499999999993</v>
      </c>
      <c r="Y47" s="2"/>
      <c r="Z47" s="19">
        <f t="shared" si="3"/>
        <v>5.5775808097203541</v>
      </c>
    </row>
    <row r="48" spans="1:26" s="23" customFormat="1" hidden="1" outlineLevel="1" x14ac:dyDescent="0.25">
      <c r="A48" s="44"/>
      <c r="B48" s="10" t="str">
        <f>CONCATENATE("          ", "4340", " - ", "SALES RETURN NON TAXABLE-LOGO")</f>
        <v xml:space="preserve">          4340 - SALES RETURN NON TAXABLE-LOGO</v>
      </c>
      <c r="C48" s="10"/>
      <c r="D48" s="2">
        <f>-350.55</f>
        <v>-350.55</v>
      </c>
      <c r="E48" s="2"/>
      <c r="F48" s="19"/>
      <c r="G48" s="2"/>
      <c r="H48" s="2">
        <f>-63.8</f>
        <v>-63.8</v>
      </c>
      <c r="I48" s="2"/>
      <c r="J48" s="19"/>
      <c r="K48" s="2"/>
      <c r="L48" s="2">
        <f t="shared" si="0"/>
        <v>-286.75</v>
      </c>
      <c r="M48" s="2"/>
      <c r="N48" s="19">
        <f t="shared" si="1"/>
        <v>4.4945141065830727</v>
      </c>
      <c r="O48" s="10"/>
      <c r="P48" s="2">
        <f>-2643.39</f>
        <v>-2643.39</v>
      </c>
      <c r="Q48" s="2"/>
      <c r="R48" s="19"/>
      <c r="S48" s="2"/>
      <c r="T48" s="2">
        <f>-995.45</f>
        <v>-995.45</v>
      </c>
      <c r="U48" s="2"/>
      <c r="V48" s="19"/>
      <c r="W48" s="2"/>
      <c r="X48" s="2">
        <f t="shared" si="2"/>
        <v>-1647.9399999999998</v>
      </c>
      <c r="Y48" s="2"/>
      <c r="Z48" s="19">
        <f t="shared" si="3"/>
        <v>1.6554723994173486</v>
      </c>
    </row>
    <row r="49" spans="1:26" s="23" customFormat="1" hidden="1" outlineLevel="1" x14ac:dyDescent="0.25">
      <c r="A49" s="44"/>
      <c r="B49" s="10" t="str">
        <f>CONCATENATE("          ", "4341", " - ", "SALES RETURN NON TAXABLE-LOGO")</f>
        <v xml:space="preserve">          4341 - SALES RETURN NON TAXABLE-LOGO</v>
      </c>
      <c r="C49" s="10"/>
      <c r="D49" s="2">
        <f>-29.9</f>
        <v>-29.9</v>
      </c>
      <c r="E49" s="2"/>
      <c r="F49" s="19"/>
      <c r="G49" s="2"/>
      <c r="H49" s="2">
        <f t="shared" ref="H49:H50" si="12">0</f>
        <v>0</v>
      </c>
      <c r="I49" s="2"/>
      <c r="J49" s="19"/>
      <c r="K49" s="2"/>
      <c r="L49" s="2">
        <f t="shared" si="0"/>
        <v>-29.9</v>
      </c>
      <c r="M49" s="2"/>
      <c r="N49" s="19">
        <f t="shared" si="1"/>
        <v>0</v>
      </c>
      <c r="O49" s="10"/>
      <c r="P49" s="2">
        <f>-381.34</f>
        <v>-381.34</v>
      </c>
      <c r="Q49" s="2"/>
      <c r="R49" s="19"/>
      <c r="S49" s="2"/>
      <c r="T49" s="2">
        <f>-245.5</f>
        <v>-245.5</v>
      </c>
      <c r="U49" s="2"/>
      <c r="V49" s="19"/>
      <c r="W49" s="2"/>
      <c r="X49" s="2">
        <f t="shared" si="2"/>
        <v>-135.83999999999997</v>
      </c>
      <c r="Y49" s="2"/>
      <c r="Z49" s="19">
        <f t="shared" si="3"/>
        <v>0.55331975560081459</v>
      </c>
    </row>
    <row r="50" spans="1:26" s="23" customFormat="1" hidden="1" outlineLevel="1" x14ac:dyDescent="0.25">
      <c r="A50" s="44"/>
      <c r="B50" s="10" t="str">
        <f>CONCATENATE("          ", "4342", " - ", "SALES RETURN NON TAXABLE-EVERY")</f>
        <v xml:space="preserve">          4342 - SALES RETURN NON TAXABLE-EVERY</v>
      </c>
      <c r="C50" s="10"/>
      <c r="D50" s="2">
        <f>0</f>
        <v>0</v>
      </c>
      <c r="E50" s="2"/>
      <c r="F50" s="19"/>
      <c r="G50" s="2"/>
      <c r="H50" s="2">
        <f t="shared" si="12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>-118.7</f>
        <v>-118.7</v>
      </c>
      <c r="Q50" s="2"/>
      <c r="R50" s="19"/>
      <c r="S50" s="2"/>
      <c r="T50" s="2">
        <f>-109.8</f>
        <v>-109.8</v>
      </c>
      <c r="U50" s="2"/>
      <c r="V50" s="19"/>
      <c r="W50" s="2"/>
      <c r="X50" s="2">
        <f t="shared" si="2"/>
        <v>-8.9000000000000057</v>
      </c>
      <c r="Y50" s="2"/>
      <c r="Z50" s="19">
        <f t="shared" si="3"/>
        <v>8.1056466302367999E-2</v>
      </c>
    </row>
    <row r="51" spans="1:26" x14ac:dyDescent="0.25">
      <c r="A51" s="9"/>
      <c r="B51" s="11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4" customFormat="1" collapsed="1" x14ac:dyDescent="0.25">
      <c r="A52" s="11"/>
      <c r="B52" s="28" t="s">
        <v>256</v>
      </c>
      <c r="C52" s="11"/>
      <c r="D52" s="4">
        <f>SUM(OSRRefD16x_0)</f>
        <v>77854</v>
      </c>
      <c r="E52" s="4"/>
      <c r="F52" s="13">
        <f t="shared" ref="F52:F77" si="13">IF(D$12=0,0,D52/D$12)</f>
        <v>0.54555814107163425</v>
      </c>
      <c r="G52" s="4"/>
      <c r="H52" s="4">
        <f>SUM(OSRRefH16x_0)</f>
        <v>49756.289999999994</v>
      </c>
      <c r="I52" s="4"/>
      <c r="J52" s="13">
        <f t="shared" ref="J52:J77" si="14">IF(H$12=0,0,H52/H$12)</f>
        <v>0.46109699781787367</v>
      </c>
      <c r="K52" s="4"/>
      <c r="L52" s="4">
        <f t="shared" ref="L52:L77" si="15">+D52-H52</f>
        <v>28097.710000000006</v>
      </c>
      <c r="M52" s="4"/>
      <c r="N52" s="13">
        <f t="shared" ref="N52:N77" si="16">IF(H52=0,0,L52/H52)</f>
        <v>0.56470669336479895</v>
      </c>
      <c r="O52" s="11"/>
      <c r="P52" s="4">
        <f>SUM(OSRRefP16x_0)</f>
        <v>740856.54000000015</v>
      </c>
      <c r="Q52" s="4"/>
      <c r="R52" s="13">
        <f t="shared" ref="R52:R77" si="17">IF(P$12=0,0,P52/P$12)</f>
        <v>0.58353771807299637</v>
      </c>
      <c r="S52" s="4"/>
      <c r="T52" s="4">
        <f>SUM(OSRRefT16x_0)</f>
        <v>949113.03999999957</v>
      </c>
      <c r="U52" s="4"/>
      <c r="V52" s="13">
        <f t="shared" ref="V52:V77" si="18">IF(T$12=0,0,T52/T$12)</f>
        <v>0.46674167051281051</v>
      </c>
      <c r="W52" s="4"/>
      <c r="X52" s="4">
        <f t="shared" ref="X52:X77" si="19">+P52-T52</f>
        <v>-208256.49999999942</v>
      </c>
      <c r="Y52" s="4"/>
      <c r="Z52" s="13">
        <f t="shared" ref="Z52:Z77" si="20">IF(T52=0,0,X52/T52)</f>
        <v>-0.21942223025404806</v>
      </c>
    </row>
    <row r="53" spans="1:26" s="23" customFormat="1" hidden="1" outlineLevel="1" x14ac:dyDescent="0.25">
      <c r="A53" s="44"/>
      <c r="B53" s="10" t="str">
        <f>CONCATENATE("          ", "5000", " - ", "PURCHASES @ COST")</f>
        <v xml:space="preserve">          5000 - PURCHASES @ COST</v>
      </c>
      <c r="C53" s="10"/>
      <c r="D53" s="2"/>
      <c r="E53" s="2"/>
      <c r="F53" s="19">
        <f t="shared" si="13"/>
        <v>0</v>
      </c>
      <c r="G53" s="2"/>
      <c r="H53" s="2">
        <v>0</v>
      </c>
      <c r="I53" s="2"/>
      <c r="J53" s="19">
        <f t="shared" si="14"/>
        <v>0</v>
      </c>
      <c r="K53" s="2"/>
      <c r="L53" s="2">
        <f t="shared" si="15"/>
        <v>0</v>
      </c>
      <c r="M53" s="2"/>
      <c r="N53" s="19">
        <f t="shared" si="16"/>
        <v>0</v>
      </c>
      <c r="O53" s="10"/>
      <c r="P53" s="2"/>
      <c r="Q53" s="2"/>
      <c r="R53" s="19">
        <f t="shared" si="17"/>
        <v>0</v>
      </c>
      <c r="S53" s="2"/>
      <c r="T53" s="2">
        <v>0</v>
      </c>
      <c r="U53" s="2"/>
      <c r="V53" s="19">
        <f t="shared" si="18"/>
        <v>0</v>
      </c>
      <c r="W53" s="2"/>
      <c r="X53" s="2">
        <f t="shared" si="19"/>
        <v>0</v>
      </c>
      <c r="Y53" s="2"/>
      <c r="Z53" s="19">
        <f t="shared" si="20"/>
        <v>0</v>
      </c>
    </row>
    <row r="54" spans="1:26" s="23" customFormat="1" hidden="1" outlineLevel="1" x14ac:dyDescent="0.25">
      <c r="A54" s="44"/>
      <c r="B54" s="10" t="str">
        <f>CONCATENATE("          ", "5025", " - ", "PURCHASES @ COST-TEST FORMS")</f>
        <v xml:space="preserve">          5025 - PURCHASES @ COST-TEST FORMS</v>
      </c>
      <c r="C54" s="10"/>
      <c r="D54" s="2"/>
      <c r="E54" s="2"/>
      <c r="F54" s="19">
        <f t="shared" si="13"/>
        <v>0</v>
      </c>
      <c r="G54" s="2"/>
      <c r="H54" s="2"/>
      <c r="I54" s="2"/>
      <c r="J54" s="19">
        <f t="shared" si="14"/>
        <v>0</v>
      </c>
      <c r="K54" s="2"/>
      <c r="L54" s="2">
        <f t="shared" si="15"/>
        <v>0</v>
      </c>
      <c r="M54" s="2"/>
      <c r="N54" s="19">
        <f t="shared" si="16"/>
        <v>0</v>
      </c>
      <c r="O54" s="10"/>
      <c r="P54" s="2">
        <v>599.29</v>
      </c>
      <c r="Q54" s="2"/>
      <c r="R54" s="19">
        <f t="shared" si="17"/>
        <v>4.7203243837729486E-4</v>
      </c>
      <c r="S54" s="2"/>
      <c r="T54" s="2"/>
      <c r="U54" s="2"/>
      <c r="V54" s="19">
        <f t="shared" si="18"/>
        <v>0</v>
      </c>
      <c r="W54" s="2"/>
      <c r="X54" s="2">
        <f t="shared" si="19"/>
        <v>599.29</v>
      </c>
      <c r="Y54" s="2"/>
      <c r="Z54" s="19">
        <f t="shared" si="20"/>
        <v>0</v>
      </c>
    </row>
    <row r="55" spans="1:26" s="23" customFormat="1" hidden="1" outlineLevel="1" x14ac:dyDescent="0.25">
      <c r="A55" s="44"/>
      <c r="B55" s="10" t="str">
        <f>CONCATENATE("          ", "5026", " - ", "PURCHASES @ COST-WRITING INSTR")</f>
        <v xml:space="preserve">          5026 - PURCHASES @ COST-WRITING INSTR</v>
      </c>
      <c r="C55" s="10"/>
      <c r="D55" s="2">
        <v>209.64</v>
      </c>
      <c r="E55" s="2"/>
      <c r="F55" s="19">
        <f t="shared" si="13"/>
        <v>1.4690421647475711E-3</v>
      </c>
      <c r="G55" s="2"/>
      <c r="H55" s="2"/>
      <c r="I55" s="2"/>
      <c r="J55" s="19">
        <f t="shared" si="14"/>
        <v>0</v>
      </c>
      <c r="K55" s="2"/>
      <c r="L55" s="2">
        <f t="shared" si="15"/>
        <v>209.64</v>
      </c>
      <c r="M55" s="2"/>
      <c r="N55" s="19">
        <f t="shared" si="16"/>
        <v>0</v>
      </c>
      <c r="O55" s="10"/>
      <c r="P55" s="2">
        <v>219.64</v>
      </c>
      <c r="Q55" s="2"/>
      <c r="R55" s="19">
        <f t="shared" si="17"/>
        <v>1.7300005801062766E-4</v>
      </c>
      <c r="S55" s="2"/>
      <c r="T55" s="2"/>
      <c r="U55" s="2"/>
      <c r="V55" s="19">
        <f t="shared" si="18"/>
        <v>0</v>
      </c>
      <c r="W55" s="2"/>
      <c r="X55" s="2">
        <f t="shared" si="19"/>
        <v>219.64</v>
      </c>
      <c r="Y55" s="2"/>
      <c r="Z55" s="19">
        <f t="shared" si="20"/>
        <v>0</v>
      </c>
    </row>
    <row r="56" spans="1:26" s="23" customFormat="1" hidden="1" outlineLevel="1" x14ac:dyDescent="0.25">
      <c r="A56" s="44"/>
      <c r="B56" s="10" t="str">
        <f>CONCATENATE("          ", "5027", " - ", "PURCHASES @ COST-SCHOOL SUPPLI")</f>
        <v xml:space="preserve">          5027 - PURCHASES @ COST-SCHOOL SUPPLI</v>
      </c>
      <c r="C56" s="10"/>
      <c r="D56" s="2">
        <v>2824.53</v>
      </c>
      <c r="E56" s="2"/>
      <c r="F56" s="19">
        <f t="shared" si="13"/>
        <v>1.9792757420313192E-2</v>
      </c>
      <c r="G56" s="2"/>
      <c r="H56" s="2"/>
      <c r="I56" s="2"/>
      <c r="J56" s="19">
        <f t="shared" si="14"/>
        <v>0</v>
      </c>
      <c r="K56" s="2"/>
      <c r="L56" s="2">
        <f t="shared" si="15"/>
        <v>2824.53</v>
      </c>
      <c r="M56" s="2"/>
      <c r="N56" s="19">
        <f t="shared" si="16"/>
        <v>0</v>
      </c>
      <c r="O56" s="10"/>
      <c r="P56" s="2">
        <v>21000.41</v>
      </c>
      <c r="Q56" s="2"/>
      <c r="R56" s="19">
        <f t="shared" si="17"/>
        <v>1.6541031452590445E-2</v>
      </c>
      <c r="S56" s="2"/>
      <c r="T56" s="2"/>
      <c r="U56" s="2"/>
      <c r="V56" s="19">
        <f t="shared" si="18"/>
        <v>0</v>
      </c>
      <c r="W56" s="2"/>
      <c r="X56" s="2">
        <f t="shared" si="19"/>
        <v>21000.41</v>
      </c>
      <c r="Y56" s="2"/>
      <c r="Z56" s="19">
        <f t="shared" si="20"/>
        <v>0</v>
      </c>
    </row>
    <row r="57" spans="1:26" s="23" customFormat="1" hidden="1" outlineLevel="1" x14ac:dyDescent="0.25">
      <c r="A57" s="44"/>
      <c r="B57" s="10" t="str">
        <f>CONCATENATE("          ", "5028", " - ", "PURCHASES @ COST-ART/TECH")</f>
        <v xml:space="preserve">          5028 - PURCHASES @ COST-ART/TECH</v>
      </c>
      <c r="C57" s="10"/>
      <c r="D57" s="2">
        <v>3443.78</v>
      </c>
      <c r="E57" s="2"/>
      <c r="F57" s="19">
        <f t="shared" si="13"/>
        <v>2.4132121857061584E-2</v>
      </c>
      <c r="G57" s="2"/>
      <c r="H57" s="2"/>
      <c r="I57" s="2"/>
      <c r="J57" s="19">
        <f t="shared" si="14"/>
        <v>0</v>
      </c>
      <c r="K57" s="2"/>
      <c r="L57" s="2">
        <f t="shared" si="15"/>
        <v>3443.78</v>
      </c>
      <c r="M57" s="2"/>
      <c r="N57" s="19">
        <f t="shared" si="16"/>
        <v>0</v>
      </c>
      <c r="O57" s="10"/>
      <c r="P57" s="2">
        <v>4193.51</v>
      </c>
      <c r="Q57" s="2"/>
      <c r="R57" s="19">
        <f t="shared" si="17"/>
        <v>3.3030298364056967E-3</v>
      </c>
      <c r="S57" s="2"/>
      <c r="T57" s="2"/>
      <c r="U57" s="2"/>
      <c r="V57" s="19">
        <f t="shared" si="18"/>
        <v>0</v>
      </c>
      <c r="W57" s="2"/>
      <c r="X57" s="2">
        <f t="shared" si="19"/>
        <v>4193.51</v>
      </c>
      <c r="Y57" s="2"/>
      <c r="Z57" s="19">
        <f t="shared" si="20"/>
        <v>0</v>
      </c>
    </row>
    <row r="58" spans="1:26" s="23" customFormat="1" hidden="1" outlineLevel="1" x14ac:dyDescent="0.25">
      <c r="A58" s="44"/>
      <c r="B58" s="10" t="str">
        <f>CONCATENATE("          ", "5031", " - ", "PURCHASES @ COST-FOOD")</f>
        <v xml:space="preserve">          5031 - PURCHASES @ COST-FOOD</v>
      </c>
      <c r="C58" s="10"/>
      <c r="D58" s="2"/>
      <c r="E58" s="2"/>
      <c r="F58" s="19">
        <f t="shared" si="13"/>
        <v>0</v>
      </c>
      <c r="G58" s="2"/>
      <c r="H58" s="2"/>
      <c r="I58" s="2"/>
      <c r="J58" s="19">
        <f t="shared" si="14"/>
        <v>0</v>
      </c>
      <c r="K58" s="2"/>
      <c r="L58" s="2">
        <f t="shared" si="15"/>
        <v>0</v>
      </c>
      <c r="M58" s="2"/>
      <c r="N58" s="19">
        <f t="shared" si="16"/>
        <v>0</v>
      </c>
      <c r="O58" s="10"/>
      <c r="P58" s="2">
        <v>5344.15</v>
      </c>
      <c r="Q58" s="2"/>
      <c r="R58" s="19">
        <f t="shared" si="17"/>
        <v>4.209334638579019E-3</v>
      </c>
      <c r="S58" s="2"/>
      <c r="T58" s="2"/>
      <c r="U58" s="2"/>
      <c r="V58" s="19">
        <f t="shared" si="18"/>
        <v>0</v>
      </c>
      <c r="W58" s="2"/>
      <c r="X58" s="2">
        <f t="shared" si="19"/>
        <v>5344.15</v>
      </c>
      <c r="Y58" s="2"/>
      <c r="Z58" s="19">
        <f t="shared" si="20"/>
        <v>0</v>
      </c>
    </row>
    <row r="59" spans="1:26" s="23" customFormat="1" hidden="1" outlineLevel="1" x14ac:dyDescent="0.25">
      <c r="A59" s="44"/>
      <c r="B59" s="10" t="str">
        <f>CONCATENATE("          ", "5040", " - ", "PURCHASES @ COST-LOGO CLOTHING")</f>
        <v xml:space="preserve">          5040 - PURCHASES @ COST-LOGO CLOTHING</v>
      </c>
      <c r="C59" s="10"/>
      <c r="D59" s="2">
        <v>45900.51</v>
      </c>
      <c r="E59" s="2"/>
      <c r="F59" s="19">
        <f t="shared" si="13"/>
        <v>0.32164560471960285</v>
      </c>
      <c r="G59" s="2"/>
      <c r="H59" s="2">
        <v>60073.35</v>
      </c>
      <c r="I59" s="2"/>
      <c r="J59" s="19">
        <f t="shared" si="14"/>
        <v>0.55670632464483105</v>
      </c>
      <c r="K59" s="2"/>
      <c r="L59" s="2">
        <f t="shared" si="15"/>
        <v>-14172.839999999997</v>
      </c>
      <c r="M59" s="2"/>
      <c r="N59" s="19">
        <f t="shared" si="16"/>
        <v>-0.23592558097725524</v>
      </c>
      <c r="O59" s="10"/>
      <c r="P59" s="2">
        <v>239871.6</v>
      </c>
      <c r="Q59" s="2"/>
      <c r="R59" s="19">
        <f t="shared" si="17"/>
        <v>0.18893553412448585</v>
      </c>
      <c r="S59" s="2"/>
      <c r="T59" s="2">
        <v>771173.72</v>
      </c>
      <c r="U59" s="2"/>
      <c r="V59" s="19">
        <f t="shared" si="18"/>
        <v>0.37923713526091535</v>
      </c>
      <c r="W59" s="2"/>
      <c r="X59" s="2">
        <f t="shared" si="19"/>
        <v>-531302.12</v>
      </c>
      <c r="Y59" s="2"/>
      <c r="Z59" s="19">
        <f t="shared" si="20"/>
        <v>-0.68895257478431715</v>
      </c>
    </row>
    <row r="60" spans="1:26" s="23" customFormat="1" hidden="1" outlineLevel="1" x14ac:dyDescent="0.25">
      <c r="A60" s="44"/>
      <c r="B60" s="10" t="str">
        <f>CONCATENATE("          ", "5041", " - ", "PURCHASES @ COST-LOGO GIFTS")</f>
        <v xml:space="preserve">          5041 - PURCHASES @ COST-LOGO GIFTS</v>
      </c>
      <c r="C60" s="10"/>
      <c r="D60" s="2">
        <v>899.63</v>
      </c>
      <c r="E60" s="2"/>
      <c r="F60" s="19">
        <f t="shared" si="13"/>
        <v>6.3041137315009415E-3</v>
      </c>
      <c r="G60" s="2"/>
      <c r="H60" s="2">
        <v>14182.3</v>
      </c>
      <c r="I60" s="2"/>
      <c r="J60" s="19">
        <f t="shared" si="14"/>
        <v>0.13142892993332964</v>
      </c>
      <c r="K60" s="2"/>
      <c r="L60" s="2">
        <f t="shared" si="15"/>
        <v>-13282.67</v>
      </c>
      <c r="M60" s="2"/>
      <c r="N60" s="19">
        <f t="shared" si="16"/>
        <v>-0.93656670638753947</v>
      </c>
      <c r="O60" s="10"/>
      <c r="P60" s="2">
        <v>68255.839999999997</v>
      </c>
      <c r="Q60" s="2"/>
      <c r="R60" s="19">
        <f t="shared" si="17"/>
        <v>5.376190256585376E-2</v>
      </c>
      <c r="S60" s="2"/>
      <c r="T60" s="2">
        <v>123583.47</v>
      </c>
      <c r="U60" s="2"/>
      <c r="V60" s="19">
        <f t="shared" si="18"/>
        <v>6.0774167885808236E-2</v>
      </c>
      <c r="W60" s="2"/>
      <c r="X60" s="2">
        <f t="shared" si="19"/>
        <v>-55327.630000000005</v>
      </c>
      <c r="Y60" s="2"/>
      <c r="Z60" s="19">
        <f t="shared" si="20"/>
        <v>-0.44769442062113973</v>
      </c>
    </row>
    <row r="61" spans="1:26" s="23" customFormat="1" hidden="1" outlineLevel="1" x14ac:dyDescent="0.25">
      <c r="A61" s="44"/>
      <c r="B61" s="10" t="str">
        <f>CONCATENATE("          ", "5042", " - ", "PURCHASES @ COST-EVERYDAY GIFT")</f>
        <v xml:space="preserve">          5042 - PURCHASES @ COST-EVERYDAY GIFT</v>
      </c>
      <c r="C61" s="10"/>
      <c r="D61" s="2">
        <v>-270</v>
      </c>
      <c r="E61" s="2"/>
      <c r="F61" s="19">
        <f t="shared" si="13"/>
        <v>-1.892011946583878E-3</v>
      </c>
      <c r="G61" s="2"/>
      <c r="H61" s="2">
        <v>14387.59</v>
      </c>
      <c r="I61" s="2"/>
      <c r="J61" s="19">
        <f t="shared" si="14"/>
        <v>0.13333137488414956</v>
      </c>
      <c r="K61" s="2"/>
      <c r="L61" s="2">
        <f t="shared" si="15"/>
        <v>-14657.59</v>
      </c>
      <c r="M61" s="2"/>
      <c r="N61" s="19">
        <f t="shared" si="16"/>
        <v>-1.0187661727919686</v>
      </c>
      <c r="O61" s="10"/>
      <c r="P61" s="2">
        <v>10802.14</v>
      </c>
      <c r="Q61" s="2"/>
      <c r="R61" s="19">
        <f t="shared" si="17"/>
        <v>8.5083356703647851E-3</v>
      </c>
      <c r="S61" s="2"/>
      <c r="T61" s="2">
        <v>94845.61</v>
      </c>
      <c r="U61" s="2"/>
      <c r="V61" s="19">
        <f t="shared" si="18"/>
        <v>4.6641860965482625E-2</v>
      </c>
      <c r="W61" s="2"/>
      <c r="X61" s="2">
        <f t="shared" si="19"/>
        <v>-84043.47</v>
      </c>
      <c r="Y61" s="2"/>
      <c r="Z61" s="19">
        <f t="shared" si="20"/>
        <v>-0.88610817095277261</v>
      </c>
    </row>
    <row r="62" spans="1:26" s="23" customFormat="1" hidden="1" outlineLevel="1" x14ac:dyDescent="0.25">
      <c r="A62" s="44"/>
      <c r="B62" s="10" t="str">
        <f>CONCATENATE("          ", "5043", " - ", "PURCHASES @ COST-CARDS")</f>
        <v xml:space="preserve">          5043 - PURCHASES @ COST-CARDS</v>
      </c>
      <c r="C62" s="10"/>
      <c r="D62" s="2"/>
      <c r="E62" s="2"/>
      <c r="F62" s="19">
        <f t="shared" si="13"/>
        <v>0</v>
      </c>
      <c r="G62" s="2"/>
      <c r="H62" s="2">
        <v>-4258.25</v>
      </c>
      <c r="I62" s="2"/>
      <c r="J62" s="19">
        <f t="shared" si="14"/>
        <v>-3.9461669890539681E-2</v>
      </c>
      <c r="K62" s="2"/>
      <c r="L62" s="2">
        <f t="shared" si="15"/>
        <v>4258.25</v>
      </c>
      <c r="M62" s="2"/>
      <c r="N62" s="19">
        <f t="shared" si="16"/>
        <v>-1</v>
      </c>
      <c r="O62" s="10"/>
      <c r="P62" s="2">
        <v>55364.33</v>
      </c>
      <c r="Q62" s="2"/>
      <c r="R62" s="19">
        <f t="shared" si="17"/>
        <v>4.3607868793113888E-2</v>
      </c>
      <c r="S62" s="2"/>
      <c r="T62" s="2">
        <v>24622.44</v>
      </c>
      <c r="U62" s="2"/>
      <c r="V62" s="19">
        <f t="shared" si="18"/>
        <v>1.2108482649971232E-2</v>
      </c>
      <c r="W62" s="2"/>
      <c r="X62" s="2">
        <f t="shared" si="19"/>
        <v>30741.890000000003</v>
      </c>
      <c r="Y62" s="2"/>
      <c r="Z62" s="19">
        <f t="shared" si="20"/>
        <v>1.2485314209314757</v>
      </c>
    </row>
    <row r="63" spans="1:26" s="23" customFormat="1" hidden="1" outlineLevel="1" x14ac:dyDescent="0.25">
      <c r="A63" s="44"/>
      <c r="B63" s="10" t="str">
        <f>CONCATENATE("          ", "5044", " - ", "PURCHASES @ COST-ACCESSORIES")</f>
        <v xml:space="preserve">          5044 - PURCHASES @ COST-ACCESSORIES</v>
      </c>
      <c r="C63" s="10"/>
      <c r="D63" s="2"/>
      <c r="E63" s="2"/>
      <c r="F63" s="19">
        <f t="shared" si="13"/>
        <v>0</v>
      </c>
      <c r="G63" s="2"/>
      <c r="H63" s="2">
        <v>-1386.34</v>
      </c>
      <c r="I63" s="2"/>
      <c r="J63" s="19">
        <f t="shared" si="14"/>
        <v>-1.2847364864921218E-2</v>
      </c>
      <c r="K63" s="2"/>
      <c r="L63" s="2">
        <f t="shared" si="15"/>
        <v>1386.34</v>
      </c>
      <c r="M63" s="2"/>
      <c r="N63" s="19">
        <f t="shared" si="16"/>
        <v>-1</v>
      </c>
      <c r="O63" s="10"/>
      <c r="P63" s="2">
        <v>1064.83</v>
      </c>
      <c r="Q63" s="2"/>
      <c r="R63" s="19">
        <f t="shared" si="17"/>
        <v>8.3871631657009944E-4</v>
      </c>
      <c r="S63" s="2"/>
      <c r="T63" s="2">
        <v>36475.08</v>
      </c>
      <c r="U63" s="2"/>
      <c r="V63" s="19">
        <f t="shared" si="18"/>
        <v>1.7937209851514011E-2</v>
      </c>
      <c r="W63" s="2"/>
      <c r="X63" s="2">
        <f t="shared" si="19"/>
        <v>-35410.25</v>
      </c>
      <c r="Y63" s="2"/>
      <c r="Z63" s="19">
        <f t="shared" si="20"/>
        <v>-0.97080664387850546</v>
      </c>
    </row>
    <row r="64" spans="1:26" s="23" customFormat="1" hidden="1" outlineLevel="1" x14ac:dyDescent="0.25">
      <c r="A64" s="44"/>
      <c r="B64" s="10" t="str">
        <f>CONCATENATE("          ", "5045", " - ", "PURCHASES @ COST-SPECIAL ORDER")</f>
        <v xml:space="preserve">          5045 - PURCHASES @ COST-SPECIAL ORDER</v>
      </c>
      <c r="C64" s="10"/>
      <c r="D64" s="2">
        <v>13853.18</v>
      </c>
      <c r="E64" s="2"/>
      <c r="F64" s="19">
        <f t="shared" si="13"/>
        <v>9.7075489104358703E-2</v>
      </c>
      <c r="G64" s="2"/>
      <c r="H64" s="2">
        <v>6736.47</v>
      </c>
      <c r="I64" s="2"/>
      <c r="J64" s="19">
        <f t="shared" si="14"/>
        <v>6.2427606497393026E-2</v>
      </c>
      <c r="K64" s="2"/>
      <c r="L64" s="2">
        <f t="shared" si="15"/>
        <v>7116.71</v>
      </c>
      <c r="M64" s="2"/>
      <c r="N64" s="19">
        <f t="shared" si="16"/>
        <v>1.0564449927038939</v>
      </c>
      <c r="O64" s="10"/>
      <c r="P64" s="2">
        <v>109226.69</v>
      </c>
      <c r="Q64" s="2"/>
      <c r="R64" s="19">
        <f t="shared" si="17"/>
        <v>8.6032706730599373E-2</v>
      </c>
      <c r="S64" s="2"/>
      <c r="T64" s="2">
        <v>58699.45</v>
      </c>
      <c r="U64" s="2"/>
      <c r="V64" s="19">
        <f t="shared" si="18"/>
        <v>2.8866402837730693E-2</v>
      </c>
      <c r="W64" s="2"/>
      <c r="X64" s="2">
        <f t="shared" si="19"/>
        <v>50527.240000000005</v>
      </c>
      <c r="Y64" s="2"/>
      <c r="Z64" s="19">
        <f t="shared" si="20"/>
        <v>0.86077876368517947</v>
      </c>
    </row>
    <row r="65" spans="1:26" s="23" customFormat="1" hidden="1" outlineLevel="1" x14ac:dyDescent="0.25">
      <c r="A65" s="44"/>
      <c r="B65" s="10" t="str">
        <f>CONCATENATE("          ", "5200", " - ", "PURCHASES OFFSET")</f>
        <v xml:space="preserve">          5200 - PURCHASES OFFSET</v>
      </c>
      <c r="C65" s="10"/>
      <c r="D65" s="2">
        <v>-68518.25</v>
      </c>
      <c r="E65" s="2"/>
      <c r="F65" s="19">
        <f t="shared" si="13"/>
        <v>-0.48013832429266967</v>
      </c>
      <c r="G65" s="2"/>
      <c r="H65" s="2">
        <v>-92608</v>
      </c>
      <c r="I65" s="2"/>
      <c r="J65" s="19">
        <f t="shared" si="14"/>
        <v>-0.8582084953262723</v>
      </c>
      <c r="K65" s="2"/>
      <c r="L65" s="2">
        <f t="shared" si="15"/>
        <v>24089.75</v>
      </c>
      <c r="M65" s="2"/>
      <c r="N65" s="19">
        <f t="shared" si="16"/>
        <v>-0.26012601503109883</v>
      </c>
      <c r="O65" s="10"/>
      <c r="P65" s="2">
        <v>-535704.61</v>
      </c>
      <c r="Q65" s="2"/>
      <c r="R65" s="19">
        <f t="shared" si="17"/>
        <v>-0.42194922876780488</v>
      </c>
      <c r="S65" s="2"/>
      <c r="T65" s="2">
        <v>-1150813</v>
      </c>
      <c r="U65" s="2"/>
      <c r="V65" s="19">
        <f t="shared" si="18"/>
        <v>-0.56593088434214245</v>
      </c>
      <c r="W65" s="2"/>
      <c r="X65" s="2">
        <f t="shared" si="19"/>
        <v>615108.39</v>
      </c>
      <c r="Y65" s="2"/>
      <c r="Z65" s="19">
        <f t="shared" si="20"/>
        <v>-0.53449899332037443</v>
      </c>
    </row>
    <row r="66" spans="1:26" s="23" customFormat="1" hidden="1" outlineLevel="1" x14ac:dyDescent="0.25">
      <c r="A66" s="44"/>
      <c r="B66" s="10" t="str">
        <f>CONCATENATE("          ", "5300", " - ", "COG$ OFFSET")</f>
        <v xml:space="preserve">          5300 - COG$ OFFSET</v>
      </c>
      <c r="C66" s="10"/>
      <c r="D66" s="2">
        <v>77854</v>
      </c>
      <c r="E66" s="2"/>
      <c r="F66" s="19">
        <f t="shared" si="13"/>
        <v>0.54555814107163425</v>
      </c>
      <c r="G66" s="2"/>
      <c r="H66" s="2">
        <v>49756</v>
      </c>
      <c r="I66" s="2"/>
      <c r="J66" s="19">
        <f t="shared" si="14"/>
        <v>0.46109431035605997</v>
      </c>
      <c r="K66" s="2"/>
      <c r="L66" s="2">
        <f t="shared" si="15"/>
        <v>28098</v>
      </c>
      <c r="M66" s="2"/>
      <c r="N66" s="19">
        <f t="shared" si="16"/>
        <v>0.56471581316826114</v>
      </c>
      <c r="O66" s="10"/>
      <c r="P66" s="2">
        <v>739940</v>
      </c>
      <c r="Q66" s="2"/>
      <c r="R66" s="19">
        <f t="shared" si="17"/>
        <v>0.58281580278812528</v>
      </c>
      <c r="S66" s="2"/>
      <c r="T66" s="2">
        <v>949086</v>
      </c>
      <c r="U66" s="2"/>
      <c r="V66" s="19">
        <f t="shared" si="18"/>
        <v>0.46672837315597465</v>
      </c>
      <c r="W66" s="2"/>
      <c r="X66" s="2">
        <f t="shared" si="19"/>
        <v>-209146</v>
      </c>
      <c r="Y66" s="2"/>
      <c r="Z66" s="19">
        <f t="shared" si="20"/>
        <v>-0.22036569920955529</v>
      </c>
    </row>
    <row r="67" spans="1:26" s="23" customFormat="1" hidden="1" outlineLevel="1" x14ac:dyDescent="0.25">
      <c r="A67" s="44"/>
      <c r="B67" s="10" t="str">
        <f>CONCATENATE("          ", "5500", " - ", "FREIGHT-IN")</f>
        <v xml:space="preserve">          5500 - FREIGHT-IN</v>
      </c>
      <c r="C67" s="10"/>
      <c r="D67" s="2"/>
      <c r="E67" s="2"/>
      <c r="F67" s="19">
        <f t="shared" si="13"/>
        <v>0</v>
      </c>
      <c r="G67" s="2"/>
      <c r="H67" s="2"/>
      <c r="I67" s="2"/>
      <c r="J67" s="19">
        <f t="shared" si="14"/>
        <v>0</v>
      </c>
      <c r="K67" s="2"/>
      <c r="L67" s="2">
        <f t="shared" si="15"/>
        <v>0</v>
      </c>
      <c r="M67" s="2"/>
      <c r="N67" s="19">
        <f t="shared" si="16"/>
        <v>0</v>
      </c>
      <c r="O67" s="10"/>
      <c r="P67" s="2"/>
      <c r="Q67" s="2"/>
      <c r="R67" s="19">
        <f t="shared" si="17"/>
        <v>0</v>
      </c>
      <c r="S67" s="2"/>
      <c r="T67" s="2">
        <v>29.23</v>
      </c>
      <c r="U67" s="2"/>
      <c r="V67" s="19">
        <f t="shared" si="18"/>
        <v>1.4374324715936321E-5</v>
      </c>
      <c r="W67" s="2"/>
      <c r="X67" s="2">
        <f t="shared" si="19"/>
        <v>-29.23</v>
      </c>
      <c r="Y67" s="2"/>
      <c r="Z67" s="19">
        <f t="shared" si="20"/>
        <v>-1</v>
      </c>
    </row>
    <row r="68" spans="1:26" s="23" customFormat="1" hidden="1" outlineLevel="1" x14ac:dyDescent="0.25">
      <c r="A68" s="44"/>
      <c r="B68" s="10" t="str">
        <f>CONCATENATE("          ", "5525", " - ", "FREIGHT-IN-TEST FORMS")</f>
        <v xml:space="preserve">          5525 - FREIGHT-IN-TEST FORMS</v>
      </c>
      <c r="C68" s="10"/>
      <c r="D68" s="2"/>
      <c r="E68" s="2"/>
      <c r="F68" s="19">
        <f t="shared" si="13"/>
        <v>0</v>
      </c>
      <c r="G68" s="2"/>
      <c r="H68" s="2"/>
      <c r="I68" s="2"/>
      <c r="J68" s="19">
        <f t="shared" si="14"/>
        <v>0</v>
      </c>
      <c r="K68" s="2"/>
      <c r="L68" s="2">
        <f t="shared" si="15"/>
        <v>0</v>
      </c>
      <c r="M68" s="2"/>
      <c r="N68" s="19">
        <f t="shared" si="16"/>
        <v>0</v>
      </c>
      <c r="O68" s="10"/>
      <c r="P68" s="2">
        <v>48.14</v>
      </c>
      <c r="Q68" s="2"/>
      <c r="R68" s="19">
        <f t="shared" si="17"/>
        <v>3.7917605138552247E-5</v>
      </c>
      <c r="S68" s="2"/>
      <c r="T68" s="2"/>
      <c r="U68" s="2"/>
      <c r="V68" s="19">
        <f t="shared" si="18"/>
        <v>0</v>
      </c>
      <c r="W68" s="2"/>
      <c r="X68" s="2">
        <f t="shared" si="19"/>
        <v>48.14</v>
      </c>
      <c r="Y68" s="2"/>
      <c r="Z68" s="19">
        <f t="shared" si="20"/>
        <v>0</v>
      </c>
    </row>
    <row r="69" spans="1:26" s="23" customFormat="1" hidden="1" outlineLevel="1" x14ac:dyDescent="0.25">
      <c r="A69" s="44"/>
      <c r="B69" s="10" t="str">
        <f>CONCATENATE("          ", "5526", " - ", "FREIGHT-IN-WRITING INSTRUMENTS")</f>
        <v xml:space="preserve">          5526 - FREIGHT-IN-WRITING INSTRUMENTS</v>
      </c>
      <c r="C69" s="10"/>
      <c r="D69" s="2"/>
      <c r="E69" s="2"/>
      <c r="F69" s="19">
        <f t="shared" si="13"/>
        <v>0</v>
      </c>
      <c r="G69" s="2"/>
      <c r="H69" s="2"/>
      <c r="I69" s="2"/>
      <c r="J69" s="19">
        <f t="shared" si="14"/>
        <v>0</v>
      </c>
      <c r="K69" s="2"/>
      <c r="L69" s="2">
        <f t="shared" si="15"/>
        <v>0</v>
      </c>
      <c r="M69" s="2"/>
      <c r="N69" s="19">
        <f t="shared" si="16"/>
        <v>0</v>
      </c>
      <c r="O69" s="10"/>
      <c r="P69" s="2">
        <v>0</v>
      </c>
      <c r="Q69" s="2"/>
      <c r="R69" s="19">
        <f t="shared" si="17"/>
        <v>0</v>
      </c>
      <c r="S69" s="2"/>
      <c r="T69" s="2"/>
      <c r="U69" s="2"/>
      <c r="V69" s="19">
        <f t="shared" si="18"/>
        <v>0</v>
      </c>
      <c r="W69" s="2"/>
      <c r="X69" s="2">
        <f t="shared" si="19"/>
        <v>0</v>
      </c>
      <c r="Y69" s="2"/>
      <c r="Z69" s="19">
        <f t="shared" si="20"/>
        <v>0</v>
      </c>
    </row>
    <row r="70" spans="1:26" s="23" customFormat="1" hidden="1" outlineLevel="1" x14ac:dyDescent="0.25">
      <c r="A70" s="44"/>
      <c r="B70" s="10" t="str">
        <f>CONCATENATE("          ", "5527", " - ", "FREIGHT-IN-SCHOOL SUPPLIES")</f>
        <v xml:space="preserve">          5527 - FREIGHT-IN-SCHOOL SUPPLIES</v>
      </c>
      <c r="C70" s="10"/>
      <c r="D70" s="2">
        <v>41.12</v>
      </c>
      <c r="E70" s="2"/>
      <c r="F70" s="19">
        <f t="shared" si="13"/>
        <v>2.8814641201307061E-4</v>
      </c>
      <c r="G70" s="2"/>
      <c r="H70" s="2"/>
      <c r="I70" s="2"/>
      <c r="J70" s="19">
        <f t="shared" si="14"/>
        <v>0</v>
      </c>
      <c r="K70" s="2"/>
      <c r="L70" s="2">
        <f t="shared" si="15"/>
        <v>41.12</v>
      </c>
      <c r="M70" s="2"/>
      <c r="N70" s="19">
        <f t="shared" si="16"/>
        <v>0</v>
      </c>
      <c r="O70" s="10"/>
      <c r="P70" s="2">
        <v>218.62</v>
      </c>
      <c r="Q70" s="2"/>
      <c r="R70" s="19">
        <f t="shared" si="17"/>
        <v>1.7219665216847304E-4</v>
      </c>
      <c r="S70" s="2"/>
      <c r="T70" s="2"/>
      <c r="U70" s="2"/>
      <c r="V70" s="19">
        <f t="shared" si="18"/>
        <v>0</v>
      </c>
      <c r="W70" s="2"/>
      <c r="X70" s="2">
        <f t="shared" si="19"/>
        <v>218.62</v>
      </c>
      <c r="Y70" s="2"/>
      <c r="Z70" s="19">
        <f t="shared" si="20"/>
        <v>0</v>
      </c>
    </row>
    <row r="71" spans="1:26" s="23" customFormat="1" hidden="1" outlineLevel="1" x14ac:dyDescent="0.25">
      <c r="A71" s="44"/>
      <c r="B71" s="10" t="str">
        <f>CONCATENATE("          ", "5528", " - ", "FREIGHT-IN-ART/TECH")</f>
        <v xml:space="preserve">          5528 - FREIGHT-IN-ART/TECH</v>
      </c>
      <c r="C71" s="10"/>
      <c r="D71" s="2">
        <v>73.23</v>
      </c>
      <c r="E71" s="2"/>
      <c r="F71" s="19">
        <f t="shared" si="13"/>
        <v>5.131556846234719E-4</v>
      </c>
      <c r="G71" s="2"/>
      <c r="H71" s="2"/>
      <c r="I71" s="2"/>
      <c r="J71" s="19">
        <f t="shared" si="14"/>
        <v>0</v>
      </c>
      <c r="K71" s="2"/>
      <c r="L71" s="2">
        <f t="shared" si="15"/>
        <v>73.23</v>
      </c>
      <c r="M71" s="2"/>
      <c r="N71" s="19">
        <f t="shared" si="16"/>
        <v>0</v>
      </c>
      <c r="O71" s="10"/>
      <c r="P71" s="2">
        <v>107.18</v>
      </c>
      <c r="Q71" s="2"/>
      <c r="R71" s="19">
        <f t="shared" si="17"/>
        <v>8.4420625649148938E-5</v>
      </c>
      <c r="S71" s="2"/>
      <c r="T71" s="2"/>
      <c r="U71" s="2"/>
      <c r="V71" s="19">
        <f t="shared" si="18"/>
        <v>0</v>
      </c>
      <c r="W71" s="2"/>
      <c r="X71" s="2">
        <f t="shared" si="19"/>
        <v>107.18</v>
      </c>
      <c r="Y71" s="2"/>
      <c r="Z71" s="19">
        <f t="shared" si="20"/>
        <v>0</v>
      </c>
    </row>
    <row r="72" spans="1:26" s="23" customFormat="1" hidden="1" outlineLevel="1" x14ac:dyDescent="0.25">
      <c r="A72" s="44"/>
      <c r="B72" s="10" t="str">
        <f>CONCATENATE("          ", "5540", " - ", "FREIGHT-IN-LOGO CLOTHING")</f>
        <v xml:space="preserve">          5540 - FREIGHT-IN-LOGO CLOTHING</v>
      </c>
      <c r="C72" s="10"/>
      <c r="D72" s="2">
        <v>1167.1400000000001</v>
      </c>
      <c r="E72" s="2"/>
      <c r="F72" s="19">
        <f t="shared" si="13"/>
        <v>8.1786771234663245E-3</v>
      </c>
      <c r="G72" s="2"/>
      <c r="H72" s="2">
        <v>2154.58</v>
      </c>
      <c r="I72" s="2"/>
      <c r="J72" s="19">
        <f t="shared" si="14"/>
        <v>1.9966729222746196E-2</v>
      </c>
      <c r="K72" s="2"/>
      <c r="L72" s="2">
        <f t="shared" si="15"/>
        <v>-987.43999999999983</v>
      </c>
      <c r="M72" s="2"/>
      <c r="N72" s="19">
        <f t="shared" si="16"/>
        <v>-0.45829813699189625</v>
      </c>
      <c r="O72" s="10"/>
      <c r="P72" s="2">
        <v>7108.37</v>
      </c>
      <c r="Q72" s="2"/>
      <c r="R72" s="19">
        <f t="shared" si="17"/>
        <v>5.5989274374476658E-3</v>
      </c>
      <c r="S72" s="2"/>
      <c r="T72" s="2">
        <v>30635.88</v>
      </c>
      <c r="U72" s="2"/>
      <c r="V72" s="19">
        <f t="shared" si="18"/>
        <v>1.5065688918181977E-2</v>
      </c>
      <c r="W72" s="2"/>
      <c r="X72" s="2">
        <f t="shared" si="19"/>
        <v>-23527.510000000002</v>
      </c>
      <c r="Y72" s="2"/>
      <c r="Z72" s="19">
        <f t="shared" si="20"/>
        <v>-0.76797239054337596</v>
      </c>
    </row>
    <row r="73" spans="1:26" s="23" customFormat="1" hidden="1" outlineLevel="1" x14ac:dyDescent="0.25">
      <c r="A73" s="44"/>
      <c r="B73" s="10" t="str">
        <f>CONCATENATE("          ", "5541", " - ", "FREIGHT-IN-LOGO GIFTS")</f>
        <v xml:space="preserve">          5541 - FREIGHT-IN-LOGO GIFTS</v>
      </c>
      <c r="C73" s="10"/>
      <c r="D73" s="2">
        <v>60.07</v>
      </c>
      <c r="E73" s="2"/>
      <c r="F73" s="19">
        <f t="shared" si="13"/>
        <v>4.2093762085664282E-4</v>
      </c>
      <c r="G73" s="2"/>
      <c r="H73" s="2">
        <v>622.03</v>
      </c>
      <c r="I73" s="2"/>
      <c r="J73" s="19">
        <f t="shared" si="14"/>
        <v>5.7644202482269469E-3</v>
      </c>
      <c r="K73" s="2"/>
      <c r="L73" s="2">
        <f t="shared" si="15"/>
        <v>-561.95999999999992</v>
      </c>
      <c r="M73" s="2"/>
      <c r="N73" s="19">
        <f t="shared" si="16"/>
        <v>-0.90342909505972369</v>
      </c>
      <c r="O73" s="10"/>
      <c r="P73" s="2">
        <v>2138</v>
      </c>
      <c r="Q73" s="2"/>
      <c r="R73" s="19">
        <f t="shared" si="17"/>
        <v>1.6840016573789927E-3</v>
      </c>
      <c r="S73" s="2"/>
      <c r="T73" s="2">
        <v>4695.95</v>
      </c>
      <c r="U73" s="2"/>
      <c r="V73" s="19">
        <f t="shared" si="18"/>
        <v>2.3093092764215244E-3</v>
      </c>
      <c r="W73" s="2"/>
      <c r="X73" s="2">
        <f t="shared" si="19"/>
        <v>-2557.9499999999998</v>
      </c>
      <c r="Y73" s="2"/>
      <c r="Z73" s="19">
        <f t="shared" si="20"/>
        <v>-0.5447140621173564</v>
      </c>
    </row>
    <row r="74" spans="1:26" s="23" customFormat="1" hidden="1" outlineLevel="1" x14ac:dyDescent="0.25">
      <c r="A74" s="44"/>
      <c r="B74" s="10" t="str">
        <f>CONCATENATE("          ", "5542", " - ", "FREIGHT-IN-EVERYDAY GIFTS")</f>
        <v xml:space="preserve">          5542 - FREIGHT-IN-EVERYDAY GIFTS</v>
      </c>
      <c r="C74" s="10"/>
      <c r="D74" s="2">
        <v>297.79000000000002</v>
      </c>
      <c r="E74" s="2"/>
      <c r="F74" s="19">
        <f t="shared" si="13"/>
        <v>2.0867490280489375E-3</v>
      </c>
      <c r="G74" s="2"/>
      <c r="H74" s="2">
        <v>42.24</v>
      </c>
      <c r="I74" s="2"/>
      <c r="J74" s="19">
        <f t="shared" si="14"/>
        <v>3.9144271383230114E-4</v>
      </c>
      <c r="K74" s="2"/>
      <c r="L74" s="2">
        <f t="shared" si="15"/>
        <v>255.55</v>
      </c>
      <c r="M74" s="2"/>
      <c r="N74" s="19">
        <f t="shared" si="16"/>
        <v>6.0499526515151514</v>
      </c>
      <c r="O74" s="10"/>
      <c r="P74" s="2">
        <v>681.72</v>
      </c>
      <c r="Q74" s="2"/>
      <c r="R74" s="19">
        <f t="shared" si="17"/>
        <v>5.3695865756239801E-4</v>
      </c>
      <c r="S74" s="2"/>
      <c r="T74" s="2">
        <v>1793.94</v>
      </c>
      <c r="U74" s="2"/>
      <c r="V74" s="19">
        <f t="shared" si="18"/>
        <v>8.8219897642513871E-4</v>
      </c>
      <c r="W74" s="2"/>
      <c r="X74" s="2">
        <f t="shared" si="19"/>
        <v>-1112.22</v>
      </c>
      <c r="Y74" s="2"/>
      <c r="Z74" s="19">
        <f t="shared" si="20"/>
        <v>-0.61998729054483426</v>
      </c>
    </row>
    <row r="75" spans="1:26" s="23" customFormat="1" hidden="1" outlineLevel="1" x14ac:dyDescent="0.25">
      <c r="A75" s="44"/>
      <c r="B75" s="10" t="str">
        <f>CONCATENATE("          ", "5543", " - ", "FREIGHT-IN-CARDS")</f>
        <v xml:space="preserve">          5543 - FREIGHT-IN-CARDS</v>
      </c>
      <c r="C75" s="10"/>
      <c r="D75" s="2"/>
      <c r="E75" s="2"/>
      <c r="F75" s="19">
        <f t="shared" si="13"/>
        <v>0</v>
      </c>
      <c r="G75" s="2"/>
      <c r="H75" s="2">
        <v>25.64</v>
      </c>
      <c r="I75" s="2"/>
      <c r="J75" s="19">
        <f t="shared" si="14"/>
        <v>2.3760869277131155E-4</v>
      </c>
      <c r="K75" s="2"/>
      <c r="L75" s="2">
        <f t="shared" si="15"/>
        <v>-25.64</v>
      </c>
      <c r="M75" s="2"/>
      <c r="N75" s="19">
        <f t="shared" si="16"/>
        <v>-1</v>
      </c>
      <c r="O75" s="10"/>
      <c r="P75" s="2">
        <v>9110.5300000000007</v>
      </c>
      <c r="Q75" s="2"/>
      <c r="R75" s="19">
        <f t="shared" si="17"/>
        <v>7.1759343403185382E-3</v>
      </c>
      <c r="S75" s="2"/>
      <c r="T75" s="2">
        <v>2926.76</v>
      </c>
      <c r="U75" s="2"/>
      <c r="V75" s="19">
        <f t="shared" si="18"/>
        <v>1.4392815123371121E-3</v>
      </c>
      <c r="W75" s="2"/>
      <c r="X75" s="2">
        <f t="shared" si="19"/>
        <v>6183.77</v>
      </c>
      <c r="Y75" s="2"/>
      <c r="Z75" s="19">
        <f t="shared" si="20"/>
        <v>2.112838087168063</v>
      </c>
    </row>
    <row r="76" spans="1:26" s="23" customFormat="1" hidden="1" outlineLevel="1" x14ac:dyDescent="0.25">
      <c r="A76" s="44"/>
      <c r="B76" s="10" t="str">
        <f>CONCATENATE("          ", "5544", " - ", "FREIGHT-IN-ACCESSORIES")</f>
        <v xml:space="preserve">          5544 - FREIGHT-IN-ACCESSORIES</v>
      </c>
      <c r="C76" s="10"/>
      <c r="D76" s="2"/>
      <c r="E76" s="2"/>
      <c r="F76" s="19">
        <f t="shared" si="13"/>
        <v>0</v>
      </c>
      <c r="G76" s="2"/>
      <c r="H76" s="2"/>
      <c r="I76" s="2"/>
      <c r="J76" s="19">
        <f t="shared" si="14"/>
        <v>0</v>
      </c>
      <c r="K76" s="2"/>
      <c r="L76" s="2">
        <f t="shared" si="15"/>
        <v>0</v>
      </c>
      <c r="M76" s="2"/>
      <c r="N76" s="19">
        <f t="shared" si="16"/>
        <v>0</v>
      </c>
      <c r="O76" s="10"/>
      <c r="P76" s="2"/>
      <c r="Q76" s="2"/>
      <c r="R76" s="19">
        <f t="shared" si="17"/>
        <v>0</v>
      </c>
      <c r="S76" s="2"/>
      <c r="T76" s="2">
        <v>483.44</v>
      </c>
      <c r="U76" s="2"/>
      <c r="V76" s="19">
        <f t="shared" si="18"/>
        <v>2.3773943006063136E-4</v>
      </c>
      <c r="W76" s="2"/>
      <c r="X76" s="2">
        <f t="shared" si="19"/>
        <v>-483.44</v>
      </c>
      <c r="Y76" s="2"/>
      <c r="Z76" s="19">
        <f t="shared" si="20"/>
        <v>-1</v>
      </c>
    </row>
    <row r="77" spans="1:26" s="23" customFormat="1" hidden="1" outlineLevel="1" x14ac:dyDescent="0.25">
      <c r="A77" s="44"/>
      <c r="B77" s="10" t="str">
        <f>CONCATENATE("          ", "5545", " - ", "FREIGHT-IN-SPECIAL ORDERS")</f>
        <v xml:space="preserve">          5545 - FREIGHT-IN-SPECIAL ORDERS</v>
      </c>
      <c r="C77" s="10"/>
      <c r="D77" s="2">
        <v>17.63</v>
      </c>
      <c r="E77" s="2"/>
      <c r="F77" s="19">
        <f t="shared" si="13"/>
        <v>1.2354137266027321E-4</v>
      </c>
      <c r="G77" s="2"/>
      <c r="H77" s="2">
        <v>28.68</v>
      </c>
      <c r="I77" s="2"/>
      <c r="J77" s="19">
        <f t="shared" si="14"/>
        <v>2.6578070626681805E-4</v>
      </c>
      <c r="K77" s="2"/>
      <c r="L77" s="2">
        <f t="shared" si="15"/>
        <v>-11.05</v>
      </c>
      <c r="M77" s="2"/>
      <c r="N77" s="19">
        <f t="shared" si="16"/>
        <v>-0.38528591352859137</v>
      </c>
      <c r="O77" s="10"/>
      <c r="P77" s="2">
        <v>1266.1600000000001</v>
      </c>
      <c r="Q77" s="2"/>
      <c r="R77" s="19">
        <f t="shared" si="17"/>
        <v>9.9729445206126551E-4</v>
      </c>
      <c r="S77" s="2"/>
      <c r="T77" s="2">
        <v>875.07</v>
      </c>
      <c r="U77" s="2"/>
      <c r="V77" s="19">
        <f t="shared" si="18"/>
        <v>4.3032980941410867E-4</v>
      </c>
      <c r="W77" s="2"/>
      <c r="X77" s="2">
        <f t="shared" si="19"/>
        <v>391.09000000000003</v>
      </c>
      <c r="Y77" s="2"/>
      <c r="Z77" s="19">
        <f t="shared" si="20"/>
        <v>0.44692424606031517</v>
      </c>
    </row>
    <row r="78" spans="1:26" x14ac:dyDescent="0.25">
      <c r="A78" s="9"/>
      <c r="B78" s="11"/>
      <c r="C78" s="11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1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x14ac:dyDescent="0.25">
      <c r="A79" s="11"/>
      <c r="B79" s="29" t="s">
        <v>107</v>
      </c>
      <c r="C79" s="29"/>
      <c r="D79" s="22">
        <f>D12-D52</f>
        <v>64851.229999999981</v>
      </c>
      <c r="E79" s="14"/>
      <c r="F79" s="20">
        <f>IF(D$12=0,0,D79/D$12)</f>
        <v>0.45444185892836575</v>
      </c>
      <c r="G79" s="14"/>
      <c r="H79" s="22">
        <f>H12-H52</f>
        <v>58152.22</v>
      </c>
      <c r="I79" s="14"/>
      <c r="J79" s="20">
        <f>IF(H$12=0,0,H79/H$12)</f>
        <v>0.53890300218212639</v>
      </c>
      <c r="K79" s="15"/>
      <c r="L79" s="22">
        <f>+D79-H79</f>
        <v>6699.0099999999802</v>
      </c>
      <c r="M79" s="15"/>
      <c r="N79" s="20">
        <f>IF(H79=0,0,L79/H79)</f>
        <v>0.11519783767498439</v>
      </c>
      <c r="O79" s="28"/>
      <c r="P79" s="22">
        <f>P12-P52</f>
        <v>528738.41000000027</v>
      </c>
      <c r="Q79" s="14"/>
      <c r="R79" s="20">
        <f>IF(P$12=0,0,P79/P$12)</f>
        <v>0.41646228192700363</v>
      </c>
      <c r="S79" s="14"/>
      <c r="T79" s="22">
        <f>T12-T52</f>
        <v>1084373.7900000005</v>
      </c>
      <c r="U79" s="14"/>
      <c r="V79" s="20">
        <f>IF(T$12=0,0,T79/T$12)</f>
        <v>0.53325832948718943</v>
      </c>
      <c r="W79" s="15"/>
      <c r="X79" s="22">
        <f>+P79-T79</f>
        <v>-555635.38000000024</v>
      </c>
      <c r="Y79" s="15"/>
      <c r="Z79" s="20">
        <f>IF(T79=0,0,X79/T79)</f>
        <v>-0.51240207493395795</v>
      </c>
    </row>
    <row r="80" spans="1:26" x14ac:dyDescent="0.25">
      <c r="A80" s="9"/>
      <c r="B80" s="11"/>
      <c r="C80" s="9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4" customFormat="1" x14ac:dyDescent="0.25">
      <c r="A81" s="11"/>
      <c r="B81" s="28" t="s">
        <v>294</v>
      </c>
      <c r="C81" s="11"/>
      <c r="D81" s="21">
        <f>SUM(OSRRefD22x_0)</f>
        <v>43298.26999999999</v>
      </c>
      <c r="E81" s="21"/>
      <c r="F81" s="31">
        <f t="shared" ref="F81:F90" si="21">IF(D$12=0,0,D81/D$12)</f>
        <v>0.30341053372746041</v>
      </c>
      <c r="G81" s="21"/>
      <c r="H81" s="21">
        <f>SUM(OSRRefH22x_0)</f>
        <v>55097.040000000008</v>
      </c>
      <c r="I81" s="21"/>
      <c r="J81" s="31">
        <f t="shared" ref="J81:J90" si="22">IF(H$12=0,0,H81/H$12)</f>
        <v>0.51059031396133647</v>
      </c>
      <c r="K81" s="4"/>
      <c r="L81" s="21">
        <f t="shared" ref="L81:L90" si="23">+D81-H81</f>
        <v>-11798.770000000019</v>
      </c>
      <c r="M81" s="4"/>
      <c r="N81" s="31">
        <f t="shared" ref="N81:N90" si="24">IF(H81=0,0,L81/H81)</f>
        <v>-0.21414526079803956</v>
      </c>
      <c r="O81" s="11"/>
      <c r="P81" s="21">
        <f>SUM(OSRRefP22x_0)</f>
        <v>415367.95</v>
      </c>
      <c r="Q81" s="21"/>
      <c r="R81" s="31">
        <f t="shared" ref="R81:R90" si="25">IF(P$12=0,0,P81/P$12)</f>
        <v>0.32716572320959519</v>
      </c>
      <c r="S81" s="21"/>
      <c r="T81" s="21">
        <f>SUM(OSRRefT22x_0)</f>
        <v>551799.94000000018</v>
      </c>
      <c r="U81" s="21"/>
      <c r="V81" s="31">
        <f t="shared" ref="V81:V90" si="26">IF(T$12=0,0,T81/T$12)</f>
        <v>0.27135653492282524</v>
      </c>
      <c r="W81" s="4"/>
      <c r="X81" s="21">
        <f t="shared" ref="X81:X90" si="27">+P81-T81</f>
        <v>-136431.99000000017</v>
      </c>
      <c r="Y81" s="4"/>
      <c r="Z81" s="31">
        <f t="shared" ref="Z81:Z90" si="28">IF(T81=0,0,X81/T81)</f>
        <v>-0.24724901202417696</v>
      </c>
    </row>
    <row r="82" spans="1:26" s="26" customFormat="1" outlineLevel="1" collapsed="1" x14ac:dyDescent="0.25">
      <c r="A82" s="27"/>
      <c r="B82" s="12" t="str">
        <f>CONCATENATE("     ","*Benefits                                         ")</f>
        <v xml:space="preserve">     *Benefits                                         </v>
      </c>
      <c r="C82" s="12"/>
      <c r="D82" s="1">
        <f>SUM(OSRRefD22_0x_0)</f>
        <v>9722.48</v>
      </c>
      <c r="E82" s="1"/>
      <c r="F82" s="5">
        <f t="shared" si="21"/>
        <v>6.8129808557121557E-2</v>
      </c>
      <c r="G82" s="1"/>
      <c r="H82" s="1">
        <f>SUM(OSRRefH22_0x_0)</f>
        <v>13270.91</v>
      </c>
      <c r="I82" s="1"/>
      <c r="J82" s="5">
        <f t="shared" si="22"/>
        <v>0.12298297882159619</v>
      </c>
      <c r="K82" s="1"/>
      <c r="L82" s="1">
        <f t="shared" si="23"/>
        <v>-3548.4300000000003</v>
      </c>
      <c r="M82" s="1"/>
      <c r="N82" s="5">
        <f t="shared" si="24"/>
        <v>-0.26738407539498049</v>
      </c>
      <c r="O82" s="12"/>
      <c r="P82" s="1">
        <f>SUM(OSRRefP22_0x_0)</f>
        <v>90696.02</v>
      </c>
      <c r="Q82" s="1"/>
      <c r="R82" s="5">
        <f t="shared" si="25"/>
        <v>7.1436972870756912E-2</v>
      </c>
      <c r="S82" s="1"/>
      <c r="T82" s="1">
        <f>SUM(OSRRefT22_0x_0)</f>
        <v>63276.06</v>
      </c>
      <c r="U82" s="1"/>
      <c r="V82" s="5">
        <f t="shared" si="26"/>
        <v>3.1117024741192937E-2</v>
      </c>
      <c r="W82" s="1"/>
      <c r="X82" s="1">
        <f t="shared" si="27"/>
        <v>27419.960000000006</v>
      </c>
      <c r="Y82" s="1"/>
      <c r="Z82" s="5">
        <f t="shared" si="28"/>
        <v>0.43333861179093652</v>
      </c>
    </row>
    <row r="83" spans="1:26" s="23" customFormat="1" hidden="1" outlineLevel="2" x14ac:dyDescent="0.25">
      <c r="A83" s="25"/>
      <c r="B83" s="10" t="str">
        <f>CONCATENATE("          ", "6111", " - ", "F.I.C.A.")</f>
        <v xml:space="preserve">          6111 - F.I.C.A.</v>
      </c>
      <c r="C83" s="10"/>
      <c r="D83" s="6">
        <v>2052.3000000000002</v>
      </c>
      <c r="E83" s="2"/>
      <c r="F83" s="7">
        <f t="shared" si="21"/>
        <v>1.4381393029533679E-2</v>
      </c>
      <c r="G83" s="2"/>
      <c r="H83" s="6">
        <v>1014.85</v>
      </c>
      <c r="I83" s="2"/>
      <c r="J83" s="7">
        <f t="shared" si="22"/>
        <v>9.4047262815509184E-3</v>
      </c>
      <c r="K83" s="2"/>
      <c r="L83" s="6">
        <f t="shared" si="23"/>
        <v>1037.4500000000003</v>
      </c>
      <c r="M83" s="2"/>
      <c r="N83" s="7">
        <f t="shared" si="24"/>
        <v>1.0222693008819039</v>
      </c>
      <c r="O83" s="10"/>
      <c r="P83" s="6">
        <v>20225.04</v>
      </c>
      <c r="Q83" s="2"/>
      <c r="R83" s="7">
        <f t="shared" si="25"/>
        <v>1.5930309111579243E-2</v>
      </c>
      <c r="S83" s="2"/>
      <c r="T83" s="6">
        <v>11372.55</v>
      </c>
      <c r="U83" s="2"/>
      <c r="V83" s="7">
        <f t="shared" si="26"/>
        <v>5.5926351881020048E-3</v>
      </c>
      <c r="W83" s="2"/>
      <c r="X83" s="6">
        <f t="shared" si="27"/>
        <v>8852.4900000000016</v>
      </c>
      <c r="Y83" s="2"/>
      <c r="Z83" s="7">
        <f t="shared" si="28"/>
        <v>0.77840853634409191</v>
      </c>
    </row>
    <row r="84" spans="1:26" s="23" customFormat="1" hidden="1" outlineLevel="2" x14ac:dyDescent="0.25">
      <c r="A84" s="25"/>
      <c r="B84" s="10" t="str">
        <f>CONCATENATE("          ", "6112", " - ", "COMPENSATION INSURANCE")</f>
        <v xml:space="preserve">          6112 - COMPENSATION INSURANCE</v>
      </c>
      <c r="C84" s="10"/>
      <c r="D84" s="6">
        <v>586.92999999999995</v>
      </c>
      <c r="E84" s="2"/>
      <c r="F84" s="7">
        <f t="shared" si="21"/>
        <v>4.1128835992906496E-3</v>
      </c>
      <c r="G84" s="2"/>
      <c r="H84" s="6">
        <v>414.36</v>
      </c>
      <c r="I84" s="2"/>
      <c r="J84" s="7">
        <f t="shared" si="22"/>
        <v>3.8399195763151586E-3</v>
      </c>
      <c r="K84" s="2"/>
      <c r="L84" s="6">
        <f t="shared" si="23"/>
        <v>172.56999999999994</v>
      </c>
      <c r="M84" s="2"/>
      <c r="N84" s="7">
        <f t="shared" si="24"/>
        <v>0.41647359783762894</v>
      </c>
      <c r="O84" s="10"/>
      <c r="P84" s="6">
        <v>7157.02</v>
      </c>
      <c r="Q84" s="2"/>
      <c r="R84" s="7">
        <f t="shared" si="25"/>
        <v>5.6372467455072959E-3</v>
      </c>
      <c r="S84" s="2"/>
      <c r="T84" s="6">
        <v>3830.91</v>
      </c>
      <c r="U84" s="2"/>
      <c r="V84" s="7">
        <f t="shared" si="26"/>
        <v>1.8839118815438798E-3</v>
      </c>
      <c r="W84" s="2"/>
      <c r="X84" s="6">
        <f t="shared" si="27"/>
        <v>3326.1100000000006</v>
      </c>
      <c r="Y84" s="2"/>
      <c r="Z84" s="7">
        <f t="shared" si="28"/>
        <v>0.86822974175848577</v>
      </c>
    </row>
    <row r="85" spans="1:26" s="23" customFormat="1" hidden="1" outlineLevel="2" x14ac:dyDescent="0.25">
      <c r="A85" s="25"/>
      <c r="B85" s="10" t="str">
        <f>CONCATENATE("          ", "6113", " - ", "GROUP INSURANCE")</f>
        <v xml:space="preserve">          6113 - GROUP INSURANCE</v>
      </c>
      <c r="C85" s="10"/>
      <c r="D85" s="6">
        <v>2823.95</v>
      </c>
      <c r="E85" s="2"/>
      <c r="F85" s="7">
        <f t="shared" si="21"/>
        <v>1.9788693098353859E-2</v>
      </c>
      <c r="G85" s="2"/>
      <c r="H85" s="6">
        <v>1458.55</v>
      </c>
      <c r="I85" s="2"/>
      <c r="J85" s="7">
        <f t="shared" si="22"/>
        <v>1.3516542856536523E-2</v>
      </c>
      <c r="K85" s="2"/>
      <c r="L85" s="6">
        <f t="shared" si="23"/>
        <v>1365.3999999999999</v>
      </c>
      <c r="M85" s="2"/>
      <c r="N85" s="7">
        <f t="shared" si="24"/>
        <v>0.93613520276987416</v>
      </c>
      <c r="O85" s="10"/>
      <c r="P85" s="6">
        <v>26300.9</v>
      </c>
      <c r="Q85" s="2"/>
      <c r="R85" s="7">
        <f t="shared" si="25"/>
        <v>2.0715977170514103E-2</v>
      </c>
      <c r="S85" s="2"/>
      <c r="T85" s="6">
        <v>18125.22</v>
      </c>
      <c r="U85" s="2"/>
      <c r="V85" s="7">
        <f t="shared" si="26"/>
        <v>8.9133697512070939E-3</v>
      </c>
      <c r="W85" s="2"/>
      <c r="X85" s="6">
        <f t="shared" si="27"/>
        <v>8175.68</v>
      </c>
      <c r="Y85" s="2"/>
      <c r="Z85" s="7">
        <f t="shared" si="28"/>
        <v>0.45106652498562777</v>
      </c>
    </row>
    <row r="86" spans="1:26" s="23" customFormat="1" hidden="1" outlineLevel="2" x14ac:dyDescent="0.25">
      <c r="A86" s="25"/>
      <c r="B86" s="10" t="str">
        <f>CONCATENATE("          ", "6114", " - ", "STATE UNEMPLOYMENT INSURANCE")</f>
        <v xml:space="preserve">          6114 - STATE UNEMPLOYMENT INSURANCE</v>
      </c>
      <c r="C86" s="10"/>
      <c r="D86" s="6">
        <v>82.49</v>
      </c>
      <c r="E86" s="2"/>
      <c r="F86" s="7">
        <f t="shared" si="21"/>
        <v>5.7804468693964481E-4</v>
      </c>
      <c r="G86" s="2"/>
      <c r="H86" s="6">
        <v>75.760000000000005</v>
      </c>
      <c r="I86" s="2"/>
      <c r="J86" s="7">
        <f t="shared" si="22"/>
        <v>7.0207623105907036E-4</v>
      </c>
      <c r="K86" s="2"/>
      <c r="L86" s="6">
        <f t="shared" si="23"/>
        <v>6.7299999999999898</v>
      </c>
      <c r="M86" s="2"/>
      <c r="N86" s="7">
        <f t="shared" si="24"/>
        <v>8.8833157338965019E-2</v>
      </c>
      <c r="O86" s="10"/>
      <c r="P86" s="6">
        <v>832.08</v>
      </c>
      <c r="Q86" s="2"/>
      <c r="R86" s="7">
        <f t="shared" si="25"/>
        <v>6.5539013052942575E-4</v>
      </c>
      <c r="S86" s="2"/>
      <c r="T86" s="6">
        <v>601.02</v>
      </c>
      <c r="U86" s="2"/>
      <c r="V86" s="7">
        <f t="shared" si="26"/>
        <v>2.95561294586796E-4</v>
      </c>
      <c r="W86" s="2"/>
      <c r="X86" s="6">
        <f t="shared" si="27"/>
        <v>231.06000000000006</v>
      </c>
      <c r="Y86" s="2"/>
      <c r="Z86" s="7">
        <f t="shared" si="28"/>
        <v>0.38444644105021475</v>
      </c>
    </row>
    <row r="87" spans="1:26" s="23" customFormat="1" hidden="1" outlineLevel="2" x14ac:dyDescent="0.25">
      <c r="A87" s="25"/>
      <c r="B87" s="10" t="str">
        <f>CONCATENATE("          ", "6115", " - ", "P.E.R.S.")</f>
        <v xml:space="preserve">          6115 - P.E.R.S.</v>
      </c>
      <c r="C87" s="10"/>
      <c r="D87" s="6">
        <v>1554.7</v>
      </c>
      <c r="E87" s="2"/>
      <c r="F87" s="7">
        <f t="shared" si="21"/>
        <v>1.089448508649613E-2</v>
      </c>
      <c r="G87" s="2"/>
      <c r="H87" s="6">
        <v>656.87</v>
      </c>
      <c r="I87" s="2"/>
      <c r="J87" s="7">
        <f t="shared" si="22"/>
        <v>6.0872863502609764E-3</v>
      </c>
      <c r="K87" s="2"/>
      <c r="L87" s="6">
        <f t="shared" si="23"/>
        <v>897.83</v>
      </c>
      <c r="M87" s="2"/>
      <c r="N87" s="7">
        <f t="shared" si="24"/>
        <v>1.3668305753040937</v>
      </c>
      <c r="O87" s="10"/>
      <c r="P87" s="6">
        <v>14670.4</v>
      </c>
      <c r="Q87" s="2"/>
      <c r="R87" s="7">
        <f t="shared" si="25"/>
        <v>1.1555181437985394E-2</v>
      </c>
      <c r="S87" s="2"/>
      <c r="T87" s="6">
        <v>7432.64</v>
      </c>
      <c r="U87" s="2"/>
      <c r="V87" s="7">
        <f t="shared" si="26"/>
        <v>3.6551207956434122E-3</v>
      </c>
      <c r="W87" s="2"/>
      <c r="X87" s="6">
        <f t="shared" si="27"/>
        <v>7237.7599999999993</v>
      </c>
      <c r="Y87" s="2"/>
      <c r="Z87" s="7">
        <f t="shared" si="28"/>
        <v>0.97378051405691635</v>
      </c>
    </row>
    <row r="88" spans="1:26" s="23" customFormat="1" hidden="1" outlineLevel="2" x14ac:dyDescent="0.25">
      <c r="A88" s="25"/>
      <c r="B88" s="10" t="str">
        <f>CONCATENATE("          ", "6118", " - ", "VACATION")</f>
        <v xml:space="preserve">          6118 - VACATION</v>
      </c>
      <c r="C88" s="10"/>
      <c r="D88" s="6">
        <v>1290.6199999999999</v>
      </c>
      <c r="E88" s="2"/>
      <c r="F88" s="7">
        <f t="shared" si="21"/>
        <v>9.0439572537040162E-3</v>
      </c>
      <c r="G88" s="2"/>
      <c r="H88" s="6">
        <v>2317.2800000000002</v>
      </c>
      <c r="I88" s="2"/>
      <c r="J88" s="7">
        <f t="shared" si="22"/>
        <v>2.1474487971337945E-2</v>
      </c>
      <c r="K88" s="2"/>
      <c r="L88" s="6">
        <f t="shared" si="23"/>
        <v>-1026.6600000000003</v>
      </c>
      <c r="M88" s="2"/>
      <c r="N88" s="7">
        <f t="shared" si="24"/>
        <v>-0.4430452944831873</v>
      </c>
      <c r="O88" s="10"/>
      <c r="P88" s="6">
        <v>10992.97</v>
      </c>
      <c r="Q88" s="2"/>
      <c r="R88" s="7">
        <f t="shared" si="25"/>
        <v>8.6586434515984762E-3</v>
      </c>
      <c r="S88" s="2"/>
      <c r="T88" s="6">
        <v>8038.33</v>
      </c>
      <c r="U88" s="2"/>
      <c r="V88" s="7">
        <f t="shared" si="26"/>
        <v>3.9529786381749029E-3</v>
      </c>
      <c r="W88" s="2"/>
      <c r="X88" s="6">
        <f t="shared" si="27"/>
        <v>2954.6399999999994</v>
      </c>
      <c r="Y88" s="2"/>
      <c r="Z88" s="7">
        <f t="shared" si="28"/>
        <v>0.36756888557697925</v>
      </c>
    </row>
    <row r="89" spans="1:26" s="23" customFormat="1" hidden="1" outlineLevel="2" x14ac:dyDescent="0.25">
      <c r="A89" s="25"/>
      <c r="B89" s="10" t="str">
        <f>CONCATENATE("          ", "6119", " - ", "SICK LEAVE")</f>
        <v xml:space="preserve">          6119 - SICK LEAVE</v>
      </c>
      <c r="C89" s="10"/>
      <c r="D89" s="6">
        <v>889.54</v>
      </c>
      <c r="E89" s="2"/>
      <c r="F89" s="7">
        <f t="shared" si="21"/>
        <v>6.2334085443119368E-3</v>
      </c>
      <c r="G89" s="2"/>
      <c r="H89" s="6">
        <v>7037.16</v>
      </c>
      <c r="I89" s="2"/>
      <c r="J89" s="7">
        <f t="shared" si="22"/>
        <v>6.5214133713828504E-2</v>
      </c>
      <c r="K89" s="2"/>
      <c r="L89" s="6">
        <f t="shared" si="23"/>
        <v>-6147.62</v>
      </c>
      <c r="M89" s="2"/>
      <c r="N89" s="7">
        <f t="shared" si="24"/>
        <v>-0.87359389299092249</v>
      </c>
      <c r="O89" s="10"/>
      <c r="P89" s="6">
        <v>7792.89</v>
      </c>
      <c r="Q89" s="2"/>
      <c r="R89" s="7">
        <f t="shared" si="25"/>
        <v>6.1380915228120576E-3</v>
      </c>
      <c r="S89" s="2"/>
      <c r="T89" s="6">
        <v>12062.61</v>
      </c>
      <c r="U89" s="2"/>
      <c r="V89" s="7">
        <f t="shared" si="26"/>
        <v>5.9319833411461045E-3</v>
      </c>
      <c r="W89" s="2"/>
      <c r="X89" s="6">
        <f t="shared" si="27"/>
        <v>-4269.72</v>
      </c>
      <c r="Y89" s="2"/>
      <c r="Z89" s="7">
        <f t="shared" si="28"/>
        <v>-0.35396319701955048</v>
      </c>
    </row>
    <row r="90" spans="1:26" s="23" customFormat="1" hidden="1" outlineLevel="2" x14ac:dyDescent="0.25">
      <c r="A90" s="25"/>
      <c r="B90" s="10" t="str">
        <f>CONCATENATE("          ", "6156", " - ", "EMPLOYEE MEALS")</f>
        <v xml:space="preserve">          6156 - EMPLOYEE MEALS</v>
      </c>
      <c r="C90" s="10"/>
      <c r="D90" s="6">
        <v>441.95</v>
      </c>
      <c r="E90" s="2"/>
      <c r="F90" s="7">
        <f t="shared" si="21"/>
        <v>3.0969432584916478E-3</v>
      </c>
      <c r="G90" s="2"/>
      <c r="H90" s="6">
        <v>296.08</v>
      </c>
      <c r="I90" s="2"/>
      <c r="J90" s="7">
        <f t="shared" si="22"/>
        <v>2.7438058407070953E-3</v>
      </c>
      <c r="K90" s="2"/>
      <c r="L90" s="6">
        <f t="shared" si="23"/>
        <v>145.87</v>
      </c>
      <c r="M90" s="2"/>
      <c r="N90" s="7">
        <f t="shared" si="24"/>
        <v>0.49267089975682254</v>
      </c>
      <c r="O90" s="10"/>
      <c r="P90" s="6">
        <v>2724.72</v>
      </c>
      <c r="Q90" s="2"/>
      <c r="R90" s="7">
        <f t="shared" si="25"/>
        <v>2.1461333002309115E-3</v>
      </c>
      <c r="S90" s="2"/>
      <c r="T90" s="6">
        <v>1812.78</v>
      </c>
      <c r="U90" s="2"/>
      <c r="V90" s="7">
        <f t="shared" si="26"/>
        <v>8.9146385078874588E-4</v>
      </c>
      <c r="W90" s="2"/>
      <c r="X90" s="6">
        <f t="shared" si="27"/>
        <v>911.93999999999983</v>
      </c>
      <c r="Y90" s="2"/>
      <c r="Z90" s="7">
        <f t="shared" si="28"/>
        <v>0.50306159600172107</v>
      </c>
    </row>
    <row r="91" spans="1:26" s="26" customFormat="1" outlineLevel="1" collapsed="1" x14ac:dyDescent="0.25">
      <c r="A91" s="27"/>
      <c r="B91" s="12" t="str">
        <f>CONCATENATE("     ","*Payroll                                          ")</f>
        <v xml:space="preserve">     *Payroll                                          </v>
      </c>
      <c r="C91" s="12"/>
      <c r="D91" s="1">
        <f>SUM(OSRRefD22_1x_0)</f>
        <v>32673.71</v>
      </c>
      <c r="E91" s="1"/>
      <c r="F91" s="5">
        <f t="shared" ref="F91:F97" si="29">IF(D$12=0,0,D91/D$12)</f>
        <v>0.22895944318228564</v>
      </c>
      <c r="G91" s="1"/>
      <c r="H91" s="1">
        <f>SUM(OSRRefH22_1x_0)</f>
        <v>24932.71</v>
      </c>
      <c r="I91" s="1"/>
      <c r="J91" s="5">
        <f t="shared" ref="J91:J97" si="30">IF(H$12=0,0,H91/H$12)</f>
        <v>0.23105415874985208</v>
      </c>
      <c r="K91" s="1"/>
      <c r="L91" s="1">
        <f t="shared" ref="L91:L97" si="31">+D91-H91</f>
        <v>7741</v>
      </c>
      <c r="M91" s="1"/>
      <c r="N91" s="5">
        <f t="shared" ref="N91:N97" si="32">IF(H91=0,0,L91/H91)</f>
        <v>0.31047567633041095</v>
      </c>
      <c r="O91" s="12"/>
      <c r="P91" s="1">
        <f>SUM(OSRRefP22_1x_0)</f>
        <v>270534.27</v>
      </c>
      <c r="Q91" s="1"/>
      <c r="R91" s="5">
        <f t="shared" ref="R91:R97" si="33">IF(P$12=0,0,P91/P$12)</f>
        <v>0.21308707158924972</v>
      </c>
      <c r="S91" s="1"/>
      <c r="T91" s="1">
        <f>SUM(OSRRefT22_1x_0)</f>
        <v>219127.6</v>
      </c>
      <c r="U91" s="1"/>
      <c r="V91" s="5">
        <f t="shared" ref="V91:V97" si="34">IF(T$12=0,0,T91/T$12)</f>
        <v>0.10775953734600779</v>
      </c>
      <c r="W91" s="1"/>
      <c r="X91" s="1">
        <f t="shared" ref="X91:X97" si="35">+P91-T91</f>
        <v>51406.670000000013</v>
      </c>
      <c r="Y91" s="1"/>
      <c r="Z91" s="5">
        <f t="shared" ref="Z91:Z97" si="36">IF(T91=0,0,X91/T91)</f>
        <v>0.23459696542106065</v>
      </c>
    </row>
    <row r="92" spans="1:26" s="23" customFormat="1" hidden="1" outlineLevel="2" x14ac:dyDescent="0.25">
      <c r="A92" s="25"/>
      <c r="B92" s="10" t="str">
        <f>CONCATENATE("          ", "6002", " - ", "STAFF SALARIES")</f>
        <v xml:space="preserve">          6002 - STAFF SALARIES</v>
      </c>
      <c r="C92" s="10"/>
      <c r="D92" s="6">
        <v>14454.33</v>
      </c>
      <c r="E92" s="2"/>
      <c r="F92" s="7">
        <f t="shared" si="29"/>
        <v>0.10128801866616943</v>
      </c>
      <c r="G92" s="2"/>
      <c r="H92" s="6">
        <v>6597.66</v>
      </c>
      <c r="I92" s="2"/>
      <c r="J92" s="7">
        <f t="shared" si="30"/>
        <v>6.114123899959327E-2</v>
      </c>
      <c r="K92" s="2"/>
      <c r="L92" s="6">
        <f t="shared" si="31"/>
        <v>7856.67</v>
      </c>
      <c r="M92" s="2"/>
      <c r="N92" s="7">
        <f t="shared" si="32"/>
        <v>1.1908267476650813</v>
      </c>
      <c r="O92" s="10"/>
      <c r="P92" s="6">
        <v>122169.13</v>
      </c>
      <c r="Q92" s="2"/>
      <c r="R92" s="7">
        <f t="shared" si="33"/>
        <v>9.622685565975192E-2</v>
      </c>
      <c r="S92" s="2"/>
      <c r="T92" s="6">
        <v>68609.240000000005</v>
      </c>
      <c r="U92" s="2"/>
      <c r="V92" s="7">
        <f t="shared" si="34"/>
        <v>3.3739702164680363E-2</v>
      </c>
      <c r="W92" s="2"/>
      <c r="X92" s="6">
        <f t="shared" si="35"/>
        <v>53559.89</v>
      </c>
      <c r="Y92" s="2"/>
      <c r="Z92" s="7">
        <f t="shared" si="36"/>
        <v>0.78065126504826454</v>
      </c>
    </row>
    <row r="93" spans="1:26" s="23" customFormat="1" hidden="1" outlineLevel="2" x14ac:dyDescent="0.25">
      <c r="A93" s="25"/>
      <c r="B93" s="10" t="str">
        <f>CONCATENATE("          ", "6004", " - ", "STAFF HOURLY")</f>
        <v xml:space="preserve">          6004 - STAFF HOURLY</v>
      </c>
      <c r="C93" s="10"/>
      <c r="D93" s="6">
        <v>3122.6</v>
      </c>
      <c r="E93" s="2"/>
      <c r="F93" s="7">
        <f t="shared" si="29"/>
        <v>2.1881468534825251E-2</v>
      </c>
      <c r="G93" s="2"/>
      <c r="H93" s="6">
        <v>3298.52</v>
      </c>
      <c r="I93" s="2"/>
      <c r="J93" s="7">
        <f t="shared" si="30"/>
        <v>3.0567746695788871E-2</v>
      </c>
      <c r="K93" s="2"/>
      <c r="L93" s="6">
        <f t="shared" si="31"/>
        <v>-175.92000000000007</v>
      </c>
      <c r="M93" s="2"/>
      <c r="N93" s="7">
        <f t="shared" si="32"/>
        <v>-5.3333009955980282E-2</v>
      </c>
      <c r="O93" s="10"/>
      <c r="P93" s="6">
        <v>48949.78</v>
      </c>
      <c r="Q93" s="2"/>
      <c r="R93" s="7">
        <f t="shared" si="33"/>
        <v>3.8555430611944372E-2</v>
      </c>
      <c r="S93" s="2"/>
      <c r="T93" s="6">
        <v>7866.19</v>
      </c>
      <c r="U93" s="2"/>
      <c r="V93" s="7">
        <f t="shared" si="34"/>
        <v>3.8683260122220706E-3</v>
      </c>
      <c r="W93" s="2"/>
      <c r="X93" s="6">
        <f t="shared" si="35"/>
        <v>41083.589999999997</v>
      </c>
      <c r="Y93" s="2"/>
      <c r="Z93" s="7">
        <f t="shared" si="36"/>
        <v>5.2228067209157167</v>
      </c>
    </row>
    <row r="94" spans="1:26" s="23" customFormat="1" hidden="1" outlineLevel="2" x14ac:dyDescent="0.25">
      <c r="A94" s="25"/>
      <c r="B94" s="10" t="str">
        <f>CONCATENATE("          ", "6005", " - ", "TEMPORARY WAGES-HOURLY")</f>
        <v xml:space="preserve">          6005 - TEMPORARY WAGES-HOURLY</v>
      </c>
      <c r="C94" s="10"/>
      <c r="D94" s="6">
        <v>6003.77</v>
      </c>
      <c r="E94" s="2"/>
      <c r="F94" s="7">
        <f t="shared" si="29"/>
        <v>4.2071128016821814E-2</v>
      </c>
      <c r="G94" s="2"/>
      <c r="H94" s="6">
        <v>2633.86</v>
      </c>
      <c r="I94" s="2"/>
      <c r="J94" s="7">
        <f t="shared" si="30"/>
        <v>2.4408269560945658E-2</v>
      </c>
      <c r="K94" s="2"/>
      <c r="L94" s="6">
        <f t="shared" si="31"/>
        <v>3369.9100000000003</v>
      </c>
      <c r="M94" s="2"/>
      <c r="N94" s="7">
        <f t="shared" si="32"/>
        <v>1.2794567668744732</v>
      </c>
      <c r="O94" s="10"/>
      <c r="P94" s="6">
        <v>37875.410000000003</v>
      </c>
      <c r="Q94" s="2"/>
      <c r="R94" s="7">
        <f t="shared" si="33"/>
        <v>2.9832672223530813E-2</v>
      </c>
      <c r="S94" s="2"/>
      <c r="T94" s="6">
        <v>29609.279999999999</v>
      </c>
      <c r="U94" s="2"/>
      <c r="V94" s="7">
        <f t="shared" si="34"/>
        <v>1.4560841783273314E-2</v>
      </c>
      <c r="W94" s="2"/>
      <c r="X94" s="6">
        <f t="shared" si="35"/>
        <v>8266.1300000000047</v>
      </c>
      <c r="Y94" s="2"/>
      <c r="Z94" s="7">
        <f t="shared" si="36"/>
        <v>0.27917362394492556</v>
      </c>
    </row>
    <row r="95" spans="1:26" s="23" customFormat="1" hidden="1" outlineLevel="2" x14ac:dyDescent="0.25">
      <c r="A95" s="25"/>
      <c r="B95" s="10" t="str">
        <f>CONCATENATE("          ", "6006", " - ", "TEMPORARY PART TIME")</f>
        <v xml:space="preserve">          6006 - TEMPORARY PART TIME</v>
      </c>
      <c r="C95" s="10"/>
      <c r="D95" s="6">
        <v>1272.68</v>
      </c>
      <c r="E95" s="2"/>
      <c r="F95" s="7">
        <f t="shared" si="29"/>
        <v>8.9182435710309996E-3</v>
      </c>
      <c r="G95" s="2"/>
      <c r="H95" s="6">
        <v>431.97</v>
      </c>
      <c r="I95" s="2"/>
      <c r="J95" s="7">
        <f t="shared" si="30"/>
        <v>4.0031133781756418E-3</v>
      </c>
      <c r="K95" s="2"/>
      <c r="L95" s="6">
        <f t="shared" si="31"/>
        <v>840.71</v>
      </c>
      <c r="M95" s="2"/>
      <c r="N95" s="7">
        <f t="shared" si="32"/>
        <v>1.946223117346112</v>
      </c>
      <c r="O95" s="10"/>
      <c r="P95" s="6">
        <v>2263.46</v>
      </c>
      <c r="Q95" s="2"/>
      <c r="R95" s="7">
        <f t="shared" si="33"/>
        <v>1.7828205759640107E-3</v>
      </c>
      <c r="S95" s="2"/>
      <c r="T95" s="6">
        <v>911.29</v>
      </c>
      <c r="U95" s="2"/>
      <c r="V95" s="7">
        <f t="shared" si="34"/>
        <v>4.481415795547591E-4</v>
      </c>
      <c r="W95" s="2"/>
      <c r="X95" s="6">
        <f t="shared" si="35"/>
        <v>1352.17</v>
      </c>
      <c r="Y95" s="2"/>
      <c r="Z95" s="7">
        <f t="shared" si="36"/>
        <v>1.4837976933797146</v>
      </c>
    </row>
    <row r="96" spans="1:26" s="23" customFormat="1" hidden="1" outlineLevel="2" x14ac:dyDescent="0.25">
      <c r="A96" s="25"/>
      <c r="B96" s="10" t="str">
        <f>CONCATENATE("          ", "6007", " - ", "STUDENT HOURLY")</f>
        <v xml:space="preserve">          6007 - STUDENT HOURLY</v>
      </c>
      <c r="C96" s="10"/>
      <c r="D96" s="6">
        <v>6707.96</v>
      </c>
      <c r="E96" s="2"/>
      <c r="F96" s="7">
        <f t="shared" si="29"/>
        <v>4.700570539706219E-2</v>
      </c>
      <c r="G96" s="2"/>
      <c r="H96" s="6">
        <v>11970.7</v>
      </c>
      <c r="I96" s="2"/>
      <c r="J96" s="7">
        <f t="shared" si="30"/>
        <v>0.11093379011534865</v>
      </c>
      <c r="K96" s="2"/>
      <c r="L96" s="6">
        <f t="shared" si="31"/>
        <v>-5262.7400000000007</v>
      </c>
      <c r="M96" s="2"/>
      <c r="N96" s="7">
        <f t="shared" si="32"/>
        <v>-0.43963510905794984</v>
      </c>
      <c r="O96" s="10"/>
      <c r="P96" s="6">
        <v>53751.16</v>
      </c>
      <c r="Q96" s="2"/>
      <c r="R96" s="7">
        <f t="shared" si="33"/>
        <v>4.2337250947634901E-2</v>
      </c>
      <c r="S96" s="2"/>
      <c r="T96" s="6">
        <v>111936.6</v>
      </c>
      <c r="U96" s="2"/>
      <c r="V96" s="7">
        <f t="shared" si="34"/>
        <v>5.5046631406017024E-2</v>
      </c>
      <c r="W96" s="2"/>
      <c r="X96" s="6">
        <f t="shared" si="35"/>
        <v>-58185.440000000002</v>
      </c>
      <c r="Y96" s="2"/>
      <c r="Z96" s="7">
        <f t="shared" si="36"/>
        <v>-0.51980710509341899</v>
      </c>
    </row>
    <row r="97" spans="1:26" s="23" customFormat="1" hidden="1" outlineLevel="2" x14ac:dyDescent="0.25">
      <c r="A97" s="25"/>
      <c r="B97" s="10" t="str">
        <f>CONCATENATE("          ", "6008", " - ", "STUDENT HOURLY-FICA EXEMPT")</f>
        <v xml:space="preserve">          6008 - STUDENT HOURLY-FICA EXEMPT</v>
      </c>
      <c r="C97" s="10"/>
      <c r="D97" s="6">
        <v>1112.3699999999999</v>
      </c>
      <c r="E97" s="2"/>
      <c r="F97" s="7">
        <f t="shared" si="29"/>
        <v>7.7948789963759564E-3</v>
      </c>
      <c r="G97" s="2"/>
      <c r="H97" s="6"/>
      <c r="I97" s="2"/>
      <c r="J97" s="7">
        <f t="shared" si="30"/>
        <v>0</v>
      </c>
      <c r="K97" s="2"/>
      <c r="L97" s="6">
        <f t="shared" si="31"/>
        <v>1112.3699999999999</v>
      </c>
      <c r="M97" s="2"/>
      <c r="N97" s="7">
        <f t="shared" si="32"/>
        <v>0</v>
      </c>
      <c r="O97" s="10"/>
      <c r="P97" s="6">
        <v>5525.33</v>
      </c>
      <c r="Q97" s="2"/>
      <c r="R97" s="7">
        <f t="shared" si="33"/>
        <v>4.3520415704236997E-3</v>
      </c>
      <c r="S97" s="2"/>
      <c r="T97" s="6">
        <v>195</v>
      </c>
      <c r="U97" s="2"/>
      <c r="V97" s="7">
        <f t="shared" si="34"/>
        <v>9.5894400260266256E-5</v>
      </c>
      <c r="W97" s="2"/>
      <c r="X97" s="6">
        <f t="shared" si="35"/>
        <v>5330.33</v>
      </c>
      <c r="Y97" s="2"/>
      <c r="Z97" s="7">
        <f t="shared" si="36"/>
        <v>27.335025641025641</v>
      </c>
    </row>
    <row r="98" spans="1:26" s="26" customFormat="1" outlineLevel="1" collapsed="1" x14ac:dyDescent="0.25">
      <c r="A98" s="27"/>
      <c r="B98" s="12" t="str">
        <f>CONCATENATE("     ","Advertising/Promo                                 ")</f>
        <v xml:space="preserve">     Advertising/Promo                                 </v>
      </c>
      <c r="C98" s="12"/>
      <c r="D98" s="1">
        <f>SUM(OSRRefD22_2x_0)</f>
        <v>42.6</v>
      </c>
      <c r="E98" s="1"/>
      <c r="F98" s="5">
        <f t="shared" ref="F98:F102" si="37">IF(D$12=0,0,D98/D$12)</f>
        <v>2.9851744046101189E-4</v>
      </c>
      <c r="G98" s="1"/>
      <c r="H98" s="1">
        <f>SUM(OSRRefH22_2x_0)</f>
        <v>21.78</v>
      </c>
      <c r="I98" s="1"/>
      <c r="J98" s="5">
        <f t="shared" ref="J98:J102" si="38">IF(H$12=0,0,H98/H$12)</f>
        <v>2.0183764931978028E-4</v>
      </c>
      <c r="K98" s="1"/>
      <c r="L98" s="1">
        <f t="shared" ref="L98:L102" si="39">+D98-H98</f>
        <v>20.82</v>
      </c>
      <c r="M98" s="1"/>
      <c r="N98" s="5">
        <f t="shared" ref="N98:N102" si="40">IF(H98=0,0,L98/H98)</f>
        <v>0.9559228650137741</v>
      </c>
      <c r="O98" s="12"/>
      <c r="P98" s="1">
        <f>SUM(OSRRefP22_2x_0)</f>
        <v>12817.92</v>
      </c>
      <c r="Q98" s="1"/>
      <c r="R98" s="5">
        <f t="shared" ref="R98:R102" si="41">IF(P$12=0,0,P98/P$12)</f>
        <v>1.0096070404186782E-2</v>
      </c>
      <c r="S98" s="1"/>
      <c r="T98" s="1">
        <f>SUM(OSRRefT22_2x_0)</f>
        <v>18186.2</v>
      </c>
      <c r="U98" s="1"/>
      <c r="V98" s="5">
        <f t="shared" ref="V98:V102" si="42">IF(T$12=0,0,T98/T$12)</f>
        <v>8.9433576513500215E-3</v>
      </c>
      <c r="W98" s="1"/>
      <c r="X98" s="1">
        <f t="shared" ref="X98:X102" si="43">+P98-T98</f>
        <v>-5368.2800000000007</v>
      </c>
      <c r="Y98" s="1"/>
      <c r="Z98" s="5">
        <f t="shared" ref="Z98:Z102" si="44">IF(T98=0,0,X98/T98)</f>
        <v>-0.29518426059319708</v>
      </c>
    </row>
    <row r="99" spans="1:26" s="23" customFormat="1" hidden="1" outlineLevel="2" x14ac:dyDescent="0.25">
      <c r="A99" s="25"/>
      <c r="B99" s="10" t="str">
        <f>CONCATENATE("          ", "6362", " - ", "ADVERTISING EXPENSE")</f>
        <v xml:space="preserve">          6362 - ADVERTISING EXPENSE</v>
      </c>
      <c r="C99" s="10"/>
      <c r="D99" s="6">
        <v>42.6</v>
      </c>
      <c r="E99" s="2"/>
      <c r="F99" s="7">
        <f t="shared" si="37"/>
        <v>2.9851744046101189E-4</v>
      </c>
      <c r="G99" s="2"/>
      <c r="H99" s="6">
        <v>21.78</v>
      </c>
      <c r="I99" s="2"/>
      <c r="J99" s="7">
        <f t="shared" si="38"/>
        <v>2.0183764931978028E-4</v>
      </c>
      <c r="K99" s="2"/>
      <c r="L99" s="6">
        <f t="shared" si="39"/>
        <v>20.82</v>
      </c>
      <c r="M99" s="2"/>
      <c r="N99" s="7">
        <f t="shared" si="40"/>
        <v>0.9559228650137741</v>
      </c>
      <c r="O99" s="10"/>
      <c r="P99" s="6">
        <v>12817.92</v>
      </c>
      <c r="Q99" s="2"/>
      <c r="R99" s="7">
        <f t="shared" si="41"/>
        <v>1.0096070404186782E-2</v>
      </c>
      <c r="S99" s="2"/>
      <c r="T99" s="6">
        <v>18186.2</v>
      </c>
      <c r="U99" s="2"/>
      <c r="V99" s="7">
        <f t="shared" si="42"/>
        <v>8.9433576513500215E-3</v>
      </c>
      <c r="W99" s="2"/>
      <c r="X99" s="6">
        <f t="shared" si="43"/>
        <v>-5368.2800000000007</v>
      </c>
      <c r="Y99" s="2"/>
      <c r="Z99" s="7">
        <f t="shared" si="44"/>
        <v>-0.29518426059319708</v>
      </c>
    </row>
    <row r="100" spans="1:26" s="26" customFormat="1" outlineLevel="1" collapsed="1" x14ac:dyDescent="0.25">
      <c r="A100" s="27"/>
      <c r="B100" s="12" t="str">
        <f>CONCATENATE("     ","Discounts and Markdowns                           ")</f>
        <v xml:space="preserve">     Discounts and Markdowns                           </v>
      </c>
      <c r="C100" s="12"/>
      <c r="D100" s="1">
        <f>SUM(OSRRefD22_3x_0)</f>
        <v>0</v>
      </c>
      <c r="E100" s="1"/>
      <c r="F100" s="5">
        <f t="shared" si="37"/>
        <v>0</v>
      </c>
      <c r="G100" s="1"/>
      <c r="H100" s="1">
        <f>SUM(OSRRefH22_3x_0)</f>
        <v>9801.26</v>
      </c>
      <c r="I100" s="1"/>
      <c r="J100" s="5">
        <f t="shared" si="38"/>
        <v>9.0829351642423756E-2</v>
      </c>
      <c r="K100" s="1"/>
      <c r="L100" s="1">
        <f t="shared" si="39"/>
        <v>-9801.26</v>
      </c>
      <c r="M100" s="1"/>
      <c r="N100" s="5">
        <f t="shared" si="40"/>
        <v>-1</v>
      </c>
      <c r="O100" s="12"/>
      <c r="P100" s="1">
        <f>SUM(OSRRefP22_3x_0)</f>
        <v>0</v>
      </c>
      <c r="Q100" s="1"/>
      <c r="R100" s="5">
        <f t="shared" si="41"/>
        <v>0</v>
      </c>
      <c r="S100" s="1"/>
      <c r="T100" s="1">
        <f>SUM(OSRRefT22_3x_0)</f>
        <v>186291.5</v>
      </c>
      <c r="U100" s="1"/>
      <c r="V100" s="5">
        <f t="shared" si="42"/>
        <v>9.1611854697873793E-2</v>
      </c>
      <c r="W100" s="1"/>
      <c r="X100" s="1">
        <f t="shared" si="43"/>
        <v>-186291.5</v>
      </c>
      <c r="Y100" s="1"/>
      <c r="Z100" s="5">
        <f t="shared" si="44"/>
        <v>-1</v>
      </c>
    </row>
    <row r="101" spans="1:26" s="23" customFormat="1" hidden="1" outlineLevel="2" x14ac:dyDescent="0.25">
      <c r="A101" s="25"/>
      <c r="B101" s="10" t="str">
        <f>CONCATENATE("          ", "6382", " - ", "DISCOUNTS/MARK DOWNS")</f>
        <v xml:space="preserve">          6382 - DISCOUNTS/MARK DOWNS</v>
      </c>
      <c r="C101" s="10"/>
      <c r="D101" s="6">
        <v>0</v>
      </c>
      <c r="E101" s="2"/>
      <c r="F101" s="7">
        <f t="shared" si="37"/>
        <v>0</v>
      </c>
      <c r="G101" s="2"/>
      <c r="H101" s="6">
        <v>9801.26</v>
      </c>
      <c r="I101" s="2"/>
      <c r="J101" s="7">
        <f t="shared" si="38"/>
        <v>9.0829351642423756E-2</v>
      </c>
      <c r="K101" s="2"/>
      <c r="L101" s="6">
        <f t="shared" si="39"/>
        <v>-9801.26</v>
      </c>
      <c r="M101" s="2"/>
      <c r="N101" s="7">
        <f t="shared" si="40"/>
        <v>-1</v>
      </c>
      <c r="O101" s="10"/>
      <c r="P101" s="6">
        <v>0</v>
      </c>
      <c r="Q101" s="2"/>
      <c r="R101" s="7">
        <f t="shared" si="41"/>
        <v>0</v>
      </c>
      <c r="S101" s="2"/>
      <c r="T101" s="6">
        <v>186310.89</v>
      </c>
      <c r="U101" s="2"/>
      <c r="V101" s="7">
        <f t="shared" si="42"/>
        <v>9.1621390043622755E-2</v>
      </c>
      <c r="W101" s="2"/>
      <c r="X101" s="6">
        <f t="shared" si="43"/>
        <v>-186310.89</v>
      </c>
      <c r="Y101" s="2"/>
      <c r="Z101" s="7">
        <f t="shared" si="44"/>
        <v>-1</v>
      </c>
    </row>
    <row r="102" spans="1:26" s="23" customFormat="1" hidden="1" outlineLevel="2" x14ac:dyDescent="0.25">
      <c r="A102" s="25"/>
      <c r="B102" s="10" t="str">
        <f>CONCATENATE("          ", "9175", " - ", "EARNED DISCOUNTS")</f>
        <v xml:space="preserve">          9175 - EARNED DISCOUNTS</v>
      </c>
      <c r="C102" s="10"/>
      <c r="D102" s="6"/>
      <c r="E102" s="2"/>
      <c r="F102" s="7">
        <f t="shared" si="37"/>
        <v>0</v>
      </c>
      <c r="G102" s="2"/>
      <c r="H102" s="6">
        <v>0</v>
      </c>
      <c r="I102" s="2"/>
      <c r="J102" s="7">
        <f t="shared" si="38"/>
        <v>0</v>
      </c>
      <c r="K102" s="2"/>
      <c r="L102" s="6">
        <f t="shared" si="39"/>
        <v>0</v>
      </c>
      <c r="M102" s="2"/>
      <c r="N102" s="7">
        <f t="shared" si="40"/>
        <v>0</v>
      </c>
      <c r="O102" s="10"/>
      <c r="P102" s="6"/>
      <c r="Q102" s="2"/>
      <c r="R102" s="7">
        <f t="shared" si="41"/>
        <v>0</v>
      </c>
      <c r="S102" s="2"/>
      <c r="T102" s="6">
        <v>-19.39</v>
      </c>
      <c r="U102" s="2"/>
      <c r="V102" s="7">
        <f t="shared" si="42"/>
        <v>-9.5353457489567317E-6</v>
      </c>
      <c r="W102" s="2"/>
      <c r="X102" s="6">
        <f t="shared" si="43"/>
        <v>19.39</v>
      </c>
      <c r="Y102" s="2"/>
      <c r="Z102" s="7">
        <f t="shared" si="44"/>
        <v>-1</v>
      </c>
    </row>
    <row r="103" spans="1:26" s="26" customFormat="1" outlineLevel="1" collapsed="1" x14ac:dyDescent="0.25">
      <c r="A103" s="27"/>
      <c r="B103" s="12" t="str">
        <f>CONCATENATE("     ","Employees' Appreciation                           ")</f>
        <v xml:space="preserve">     Employees' Appreciation                           </v>
      </c>
      <c r="C103" s="12"/>
      <c r="D103" s="1">
        <f>SUM(OSRRefD22_4x_0)</f>
        <v>0</v>
      </c>
      <c r="E103" s="1"/>
      <c r="F103" s="5">
        <f t="shared" ref="F103:F107" si="45">IF(D$12=0,0,D103/D$12)</f>
        <v>0</v>
      </c>
      <c r="G103" s="1"/>
      <c r="H103" s="1">
        <f>SUM(OSRRefH22_4x_0)</f>
        <v>0</v>
      </c>
      <c r="I103" s="1"/>
      <c r="J103" s="5">
        <f t="shared" ref="J103:J107" si="46">IF(H$12=0,0,H103/H$12)</f>
        <v>0</v>
      </c>
      <c r="K103" s="1"/>
      <c r="L103" s="1">
        <f t="shared" ref="L103:L107" si="47">+D103-H103</f>
        <v>0</v>
      </c>
      <c r="M103" s="1"/>
      <c r="N103" s="5">
        <f t="shared" ref="N103:N107" si="48">IF(H103=0,0,L103/H103)</f>
        <v>0</v>
      </c>
      <c r="O103" s="12"/>
      <c r="P103" s="1">
        <f>SUM(OSRRefP22_4x_0)</f>
        <v>0</v>
      </c>
      <c r="Q103" s="1"/>
      <c r="R103" s="5">
        <f t="shared" ref="R103:R107" si="49">IF(P$12=0,0,P103/P$12)</f>
        <v>0</v>
      </c>
      <c r="S103" s="1"/>
      <c r="T103" s="1">
        <f>SUM(OSRRefT22_4x_0)</f>
        <v>255.44</v>
      </c>
      <c r="U103" s="1"/>
      <c r="V103" s="5">
        <f t="shared" ref="V103:V107" si="50">IF(T$12=0,0,T103/T$12)</f>
        <v>1.2561674667939697E-4</v>
      </c>
      <c r="W103" s="1"/>
      <c r="X103" s="1">
        <f t="shared" ref="X103:X107" si="51">+P103-T103</f>
        <v>-255.44</v>
      </c>
      <c r="Y103" s="1"/>
      <c r="Z103" s="5">
        <f t="shared" ref="Z103:Z107" si="52">IF(T103=0,0,X103/T103)</f>
        <v>-1</v>
      </c>
    </row>
    <row r="104" spans="1:26" s="23" customFormat="1" hidden="1" outlineLevel="2" x14ac:dyDescent="0.25">
      <c r="A104" s="25"/>
      <c r="B104" s="10" t="str">
        <f>CONCATENATE("          ", "6277", " - ", "EMPLOYEE APPRECIATION")</f>
        <v xml:space="preserve">          6277 - EMPLOYEE APPRECIATION</v>
      </c>
      <c r="C104" s="10"/>
      <c r="D104" s="6"/>
      <c r="E104" s="2"/>
      <c r="F104" s="7">
        <f t="shared" si="45"/>
        <v>0</v>
      </c>
      <c r="G104" s="2"/>
      <c r="H104" s="6"/>
      <c r="I104" s="2"/>
      <c r="J104" s="7">
        <f t="shared" si="46"/>
        <v>0</v>
      </c>
      <c r="K104" s="2"/>
      <c r="L104" s="6">
        <f t="shared" si="47"/>
        <v>0</v>
      </c>
      <c r="M104" s="2"/>
      <c r="N104" s="7">
        <f t="shared" si="48"/>
        <v>0</v>
      </c>
      <c r="O104" s="10"/>
      <c r="P104" s="6"/>
      <c r="Q104" s="2"/>
      <c r="R104" s="7">
        <f t="shared" si="49"/>
        <v>0</v>
      </c>
      <c r="S104" s="2"/>
      <c r="T104" s="6">
        <v>255.44</v>
      </c>
      <c r="U104" s="2"/>
      <c r="V104" s="7">
        <f t="shared" si="50"/>
        <v>1.2561674667939697E-4</v>
      </c>
      <c r="W104" s="2"/>
      <c r="X104" s="6">
        <f t="shared" si="51"/>
        <v>-255.44</v>
      </c>
      <c r="Y104" s="2"/>
      <c r="Z104" s="7">
        <f t="shared" si="52"/>
        <v>-1</v>
      </c>
    </row>
    <row r="105" spans="1:26" s="26" customFormat="1" outlineLevel="1" collapsed="1" x14ac:dyDescent="0.25">
      <c r="A105" s="27"/>
      <c r="B105" s="12" t="str">
        <f>CONCATENATE("     ","Freight out/Postage                               ")</f>
        <v xml:space="preserve">     Freight out/Postage                               </v>
      </c>
      <c r="C105" s="12"/>
      <c r="D105" s="1">
        <f>SUM(OSRRefD22_5x_0)</f>
        <v>-502.63</v>
      </c>
      <c r="E105" s="1"/>
      <c r="F105" s="5">
        <f t="shared" si="45"/>
        <v>-3.5221554248572396E-3</v>
      </c>
      <c r="G105" s="1"/>
      <c r="H105" s="1">
        <f>SUM(OSRRefH22_5x_0)</f>
        <v>0</v>
      </c>
      <c r="I105" s="1"/>
      <c r="J105" s="5">
        <f t="shared" si="46"/>
        <v>0</v>
      </c>
      <c r="K105" s="1"/>
      <c r="L105" s="1">
        <f t="shared" si="47"/>
        <v>-502.63</v>
      </c>
      <c r="M105" s="1"/>
      <c r="N105" s="5">
        <f t="shared" si="48"/>
        <v>0</v>
      </c>
      <c r="O105" s="12"/>
      <c r="P105" s="1">
        <f>SUM(OSRRefP22_5x_0)</f>
        <v>-216.09999999999997</v>
      </c>
      <c r="Q105" s="1"/>
      <c r="R105" s="5">
        <f t="shared" si="49"/>
        <v>-1.7021176714667924E-4</v>
      </c>
      <c r="S105" s="1"/>
      <c r="T105" s="1">
        <f>SUM(OSRRefT22_5x_0)</f>
        <v>81.180000000000007</v>
      </c>
      <c r="U105" s="1"/>
      <c r="V105" s="5">
        <f t="shared" si="50"/>
        <v>3.9921576477581613E-5</v>
      </c>
      <c r="W105" s="1"/>
      <c r="X105" s="1">
        <f t="shared" si="51"/>
        <v>-297.27999999999997</v>
      </c>
      <c r="Y105" s="1"/>
      <c r="Z105" s="5">
        <f t="shared" si="52"/>
        <v>-3.6619857107661979</v>
      </c>
    </row>
    <row r="106" spans="1:26" s="23" customFormat="1" hidden="1" outlineLevel="2" x14ac:dyDescent="0.25">
      <c r="A106" s="25"/>
      <c r="B106" s="10" t="str">
        <f>CONCATENATE("          ", "6305", " - ", "FREIGHT OUT")</f>
        <v xml:space="preserve">          6305 - FREIGHT OUT</v>
      </c>
      <c r="C106" s="10"/>
      <c r="D106" s="6">
        <v>-233.44</v>
      </c>
      <c r="E106" s="2"/>
      <c r="F106" s="7">
        <f t="shared" si="45"/>
        <v>-1.6358195141131129E-3</v>
      </c>
      <c r="G106" s="2"/>
      <c r="H106" s="6"/>
      <c r="I106" s="2"/>
      <c r="J106" s="7">
        <f t="shared" si="46"/>
        <v>0</v>
      </c>
      <c r="K106" s="2"/>
      <c r="L106" s="6">
        <f t="shared" si="47"/>
        <v>-233.44</v>
      </c>
      <c r="M106" s="2"/>
      <c r="N106" s="7">
        <f t="shared" si="48"/>
        <v>0</v>
      </c>
      <c r="O106" s="10"/>
      <c r="P106" s="6">
        <v>73.239999999999995</v>
      </c>
      <c r="Q106" s="2"/>
      <c r="R106" s="7">
        <f t="shared" si="49"/>
        <v>5.7687690077847247E-5</v>
      </c>
      <c r="S106" s="2"/>
      <c r="T106" s="6">
        <v>80.680000000000007</v>
      </c>
      <c r="U106" s="2"/>
      <c r="V106" s="7">
        <f t="shared" si="50"/>
        <v>3.9675693399991188E-5</v>
      </c>
      <c r="W106" s="2"/>
      <c r="X106" s="6">
        <f t="shared" si="51"/>
        <v>-7.4400000000000119</v>
      </c>
      <c r="Y106" s="2"/>
      <c r="Z106" s="7">
        <f t="shared" si="52"/>
        <v>-9.2216162617749273E-2</v>
      </c>
    </row>
    <row r="107" spans="1:26" s="23" customFormat="1" hidden="1" outlineLevel="2" x14ac:dyDescent="0.25">
      <c r="A107" s="25"/>
      <c r="B107" s="10" t="str">
        <f>CONCATENATE("          ", "6307", " - ", "POSTAGE")</f>
        <v xml:space="preserve">          6307 - POSTAGE</v>
      </c>
      <c r="C107" s="10"/>
      <c r="D107" s="6">
        <v>-269.19</v>
      </c>
      <c r="E107" s="2"/>
      <c r="F107" s="7">
        <f t="shared" si="45"/>
        <v>-1.8863359107441264E-3</v>
      </c>
      <c r="G107" s="2"/>
      <c r="H107" s="6"/>
      <c r="I107" s="2"/>
      <c r="J107" s="7">
        <f t="shared" si="46"/>
        <v>0</v>
      </c>
      <c r="K107" s="2"/>
      <c r="L107" s="6">
        <f t="shared" si="47"/>
        <v>-269.19</v>
      </c>
      <c r="M107" s="2"/>
      <c r="N107" s="7">
        <f t="shared" si="48"/>
        <v>0</v>
      </c>
      <c r="O107" s="10"/>
      <c r="P107" s="6">
        <v>-289.33999999999997</v>
      </c>
      <c r="Q107" s="2"/>
      <c r="R107" s="7">
        <f t="shared" si="49"/>
        <v>-2.2789945722452652E-4</v>
      </c>
      <c r="S107" s="2"/>
      <c r="T107" s="6">
        <v>0.5</v>
      </c>
      <c r="U107" s="2"/>
      <c r="V107" s="7">
        <f t="shared" si="50"/>
        <v>2.4588307759042629E-7</v>
      </c>
      <c r="W107" s="2"/>
      <c r="X107" s="6">
        <f t="shared" si="51"/>
        <v>-289.83999999999997</v>
      </c>
      <c r="Y107" s="2"/>
      <c r="Z107" s="7">
        <f t="shared" si="52"/>
        <v>-579.67999999999995</v>
      </c>
    </row>
    <row r="108" spans="1:26" s="26" customFormat="1" outlineLevel="1" collapsed="1" x14ac:dyDescent="0.25">
      <c r="A108" s="27"/>
      <c r="B108" s="12" t="str">
        <f>CONCATENATE("     ","Inventory Adjustment                              ")</f>
        <v xml:space="preserve">     Inventory Adjustment                              </v>
      </c>
      <c r="C108" s="12"/>
      <c r="D108" s="1">
        <f>SUM(OSRRefD22_6x_0)</f>
        <v>1000</v>
      </c>
      <c r="E108" s="1"/>
      <c r="F108" s="5">
        <f t="shared" ref="F108:F110" si="53">IF(D$12=0,0,D108/D$12)</f>
        <v>7.0074516540143631E-3</v>
      </c>
      <c r="G108" s="1"/>
      <c r="H108" s="1">
        <f>SUM(OSRRefH22_6x_0)</f>
        <v>2850</v>
      </c>
      <c r="I108" s="1"/>
      <c r="J108" s="5">
        <f t="shared" ref="J108:J110" si="54">IF(H$12=0,0,H108/H$12)</f>
        <v>2.6411262652037363E-2</v>
      </c>
      <c r="K108" s="1"/>
      <c r="L108" s="1">
        <f t="shared" ref="L108:L110" si="55">+D108-H108</f>
        <v>-1850</v>
      </c>
      <c r="M108" s="1"/>
      <c r="N108" s="5">
        <f t="shared" ref="N108:N110" si="56">IF(H108=0,0,L108/H108)</f>
        <v>-0.64912280701754388</v>
      </c>
      <c r="O108" s="12"/>
      <c r="P108" s="1">
        <f>SUM(OSRRefP22_6x_0)</f>
        <v>9000</v>
      </c>
      <c r="Q108" s="1"/>
      <c r="R108" s="5">
        <f t="shared" ref="R108:R110" si="57">IF(P$12=0,0,P108/P$12)</f>
        <v>7.0888750778348615E-3</v>
      </c>
      <c r="S108" s="1"/>
      <c r="T108" s="1">
        <f>SUM(OSRRefT22_6x_0)</f>
        <v>25650</v>
      </c>
      <c r="U108" s="1"/>
      <c r="V108" s="5">
        <f t="shared" ref="V108:V110" si="58">IF(T$12=0,0,T108/T$12)</f>
        <v>1.2613801880388869E-2</v>
      </c>
      <c r="W108" s="1"/>
      <c r="X108" s="1">
        <f t="shared" ref="X108:X110" si="59">+P108-T108</f>
        <v>-16650</v>
      </c>
      <c r="Y108" s="1"/>
      <c r="Z108" s="5">
        <f t="shared" ref="Z108:Z110" si="60">IF(T108=0,0,X108/T108)</f>
        <v>-0.64912280701754388</v>
      </c>
    </row>
    <row r="109" spans="1:26" s="23" customFormat="1" hidden="1" outlineLevel="2" x14ac:dyDescent="0.25">
      <c r="A109" s="25"/>
      <c r="B109" s="10" t="str">
        <f>CONCATENATE("          ", "6408", " - ", "INVENTORY ADJUSTMENT")</f>
        <v xml:space="preserve">          6408 - INVENTORY ADJUSTMENT</v>
      </c>
      <c r="C109" s="10"/>
      <c r="D109" s="6">
        <v>1000</v>
      </c>
      <c r="E109" s="2"/>
      <c r="F109" s="7">
        <f t="shared" si="53"/>
        <v>7.0074516540143631E-3</v>
      </c>
      <c r="G109" s="2"/>
      <c r="H109" s="6">
        <v>2850</v>
      </c>
      <c r="I109" s="2"/>
      <c r="J109" s="7">
        <f t="shared" si="54"/>
        <v>2.6411262652037363E-2</v>
      </c>
      <c r="K109" s="2"/>
      <c r="L109" s="6">
        <f t="shared" si="55"/>
        <v>-1850</v>
      </c>
      <c r="M109" s="2"/>
      <c r="N109" s="7">
        <f t="shared" si="56"/>
        <v>-0.64912280701754388</v>
      </c>
      <c r="O109" s="10"/>
      <c r="P109" s="6">
        <v>9000</v>
      </c>
      <c r="Q109" s="2"/>
      <c r="R109" s="7">
        <f t="shared" si="57"/>
        <v>7.0888750778348615E-3</v>
      </c>
      <c r="S109" s="2"/>
      <c r="T109" s="6">
        <v>25650</v>
      </c>
      <c r="U109" s="2"/>
      <c r="V109" s="7">
        <f t="shared" si="58"/>
        <v>1.2613801880388869E-2</v>
      </c>
      <c r="W109" s="2"/>
      <c r="X109" s="6">
        <f t="shared" si="59"/>
        <v>-16650</v>
      </c>
      <c r="Y109" s="2"/>
      <c r="Z109" s="7">
        <f t="shared" si="60"/>
        <v>-0.64912280701754388</v>
      </c>
    </row>
    <row r="110" spans="1:26" s="23" customFormat="1" hidden="1" outlineLevel="2" x14ac:dyDescent="0.25">
      <c r="A110" s="25"/>
      <c r="B110" s="10" t="str">
        <f>CONCATENATE("          ", "7741", " - ", "INV. SHRINKAGE-LOGO GIFTS")</f>
        <v xml:space="preserve">          7741 - INV. SHRINKAGE-LOGO GIFTS</v>
      </c>
      <c r="C110" s="10"/>
      <c r="D110" s="6"/>
      <c r="E110" s="2"/>
      <c r="F110" s="7">
        <f t="shared" si="53"/>
        <v>0</v>
      </c>
      <c r="G110" s="2"/>
      <c r="H110" s="6"/>
      <c r="I110" s="2"/>
      <c r="J110" s="7">
        <f t="shared" si="54"/>
        <v>0</v>
      </c>
      <c r="K110" s="2"/>
      <c r="L110" s="6">
        <f t="shared" si="55"/>
        <v>0</v>
      </c>
      <c r="M110" s="2"/>
      <c r="N110" s="7">
        <f t="shared" si="56"/>
        <v>0</v>
      </c>
      <c r="O110" s="10"/>
      <c r="P110" s="6">
        <v>0</v>
      </c>
      <c r="Q110" s="2"/>
      <c r="R110" s="7">
        <f t="shared" si="57"/>
        <v>0</v>
      </c>
      <c r="S110" s="2"/>
      <c r="T110" s="6"/>
      <c r="U110" s="2"/>
      <c r="V110" s="7">
        <f t="shared" si="58"/>
        <v>0</v>
      </c>
      <c r="W110" s="2"/>
      <c r="X110" s="6">
        <f t="shared" si="59"/>
        <v>0</v>
      </c>
      <c r="Y110" s="2"/>
      <c r="Z110" s="7">
        <f t="shared" si="60"/>
        <v>0</v>
      </c>
    </row>
    <row r="111" spans="1:26" s="26" customFormat="1" outlineLevel="1" collapsed="1" x14ac:dyDescent="0.25">
      <c r="A111" s="27"/>
      <c r="B111" s="12" t="str">
        <f>CONCATENATE("     ","Repair and Maintenance                            ")</f>
        <v xml:space="preserve">     Repair and Maintenance                            </v>
      </c>
      <c r="C111" s="12"/>
      <c r="D111" s="1">
        <f>SUM(OSRRefD22_7x_0)</f>
        <v>0</v>
      </c>
      <c r="E111" s="1"/>
      <c r="F111" s="5">
        <f t="shared" ref="F111:F115" si="61">IF(D$12=0,0,D111/D$12)</f>
        <v>0</v>
      </c>
      <c r="G111" s="1"/>
      <c r="H111" s="1">
        <f>SUM(OSRRefH22_7x_0)</f>
        <v>309.77999999999997</v>
      </c>
      <c r="I111" s="1"/>
      <c r="J111" s="5">
        <f t="shared" ref="J111:J115" si="62">IF(H$12=0,0,H111/H$12)</f>
        <v>2.870765243630924E-3</v>
      </c>
      <c r="K111" s="1"/>
      <c r="L111" s="1">
        <f t="shared" ref="L111:L115" si="63">+D111-H111</f>
        <v>-309.77999999999997</v>
      </c>
      <c r="M111" s="1"/>
      <c r="N111" s="5">
        <f t="shared" ref="N111:N115" si="64">IF(H111=0,0,L111/H111)</f>
        <v>-1</v>
      </c>
      <c r="O111" s="12"/>
      <c r="P111" s="1">
        <f>SUM(OSRRefP22_7x_0)</f>
        <v>0</v>
      </c>
      <c r="Q111" s="1"/>
      <c r="R111" s="5">
        <f t="shared" ref="R111:R115" si="65">IF(P$12=0,0,P111/P$12)</f>
        <v>0</v>
      </c>
      <c r="S111" s="1"/>
      <c r="T111" s="1">
        <f>SUM(OSRRefT22_7x_0)</f>
        <v>309.77999999999997</v>
      </c>
      <c r="U111" s="1"/>
      <c r="V111" s="5">
        <f t="shared" ref="V111:V115" si="66">IF(T$12=0,0,T111/T$12)</f>
        <v>1.5233931955192451E-4</v>
      </c>
      <c r="W111" s="1"/>
      <c r="X111" s="1">
        <f t="shared" ref="X111:X115" si="67">+P111-T111</f>
        <v>-309.77999999999997</v>
      </c>
      <c r="Y111" s="1"/>
      <c r="Z111" s="5">
        <f t="shared" ref="Z111:Z115" si="68">IF(T111=0,0,X111/T111)</f>
        <v>-1</v>
      </c>
    </row>
    <row r="112" spans="1:26" s="23" customFormat="1" hidden="1" outlineLevel="2" x14ac:dyDescent="0.25">
      <c r="A112" s="25"/>
      <c r="B112" s="10" t="str">
        <f>CONCATENATE("          ", "6373", " - ", "MAINTENANCE CONTRACTS")</f>
        <v xml:space="preserve">          6373 - MAINTENANCE CONTRACTS</v>
      </c>
      <c r="C112" s="10"/>
      <c r="D112" s="6"/>
      <c r="E112" s="2"/>
      <c r="F112" s="7">
        <f t="shared" si="61"/>
        <v>0</v>
      </c>
      <c r="G112" s="2"/>
      <c r="H112" s="6">
        <v>309.77999999999997</v>
      </c>
      <c r="I112" s="2"/>
      <c r="J112" s="7">
        <f t="shared" si="62"/>
        <v>2.870765243630924E-3</v>
      </c>
      <c r="K112" s="2"/>
      <c r="L112" s="6">
        <f t="shared" si="63"/>
        <v>-309.77999999999997</v>
      </c>
      <c r="M112" s="2"/>
      <c r="N112" s="7">
        <f t="shared" si="64"/>
        <v>-1</v>
      </c>
      <c r="O112" s="10"/>
      <c r="P112" s="6"/>
      <c r="Q112" s="2"/>
      <c r="R112" s="7">
        <f t="shared" si="65"/>
        <v>0</v>
      </c>
      <c r="S112" s="2"/>
      <c r="T112" s="6">
        <v>309.77999999999997</v>
      </c>
      <c r="U112" s="2"/>
      <c r="V112" s="7">
        <f t="shared" si="66"/>
        <v>1.5233931955192451E-4</v>
      </c>
      <c r="W112" s="2"/>
      <c r="X112" s="6">
        <f t="shared" si="67"/>
        <v>-309.77999999999997</v>
      </c>
      <c r="Y112" s="2"/>
      <c r="Z112" s="7">
        <f t="shared" si="68"/>
        <v>-1</v>
      </c>
    </row>
    <row r="113" spans="1:26" s="26" customFormat="1" outlineLevel="1" collapsed="1" x14ac:dyDescent="0.25">
      <c r="A113" s="27"/>
      <c r="B113" s="12" t="str">
        <f>CONCATENATE("     ","Royalty &amp; Commissions                             ")</f>
        <v xml:space="preserve">     Royalty &amp; Commissions                             </v>
      </c>
      <c r="C113" s="12"/>
      <c r="D113" s="1">
        <f>SUM(OSRRefD22_8x_0)</f>
        <v>0</v>
      </c>
      <c r="E113" s="1"/>
      <c r="F113" s="5">
        <f t="shared" si="61"/>
        <v>0</v>
      </c>
      <c r="G113" s="1"/>
      <c r="H113" s="1">
        <f>SUM(OSRRefH22_8x_0)</f>
        <v>2844.96</v>
      </c>
      <c r="I113" s="1"/>
      <c r="J113" s="5">
        <f t="shared" si="62"/>
        <v>2.6364556419136917E-2</v>
      </c>
      <c r="K113" s="1"/>
      <c r="L113" s="1">
        <f t="shared" si="63"/>
        <v>-2844.96</v>
      </c>
      <c r="M113" s="1"/>
      <c r="N113" s="5">
        <f t="shared" si="64"/>
        <v>-1</v>
      </c>
      <c r="O113" s="12"/>
      <c r="P113" s="1">
        <f>SUM(OSRRefP22_8x_0)</f>
        <v>26197.58</v>
      </c>
      <c r="Q113" s="1"/>
      <c r="R113" s="5">
        <f t="shared" si="65"/>
        <v>2.0634596884620559E-2</v>
      </c>
      <c r="S113" s="1"/>
      <c r="T113" s="1">
        <f>SUM(OSRRefT22_8x_0)</f>
        <v>26286.15</v>
      </c>
      <c r="U113" s="1"/>
      <c r="V113" s="5">
        <f t="shared" si="66"/>
        <v>1.2926638920007168E-2</v>
      </c>
      <c r="W113" s="1"/>
      <c r="X113" s="1">
        <f t="shared" si="67"/>
        <v>-88.569999999999709</v>
      </c>
      <c r="Y113" s="1"/>
      <c r="Z113" s="5">
        <f t="shared" si="68"/>
        <v>-3.3694550171858451E-3</v>
      </c>
    </row>
    <row r="114" spans="1:26" s="23" customFormat="1" hidden="1" outlineLevel="2" x14ac:dyDescent="0.25">
      <c r="A114" s="25"/>
      <c r="B114" s="10" t="str">
        <f>CONCATENATE("          ", "6253", " - ", "ROYALTY DUE ATHLETICS-LRG")</f>
        <v xml:space="preserve">          6253 - ROYALTY DUE ATHLETICS-LRG</v>
      </c>
      <c r="C114" s="10"/>
      <c r="D114" s="6"/>
      <c r="E114" s="2"/>
      <c r="F114" s="7">
        <f t="shared" si="61"/>
        <v>0</v>
      </c>
      <c r="G114" s="2"/>
      <c r="H114" s="6">
        <v>1669.49</v>
      </c>
      <c r="I114" s="2"/>
      <c r="J114" s="7">
        <f t="shared" si="62"/>
        <v>1.5471346977175388E-2</v>
      </c>
      <c r="K114" s="2"/>
      <c r="L114" s="6">
        <f t="shared" si="63"/>
        <v>-1669.49</v>
      </c>
      <c r="M114" s="2"/>
      <c r="N114" s="7">
        <f t="shared" si="64"/>
        <v>-1</v>
      </c>
      <c r="O114" s="10"/>
      <c r="P114" s="6">
        <v>26197.58</v>
      </c>
      <c r="Q114" s="2"/>
      <c r="R114" s="7">
        <f t="shared" si="65"/>
        <v>2.0634596884620559E-2</v>
      </c>
      <c r="S114" s="2"/>
      <c r="T114" s="6">
        <v>18314.93</v>
      </c>
      <c r="U114" s="2"/>
      <c r="V114" s="7">
        <f t="shared" si="66"/>
        <v>9.0066627085064518E-3</v>
      </c>
      <c r="W114" s="2"/>
      <c r="X114" s="6">
        <f t="shared" si="67"/>
        <v>7882.6500000000015</v>
      </c>
      <c r="Y114" s="2"/>
      <c r="Z114" s="7">
        <f t="shared" si="68"/>
        <v>0.43039476536355864</v>
      </c>
    </row>
    <row r="115" spans="1:26" s="23" customFormat="1" hidden="1" outlineLevel="2" x14ac:dyDescent="0.25">
      <c r="A115" s="25"/>
      <c r="B115" s="10" t="str">
        <f>CONCATENATE("          ", "6254", " - ", "ROYALTY &amp; COMMISSIONS")</f>
        <v xml:space="preserve">          6254 - ROYALTY &amp; COMMISSIONS</v>
      </c>
      <c r="C115" s="10"/>
      <c r="D115" s="6"/>
      <c r="E115" s="2"/>
      <c r="F115" s="7">
        <f t="shared" si="61"/>
        <v>0</v>
      </c>
      <c r="G115" s="2"/>
      <c r="H115" s="6">
        <v>1175.47</v>
      </c>
      <c r="I115" s="2"/>
      <c r="J115" s="7">
        <f t="shared" si="62"/>
        <v>1.0893209441961529E-2</v>
      </c>
      <c r="K115" s="2"/>
      <c r="L115" s="6">
        <f t="shared" si="63"/>
        <v>-1175.47</v>
      </c>
      <c r="M115" s="2"/>
      <c r="N115" s="7">
        <f t="shared" si="64"/>
        <v>-1</v>
      </c>
      <c r="O115" s="10"/>
      <c r="P115" s="6"/>
      <c r="Q115" s="2"/>
      <c r="R115" s="7">
        <f t="shared" si="65"/>
        <v>0</v>
      </c>
      <c r="S115" s="2"/>
      <c r="T115" s="6">
        <v>7971.22</v>
      </c>
      <c r="U115" s="2"/>
      <c r="V115" s="7">
        <f t="shared" si="66"/>
        <v>3.9199762115007157E-3</v>
      </c>
      <c r="W115" s="2"/>
      <c r="X115" s="6">
        <f t="shared" si="67"/>
        <v>-7971.22</v>
      </c>
      <c r="Y115" s="2"/>
      <c r="Z115" s="7">
        <f t="shared" si="68"/>
        <v>-1</v>
      </c>
    </row>
    <row r="116" spans="1:26" s="26" customFormat="1" outlineLevel="1" collapsed="1" x14ac:dyDescent="0.25">
      <c r="A116" s="27"/>
      <c r="B116" s="12" t="str">
        <f>CONCATENATE("     ","Subscriptions &amp; Dues                              ")</f>
        <v xml:space="preserve">     Subscriptions &amp; Dues                              </v>
      </c>
      <c r="C116" s="12"/>
      <c r="D116" s="1">
        <f>SUM(OSRRefD22_9x_0)</f>
        <v>0</v>
      </c>
      <c r="E116" s="1"/>
      <c r="F116" s="5">
        <f t="shared" ref="F116:F118" si="69">IF(D$12=0,0,D116/D$12)</f>
        <v>0</v>
      </c>
      <c r="G116" s="1"/>
      <c r="H116" s="1">
        <f>SUM(OSRRefH22_9x_0)</f>
        <v>-39.99</v>
      </c>
      <c r="I116" s="1"/>
      <c r="J116" s="5">
        <f t="shared" ref="J116:J118" si="70">IF(H$12=0,0,H116/H$12)</f>
        <v>-3.7059171700174533E-4</v>
      </c>
      <c r="K116" s="1"/>
      <c r="L116" s="1">
        <f t="shared" ref="L116:L118" si="71">+D116-H116</f>
        <v>39.99</v>
      </c>
      <c r="M116" s="1"/>
      <c r="N116" s="5">
        <f t="shared" ref="N116:N118" si="72">IF(H116=0,0,L116/H116)</f>
        <v>-1</v>
      </c>
      <c r="O116" s="12"/>
      <c r="P116" s="1">
        <f>SUM(OSRRefP22_9x_0)</f>
        <v>-231.57</v>
      </c>
      <c r="Q116" s="1"/>
      <c r="R116" s="5">
        <f t="shared" ref="R116:R118" si="73">IF(P$12=0,0,P116/P$12)</f>
        <v>-1.8239675575269099E-4</v>
      </c>
      <c r="S116" s="1"/>
      <c r="T116" s="1">
        <f>SUM(OSRRefT22_9x_0)</f>
        <v>379.58</v>
      </c>
      <c r="U116" s="1"/>
      <c r="V116" s="5">
        <f t="shared" ref="V116:V118" si="74">IF(T$12=0,0,T116/T$12)</f>
        <v>1.8666459718354801E-4</v>
      </c>
      <c r="W116" s="1"/>
      <c r="X116" s="1">
        <f t="shared" ref="X116:X118" si="75">+P116-T116</f>
        <v>-611.15</v>
      </c>
      <c r="Y116" s="1"/>
      <c r="Z116" s="5">
        <f t="shared" ref="Z116:Z118" si="76">IF(T116=0,0,X116/T116)</f>
        <v>-1.6100690236577269</v>
      </c>
    </row>
    <row r="117" spans="1:26" s="23" customFormat="1" hidden="1" outlineLevel="2" x14ac:dyDescent="0.25">
      <c r="A117" s="25"/>
      <c r="B117" s="10" t="str">
        <f>CONCATENATE("          ", "6258", " - ", "MEMBERSHIP DUES")</f>
        <v xml:space="preserve">          6258 - MEMBERSHIP DUES</v>
      </c>
      <c r="C117" s="10"/>
      <c r="D117" s="6"/>
      <c r="E117" s="2"/>
      <c r="F117" s="7">
        <f t="shared" si="69"/>
        <v>0</v>
      </c>
      <c r="G117" s="2"/>
      <c r="H117" s="6">
        <v>-39.99</v>
      </c>
      <c r="I117" s="2"/>
      <c r="J117" s="7">
        <f t="shared" si="70"/>
        <v>-3.7059171700174533E-4</v>
      </c>
      <c r="K117" s="2"/>
      <c r="L117" s="6">
        <f t="shared" si="71"/>
        <v>39.99</v>
      </c>
      <c r="M117" s="2"/>
      <c r="N117" s="7">
        <f t="shared" si="72"/>
        <v>-1</v>
      </c>
      <c r="O117" s="10"/>
      <c r="P117" s="6">
        <v>-307.3</v>
      </c>
      <c r="Q117" s="2"/>
      <c r="R117" s="7">
        <f t="shared" si="73"/>
        <v>-2.4204570126873924E-4</v>
      </c>
      <c r="S117" s="2"/>
      <c r="T117" s="6">
        <v>82.94</v>
      </c>
      <c r="U117" s="2"/>
      <c r="V117" s="7">
        <f t="shared" si="74"/>
        <v>4.0787084910699912E-5</v>
      </c>
      <c r="W117" s="2"/>
      <c r="X117" s="6">
        <f t="shared" si="75"/>
        <v>-390.24</v>
      </c>
      <c r="Y117" s="2"/>
      <c r="Z117" s="7">
        <f t="shared" si="76"/>
        <v>-4.7050880154328434</v>
      </c>
    </row>
    <row r="118" spans="1:26" s="23" customFormat="1" hidden="1" outlineLevel="2" x14ac:dyDescent="0.25">
      <c r="A118" s="25"/>
      <c r="B118" s="10" t="str">
        <f>CONCATENATE("          ", "6275", " - ", "SUBSCRIPTIONS")</f>
        <v xml:space="preserve">          6275 - SUBSCRIPTIONS</v>
      </c>
      <c r="C118" s="10"/>
      <c r="D118" s="6"/>
      <c r="E118" s="2"/>
      <c r="F118" s="7">
        <f t="shared" si="69"/>
        <v>0</v>
      </c>
      <c r="G118" s="2"/>
      <c r="H118" s="6"/>
      <c r="I118" s="2"/>
      <c r="J118" s="7">
        <f t="shared" si="70"/>
        <v>0</v>
      </c>
      <c r="K118" s="2"/>
      <c r="L118" s="6">
        <f t="shared" si="71"/>
        <v>0</v>
      </c>
      <c r="M118" s="2"/>
      <c r="N118" s="7">
        <f t="shared" si="72"/>
        <v>0</v>
      </c>
      <c r="O118" s="10"/>
      <c r="P118" s="6">
        <v>75.73</v>
      </c>
      <c r="Q118" s="2"/>
      <c r="R118" s="7">
        <f t="shared" si="73"/>
        <v>5.964894551604823E-5</v>
      </c>
      <c r="S118" s="2"/>
      <c r="T118" s="6">
        <v>296.64</v>
      </c>
      <c r="U118" s="2"/>
      <c r="V118" s="7">
        <f t="shared" si="74"/>
        <v>1.458775122728481E-4</v>
      </c>
      <c r="W118" s="2"/>
      <c r="X118" s="6">
        <f t="shared" si="75"/>
        <v>-220.90999999999997</v>
      </c>
      <c r="Y118" s="2"/>
      <c r="Z118" s="7">
        <f t="shared" si="76"/>
        <v>-0.74470738942826309</v>
      </c>
    </row>
    <row r="119" spans="1:26" s="26" customFormat="1" outlineLevel="1" collapsed="1" x14ac:dyDescent="0.25">
      <c r="A119" s="27"/>
      <c r="B119" s="12" t="str">
        <f>CONCATENATE("     ","Supplies                                          ")</f>
        <v xml:space="preserve">     Supplies                                          </v>
      </c>
      <c r="C119" s="12"/>
      <c r="D119" s="1">
        <f>SUM(OSRRefD22_10x_0)</f>
        <v>266.36</v>
      </c>
      <c r="E119" s="1"/>
      <c r="F119" s="5">
        <f t="shared" ref="F119:F124" si="77">IF(D$12=0,0,D119/D$12)</f>
        <v>1.8665048225632659E-3</v>
      </c>
      <c r="G119" s="1"/>
      <c r="H119" s="1">
        <f>SUM(OSRRefH22_10x_0)</f>
        <v>73.23</v>
      </c>
      <c r="I119" s="1"/>
      <c r="J119" s="5">
        <f t="shared" ref="J119:J124" si="78">IF(H$12=0,0,H119/H$12)</f>
        <v>6.7863044351182324E-4</v>
      </c>
      <c r="K119" s="1"/>
      <c r="L119" s="1">
        <f t="shared" ref="L119:L124" si="79">+D119-H119</f>
        <v>193.13</v>
      </c>
      <c r="M119" s="1"/>
      <c r="N119" s="5">
        <f t="shared" ref="N119:N124" si="80">IF(H119=0,0,L119/H119)</f>
        <v>2.6373071145705311</v>
      </c>
      <c r="O119" s="12"/>
      <c r="P119" s="1">
        <f>SUM(OSRRefP22_10x_0)</f>
        <v>3629.97</v>
      </c>
      <c r="Q119" s="1"/>
      <c r="R119" s="5">
        <f t="shared" ref="R119:R124" si="81">IF(P$12=0,0,P119/P$12)</f>
        <v>2.8591559851431345E-3</v>
      </c>
      <c r="S119" s="1"/>
      <c r="T119" s="1">
        <f>SUM(OSRRefT22_10x_0)</f>
        <v>3415.8399999999997</v>
      </c>
      <c r="U119" s="1"/>
      <c r="V119" s="5">
        <f t="shared" ref="V119:V124" si="82">IF(T$12=0,0,T119/T$12)</f>
        <v>1.6797945035129632E-3</v>
      </c>
      <c r="W119" s="1"/>
      <c r="X119" s="1">
        <f t="shared" ref="X119:X124" si="83">+P119-T119</f>
        <v>214.13000000000011</v>
      </c>
      <c r="Y119" s="1"/>
      <c r="Z119" s="5">
        <f t="shared" ref="Z119:Z124" si="84">IF(T119=0,0,X119/T119)</f>
        <v>6.2687362405733332E-2</v>
      </c>
    </row>
    <row r="120" spans="1:26" s="23" customFormat="1" hidden="1" outlineLevel="2" x14ac:dyDescent="0.25">
      <c r="A120" s="25"/>
      <c r="B120" s="10" t="str">
        <f>CONCATENATE("          ", "6234", " - ", "EXPENDABLE SUPPLIES &amp; EQUIPMEN")</f>
        <v xml:space="preserve">          6234 - EXPENDABLE SUPPLIES &amp; EQUIPMEN</v>
      </c>
      <c r="C120" s="10"/>
      <c r="D120" s="6"/>
      <c r="E120" s="2"/>
      <c r="F120" s="7">
        <f t="shared" si="77"/>
        <v>0</v>
      </c>
      <c r="G120" s="2"/>
      <c r="H120" s="6"/>
      <c r="I120" s="2"/>
      <c r="J120" s="7">
        <f t="shared" si="78"/>
        <v>0</v>
      </c>
      <c r="K120" s="2"/>
      <c r="L120" s="6">
        <f t="shared" si="79"/>
        <v>0</v>
      </c>
      <c r="M120" s="2"/>
      <c r="N120" s="7">
        <f t="shared" si="80"/>
        <v>0</v>
      </c>
      <c r="O120" s="10"/>
      <c r="P120" s="6">
        <v>396.5</v>
      </c>
      <c r="Q120" s="2"/>
      <c r="R120" s="7">
        <f t="shared" si="81"/>
        <v>3.1230432981794694E-4</v>
      </c>
      <c r="S120" s="2"/>
      <c r="T120" s="6">
        <v>532.28</v>
      </c>
      <c r="U120" s="2"/>
      <c r="V120" s="7">
        <f t="shared" si="82"/>
        <v>2.6175728907966417E-4</v>
      </c>
      <c r="W120" s="2"/>
      <c r="X120" s="6">
        <f t="shared" si="83"/>
        <v>-135.77999999999997</v>
      </c>
      <c r="Y120" s="2"/>
      <c r="Z120" s="7">
        <f t="shared" si="84"/>
        <v>-0.25509130532802282</v>
      </c>
    </row>
    <row r="121" spans="1:26" s="23" customFormat="1" hidden="1" outlineLevel="2" x14ac:dyDescent="0.25">
      <c r="A121" s="25"/>
      <c r="B121" s="10" t="str">
        <f>CONCATENATE("          ", "6235", " - ", "COVID-19 EXPENSES")</f>
        <v xml:space="preserve">          6235 - COVID-19 EXPENSES</v>
      </c>
      <c r="C121" s="10"/>
      <c r="D121" s="6"/>
      <c r="E121" s="2"/>
      <c r="F121" s="7">
        <f t="shared" si="77"/>
        <v>0</v>
      </c>
      <c r="G121" s="2"/>
      <c r="H121" s="6"/>
      <c r="I121" s="2"/>
      <c r="J121" s="7">
        <f t="shared" si="78"/>
        <v>0</v>
      </c>
      <c r="K121" s="2"/>
      <c r="L121" s="6">
        <f t="shared" si="79"/>
        <v>0</v>
      </c>
      <c r="M121" s="2"/>
      <c r="N121" s="7">
        <f t="shared" si="80"/>
        <v>0</v>
      </c>
      <c r="O121" s="10"/>
      <c r="P121" s="6">
        <v>1026.43</v>
      </c>
      <c r="Q121" s="2"/>
      <c r="R121" s="7">
        <f t="shared" si="81"/>
        <v>8.0847044957133745E-4</v>
      </c>
      <c r="S121" s="2"/>
      <c r="T121" s="6"/>
      <c r="U121" s="2"/>
      <c r="V121" s="7">
        <f t="shared" si="82"/>
        <v>0</v>
      </c>
      <c r="W121" s="2"/>
      <c r="X121" s="6">
        <f t="shared" si="83"/>
        <v>1026.43</v>
      </c>
      <c r="Y121" s="2"/>
      <c r="Z121" s="7">
        <f t="shared" si="84"/>
        <v>0</v>
      </c>
    </row>
    <row r="122" spans="1:26" s="23" customFormat="1" hidden="1" outlineLevel="2" x14ac:dyDescent="0.25">
      <c r="A122" s="25"/>
      <c r="B122" s="10" t="str">
        <f>CONCATENATE("          ", "6241", " - ", "OFFICE EXPENSE")</f>
        <v xml:space="preserve">          6241 - OFFICE EXPENSE</v>
      </c>
      <c r="C122" s="10"/>
      <c r="D122" s="6">
        <v>266.36</v>
      </c>
      <c r="E122" s="2"/>
      <c r="F122" s="7">
        <f t="shared" si="77"/>
        <v>1.8665048225632659E-3</v>
      </c>
      <c r="G122" s="2"/>
      <c r="H122" s="6">
        <v>73.23</v>
      </c>
      <c r="I122" s="2"/>
      <c r="J122" s="7">
        <f t="shared" si="78"/>
        <v>6.7863044351182324E-4</v>
      </c>
      <c r="K122" s="2"/>
      <c r="L122" s="6">
        <f t="shared" si="79"/>
        <v>193.13</v>
      </c>
      <c r="M122" s="2"/>
      <c r="N122" s="7">
        <f t="shared" si="80"/>
        <v>2.6373071145705311</v>
      </c>
      <c r="O122" s="10"/>
      <c r="P122" s="6">
        <v>1096.81</v>
      </c>
      <c r="Q122" s="2"/>
      <c r="R122" s="7">
        <f t="shared" si="81"/>
        <v>8.6390545268000599E-4</v>
      </c>
      <c r="S122" s="2"/>
      <c r="T122" s="6">
        <v>2649.5</v>
      </c>
      <c r="U122" s="2"/>
      <c r="V122" s="7">
        <f t="shared" si="82"/>
        <v>1.3029344281516688E-3</v>
      </c>
      <c r="W122" s="2"/>
      <c r="X122" s="6">
        <f t="shared" si="83"/>
        <v>-1552.69</v>
      </c>
      <c r="Y122" s="2"/>
      <c r="Z122" s="7">
        <f t="shared" si="84"/>
        <v>-0.58603132666540858</v>
      </c>
    </row>
    <row r="123" spans="1:26" s="23" customFormat="1" hidden="1" outlineLevel="2" x14ac:dyDescent="0.25">
      <c r="A123" s="25"/>
      <c r="B123" s="10" t="str">
        <f>CONCATENATE("          ", "6245", " - ", "PRINTING")</f>
        <v xml:space="preserve">          6245 - PRINTING</v>
      </c>
      <c r="C123" s="10"/>
      <c r="D123" s="6"/>
      <c r="E123" s="2"/>
      <c r="F123" s="7">
        <f t="shared" si="77"/>
        <v>0</v>
      </c>
      <c r="G123" s="2"/>
      <c r="H123" s="6"/>
      <c r="I123" s="2"/>
      <c r="J123" s="7">
        <f t="shared" si="78"/>
        <v>0</v>
      </c>
      <c r="K123" s="2"/>
      <c r="L123" s="6">
        <f t="shared" si="79"/>
        <v>0</v>
      </c>
      <c r="M123" s="2"/>
      <c r="N123" s="7">
        <f t="shared" si="80"/>
        <v>0</v>
      </c>
      <c r="O123" s="10"/>
      <c r="P123" s="6"/>
      <c r="Q123" s="2"/>
      <c r="R123" s="7">
        <f t="shared" si="81"/>
        <v>0</v>
      </c>
      <c r="S123" s="2"/>
      <c r="T123" s="6">
        <v>-528.98</v>
      </c>
      <c r="U123" s="2"/>
      <c r="V123" s="7">
        <f t="shared" si="82"/>
        <v>-2.6013446076756741E-4</v>
      </c>
      <c r="W123" s="2"/>
      <c r="X123" s="6">
        <f t="shared" si="83"/>
        <v>528.98</v>
      </c>
      <c r="Y123" s="2"/>
      <c r="Z123" s="7">
        <f t="shared" si="84"/>
        <v>-1</v>
      </c>
    </row>
    <row r="124" spans="1:26" s="23" customFormat="1" hidden="1" outlineLevel="2" x14ac:dyDescent="0.25">
      <c r="A124" s="25"/>
      <c r="B124" s="10" t="str">
        <f>CONCATENATE("          ", "6247", " - ", "STORE SUPPLIES")</f>
        <v xml:space="preserve">          6247 - STORE SUPPLIES</v>
      </c>
      <c r="C124" s="10"/>
      <c r="D124" s="6"/>
      <c r="E124" s="2"/>
      <c r="F124" s="7">
        <f t="shared" si="77"/>
        <v>0</v>
      </c>
      <c r="G124" s="2"/>
      <c r="H124" s="6"/>
      <c r="I124" s="2"/>
      <c r="J124" s="7">
        <f t="shared" si="78"/>
        <v>0</v>
      </c>
      <c r="K124" s="2"/>
      <c r="L124" s="6">
        <f t="shared" si="79"/>
        <v>0</v>
      </c>
      <c r="M124" s="2"/>
      <c r="N124" s="7">
        <f t="shared" si="80"/>
        <v>0</v>
      </c>
      <c r="O124" s="10"/>
      <c r="P124" s="6">
        <v>1110.23</v>
      </c>
      <c r="Q124" s="2"/>
      <c r="R124" s="7">
        <f t="shared" si="81"/>
        <v>8.7447575307384427E-4</v>
      </c>
      <c r="S124" s="2"/>
      <c r="T124" s="6">
        <v>763.04</v>
      </c>
      <c r="U124" s="2"/>
      <c r="V124" s="7">
        <f t="shared" si="82"/>
        <v>3.7523724704919772E-4</v>
      </c>
      <c r="W124" s="2"/>
      <c r="X124" s="6">
        <f t="shared" si="83"/>
        <v>347.19000000000005</v>
      </c>
      <c r="Y124" s="2"/>
      <c r="Z124" s="7">
        <f t="shared" si="84"/>
        <v>0.45500891172153501</v>
      </c>
    </row>
    <row r="125" spans="1:26" s="26" customFormat="1" outlineLevel="1" collapsed="1" x14ac:dyDescent="0.25">
      <c r="A125" s="27"/>
      <c r="B125" s="12" t="str">
        <f>CONCATENATE("     ","Telephone/Data Lines                              ")</f>
        <v xml:space="preserve">     Telephone/Data Lines                              </v>
      </c>
      <c r="C125" s="12"/>
      <c r="D125" s="1">
        <f>SUM(OSRRefD22_11x_0)</f>
        <v>95.75</v>
      </c>
      <c r="E125" s="1"/>
      <c r="F125" s="5">
        <f t="shared" ref="F125:F131" si="85">IF(D$12=0,0,D125/D$12)</f>
        <v>6.7096349587187525E-4</v>
      </c>
      <c r="G125" s="1"/>
      <c r="H125" s="1">
        <f>SUM(OSRRefH22_11x_0)</f>
        <v>276.01</v>
      </c>
      <c r="I125" s="1"/>
      <c r="J125" s="5">
        <f t="shared" ref="J125:J131" si="86">IF(H$12=0,0,H125/H$12)</f>
        <v>2.5578149489785375E-3</v>
      </c>
      <c r="K125" s="1"/>
      <c r="L125" s="1">
        <f t="shared" ref="L125:L131" si="87">+D125-H125</f>
        <v>-180.26</v>
      </c>
      <c r="M125" s="1"/>
      <c r="N125" s="5">
        <f t="shared" ref="N125:N131" si="88">IF(H125=0,0,L125/H125)</f>
        <v>-0.65309227926524405</v>
      </c>
      <c r="O125" s="12"/>
      <c r="P125" s="1">
        <f>SUM(OSRRefP22_11x_0)</f>
        <v>2869.94</v>
      </c>
      <c r="Q125" s="1"/>
      <c r="R125" s="5">
        <f t="shared" ref="R125:R131" si="89">IF(P$12=0,0,P125/P$12)</f>
        <v>2.2605162378757093E-3</v>
      </c>
      <c r="S125" s="1"/>
      <c r="T125" s="1">
        <f>SUM(OSRRefT22_11x_0)</f>
        <v>4988.63</v>
      </c>
      <c r="U125" s="1"/>
      <c r="V125" s="5">
        <f t="shared" ref="V125:V131" si="90">IF(T$12=0,0,T125/T$12)</f>
        <v>2.4532393947198565E-3</v>
      </c>
      <c r="W125" s="1"/>
      <c r="X125" s="1">
        <f t="shared" ref="X125:X131" si="91">+P125-T125</f>
        <v>-2118.69</v>
      </c>
      <c r="Y125" s="1"/>
      <c r="Z125" s="5">
        <f t="shared" ref="Z125:Z131" si="92">IF(T125=0,0,X125/T125)</f>
        <v>-0.42470377638750517</v>
      </c>
    </row>
    <row r="126" spans="1:26" s="23" customFormat="1" hidden="1" outlineLevel="2" x14ac:dyDescent="0.25">
      <c r="A126" s="25"/>
      <c r="B126" s="10" t="str">
        <f>CONCATENATE("          ", "6309", " - ", "TELEPHONE")</f>
        <v xml:space="preserve">          6309 - TELEPHONE</v>
      </c>
      <c r="C126" s="10"/>
      <c r="D126" s="6">
        <v>95.75</v>
      </c>
      <c r="E126" s="2"/>
      <c r="F126" s="7">
        <f t="shared" si="85"/>
        <v>6.7096349587187525E-4</v>
      </c>
      <c r="G126" s="2"/>
      <c r="H126" s="6">
        <v>276.01</v>
      </c>
      <c r="I126" s="2"/>
      <c r="J126" s="7">
        <f t="shared" si="86"/>
        <v>2.5578149489785375E-3</v>
      </c>
      <c r="K126" s="2"/>
      <c r="L126" s="6">
        <f t="shared" si="87"/>
        <v>-180.26</v>
      </c>
      <c r="M126" s="2"/>
      <c r="N126" s="7">
        <f t="shared" si="88"/>
        <v>-0.65309227926524405</v>
      </c>
      <c r="O126" s="10"/>
      <c r="P126" s="6">
        <v>2869.94</v>
      </c>
      <c r="Q126" s="2"/>
      <c r="R126" s="7">
        <f t="shared" si="89"/>
        <v>2.2605162378757093E-3</v>
      </c>
      <c r="S126" s="2"/>
      <c r="T126" s="6">
        <v>4988.63</v>
      </c>
      <c r="U126" s="2"/>
      <c r="V126" s="7">
        <f t="shared" si="90"/>
        <v>2.4532393947198565E-3</v>
      </c>
      <c r="W126" s="2"/>
      <c r="X126" s="6">
        <f t="shared" si="91"/>
        <v>-2118.69</v>
      </c>
      <c r="Y126" s="2"/>
      <c r="Z126" s="7">
        <f t="shared" si="92"/>
        <v>-0.42470377638750517</v>
      </c>
    </row>
    <row r="127" spans="1:26" s="26" customFormat="1" outlineLevel="1" collapsed="1" x14ac:dyDescent="0.25">
      <c r="A127" s="27"/>
      <c r="B127" s="12" t="str">
        <f>CONCATENATE("     ","Training                                          ")</f>
        <v xml:space="preserve">     Training                                          </v>
      </c>
      <c r="C127" s="12"/>
      <c r="D127" s="1">
        <f>SUM(OSRRefD22_12x_0)</f>
        <v>0</v>
      </c>
      <c r="E127" s="1"/>
      <c r="F127" s="5">
        <f t="shared" si="85"/>
        <v>0</v>
      </c>
      <c r="G127" s="1"/>
      <c r="H127" s="1">
        <f>SUM(OSRRefH22_12x_0)</f>
        <v>756.39</v>
      </c>
      <c r="I127" s="1"/>
      <c r="J127" s="5">
        <f t="shared" si="86"/>
        <v>7.0095491078507157E-3</v>
      </c>
      <c r="K127" s="1"/>
      <c r="L127" s="1">
        <f t="shared" si="87"/>
        <v>-756.39</v>
      </c>
      <c r="M127" s="1"/>
      <c r="N127" s="5">
        <f t="shared" si="88"/>
        <v>-1</v>
      </c>
      <c r="O127" s="12"/>
      <c r="P127" s="1">
        <f>SUM(OSRRefP22_12x_0)</f>
        <v>0</v>
      </c>
      <c r="Q127" s="1"/>
      <c r="R127" s="5">
        <f t="shared" si="89"/>
        <v>0</v>
      </c>
      <c r="S127" s="1"/>
      <c r="T127" s="1">
        <f>SUM(OSRRefT22_12x_0)</f>
        <v>3651.14</v>
      </c>
      <c r="U127" s="1"/>
      <c r="V127" s="5">
        <f t="shared" si="90"/>
        <v>1.795507079827018E-3</v>
      </c>
      <c r="W127" s="1"/>
      <c r="X127" s="1">
        <f t="shared" si="91"/>
        <v>-3651.14</v>
      </c>
      <c r="Y127" s="1"/>
      <c r="Z127" s="5">
        <f t="shared" si="92"/>
        <v>-1</v>
      </c>
    </row>
    <row r="128" spans="1:26" s="23" customFormat="1" hidden="1" outlineLevel="2" x14ac:dyDescent="0.25">
      <c r="A128" s="25"/>
      <c r="B128" s="10" t="str">
        <f>CONCATENATE("          ", "6376", " - ", "TRAINING")</f>
        <v xml:space="preserve">          6376 - TRAINING</v>
      </c>
      <c r="C128" s="10"/>
      <c r="D128" s="6"/>
      <c r="E128" s="2"/>
      <c r="F128" s="7">
        <f t="shared" si="85"/>
        <v>0</v>
      </c>
      <c r="G128" s="2"/>
      <c r="H128" s="6">
        <v>756.39</v>
      </c>
      <c r="I128" s="2"/>
      <c r="J128" s="7">
        <f t="shared" si="86"/>
        <v>7.0095491078507157E-3</v>
      </c>
      <c r="K128" s="2"/>
      <c r="L128" s="6">
        <f t="shared" si="87"/>
        <v>-756.39</v>
      </c>
      <c r="M128" s="2"/>
      <c r="N128" s="7">
        <f t="shared" si="88"/>
        <v>-1</v>
      </c>
      <c r="O128" s="10"/>
      <c r="P128" s="6"/>
      <c r="Q128" s="2"/>
      <c r="R128" s="7">
        <f t="shared" si="89"/>
        <v>0</v>
      </c>
      <c r="S128" s="2"/>
      <c r="T128" s="6">
        <v>3651.14</v>
      </c>
      <c r="U128" s="2"/>
      <c r="V128" s="7">
        <f t="shared" si="90"/>
        <v>1.795507079827018E-3</v>
      </c>
      <c r="W128" s="2"/>
      <c r="X128" s="6">
        <f t="shared" si="91"/>
        <v>-3651.14</v>
      </c>
      <c r="Y128" s="2"/>
      <c r="Z128" s="7">
        <f t="shared" si="92"/>
        <v>-1</v>
      </c>
    </row>
    <row r="129" spans="1:26" s="26" customFormat="1" outlineLevel="1" collapsed="1" x14ac:dyDescent="0.25">
      <c r="A129" s="27"/>
      <c r="B129" s="12" t="str">
        <f>CONCATENATE("     ","Travel                                            ")</f>
        <v xml:space="preserve">     Travel                                            </v>
      </c>
      <c r="C129" s="12"/>
      <c r="D129" s="1">
        <f>SUM(OSRRefD22_13x_0)</f>
        <v>0</v>
      </c>
      <c r="E129" s="1"/>
      <c r="F129" s="5">
        <f t="shared" si="85"/>
        <v>0</v>
      </c>
      <c r="G129" s="1"/>
      <c r="H129" s="1">
        <f>SUM(OSRRefH22_13x_0)</f>
        <v>0</v>
      </c>
      <c r="I129" s="1"/>
      <c r="J129" s="5">
        <f t="shared" si="86"/>
        <v>0</v>
      </c>
      <c r="K129" s="1"/>
      <c r="L129" s="1">
        <f t="shared" si="87"/>
        <v>0</v>
      </c>
      <c r="M129" s="1"/>
      <c r="N129" s="5">
        <f t="shared" si="88"/>
        <v>0</v>
      </c>
      <c r="O129" s="12"/>
      <c r="P129" s="1">
        <f>SUM(OSRRefP22_13x_0)</f>
        <v>69.92</v>
      </c>
      <c r="Q129" s="1"/>
      <c r="R129" s="5">
        <f t="shared" si="89"/>
        <v>5.5072682826912611E-5</v>
      </c>
      <c r="S129" s="1"/>
      <c r="T129" s="1">
        <f>SUM(OSRRefT22_13x_0)</f>
        <v>-99.159999999999982</v>
      </c>
      <c r="U129" s="1"/>
      <c r="V129" s="5">
        <f t="shared" si="90"/>
        <v>-4.8763531947733333E-5</v>
      </c>
      <c r="W129" s="1"/>
      <c r="X129" s="1">
        <f t="shared" si="91"/>
        <v>169.07999999999998</v>
      </c>
      <c r="Y129" s="1"/>
      <c r="Z129" s="5">
        <f t="shared" si="92"/>
        <v>-1.7051230334812426</v>
      </c>
    </row>
    <row r="130" spans="1:26" s="23" customFormat="1" hidden="1" outlineLevel="2" x14ac:dyDescent="0.25">
      <c r="A130" s="25"/>
      <c r="B130" s="10" t="str">
        <f>CONCATENATE("          ", "6292", " - ", "TRAVEL/CONFERENCE")</f>
        <v xml:space="preserve">          6292 - TRAVEL/CONFERENCE</v>
      </c>
      <c r="C130" s="10"/>
      <c r="D130" s="6"/>
      <c r="E130" s="2"/>
      <c r="F130" s="7">
        <f t="shared" si="85"/>
        <v>0</v>
      </c>
      <c r="G130" s="2"/>
      <c r="H130" s="6"/>
      <c r="I130" s="2"/>
      <c r="J130" s="7">
        <f t="shared" si="86"/>
        <v>0</v>
      </c>
      <c r="K130" s="2"/>
      <c r="L130" s="6">
        <f t="shared" si="87"/>
        <v>0</v>
      </c>
      <c r="M130" s="2"/>
      <c r="N130" s="7">
        <f t="shared" si="88"/>
        <v>0</v>
      </c>
      <c r="O130" s="10"/>
      <c r="P130" s="6"/>
      <c r="Q130" s="2"/>
      <c r="R130" s="7">
        <f t="shared" si="89"/>
        <v>0</v>
      </c>
      <c r="S130" s="2"/>
      <c r="T130" s="6">
        <v>107.04</v>
      </c>
      <c r="U130" s="2"/>
      <c r="V130" s="7">
        <f t="shared" si="90"/>
        <v>5.263864925055846E-5</v>
      </c>
      <c r="W130" s="2"/>
      <c r="X130" s="6">
        <f t="shared" si="91"/>
        <v>-107.04</v>
      </c>
      <c r="Y130" s="2"/>
      <c r="Z130" s="7">
        <f t="shared" si="92"/>
        <v>-1</v>
      </c>
    </row>
    <row r="131" spans="1:26" s="23" customFormat="1" hidden="1" outlineLevel="2" x14ac:dyDescent="0.25">
      <c r="A131" s="25"/>
      <c r="B131" s="10" t="str">
        <f>CONCATENATE("          ", "6294", " - ", "TRAVEL OPERATIONAL")</f>
        <v xml:space="preserve">          6294 - TRAVEL OPERATIONAL</v>
      </c>
      <c r="C131" s="10"/>
      <c r="D131" s="6"/>
      <c r="E131" s="2"/>
      <c r="F131" s="7">
        <f t="shared" si="85"/>
        <v>0</v>
      </c>
      <c r="G131" s="2"/>
      <c r="H131" s="6"/>
      <c r="I131" s="2"/>
      <c r="J131" s="7">
        <f t="shared" si="86"/>
        <v>0</v>
      </c>
      <c r="K131" s="2"/>
      <c r="L131" s="6">
        <f t="shared" si="87"/>
        <v>0</v>
      </c>
      <c r="M131" s="2"/>
      <c r="N131" s="7">
        <f t="shared" si="88"/>
        <v>0</v>
      </c>
      <c r="O131" s="10"/>
      <c r="P131" s="6">
        <v>69.92</v>
      </c>
      <c r="Q131" s="2"/>
      <c r="R131" s="7">
        <f t="shared" si="89"/>
        <v>5.5072682826912611E-5</v>
      </c>
      <c r="S131" s="2"/>
      <c r="T131" s="6">
        <v>-206.2</v>
      </c>
      <c r="U131" s="2"/>
      <c r="V131" s="7">
        <f t="shared" si="90"/>
        <v>-1.0140218119829179E-4</v>
      </c>
      <c r="W131" s="2"/>
      <c r="X131" s="6">
        <f t="shared" si="91"/>
        <v>276.12</v>
      </c>
      <c r="Y131" s="2"/>
      <c r="Z131" s="7">
        <f t="shared" si="92"/>
        <v>-1.3390882638215327</v>
      </c>
    </row>
    <row r="132" spans="1:26" s="60" customFormat="1" x14ac:dyDescent="0.25">
      <c r="A132" s="37"/>
      <c r="B132" s="37"/>
      <c r="C132" s="37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7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4" customFormat="1" collapsed="1" x14ac:dyDescent="0.25">
      <c r="A133" s="11"/>
      <c r="B133" s="28" t="s">
        <v>292</v>
      </c>
      <c r="C133" s="11"/>
      <c r="D133" s="4">
        <f>SUM(OSRRefD25x_0)</f>
        <v>175014.7</v>
      </c>
      <c r="E133" s="4"/>
      <c r="F133" s="13">
        <f t="shared" ref="F133:F135" si="93">IF(D$12=0,0,D133/D$12)</f>
        <v>1.2264070489918277</v>
      </c>
      <c r="G133" s="4"/>
      <c r="H133" s="4">
        <f>SUM(OSRRefH25x_0)</f>
        <v>3338.98</v>
      </c>
      <c r="I133" s="4"/>
      <c r="J133" s="13">
        <f t="shared" ref="J133:J135" si="94">IF(H$12=0,0,H133/H$12)</f>
        <v>3.0942693954350776E-2</v>
      </c>
      <c r="K133" s="4"/>
      <c r="L133" s="4">
        <f t="shared" ref="L133:L135" si="95">+D133-H133</f>
        <v>171675.72</v>
      </c>
      <c r="M133" s="4"/>
      <c r="N133" s="13">
        <f t="shared" ref="N133:N135" si="96">IF(H133=0,0,L133/H133)</f>
        <v>51.415617943204211</v>
      </c>
      <c r="O133" s="11"/>
      <c r="P133" s="4">
        <f>SUM(OSRRefP25x_0)</f>
        <v>392807.77</v>
      </c>
      <c r="Q133" s="4"/>
      <c r="R133" s="13">
        <f t="shared" ref="R133:R135" si="97">IF(P$12=0,0,P133/P$12)</f>
        <v>0.30939613457032095</v>
      </c>
      <c r="S133" s="4"/>
      <c r="T133" s="4">
        <f>SUM(OSRRefT25x_0)</f>
        <v>42793.87</v>
      </c>
      <c r="U133" s="4"/>
      <c r="V133" s="13">
        <f t="shared" ref="V133:V135" si="98">IF(T$12=0,0,T133/T$12)</f>
        <v>2.1044576915209234E-2</v>
      </c>
      <c r="W133" s="4"/>
      <c r="X133" s="4">
        <f t="shared" ref="X133:X135" si="99">+P133-T133</f>
        <v>350013.9</v>
      </c>
      <c r="Y133" s="4"/>
      <c r="Z133" s="13">
        <f t="shared" ref="Z133:Z135" si="100">IF(T133=0,0,X133/T133)</f>
        <v>8.1790663008510336</v>
      </c>
    </row>
    <row r="134" spans="1:26" s="23" customFormat="1" hidden="1" outlineLevel="1" x14ac:dyDescent="0.25">
      <c r="A134" s="44"/>
      <c r="B134" s="10" t="str">
        <f>CONCATENATE("          ", "9150", " - ", "MISC. INCOME")</f>
        <v xml:space="preserve">          9150 - MISC. INCOME</v>
      </c>
      <c r="C134" s="10"/>
      <c r="D134" s="2">
        <f>0</f>
        <v>0</v>
      </c>
      <c r="E134" s="2"/>
      <c r="F134" s="19">
        <f t="shared" si="93"/>
        <v>0</v>
      </c>
      <c r="G134" s="2"/>
      <c r="H134" s="2">
        <f>--3338.98</f>
        <v>3338.98</v>
      </c>
      <c r="I134" s="2"/>
      <c r="J134" s="19">
        <f t="shared" si="94"/>
        <v>3.0942693954350776E-2</v>
      </c>
      <c r="K134" s="2"/>
      <c r="L134" s="2">
        <f t="shared" si="95"/>
        <v>-3338.98</v>
      </c>
      <c r="M134" s="2"/>
      <c r="N134" s="19">
        <f t="shared" si="96"/>
        <v>-1</v>
      </c>
      <c r="O134" s="10"/>
      <c r="P134" s="2">
        <f>--46373.31</f>
        <v>46373.31</v>
      </c>
      <c r="Q134" s="2"/>
      <c r="R134" s="19">
        <f t="shared" si="97"/>
        <v>3.6526066837301127E-2</v>
      </c>
      <c r="S134" s="2"/>
      <c r="T134" s="2">
        <f>--42793.87</f>
        <v>42793.87</v>
      </c>
      <c r="U134" s="2"/>
      <c r="V134" s="19">
        <f t="shared" si="98"/>
        <v>2.1044576915209234E-2</v>
      </c>
      <c r="W134" s="2"/>
      <c r="X134" s="2">
        <f t="shared" si="99"/>
        <v>3579.4399999999951</v>
      </c>
      <c r="Y134" s="2"/>
      <c r="Z134" s="19">
        <f t="shared" si="100"/>
        <v>8.36437555191899E-2</v>
      </c>
    </row>
    <row r="135" spans="1:26" s="23" customFormat="1" hidden="1" outlineLevel="1" x14ac:dyDescent="0.25">
      <c r="A135" s="44"/>
      <c r="B135" s="10" t="str">
        <f>CONCATENATE("          ", "9163", " - ", "MISC. INCOME")</f>
        <v xml:space="preserve">          9163 - MISC. INCOME</v>
      </c>
      <c r="C135" s="10"/>
      <c r="D135" s="2">
        <f>--175014.7</f>
        <v>175014.7</v>
      </c>
      <c r="E135" s="2"/>
      <c r="F135" s="19">
        <f t="shared" si="93"/>
        <v>1.2264070489918277</v>
      </c>
      <c r="G135" s="2"/>
      <c r="H135" s="2">
        <f>0</f>
        <v>0</v>
      </c>
      <c r="I135" s="2"/>
      <c r="J135" s="19">
        <f t="shared" si="94"/>
        <v>0</v>
      </c>
      <c r="K135" s="2"/>
      <c r="L135" s="2">
        <f t="shared" si="95"/>
        <v>175014.7</v>
      </c>
      <c r="M135" s="2"/>
      <c r="N135" s="19">
        <f t="shared" si="96"/>
        <v>0</v>
      </c>
      <c r="O135" s="10"/>
      <c r="P135" s="2">
        <f>--346434.46</f>
        <v>346434.46</v>
      </c>
      <c r="Q135" s="2"/>
      <c r="R135" s="19">
        <f t="shared" si="97"/>
        <v>0.27287006773301981</v>
      </c>
      <c r="S135" s="2"/>
      <c r="T135" s="2">
        <f>0</f>
        <v>0</v>
      </c>
      <c r="U135" s="2"/>
      <c r="V135" s="19">
        <f t="shared" si="98"/>
        <v>0</v>
      </c>
      <c r="W135" s="2"/>
      <c r="X135" s="2">
        <f t="shared" si="99"/>
        <v>346434.46</v>
      </c>
      <c r="Y135" s="2"/>
      <c r="Z135" s="19">
        <f t="shared" si="100"/>
        <v>0</v>
      </c>
    </row>
    <row r="136" spans="1:26" x14ac:dyDescent="0.25">
      <c r="A136" s="9"/>
      <c r="B136" s="11"/>
      <c r="C136" s="11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1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4" customFormat="1" x14ac:dyDescent="0.25">
      <c r="A137" s="11"/>
      <c r="B137" s="29" t="s">
        <v>276</v>
      </c>
      <c r="C137" s="29"/>
      <c r="D137" s="22">
        <f>+D79-D81+D133</f>
        <v>196567.66</v>
      </c>
      <c r="E137" s="14"/>
      <c r="F137" s="20">
        <f>IF(D$12=0,0,D137/D$12)</f>
        <v>1.377438374192733</v>
      </c>
      <c r="G137" s="14"/>
      <c r="H137" s="22">
        <f>+H79-H81+H133</f>
        <v>6394.1599999999926</v>
      </c>
      <c r="I137" s="14"/>
      <c r="J137" s="20">
        <f>IF(H$12=0,0,H137/H$12)</f>
        <v>5.925538217514071E-2</v>
      </c>
      <c r="K137" s="15"/>
      <c r="L137" s="22">
        <f>+D137-H137</f>
        <v>190173.5</v>
      </c>
      <c r="M137" s="15"/>
      <c r="N137" s="20">
        <f>IF(H137=0,0,L137/H137)</f>
        <v>29.74174872070768</v>
      </c>
      <c r="O137" s="28"/>
      <c r="P137" s="22">
        <f>+P79-P81+P133</f>
        <v>506178.23000000027</v>
      </c>
      <c r="Q137" s="14"/>
      <c r="R137" s="20">
        <f>IF(P$12=0,0,P137/P$12)</f>
        <v>0.39869269328772938</v>
      </c>
      <c r="S137" s="14"/>
      <c r="T137" s="22">
        <f>+T79-T81+T133</f>
        <v>575367.72000000032</v>
      </c>
      <c r="U137" s="14"/>
      <c r="V137" s="20">
        <f>IF(T$12=0,0,T137/T$12)</f>
        <v>0.28294637147957347</v>
      </c>
      <c r="W137" s="15"/>
      <c r="X137" s="22">
        <f>+P137-T137</f>
        <v>-69189.490000000049</v>
      </c>
      <c r="Y137" s="15"/>
      <c r="Z137" s="20">
        <f>IF(T137=0,0,X137/T137)</f>
        <v>-0.12025264469129414</v>
      </c>
    </row>
    <row r="138" spans="1:26" x14ac:dyDescent="0.25">
      <c r="A138" s="9"/>
      <c r="B138" s="11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4" customFormat="1" x14ac:dyDescent="0.25">
      <c r="A139" s="51"/>
      <c r="B139" s="11" t="s">
        <v>127</v>
      </c>
      <c r="C139" s="11"/>
      <c r="D139" s="4">
        <v>38488.269999999997</v>
      </c>
      <c r="E139" s="4"/>
      <c r="F139" s="13">
        <f>IF(D$12=0,0,D139/D$12)</f>
        <v>0.26970469127165136</v>
      </c>
      <c r="G139" s="4"/>
      <c r="H139" s="4">
        <v>21638.53</v>
      </c>
      <c r="I139" s="4"/>
      <c r="J139" s="13">
        <f>IF(H$12=0,0,H139/H$12)</f>
        <v>0.20052663131017193</v>
      </c>
      <c r="K139" s="4"/>
      <c r="L139" s="4">
        <f>+D139-H139</f>
        <v>16849.739999999998</v>
      </c>
      <c r="M139" s="4"/>
      <c r="N139" s="13">
        <f>IF(H139=0,0,L139/H139)</f>
        <v>0.77869152849107581</v>
      </c>
      <c r="O139" s="11"/>
      <c r="P139" s="4">
        <v>261652.74</v>
      </c>
      <c r="Q139" s="4"/>
      <c r="R139" s="13">
        <f>IF(P$12=0,0,P139/P$12)</f>
        <v>0.20609150973702275</v>
      </c>
      <c r="S139" s="4"/>
      <c r="T139" s="4">
        <v>217893.04</v>
      </c>
      <c r="U139" s="4"/>
      <c r="V139" s="13">
        <f>IF(T$12=0,0,T139/T$12)</f>
        <v>0.10715242252146771</v>
      </c>
      <c r="W139" s="4"/>
      <c r="X139" s="4">
        <f>+P139-T139</f>
        <v>43759.699999999983</v>
      </c>
      <c r="Y139" s="4"/>
      <c r="Z139" s="13">
        <f>IF(T139=0,0,X139/T139)</f>
        <v>0.20083110502290472</v>
      </c>
    </row>
    <row r="140" spans="1:26" x14ac:dyDescent="0.25">
      <c r="A140" s="9"/>
      <c r="B140" s="11"/>
      <c r="C140" s="11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1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4" customFormat="1" ht="15.75" thickBot="1" x14ac:dyDescent="0.3">
      <c r="A141" s="11"/>
      <c r="B141" s="29" t="s">
        <v>125</v>
      </c>
      <c r="C141" s="29"/>
      <c r="D141" s="30">
        <f>+D137-D139</f>
        <v>158079.39000000001</v>
      </c>
      <c r="E141" s="14"/>
      <c r="F141" s="36">
        <f>IF(D$12=0,0,D141/D$12)</f>
        <v>1.1077336829210818</v>
      </c>
      <c r="G141" s="14"/>
      <c r="H141" s="30">
        <f>+H137-H139</f>
        <v>-15244.370000000006</v>
      </c>
      <c r="I141" s="14"/>
      <c r="J141" s="36">
        <f>IF(H$12=0,0,H141/H$12)</f>
        <v>-0.14127124913503122</v>
      </c>
      <c r="K141" s="15"/>
      <c r="L141" s="30">
        <f>D141-H141</f>
        <v>173323.76</v>
      </c>
      <c r="M141" s="15"/>
      <c r="N141" s="36">
        <f>IF(H141=0,0,L141/H141)</f>
        <v>-11.36968992487062</v>
      </c>
      <c r="O141" s="28"/>
      <c r="P141" s="30">
        <f>+P137-P139</f>
        <v>244525.49000000028</v>
      </c>
      <c r="Q141" s="14"/>
      <c r="R141" s="36">
        <f>IF(P$12=0,0,P141/P$12)</f>
        <v>0.19260118355070663</v>
      </c>
      <c r="S141" s="14"/>
      <c r="T141" s="30">
        <f>+T137-T139</f>
        <v>357474.68000000028</v>
      </c>
      <c r="U141" s="14"/>
      <c r="V141" s="36">
        <f>IF(T$12=0,0,T141/T$12)</f>
        <v>0.17579394895810577</v>
      </c>
      <c r="W141" s="15"/>
      <c r="X141" s="30">
        <f>P141-T141</f>
        <v>-112949.19</v>
      </c>
      <c r="Y141" s="15"/>
      <c r="Z141" s="36">
        <f>IF(T141=0,0,X141/T141)</f>
        <v>-0.31596416842725733</v>
      </c>
    </row>
    <row r="142" spans="1:26" ht="15.75" thickTop="1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x14ac:dyDescent="0.25">
      <c r="A143" s="9"/>
      <c r="B143" s="9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4" customFormat="1" ht="15.75" thickBot="1" x14ac:dyDescent="0.3">
      <c r="A144" s="11"/>
      <c r="B144" s="29" t="s">
        <v>293</v>
      </c>
      <c r="C144" s="29"/>
      <c r="D144" s="35">
        <f>SUM(D141:D143)</f>
        <v>158079.39000000001</v>
      </c>
      <c r="E144" s="14"/>
      <c r="F144" s="34">
        <f>IF(D$12=0,0,D144/D$12)</f>
        <v>1.1077336829210818</v>
      </c>
      <c r="G144" s="14"/>
      <c r="H144" s="35">
        <f>SUM(H141:H143)</f>
        <v>-15244.370000000006</v>
      </c>
      <c r="I144" s="14"/>
      <c r="J144" s="34">
        <f>IF(H$12=0,0,H144/H$12)</f>
        <v>-0.14127124913503122</v>
      </c>
      <c r="K144" s="15"/>
      <c r="L144" s="35">
        <f>+D144-H144</f>
        <v>173323.76</v>
      </c>
      <c r="M144" s="15"/>
      <c r="N144" s="34">
        <f>IF(H144=0,0,L144/H144)</f>
        <v>-11.36968992487062</v>
      </c>
      <c r="O144" s="28"/>
      <c r="P144" s="35">
        <f>SUM(P141:P143)</f>
        <v>244525.49000000028</v>
      </c>
      <c r="Q144" s="14"/>
      <c r="R144" s="34">
        <f>IF(P$12=0,0,P144/P$12)</f>
        <v>0.19260118355070663</v>
      </c>
      <c r="S144" s="14"/>
      <c r="T144" s="35">
        <f>SUM(T141:T143)</f>
        <v>357474.68000000028</v>
      </c>
      <c r="U144" s="14"/>
      <c r="V144" s="34">
        <f>IF(T$12=0,0,T144/T$12)</f>
        <v>0.17579394895810577</v>
      </c>
      <c r="W144" s="15"/>
      <c r="X144" s="35">
        <f>+P144-T144</f>
        <v>-112949.19</v>
      </c>
      <c r="Y144" s="15"/>
      <c r="Z144" s="34">
        <f>IF(T144=0,0,X144/T144)</f>
        <v>-0.31596416842725733</v>
      </c>
    </row>
    <row r="145" spans="1:24" ht="15.75" thickTop="1" x14ac:dyDescent="0.25">
      <c r="A145" s="9"/>
      <c r="C145" s="9"/>
      <c r="D145" s="18"/>
      <c r="E145" s="18"/>
      <c r="G145" s="18"/>
      <c r="H145" s="18"/>
      <c r="I145" s="18"/>
      <c r="J145" s="43"/>
      <c r="K145" s="18"/>
      <c r="L145" s="18"/>
      <c r="M145" s="18"/>
      <c r="P145" s="18"/>
      <c r="Q145" s="18"/>
      <c r="R145" s="43"/>
      <c r="S145" s="18"/>
      <c r="T145" s="18"/>
      <c r="U145" s="18"/>
      <c r="V145" s="43"/>
      <c r="W145" s="18"/>
      <c r="X145" s="18"/>
    </row>
    <row r="146" spans="1:24" x14ac:dyDescent="0.25">
      <c r="A146" s="9"/>
      <c r="B146" s="54">
        <v>44295.963243634258</v>
      </c>
      <c r="D146" s="18"/>
      <c r="E146" s="18"/>
      <c r="G146" s="18"/>
      <c r="H146" s="18"/>
      <c r="I146" s="18"/>
      <c r="J146" s="43"/>
      <c r="K146" s="18"/>
      <c r="L146" s="18"/>
      <c r="M146" s="18"/>
      <c r="P146" s="18"/>
      <c r="Q146" s="18"/>
      <c r="R146" s="43"/>
      <c r="S146" s="18"/>
      <c r="T146" s="18"/>
      <c r="U146" s="18"/>
      <c r="V146" s="43"/>
      <c r="W146" s="18"/>
      <c r="X146" s="18"/>
    </row>
    <row r="147" spans="1:24" x14ac:dyDescent="0.25">
      <c r="A147" s="9"/>
      <c r="B147" s="58" t="s">
        <v>56</v>
      </c>
      <c r="D147" s="18"/>
      <c r="E147" s="18"/>
      <c r="G147" s="18"/>
      <c r="H147" s="18"/>
      <c r="I147" s="18"/>
      <c r="J147" s="43"/>
      <c r="K147" s="18"/>
      <c r="L147" s="18"/>
      <c r="M147" s="18"/>
      <c r="P147" s="18"/>
      <c r="Q147" s="18"/>
      <c r="R147" s="43"/>
      <c r="S147" s="18"/>
      <c r="T147" s="18"/>
      <c r="U147" s="18"/>
      <c r="V147" s="43"/>
      <c r="W147" s="18"/>
      <c r="X147" s="18"/>
    </row>
    <row r="148" spans="1:24" x14ac:dyDescent="0.25">
      <c r="A148" s="9"/>
      <c r="B148" s="62"/>
      <c r="D148" s="18"/>
      <c r="E148" s="18"/>
      <c r="G148" s="18"/>
      <c r="H148" s="18"/>
      <c r="I148" s="18"/>
      <c r="J148" s="43"/>
      <c r="K148" s="18"/>
      <c r="L148" s="18"/>
      <c r="M148" s="18"/>
      <c r="P148" s="18"/>
      <c r="Q148" s="18"/>
      <c r="R148" s="43"/>
      <c r="S148" s="18"/>
      <c r="T148" s="18"/>
      <c r="U148" s="18"/>
      <c r="V148" s="43"/>
      <c r="W148" s="18"/>
      <c r="X148" s="18"/>
    </row>
    <row r="149" spans="1:24" x14ac:dyDescent="0.25">
      <c r="D149" s="18"/>
      <c r="E149" s="18"/>
      <c r="G149" s="18"/>
      <c r="H149" s="18"/>
      <c r="I149" s="18"/>
      <c r="J149" s="43"/>
      <c r="K149" s="18"/>
      <c r="L149" s="18"/>
      <c r="M149" s="18"/>
      <c r="P149" s="18"/>
      <c r="Q149" s="18"/>
      <c r="R149" s="43"/>
      <c r="S149" s="18"/>
      <c r="T149" s="18"/>
      <c r="U149" s="18"/>
      <c r="V149" s="43"/>
      <c r="W149" s="18"/>
      <c r="X149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124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2147</v>
      </c>
      <c r="E12" s="4"/>
      <c r="F12" s="13"/>
      <c r="G12" s="4"/>
      <c r="H12" s="4">
        <f>SUM(OSRRefH13x_0)</f>
        <v>37859.46</v>
      </c>
      <c r="I12" s="4"/>
      <c r="J12" s="13"/>
      <c r="K12" s="4"/>
      <c r="L12" s="4">
        <f t="shared" ref="L12:L31" si="0">+D12-H12</f>
        <v>-35712.46</v>
      </c>
      <c r="M12" s="4"/>
      <c r="N12" s="13">
        <f t="shared" ref="N12:N31" si="1">IF(H12=0,0,L12/H12)</f>
        <v>-0.94329026351670098</v>
      </c>
      <c r="O12" s="11"/>
      <c r="P12" s="4">
        <f>SUM(OSRRefP13x_0)</f>
        <v>110995.03</v>
      </c>
      <c r="Q12" s="4"/>
      <c r="R12" s="13"/>
      <c r="S12" s="4"/>
      <c r="T12" s="4">
        <f>SUM(OSRRefT13x_0)</f>
        <v>487560.09999999992</v>
      </c>
      <c r="U12" s="4"/>
      <c r="V12" s="13"/>
      <c r="W12" s="4"/>
      <c r="X12" s="4">
        <f t="shared" ref="X12:X31" si="2">+P12-T12</f>
        <v>-376565.06999999995</v>
      </c>
      <c r="Y12" s="4"/>
      <c r="Z12" s="13">
        <f t="shared" ref="Z12:Z31" si="3">IF(T12=0,0,X12/T12)</f>
        <v>-0.77234595283740404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-9.28</f>
        <v>-9.2799999999999994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-9.2799999999999994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"4041", " - ", "TAXABLE SALES-LOGO GIFTS")</f>
        <v xml:space="preserve">          4041 - TAXABLE SALES-LOGO GIFTS</v>
      </c>
      <c r="C14" s="10"/>
      <c r="D14" s="2">
        <f>--591.75</f>
        <v>591.75</v>
      </c>
      <c r="E14" s="2"/>
      <c r="F14" s="19"/>
      <c r="G14" s="2"/>
      <c r="H14" s="2">
        <f>--358.56</f>
        <v>358.56</v>
      </c>
      <c r="I14" s="2"/>
      <c r="J14" s="19"/>
      <c r="K14" s="2"/>
      <c r="L14" s="2">
        <f t="shared" si="0"/>
        <v>233.19</v>
      </c>
      <c r="M14" s="2"/>
      <c r="N14" s="19">
        <f t="shared" si="1"/>
        <v>0.65035140562248994</v>
      </c>
      <c r="O14" s="10"/>
      <c r="P14" s="2">
        <f>--92657.97</f>
        <v>92657.97</v>
      </c>
      <c r="Q14" s="2"/>
      <c r="R14" s="19"/>
      <c r="S14" s="2"/>
      <c r="T14" s="2">
        <f>--174182.55</f>
        <v>174182.55</v>
      </c>
      <c r="U14" s="2"/>
      <c r="V14" s="19"/>
      <c r="W14" s="2"/>
      <c r="X14" s="2">
        <f t="shared" si="2"/>
        <v>-81524.579999999987</v>
      </c>
      <c r="Y14" s="2"/>
      <c r="Z14" s="19">
        <f t="shared" si="3"/>
        <v>-0.46804102936832648</v>
      </c>
    </row>
    <row r="15" spans="1:26" s="23" customFormat="1" hidden="1" outlineLevel="1" x14ac:dyDescent="0.25">
      <c r="A15" s="44"/>
      <c r="B15" s="10" t="str">
        <f>CONCATENATE("          ", "4042", " - ", "TAXABLE SALES-EVERYDAY GIFTS")</f>
        <v xml:space="preserve">          4042 - TAXABLE SALES-EVERYDAY GIFTS</v>
      </c>
      <c r="C15" s="10"/>
      <c r="D15" s="2">
        <f>--671.32</f>
        <v>671.32</v>
      </c>
      <c r="E15" s="2"/>
      <c r="F15" s="19"/>
      <c r="G15" s="2"/>
      <c r="H15" s="2">
        <f>--12049.94</f>
        <v>12049.94</v>
      </c>
      <c r="I15" s="2"/>
      <c r="J15" s="19"/>
      <c r="K15" s="2"/>
      <c r="L15" s="2">
        <f t="shared" si="0"/>
        <v>-11378.62</v>
      </c>
      <c r="M15" s="2"/>
      <c r="N15" s="19">
        <f t="shared" si="1"/>
        <v>-0.9442885192789342</v>
      </c>
      <c r="O15" s="10"/>
      <c r="P15" s="2">
        <f>--15819.95</f>
        <v>15819.95</v>
      </c>
      <c r="Q15" s="2"/>
      <c r="R15" s="19"/>
      <c r="S15" s="2"/>
      <c r="T15" s="2">
        <f>--74184.41</f>
        <v>74184.41</v>
      </c>
      <c r="U15" s="2"/>
      <c r="V15" s="19"/>
      <c r="W15" s="2"/>
      <c r="X15" s="2">
        <f t="shared" si="2"/>
        <v>-58364.460000000006</v>
      </c>
      <c r="Y15" s="2"/>
      <c r="Z15" s="19">
        <f t="shared" si="3"/>
        <v>-0.78674832083991775</v>
      </c>
    </row>
    <row r="16" spans="1:26" s="23" customFormat="1" hidden="1" outlineLevel="1" x14ac:dyDescent="0.25">
      <c r="A16" s="44"/>
      <c r="B16" s="10" t="str">
        <f>CONCATENATE("          ", "4043", " - ", "TAXABLE SALES-CARDS")</f>
        <v xml:space="preserve">          4043 - TAXABLE SALES-CARDS</v>
      </c>
      <c r="C16" s="10"/>
      <c r="D16" s="2">
        <f>--14.9</f>
        <v>14.9</v>
      </c>
      <c r="E16" s="2"/>
      <c r="F16" s="19"/>
      <c r="G16" s="2"/>
      <c r="H16" s="2">
        <f>--20.93</f>
        <v>20.93</v>
      </c>
      <c r="I16" s="2"/>
      <c r="J16" s="19"/>
      <c r="K16" s="2"/>
      <c r="L16" s="2">
        <f t="shared" si="0"/>
        <v>-6.0299999999999994</v>
      </c>
      <c r="M16" s="2"/>
      <c r="N16" s="19">
        <f t="shared" si="1"/>
        <v>-0.28810320114667937</v>
      </c>
      <c r="O16" s="10"/>
      <c r="P16" s="2">
        <f>--52.68</f>
        <v>52.68</v>
      </c>
      <c r="Q16" s="2"/>
      <c r="R16" s="19"/>
      <c r="S16" s="2"/>
      <c r="T16" s="2">
        <f>--270.72</f>
        <v>270.72000000000003</v>
      </c>
      <c r="U16" s="2"/>
      <c r="V16" s="19"/>
      <c r="W16" s="2"/>
      <c r="X16" s="2">
        <f t="shared" si="2"/>
        <v>-218.04000000000002</v>
      </c>
      <c r="Y16" s="2"/>
      <c r="Z16" s="19">
        <f t="shared" si="3"/>
        <v>-0.80540780141843971</v>
      </c>
    </row>
    <row r="17" spans="1:26" s="23" customFormat="1" hidden="1" outlineLevel="1" x14ac:dyDescent="0.25">
      <c r="A17" s="44"/>
      <c r="B17" s="10" t="str">
        <f>CONCATENATE("          ", "4044", " - ", "TAXABLE SALES-ACCESSORIES")</f>
        <v xml:space="preserve">          4044 - TAXABLE SALES-ACCESSORIES</v>
      </c>
      <c r="C17" s="10"/>
      <c r="D17" s="2">
        <f t="shared" ref="D17:D19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9" si="5">0</f>
        <v>0</v>
      </c>
      <c r="Q17" s="2"/>
      <c r="R17" s="19"/>
      <c r="S17" s="2"/>
      <c r="T17" s="2">
        <f>--235.18</f>
        <v>235.18</v>
      </c>
      <c r="U17" s="2"/>
      <c r="V17" s="19"/>
      <c r="W17" s="2"/>
      <c r="X17" s="2">
        <f t="shared" si="2"/>
        <v>-235.18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"4047", " - ", "TAXABLE SALES-MISC")</f>
        <v xml:space="preserve">          4047 - TAXABLE SALES-MISC</v>
      </c>
      <c r="C18" s="10"/>
      <c r="D18" s="2">
        <f t="shared" si="4"/>
        <v>0</v>
      </c>
      <c r="E18" s="2"/>
      <c r="F18" s="19"/>
      <c r="G18" s="2"/>
      <c r="H18" s="2">
        <f>--490.15</f>
        <v>490.15</v>
      </c>
      <c r="I18" s="2"/>
      <c r="J18" s="19"/>
      <c r="K18" s="2"/>
      <c r="L18" s="2">
        <f t="shared" si="0"/>
        <v>-490.15</v>
      </c>
      <c r="M18" s="2"/>
      <c r="N18" s="19">
        <f t="shared" si="1"/>
        <v>-1</v>
      </c>
      <c r="O18" s="10"/>
      <c r="P18" s="2">
        <f t="shared" si="5"/>
        <v>0</v>
      </c>
      <c r="Q18" s="2"/>
      <c r="R18" s="19"/>
      <c r="S18" s="2"/>
      <c r="T18" s="2">
        <f>--2676.14</f>
        <v>2676.14</v>
      </c>
      <c r="U18" s="2"/>
      <c r="V18" s="19"/>
      <c r="W18" s="2"/>
      <c r="X18" s="2">
        <f t="shared" si="2"/>
        <v>-2676.14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"4092", " - ", "TAXABLE SALES-GRAD MERCH")</f>
        <v xml:space="preserve">          4092 - TAXABLE SALES-GRAD MERCH</v>
      </c>
      <c r="C19" s="10"/>
      <c r="D19" s="2">
        <f t="shared" si="4"/>
        <v>0</v>
      </c>
      <c r="E19" s="2"/>
      <c r="F19" s="19"/>
      <c r="G19" s="2"/>
      <c r="H19" s="2">
        <f>--10952.9</f>
        <v>10952.9</v>
      </c>
      <c r="I19" s="2"/>
      <c r="J19" s="19"/>
      <c r="K19" s="2"/>
      <c r="L19" s="2">
        <f t="shared" si="0"/>
        <v>-10952.9</v>
      </c>
      <c r="M19" s="2"/>
      <c r="N19" s="19">
        <f t="shared" si="1"/>
        <v>-1</v>
      </c>
      <c r="O19" s="10"/>
      <c r="P19" s="2">
        <f t="shared" si="5"/>
        <v>0</v>
      </c>
      <c r="Q19" s="2"/>
      <c r="R19" s="19"/>
      <c r="S19" s="2"/>
      <c r="T19" s="2">
        <f>--18652.22</f>
        <v>18652.22</v>
      </c>
      <c r="U19" s="2"/>
      <c r="V19" s="19"/>
      <c r="W19" s="2"/>
      <c r="X19" s="2">
        <f t="shared" si="2"/>
        <v>-18652.22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"4095", " - ", "TAXABLE SALES-CUSTOMER SERVICE")</f>
        <v xml:space="preserve">          4095 - TAXABLE SALES-CUSTOMER SERVICE</v>
      </c>
      <c r="C20" s="10"/>
      <c r="D20" s="2">
        <f>--775.28</f>
        <v>775.28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775.28</v>
      </c>
      <c r="M20" s="2"/>
      <c r="N20" s="19">
        <f t="shared" si="1"/>
        <v>0</v>
      </c>
      <c r="O20" s="10"/>
      <c r="P20" s="2">
        <f>--915.13</f>
        <v>915.13</v>
      </c>
      <c r="Q20" s="2"/>
      <c r="R20" s="19"/>
      <c r="S20" s="2"/>
      <c r="T20" s="2">
        <f>--279.56</f>
        <v>279.56</v>
      </c>
      <c r="U20" s="2"/>
      <c r="V20" s="19"/>
      <c r="W20" s="2"/>
      <c r="X20" s="2">
        <f t="shared" si="2"/>
        <v>635.56999999999994</v>
      </c>
      <c r="Y20" s="2"/>
      <c r="Z20" s="19">
        <f t="shared" si="3"/>
        <v>2.2734654457003862</v>
      </c>
    </row>
    <row r="21" spans="1:26" s="23" customFormat="1" hidden="1" outlineLevel="1" x14ac:dyDescent="0.25">
      <c r="A21" s="44"/>
      <c r="B21" s="10" t="str">
        <f>CONCATENATE("          ", "4141", " - ", "NON-TAXABLE SALES-LOGO GIFTS")</f>
        <v xml:space="preserve">          4141 - NON-TAXABLE SALES-LOGO GIFTS</v>
      </c>
      <c r="C21" s="10"/>
      <c r="D21" s="2">
        <f t="shared" ref="D21:D22" si="6">0</f>
        <v>0</v>
      </c>
      <c r="E21" s="2"/>
      <c r="F21" s="19"/>
      <c r="G21" s="2"/>
      <c r="H21" s="2">
        <f>--6.65</f>
        <v>6.65</v>
      </c>
      <c r="I21" s="2"/>
      <c r="J21" s="19"/>
      <c r="K21" s="2"/>
      <c r="L21" s="2">
        <f t="shared" si="0"/>
        <v>-6.65</v>
      </c>
      <c r="M21" s="2"/>
      <c r="N21" s="19">
        <f t="shared" si="1"/>
        <v>-1</v>
      </c>
      <c r="O21" s="10"/>
      <c r="P21" s="2">
        <f>--1278.64</f>
        <v>1278.6400000000001</v>
      </c>
      <c r="Q21" s="2"/>
      <c r="R21" s="19"/>
      <c r="S21" s="2"/>
      <c r="T21" s="2">
        <f>--864.6</f>
        <v>864.6</v>
      </c>
      <c r="U21" s="2"/>
      <c r="V21" s="19"/>
      <c r="W21" s="2"/>
      <c r="X21" s="2">
        <f t="shared" si="2"/>
        <v>414.04000000000008</v>
      </c>
      <c r="Y21" s="2"/>
      <c r="Z21" s="19">
        <f t="shared" si="3"/>
        <v>0.47888040712468199</v>
      </c>
    </row>
    <row r="22" spans="1:26" s="23" customFormat="1" hidden="1" outlineLevel="1" x14ac:dyDescent="0.25">
      <c r="A22" s="44"/>
      <c r="B22" s="10" t="str">
        <f>CONCATENATE("          ", "4142", " - ", "NON-TAXABLE SALES-EVERYDAY GIF")</f>
        <v xml:space="preserve">          4142 - NON-TAXABLE SALES-EVERYDAY GIF</v>
      </c>
      <c r="C22" s="10"/>
      <c r="D22" s="2">
        <f t="shared" si="6"/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>--1110.59</f>
        <v>1110.5899999999999</v>
      </c>
      <c r="Q22" s="2"/>
      <c r="R22" s="19"/>
      <c r="S22" s="2"/>
      <c r="T22" s="2">
        <f>--8924.02</f>
        <v>8924.02</v>
      </c>
      <c r="U22" s="2"/>
      <c r="V22" s="19"/>
      <c r="W22" s="2"/>
      <c r="X22" s="2">
        <f t="shared" si="2"/>
        <v>-7813.43</v>
      </c>
      <c r="Y22" s="2"/>
      <c r="Z22" s="19">
        <f t="shared" si="3"/>
        <v>-0.87555048061299723</v>
      </c>
    </row>
    <row r="23" spans="1:26" s="23" customFormat="1" hidden="1" outlineLevel="1" x14ac:dyDescent="0.25">
      <c r="A23" s="44"/>
      <c r="B23" s="10" t="str">
        <f>CONCATENATE("          ", "4146", " - ", "NON-TAXABLE SALES-COIN OP MACH")</f>
        <v xml:space="preserve">          4146 - NON-TAXABLE SALES-COIN OP MACH</v>
      </c>
      <c r="C23" s="10"/>
      <c r="D23" s="2">
        <f>--90.7</f>
        <v>90.7</v>
      </c>
      <c r="E23" s="2"/>
      <c r="F23" s="19"/>
      <c r="G23" s="2"/>
      <c r="H23" s="2">
        <f>--13383.2</f>
        <v>13383.2</v>
      </c>
      <c r="I23" s="2"/>
      <c r="J23" s="19"/>
      <c r="K23" s="2"/>
      <c r="L23" s="2">
        <f t="shared" si="0"/>
        <v>-13292.5</v>
      </c>
      <c r="M23" s="2"/>
      <c r="N23" s="19">
        <f t="shared" si="1"/>
        <v>-0.99322284655388837</v>
      </c>
      <c r="O23" s="10"/>
      <c r="P23" s="2">
        <f>--299.1</f>
        <v>299.10000000000002</v>
      </c>
      <c r="Q23" s="2"/>
      <c r="R23" s="19"/>
      <c r="S23" s="2"/>
      <c r="T23" s="2">
        <f>--205786.95</f>
        <v>205786.95</v>
      </c>
      <c r="U23" s="2"/>
      <c r="V23" s="19"/>
      <c r="W23" s="2"/>
      <c r="X23" s="2">
        <f t="shared" si="2"/>
        <v>-205487.85</v>
      </c>
      <c r="Y23" s="2"/>
      <c r="Z23" s="19">
        <f t="shared" si="3"/>
        <v>-0.99854655506580958</v>
      </c>
    </row>
    <row r="24" spans="1:26" s="23" customFormat="1" hidden="1" outlineLevel="1" x14ac:dyDescent="0.25">
      <c r="A24" s="44"/>
      <c r="B24" s="10" t="str">
        <f>CONCATENATE("          ", "4147", " - ", "NON-TAXABLE SALES-MISC")</f>
        <v xml:space="preserve">          4147 - NON-TAXABLE SALES-MISC</v>
      </c>
      <c r="C24" s="10"/>
      <c r="D24" s="2">
        <f>--11</f>
        <v>11</v>
      </c>
      <c r="E24" s="2"/>
      <c r="F24" s="19"/>
      <c r="G24" s="2"/>
      <c r="H24" s="2">
        <f>--933.53</f>
        <v>933.53</v>
      </c>
      <c r="I24" s="2"/>
      <c r="J24" s="19"/>
      <c r="K24" s="2"/>
      <c r="L24" s="2">
        <f t="shared" si="0"/>
        <v>-922.53</v>
      </c>
      <c r="M24" s="2"/>
      <c r="N24" s="19">
        <f t="shared" si="1"/>
        <v>-0.98821676860947161</v>
      </c>
      <c r="O24" s="10"/>
      <c r="P24" s="2">
        <f>--143.5</f>
        <v>143.5</v>
      </c>
      <c r="Q24" s="2"/>
      <c r="R24" s="19"/>
      <c r="S24" s="2"/>
      <c r="T24" s="2">
        <f>--3436.37</f>
        <v>3436.37</v>
      </c>
      <c r="U24" s="2"/>
      <c r="V24" s="19"/>
      <c r="W24" s="2"/>
      <c r="X24" s="2">
        <f t="shared" si="2"/>
        <v>-3292.87</v>
      </c>
      <c r="Y24" s="2"/>
      <c r="Z24" s="19">
        <f t="shared" si="3"/>
        <v>-0.95824081807255912</v>
      </c>
    </row>
    <row r="25" spans="1:26" s="23" customFormat="1" hidden="1" outlineLevel="1" x14ac:dyDescent="0.25">
      <c r="A25" s="44"/>
      <c r="B25" s="10" t="str">
        <f>CONCATENATE("          ", "4241", " - ", "SALES RETURN TAXABLE-LOGO GIFT")</f>
        <v xml:space="preserve">          4241 - SALES RETURN TAXABLE-LOGO GIFT</v>
      </c>
      <c r="C25" s="10"/>
      <c r="D25" s="2">
        <f>-7.95</f>
        <v>-7.95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-7.95</v>
      </c>
      <c r="M25" s="2"/>
      <c r="N25" s="19">
        <f t="shared" si="1"/>
        <v>0</v>
      </c>
      <c r="O25" s="10"/>
      <c r="P25" s="2">
        <f>-1262.05</f>
        <v>-1262.05</v>
      </c>
      <c r="Q25" s="2"/>
      <c r="R25" s="19"/>
      <c r="S25" s="2"/>
      <c r="T25" s="2">
        <f>-1059.4</f>
        <v>-1059.4000000000001</v>
      </c>
      <c r="U25" s="2"/>
      <c r="V25" s="19"/>
      <c r="W25" s="2"/>
      <c r="X25" s="2">
        <f t="shared" si="2"/>
        <v>-202.64999999999986</v>
      </c>
      <c r="Y25" s="2"/>
      <c r="Z25" s="19">
        <f t="shared" si="3"/>
        <v>0.1912875212384367</v>
      </c>
    </row>
    <row r="26" spans="1:26" s="23" customFormat="1" hidden="1" outlineLevel="1" x14ac:dyDescent="0.25">
      <c r="A26" s="44"/>
      <c r="B26" s="10" t="str">
        <f>CONCATENATE("          ", "4242", " - ", "SALES RETURN TAXABLE-EVERYDAY")</f>
        <v xml:space="preserve">          4242 - SALES RETURN TAXABLE-EVERYDAY</v>
      </c>
      <c r="C26" s="10"/>
      <c r="D26" s="2">
        <f t="shared" ref="D26:D31" si="7">0</f>
        <v>0</v>
      </c>
      <c r="E26" s="2"/>
      <c r="F26" s="19"/>
      <c r="G26" s="2"/>
      <c r="H26" s="2">
        <f>-157.5</f>
        <v>-157.5</v>
      </c>
      <c r="I26" s="2"/>
      <c r="J26" s="19"/>
      <c r="K26" s="2"/>
      <c r="L26" s="2">
        <f t="shared" si="0"/>
        <v>157.5</v>
      </c>
      <c r="M26" s="2"/>
      <c r="N26" s="19">
        <f t="shared" si="1"/>
        <v>-1</v>
      </c>
      <c r="O26" s="10"/>
      <c r="P26" s="2">
        <f t="shared" ref="P26:P27" si="8">0</f>
        <v>0</v>
      </c>
      <c r="Q26" s="2"/>
      <c r="R26" s="19"/>
      <c r="S26" s="2"/>
      <c r="T26" s="2">
        <f>-227.7</f>
        <v>-227.7</v>
      </c>
      <c r="U26" s="2"/>
      <c r="V26" s="19"/>
      <c r="W26" s="2"/>
      <c r="X26" s="2">
        <f t="shared" si="2"/>
        <v>227.7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"4292", " - ", "SALES RETURN TAXABLE-GRAD MERC")</f>
        <v xml:space="preserve">          4292 - SALES RETURN TAXABLE-GRAD MERC</v>
      </c>
      <c r="C27" s="10"/>
      <c r="D27" s="2">
        <f t="shared" si="7"/>
        <v>0</v>
      </c>
      <c r="E27" s="2"/>
      <c r="F27" s="19"/>
      <c r="G27" s="2"/>
      <c r="H27" s="2">
        <f>-94.9</f>
        <v>-94.9</v>
      </c>
      <c r="I27" s="2"/>
      <c r="J27" s="19"/>
      <c r="K27" s="2"/>
      <c r="L27" s="2">
        <f t="shared" si="0"/>
        <v>94.9</v>
      </c>
      <c r="M27" s="2"/>
      <c r="N27" s="19">
        <f t="shared" si="1"/>
        <v>-1</v>
      </c>
      <c r="O27" s="10"/>
      <c r="P27" s="2">
        <f t="shared" si="8"/>
        <v>0</v>
      </c>
      <c r="Q27" s="2"/>
      <c r="R27" s="19"/>
      <c r="S27" s="2"/>
      <c r="T27" s="2">
        <f>-513.95</f>
        <v>-513.95000000000005</v>
      </c>
      <c r="U27" s="2"/>
      <c r="V27" s="19"/>
      <c r="W27" s="2"/>
      <c r="X27" s="2">
        <f t="shared" si="2"/>
        <v>513.95000000000005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"4341", " - ", "SALES RETURN NON TAXABLE-LOGO")</f>
        <v xml:space="preserve">          4341 - SALES RETURN NON TAXABLE-LOGO</v>
      </c>
      <c r="C28" s="10"/>
      <c r="D28" s="2">
        <f t="shared" si="7"/>
        <v>0</v>
      </c>
      <c r="E28" s="2"/>
      <c r="F28" s="19"/>
      <c r="G28" s="2"/>
      <c r="H28" s="2">
        <f t="shared" ref="H28:H30" si="9"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-11.2</f>
        <v>-11.2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-11.2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"4342", " - ", "SALES RETURN NON TAXABLE-EVERY")</f>
        <v xml:space="preserve">          4342 - SALES RETURN NON TAXABLE-EVERY</v>
      </c>
      <c r="C29" s="10"/>
      <c r="D29" s="2">
        <f t="shared" si="7"/>
        <v>0</v>
      </c>
      <c r="E29" s="2"/>
      <c r="F29" s="19"/>
      <c r="G29" s="2"/>
      <c r="H29" s="2">
        <f t="shared" si="9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ref="P29:P31" si="10">0</f>
        <v>0</v>
      </c>
      <c r="Q29" s="2"/>
      <c r="R29" s="19"/>
      <c r="S29" s="2"/>
      <c r="T29" s="2">
        <f>-39.42</f>
        <v>-39.42</v>
      </c>
      <c r="U29" s="2"/>
      <c r="V29" s="19"/>
      <c r="W29" s="2"/>
      <c r="X29" s="2">
        <f t="shared" si="2"/>
        <v>39.42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"4346", " - ", "SALES RETURN NON TAXABLE-COIN-")</f>
        <v xml:space="preserve">          4346 - SALES RETURN NON TAXABLE-COIN-</v>
      </c>
      <c r="C30" s="10"/>
      <c r="D30" s="2">
        <f t="shared" si="7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si="10"/>
        <v>0</v>
      </c>
      <c r="Q30" s="2"/>
      <c r="R30" s="19"/>
      <c r="S30" s="2"/>
      <c r="T30" s="2">
        <f>-8.15</f>
        <v>-8.15</v>
      </c>
      <c r="U30" s="2"/>
      <c r="V30" s="19"/>
      <c r="W30" s="2"/>
      <c r="X30" s="2">
        <f t="shared" si="2"/>
        <v>8.15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"4347", " - ", "SALES RETURN NON TAXABLE-MISC")</f>
        <v xml:space="preserve">          4347 - SALES RETURN NON TAXABLE-MISC</v>
      </c>
      <c r="C31" s="10"/>
      <c r="D31" s="2">
        <f t="shared" si="7"/>
        <v>0</v>
      </c>
      <c r="E31" s="2"/>
      <c r="F31" s="19"/>
      <c r="G31" s="2"/>
      <c r="H31" s="2">
        <f>-84</f>
        <v>-84</v>
      </c>
      <c r="I31" s="2"/>
      <c r="J31" s="19"/>
      <c r="K31" s="2"/>
      <c r="L31" s="2">
        <f t="shared" si="0"/>
        <v>84</v>
      </c>
      <c r="M31" s="2"/>
      <c r="N31" s="19">
        <f t="shared" si="1"/>
        <v>-1</v>
      </c>
      <c r="O31" s="10"/>
      <c r="P31" s="2">
        <f t="shared" si="10"/>
        <v>0</v>
      </c>
      <c r="Q31" s="2"/>
      <c r="R31" s="19"/>
      <c r="S31" s="2"/>
      <c r="T31" s="2">
        <f>-84</f>
        <v>-84</v>
      </c>
      <c r="U31" s="2"/>
      <c r="V31" s="19"/>
      <c r="W31" s="2"/>
      <c r="X31" s="2">
        <f t="shared" si="2"/>
        <v>84</v>
      </c>
      <c r="Y31" s="2"/>
      <c r="Z31" s="19">
        <f t="shared" si="3"/>
        <v>-1</v>
      </c>
    </row>
    <row r="32" spans="1:26" x14ac:dyDescent="0.25">
      <c r="A32" s="9"/>
      <c r="B32" s="11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collapsed="1" x14ac:dyDescent="0.25">
      <c r="A33" s="11"/>
      <c r="B33" s="28" t="s">
        <v>256</v>
      </c>
      <c r="C33" s="11"/>
      <c r="D33" s="4">
        <f>SUM(OSRRefD16x_0)</f>
        <v>0</v>
      </c>
      <c r="E33" s="4"/>
      <c r="F33" s="13">
        <f t="shared" ref="F33:F38" si="11">IF(D$12=0,0,D33/D$12)</f>
        <v>0</v>
      </c>
      <c r="G33" s="4"/>
      <c r="H33" s="4">
        <f>SUM(OSRRefH16x_0)</f>
        <v>4617.28</v>
      </c>
      <c r="I33" s="4"/>
      <c r="J33" s="13">
        <f t="shared" ref="J33:J38" si="12">IF(H$12=0,0,H33/H$12)</f>
        <v>0.12195842201658449</v>
      </c>
      <c r="K33" s="4"/>
      <c r="L33" s="4">
        <f t="shared" ref="L33:L38" si="13">+D33-H33</f>
        <v>-4617.28</v>
      </c>
      <c r="M33" s="4"/>
      <c r="N33" s="13">
        <f t="shared" ref="N33:N38" si="14">IF(H33=0,0,L33/H33)</f>
        <v>-1</v>
      </c>
      <c r="O33" s="11"/>
      <c r="P33" s="4">
        <f>SUM(OSRRefP16x_0)</f>
        <v>0</v>
      </c>
      <c r="Q33" s="4"/>
      <c r="R33" s="13">
        <f t="shared" ref="R33:R38" si="15">IF(P$12=0,0,P33/P$12)</f>
        <v>0</v>
      </c>
      <c r="S33" s="4"/>
      <c r="T33" s="4">
        <f>SUM(OSRRefT16x_0)</f>
        <v>8421.06</v>
      </c>
      <c r="U33" s="4"/>
      <c r="V33" s="13">
        <f t="shared" ref="V33:V38" si="16">IF(T$12=0,0,T33/T$12)</f>
        <v>1.7271839922914121E-2</v>
      </c>
      <c r="W33" s="4"/>
      <c r="X33" s="4">
        <f t="shared" ref="X33:X38" si="17">+P33-T33</f>
        <v>-8421.06</v>
      </c>
      <c r="Y33" s="4"/>
      <c r="Z33" s="13">
        <f t="shared" ref="Z33:Z38" si="18">IF(T33=0,0,X33/T33)</f>
        <v>-1</v>
      </c>
    </row>
    <row r="34" spans="1:26" s="23" customFormat="1" hidden="1" outlineLevel="1" x14ac:dyDescent="0.25">
      <c r="A34" s="44"/>
      <c r="B34" s="10" t="str">
        <f>CONCATENATE("          ", "5092", " - ", "PURCHASES @ COST-GRAD MERCH")</f>
        <v xml:space="preserve">          5092 - PURCHASES @ COST-GRAD MERCH</v>
      </c>
      <c r="C34" s="10"/>
      <c r="D34" s="2"/>
      <c r="E34" s="2"/>
      <c r="F34" s="19">
        <f t="shared" si="11"/>
        <v>0</v>
      </c>
      <c r="G34" s="2"/>
      <c r="H34" s="2">
        <v>1036.33</v>
      </c>
      <c r="I34" s="2"/>
      <c r="J34" s="19">
        <f t="shared" si="12"/>
        <v>2.7373079277940044E-2</v>
      </c>
      <c r="K34" s="2"/>
      <c r="L34" s="2">
        <f t="shared" si="13"/>
        <v>-1036.33</v>
      </c>
      <c r="M34" s="2"/>
      <c r="N34" s="19">
        <f t="shared" si="14"/>
        <v>-1</v>
      </c>
      <c r="O34" s="10"/>
      <c r="P34" s="2">
        <v>0</v>
      </c>
      <c r="Q34" s="2"/>
      <c r="R34" s="19">
        <f t="shared" si="15"/>
        <v>0</v>
      </c>
      <c r="S34" s="2"/>
      <c r="T34" s="2">
        <v>3006.48</v>
      </c>
      <c r="U34" s="2"/>
      <c r="V34" s="19">
        <f t="shared" si="16"/>
        <v>6.1663782577778626E-3</v>
      </c>
      <c r="W34" s="2"/>
      <c r="X34" s="2">
        <f t="shared" si="17"/>
        <v>-3006.48</v>
      </c>
      <c r="Y34" s="2"/>
      <c r="Z34" s="19">
        <f t="shared" si="18"/>
        <v>-1</v>
      </c>
    </row>
    <row r="35" spans="1:26" s="23" customFormat="1" hidden="1" outlineLevel="1" x14ac:dyDescent="0.25">
      <c r="A35" s="44"/>
      <c r="B35" s="10" t="str">
        <f>CONCATENATE("          ", "5095", " - ", "PURCHASES @ COST-CUSTOMER SERV")</f>
        <v xml:space="preserve">          5095 - PURCHASES @ COST-CUSTOMER SERV</v>
      </c>
      <c r="C35" s="10"/>
      <c r="D35" s="2"/>
      <c r="E35" s="2"/>
      <c r="F35" s="19">
        <f t="shared" si="11"/>
        <v>0</v>
      </c>
      <c r="G35" s="2"/>
      <c r="H35" s="2"/>
      <c r="I35" s="2"/>
      <c r="J35" s="19">
        <f t="shared" si="12"/>
        <v>0</v>
      </c>
      <c r="K35" s="2"/>
      <c r="L35" s="2">
        <f t="shared" si="13"/>
        <v>0</v>
      </c>
      <c r="M35" s="2"/>
      <c r="N35" s="19">
        <f t="shared" si="14"/>
        <v>0</v>
      </c>
      <c r="O35" s="10"/>
      <c r="P35" s="2"/>
      <c r="Q35" s="2"/>
      <c r="R35" s="19">
        <f t="shared" si="15"/>
        <v>0</v>
      </c>
      <c r="S35" s="2"/>
      <c r="T35" s="2">
        <v>11.85</v>
      </c>
      <c r="U35" s="2"/>
      <c r="V35" s="19">
        <f t="shared" si="16"/>
        <v>2.4304695974916736E-5</v>
      </c>
      <c r="W35" s="2"/>
      <c r="X35" s="2">
        <f t="shared" si="17"/>
        <v>-11.85</v>
      </c>
      <c r="Y35" s="2"/>
      <c r="Z35" s="19">
        <f t="shared" si="18"/>
        <v>-1</v>
      </c>
    </row>
    <row r="36" spans="1:26" s="23" customFormat="1" hidden="1" outlineLevel="1" x14ac:dyDescent="0.25">
      <c r="A36" s="44"/>
      <c r="B36" s="10" t="str">
        <f>CONCATENATE("          ", "5200", " - ", "PURCHASES OFFSET")</f>
        <v xml:space="preserve">          5200 - PURCHASES OFFSET</v>
      </c>
      <c r="C36" s="10"/>
      <c r="D36" s="2"/>
      <c r="E36" s="2"/>
      <c r="F36" s="19">
        <f t="shared" si="11"/>
        <v>0</v>
      </c>
      <c r="G36" s="2"/>
      <c r="H36" s="2">
        <v>-1049</v>
      </c>
      <c r="I36" s="2"/>
      <c r="J36" s="19">
        <f t="shared" si="12"/>
        <v>-2.7707738039581126E-2</v>
      </c>
      <c r="K36" s="2"/>
      <c r="L36" s="2">
        <f t="shared" si="13"/>
        <v>1049</v>
      </c>
      <c r="M36" s="2"/>
      <c r="N36" s="19">
        <f t="shared" si="14"/>
        <v>-1</v>
      </c>
      <c r="O36" s="10"/>
      <c r="P36" s="2"/>
      <c r="Q36" s="2"/>
      <c r="R36" s="19">
        <f t="shared" si="15"/>
        <v>0</v>
      </c>
      <c r="S36" s="2"/>
      <c r="T36" s="2">
        <v>-3138</v>
      </c>
      <c r="U36" s="2"/>
      <c r="V36" s="19">
        <f t="shared" si="16"/>
        <v>-6.4361296176614954E-3</v>
      </c>
      <c r="W36" s="2"/>
      <c r="X36" s="2">
        <f t="shared" si="17"/>
        <v>3138</v>
      </c>
      <c r="Y36" s="2"/>
      <c r="Z36" s="19">
        <f t="shared" si="18"/>
        <v>-1</v>
      </c>
    </row>
    <row r="37" spans="1:26" s="23" customFormat="1" hidden="1" outlineLevel="1" x14ac:dyDescent="0.25">
      <c r="A37" s="44"/>
      <c r="B37" s="10" t="str">
        <f>CONCATENATE("          ", "5300", " - ", "COG$ OFFSET")</f>
        <v xml:space="preserve">          5300 - COG$ OFFSET</v>
      </c>
      <c r="C37" s="10"/>
      <c r="D37" s="2"/>
      <c r="E37" s="2"/>
      <c r="F37" s="19">
        <f t="shared" si="11"/>
        <v>0</v>
      </c>
      <c r="G37" s="2"/>
      <c r="H37" s="2">
        <v>4617</v>
      </c>
      <c r="I37" s="2"/>
      <c r="J37" s="19">
        <f t="shared" si="12"/>
        <v>0.12195102624284657</v>
      </c>
      <c r="K37" s="2"/>
      <c r="L37" s="2">
        <f t="shared" si="13"/>
        <v>-4617</v>
      </c>
      <c r="M37" s="2"/>
      <c r="N37" s="19">
        <f t="shared" si="14"/>
        <v>-1</v>
      </c>
      <c r="O37" s="10"/>
      <c r="P37" s="2"/>
      <c r="Q37" s="2"/>
      <c r="R37" s="19">
        <f t="shared" si="15"/>
        <v>0</v>
      </c>
      <c r="S37" s="2"/>
      <c r="T37" s="2">
        <v>8422</v>
      </c>
      <c r="U37" s="2"/>
      <c r="V37" s="19">
        <f t="shared" si="16"/>
        <v>1.7273767890358546E-2</v>
      </c>
      <c r="W37" s="2"/>
      <c r="X37" s="2">
        <f t="shared" si="17"/>
        <v>-8422</v>
      </c>
      <c r="Y37" s="2"/>
      <c r="Z37" s="19">
        <f t="shared" si="18"/>
        <v>-1</v>
      </c>
    </row>
    <row r="38" spans="1:26" s="23" customFormat="1" hidden="1" outlineLevel="1" x14ac:dyDescent="0.25">
      <c r="A38" s="44"/>
      <c r="B38" s="10" t="str">
        <f>CONCATENATE("          ", "5592", " - ", "FREIGHT-IN-GRAD MERCH")</f>
        <v xml:space="preserve">          5592 - FREIGHT-IN-GRAD MERCH</v>
      </c>
      <c r="C38" s="10"/>
      <c r="D38" s="2"/>
      <c r="E38" s="2"/>
      <c r="F38" s="19">
        <f t="shared" si="11"/>
        <v>0</v>
      </c>
      <c r="G38" s="2"/>
      <c r="H38" s="2">
        <v>12.95</v>
      </c>
      <c r="I38" s="2"/>
      <c r="J38" s="19">
        <f t="shared" si="12"/>
        <v>3.4205453537900431E-4</v>
      </c>
      <c r="K38" s="2"/>
      <c r="L38" s="2">
        <f t="shared" si="13"/>
        <v>-12.95</v>
      </c>
      <c r="M38" s="2"/>
      <c r="N38" s="19">
        <f t="shared" si="14"/>
        <v>-1</v>
      </c>
      <c r="O38" s="10"/>
      <c r="P38" s="2">
        <v>0</v>
      </c>
      <c r="Q38" s="2"/>
      <c r="R38" s="19">
        <f t="shared" si="15"/>
        <v>0</v>
      </c>
      <c r="S38" s="2"/>
      <c r="T38" s="2">
        <v>118.73</v>
      </c>
      <c r="U38" s="2"/>
      <c r="V38" s="19">
        <f t="shared" si="16"/>
        <v>2.4351869646429235E-4</v>
      </c>
      <c r="W38" s="2"/>
      <c r="X38" s="2">
        <f t="shared" si="17"/>
        <v>-118.73</v>
      </c>
      <c r="Y38" s="2"/>
      <c r="Z38" s="19">
        <f t="shared" si="18"/>
        <v>-1</v>
      </c>
    </row>
    <row r="39" spans="1:26" x14ac:dyDescent="0.25">
      <c r="A39" s="9"/>
      <c r="B39" s="11"/>
      <c r="C39" s="11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1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x14ac:dyDescent="0.25">
      <c r="A40" s="11"/>
      <c r="B40" s="29" t="s">
        <v>107</v>
      </c>
      <c r="C40" s="29"/>
      <c r="D40" s="22">
        <f>D12-D33</f>
        <v>2147</v>
      </c>
      <c r="E40" s="14"/>
      <c r="F40" s="20">
        <f>IF(D$12=0,0,D40/D$12)</f>
        <v>1</v>
      </c>
      <c r="G40" s="14"/>
      <c r="H40" s="22">
        <f>H12-H33</f>
        <v>33242.18</v>
      </c>
      <c r="I40" s="14"/>
      <c r="J40" s="20">
        <f>IF(H$12=0,0,H40/H$12)</f>
        <v>0.87804157798341553</v>
      </c>
      <c r="K40" s="15"/>
      <c r="L40" s="22">
        <f>+D40-H40</f>
        <v>-31095.18</v>
      </c>
      <c r="M40" s="15"/>
      <c r="N40" s="20">
        <f>IF(H40=0,0,L40/H40)</f>
        <v>-0.93541338143286634</v>
      </c>
      <c r="O40" s="28"/>
      <c r="P40" s="22">
        <f>P12-P33</f>
        <v>110995.03</v>
      </c>
      <c r="Q40" s="14"/>
      <c r="R40" s="20">
        <f>IF(P$12=0,0,P40/P$12)</f>
        <v>1</v>
      </c>
      <c r="S40" s="14"/>
      <c r="T40" s="22">
        <f>T12-T33</f>
        <v>479139.03999999992</v>
      </c>
      <c r="U40" s="14"/>
      <c r="V40" s="20">
        <f>IF(T$12=0,0,T40/T$12)</f>
        <v>0.98272816007708585</v>
      </c>
      <c r="W40" s="15"/>
      <c r="X40" s="22">
        <f>+P40-T40</f>
        <v>-368144.00999999989</v>
      </c>
      <c r="Y40" s="15"/>
      <c r="Z40" s="20">
        <f>IF(T40=0,0,X40/T40)</f>
        <v>-0.76834484203165732</v>
      </c>
    </row>
    <row r="41" spans="1:26" x14ac:dyDescent="0.25">
      <c r="A41" s="9"/>
      <c r="B41" s="11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4" customFormat="1" x14ac:dyDescent="0.25">
      <c r="A42" s="11"/>
      <c r="B42" s="28" t="s">
        <v>294</v>
      </c>
      <c r="C42" s="11"/>
      <c r="D42" s="21">
        <f>SUM(OSRRefD22x_0)</f>
        <v>19440.499999999989</v>
      </c>
      <c r="E42" s="21"/>
      <c r="F42" s="31">
        <f t="shared" ref="F42:F51" si="19">IF(D$12=0,0,D42/D$12)</f>
        <v>9.0547275267815515</v>
      </c>
      <c r="G42" s="21"/>
      <c r="H42" s="21">
        <f>SUM(OSRRefH22x_0)</f>
        <v>52754.729999999996</v>
      </c>
      <c r="I42" s="21"/>
      <c r="J42" s="31">
        <f t="shared" ref="J42:J51" si="20">IF(H$12=0,0,H42/H$12)</f>
        <v>1.3934358810189051</v>
      </c>
      <c r="K42" s="4"/>
      <c r="L42" s="21">
        <f t="shared" ref="L42:L51" si="21">+D42-H42</f>
        <v>-33314.23000000001</v>
      </c>
      <c r="M42" s="4"/>
      <c r="N42" s="31">
        <f t="shared" ref="N42:N51" si="22">IF(H42=0,0,L42/H42)</f>
        <v>-0.63149275903791025</v>
      </c>
      <c r="O42" s="11"/>
      <c r="P42" s="21">
        <f>SUM(OSRRefP22x_0)</f>
        <v>257264.91</v>
      </c>
      <c r="Q42" s="21"/>
      <c r="R42" s="31">
        <f t="shared" ref="R42:R51" si="23">IF(P$12=0,0,P42/P$12)</f>
        <v>2.317805671118788</v>
      </c>
      <c r="S42" s="21"/>
      <c r="T42" s="21">
        <f>SUM(OSRRefT22x_0)</f>
        <v>420783.63999999996</v>
      </c>
      <c r="U42" s="21"/>
      <c r="V42" s="31">
        <f t="shared" ref="V42:V51" si="24">IF(T$12=0,0,T42/T$12)</f>
        <v>0.86303953092141872</v>
      </c>
      <c r="W42" s="4"/>
      <c r="X42" s="21">
        <f t="shared" ref="X42:X51" si="25">+P42-T42</f>
        <v>-163518.72999999995</v>
      </c>
      <c r="Y42" s="4"/>
      <c r="Z42" s="31">
        <f t="shared" ref="Z42:Z51" si="26">IF(T42=0,0,X42/T42)</f>
        <v>-0.38860524615453196</v>
      </c>
    </row>
    <row r="43" spans="1:26" s="26" customFormat="1" outlineLevel="1" collapsed="1" x14ac:dyDescent="0.25">
      <c r="A43" s="27"/>
      <c r="B43" s="12" t="str">
        <f>CONCATENATE("     ","*Benefits                                         ")</f>
        <v xml:space="preserve">     *Benefits                                         </v>
      </c>
      <c r="C43" s="12"/>
      <c r="D43" s="1">
        <f>SUM(OSRRefD22_0x_0)</f>
        <v>8898.1500000000015</v>
      </c>
      <c r="E43" s="1"/>
      <c r="F43" s="5">
        <f t="shared" si="19"/>
        <v>4.1444573823940392</v>
      </c>
      <c r="G43" s="1"/>
      <c r="H43" s="1">
        <f>SUM(OSRRefH22_0x_0)</f>
        <v>11238.24</v>
      </c>
      <c r="I43" s="1"/>
      <c r="J43" s="5">
        <f t="shared" si="20"/>
        <v>0.29684100090175614</v>
      </c>
      <c r="K43" s="1"/>
      <c r="L43" s="1">
        <f t="shared" si="21"/>
        <v>-2340.0899999999983</v>
      </c>
      <c r="M43" s="1"/>
      <c r="N43" s="5">
        <f t="shared" si="22"/>
        <v>-0.20822566522871894</v>
      </c>
      <c r="O43" s="12"/>
      <c r="P43" s="1">
        <f>SUM(OSRRefP22_0x_0)</f>
        <v>84386.12000000001</v>
      </c>
      <c r="Q43" s="1"/>
      <c r="R43" s="5">
        <f t="shared" si="23"/>
        <v>0.76026935620450764</v>
      </c>
      <c r="S43" s="1"/>
      <c r="T43" s="1">
        <f>SUM(OSRRefT22_0x_0)</f>
        <v>75311.66</v>
      </c>
      <c r="U43" s="1"/>
      <c r="V43" s="5">
        <f t="shared" si="24"/>
        <v>0.15446641347394918</v>
      </c>
      <c r="W43" s="1"/>
      <c r="X43" s="1">
        <f t="shared" si="25"/>
        <v>9074.4600000000064</v>
      </c>
      <c r="Y43" s="1"/>
      <c r="Z43" s="5">
        <f t="shared" si="26"/>
        <v>0.12049209909859915</v>
      </c>
    </row>
    <row r="44" spans="1:26" s="23" customFormat="1" hidden="1" outlineLevel="2" x14ac:dyDescent="0.25">
      <c r="A44" s="25"/>
      <c r="B44" s="10" t="str">
        <f>CONCATENATE("          ", "6111", " - ", "F.I.C.A.")</f>
        <v xml:space="preserve">          6111 - F.I.C.A.</v>
      </c>
      <c r="C44" s="10"/>
      <c r="D44" s="6">
        <v>1213.6400000000001</v>
      </c>
      <c r="E44" s="2"/>
      <c r="F44" s="7">
        <f t="shared" si="19"/>
        <v>0.56527247321844443</v>
      </c>
      <c r="G44" s="2"/>
      <c r="H44" s="6">
        <v>1453.05</v>
      </c>
      <c r="I44" s="2"/>
      <c r="J44" s="7">
        <f t="shared" si="20"/>
        <v>3.8380103678182412E-2</v>
      </c>
      <c r="K44" s="2"/>
      <c r="L44" s="6">
        <f t="shared" si="21"/>
        <v>-239.40999999999985</v>
      </c>
      <c r="M44" s="2"/>
      <c r="N44" s="7">
        <f t="shared" si="22"/>
        <v>-0.16476377275386248</v>
      </c>
      <c r="O44" s="10"/>
      <c r="P44" s="6">
        <v>11467.69</v>
      </c>
      <c r="Q44" s="2"/>
      <c r="R44" s="7">
        <f t="shared" si="23"/>
        <v>0.10331714852457809</v>
      </c>
      <c r="S44" s="2"/>
      <c r="T44" s="6">
        <v>11844.98</v>
      </c>
      <c r="U44" s="2"/>
      <c r="V44" s="7">
        <f t="shared" si="24"/>
        <v>2.4294399808351835E-2</v>
      </c>
      <c r="W44" s="2"/>
      <c r="X44" s="6">
        <f t="shared" si="25"/>
        <v>-377.28999999999905</v>
      </c>
      <c r="Y44" s="2"/>
      <c r="Z44" s="7">
        <f t="shared" si="26"/>
        <v>-3.1852312118720257E-2</v>
      </c>
    </row>
    <row r="45" spans="1:26" s="23" customFormat="1" hidden="1" outlineLevel="2" x14ac:dyDescent="0.25">
      <c r="A45" s="25"/>
      <c r="B45" s="10" t="str">
        <f>CONCATENATE("          ", "6112", " - ", "COMPENSATION INSURANCE")</f>
        <v xml:space="preserve">          6112 - COMPENSATION INSURANCE</v>
      </c>
      <c r="C45" s="10"/>
      <c r="D45" s="6">
        <v>311.66000000000003</v>
      </c>
      <c r="E45" s="2"/>
      <c r="F45" s="7">
        <f t="shared" si="19"/>
        <v>0.14516068933395437</v>
      </c>
      <c r="G45" s="2"/>
      <c r="H45" s="6">
        <v>208.47</v>
      </c>
      <c r="I45" s="2"/>
      <c r="J45" s="7">
        <f t="shared" si="20"/>
        <v>5.5064176826610843E-3</v>
      </c>
      <c r="K45" s="2"/>
      <c r="L45" s="6">
        <f t="shared" si="21"/>
        <v>103.19000000000003</v>
      </c>
      <c r="M45" s="2"/>
      <c r="N45" s="7">
        <f t="shared" si="22"/>
        <v>0.49498728833884986</v>
      </c>
      <c r="O45" s="10"/>
      <c r="P45" s="6">
        <v>3030.26</v>
      </c>
      <c r="Q45" s="2"/>
      <c r="R45" s="7">
        <f t="shared" si="23"/>
        <v>2.7300862029588174E-2</v>
      </c>
      <c r="S45" s="2"/>
      <c r="T45" s="6">
        <v>1899.91</v>
      </c>
      <c r="U45" s="2"/>
      <c r="V45" s="7">
        <f t="shared" si="24"/>
        <v>3.8967708801438024E-3</v>
      </c>
      <c r="W45" s="2"/>
      <c r="X45" s="6">
        <f t="shared" si="25"/>
        <v>1130.3500000000001</v>
      </c>
      <c r="Y45" s="2"/>
      <c r="Z45" s="7">
        <f t="shared" si="26"/>
        <v>0.59494923443742076</v>
      </c>
    </row>
    <row r="46" spans="1:26" s="23" customFormat="1" hidden="1" outlineLevel="2" x14ac:dyDescent="0.25">
      <c r="A46" s="25"/>
      <c r="B46" s="10" t="str">
        <f>CONCATENATE("          ", "6113", " - ", "GROUP INSURANCE")</f>
        <v xml:space="preserve">          6113 - GROUP INSURANCE</v>
      </c>
      <c r="C46" s="10"/>
      <c r="D46" s="6">
        <v>3421.48</v>
      </c>
      <c r="E46" s="2"/>
      <c r="F46" s="7">
        <f t="shared" si="19"/>
        <v>1.5936096879366559</v>
      </c>
      <c r="G46" s="2"/>
      <c r="H46" s="6">
        <v>3218.03</v>
      </c>
      <c r="I46" s="2"/>
      <c r="J46" s="7">
        <f t="shared" si="20"/>
        <v>8.499936343518899E-2</v>
      </c>
      <c r="K46" s="2"/>
      <c r="L46" s="6">
        <f t="shared" si="21"/>
        <v>203.44999999999982</v>
      </c>
      <c r="M46" s="2"/>
      <c r="N46" s="7">
        <f t="shared" si="22"/>
        <v>6.3221909056161624E-2</v>
      </c>
      <c r="O46" s="10"/>
      <c r="P46" s="6">
        <v>32635.77</v>
      </c>
      <c r="Q46" s="2"/>
      <c r="R46" s="7">
        <f t="shared" si="23"/>
        <v>0.2940291110331697</v>
      </c>
      <c r="S46" s="2"/>
      <c r="T46" s="6">
        <v>27342.79</v>
      </c>
      <c r="U46" s="2"/>
      <c r="V46" s="7">
        <f t="shared" si="24"/>
        <v>5.6080860595442504E-2</v>
      </c>
      <c r="W46" s="2"/>
      <c r="X46" s="6">
        <f t="shared" si="25"/>
        <v>5292.98</v>
      </c>
      <c r="Y46" s="2"/>
      <c r="Z46" s="7">
        <f t="shared" si="26"/>
        <v>0.19357863626937849</v>
      </c>
    </row>
    <row r="47" spans="1:26" s="23" customFormat="1" hidden="1" outlineLevel="2" x14ac:dyDescent="0.25">
      <c r="A47" s="25"/>
      <c r="B47" s="10" t="str">
        <f>CONCATENATE("          ", "6114", " - ", "STATE UNEMPLOYMENT INSURANCE")</f>
        <v xml:space="preserve">          6114 - STATE UNEMPLOYMENT INSURANCE</v>
      </c>
      <c r="C47" s="10"/>
      <c r="D47" s="6">
        <v>43.8</v>
      </c>
      <c r="E47" s="2"/>
      <c r="F47" s="7">
        <f t="shared" si="19"/>
        <v>2.0400558919422447E-2</v>
      </c>
      <c r="G47" s="2"/>
      <c r="H47" s="6">
        <v>43.65</v>
      </c>
      <c r="I47" s="2"/>
      <c r="J47" s="7">
        <f t="shared" si="20"/>
        <v>1.1529482987871458E-3</v>
      </c>
      <c r="K47" s="2"/>
      <c r="L47" s="6">
        <f t="shared" si="21"/>
        <v>0.14999999999999858</v>
      </c>
      <c r="M47" s="2"/>
      <c r="N47" s="7">
        <f t="shared" si="22"/>
        <v>3.4364261168384554E-3</v>
      </c>
      <c r="O47" s="10"/>
      <c r="P47" s="6">
        <v>425.86</v>
      </c>
      <c r="Q47" s="2"/>
      <c r="R47" s="7">
        <f t="shared" si="23"/>
        <v>3.8367483661205372E-3</v>
      </c>
      <c r="S47" s="2"/>
      <c r="T47" s="6">
        <v>454.44</v>
      </c>
      <c r="U47" s="2"/>
      <c r="V47" s="7">
        <f t="shared" si="24"/>
        <v>9.3206970791908544E-4</v>
      </c>
      <c r="W47" s="2"/>
      <c r="X47" s="6">
        <f t="shared" si="25"/>
        <v>-28.579999999999984</v>
      </c>
      <c r="Y47" s="2"/>
      <c r="Z47" s="7">
        <f t="shared" si="26"/>
        <v>-6.2890590617023109E-2</v>
      </c>
    </row>
    <row r="48" spans="1:26" s="23" customFormat="1" hidden="1" outlineLevel="2" x14ac:dyDescent="0.25">
      <c r="A48" s="25"/>
      <c r="B48" s="10" t="str">
        <f>CONCATENATE("          ", "6115", " - ", "P.E.R.S.")</f>
        <v xml:space="preserve">          6115 - P.E.R.S.</v>
      </c>
      <c r="C48" s="10"/>
      <c r="D48" s="6">
        <v>1614.45</v>
      </c>
      <c r="E48" s="2"/>
      <c r="F48" s="7">
        <f t="shared" si="19"/>
        <v>0.75195621797857481</v>
      </c>
      <c r="G48" s="2"/>
      <c r="H48" s="6">
        <v>1128.2</v>
      </c>
      <c r="I48" s="2"/>
      <c r="J48" s="7">
        <f t="shared" si="20"/>
        <v>2.9799685468308319E-2</v>
      </c>
      <c r="K48" s="2"/>
      <c r="L48" s="6">
        <f t="shared" si="21"/>
        <v>486.25</v>
      </c>
      <c r="M48" s="2"/>
      <c r="N48" s="7">
        <f t="shared" si="22"/>
        <v>0.43099627725580569</v>
      </c>
      <c r="O48" s="10"/>
      <c r="P48" s="6">
        <v>15714.79</v>
      </c>
      <c r="Q48" s="2"/>
      <c r="R48" s="7">
        <f t="shared" si="23"/>
        <v>0.14158102394314412</v>
      </c>
      <c r="S48" s="2"/>
      <c r="T48" s="6">
        <v>12053.11</v>
      </c>
      <c r="U48" s="2"/>
      <c r="V48" s="7">
        <f t="shared" si="24"/>
        <v>2.4721280514956007E-2</v>
      </c>
      <c r="W48" s="2"/>
      <c r="X48" s="6">
        <f t="shared" si="25"/>
        <v>3661.6800000000003</v>
      </c>
      <c r="Y48" s="2"/>
      <c r="Z48" s="7">
        <f t="shared" si="26"/>
        <v>0.30379545196219065</v>
      </c>
    </row>
    <row r="49" spans="1:26" s="23" customFormat="1" hidden="1" outlineLevel="2" x14ac:dyDescent="0.25">
      <c r="A49" s="25"/>
      <c r="B49" s="10" t="str">
        <f>CONCATENATE("          ", "6118", " - ", "VACATION")</f>
        <v xml:space="preserve">          6118 - VACATION</v>
      </c>
      <c r="C49" s="10"/>
      <c r="D49" s="6">
        <v>1216.0999999999999</v>
      </c>
      <c r="E49" s="2"/>
      <c r="F49" s="7">
        <f t="shared" si="19"/>
        <v>0.56641825803446666</v>
      </c>
      <c r="G49" s="2"/>
      <c r="H49" s="6">
        <v>2935</v>
      </c>
      <c r="I49" s="2"/>
      <c r="J49" s="7">
        <f t="shared" si="20"/>
        <v>7.7523556860029166E-2</v>
      </c>
      <c r="K49" s="2"/>
      <c r="L49" s="6">
        <f t="shared" si="21"/>
        <v>-1718.9</v>
      </c>
      <c r="M49" s="2"/>
      <c r="N49" s="7">
        <f t="shared" si="22"/>
        <v>-0.58565587734241908</v>
      </c>
      <c r="O49" s="10"/>
      <c r="P49" s="6">
        <v>11315.73</v>
      </c>
      <c r="Q49" s="2"/>
      <c r="R49" s="7">
        <f t="shared" si="23"/>
        <v>0.10194807821575434</v>
      </c>
      <c r="S49" s="2"/>
      <c r="T49" s="6">
        <v>11894.97</v>
      </c>
      <c r="U49" s="2"/>
      <c r="V49" s="7">
        <f t="shared" si="24"/>
        <v>2.4396930757869646E-2</v>
      </c>
      <c r="W49" s="2"/>
      <c r="X49" s="6">
        <f t="shared" si="25"/>
        <v>-579.23999999999978</v>
      </c>
      <c r="Y49" s="2"/>
      <c r="Z49" s="7">
        <f t="shared" si="26"/>
        <v>-4.8696213609618171E-2</v>
      </c>
    </row>
    <row r="50" spans="1:26" s="23" customFormat="1" hidden="1" outlineLevel="2" x14ac:dyDescent="0.25">
      <c r="A50" s="25"/>
      <c r="B50" s="10" t="str">
        <f>CONCATENATE("          ", "6119", " - ", "SICK LEAVE")</f>
        <v xml:space="preserve">          6119 - SICK LEAVE</v>
      </c>
      <c r="C50" s="10"/>
      <c r="D50" s="6">
        <v>738.5</v>
      </c>
      <c r="E50" s="2"/>
      <c r="F50" s="7">
        <f t="shared" si="19"/>
        <v>0.34396832789939452</v>
      </c>
      <c r="G50" s="2"/>
      <c r="H50" s="6">
        <v>2081.0300000000002</v>
      </c>
      <c r="I50" s="2"/>
      <c r="J50" s="7">
        <f t="shared" si="20"/>
        <v>5.4967239363688768E-2</v>
      </c>
      <c r="K50" s="2"/>
      <c r="L50" s="6">
        <f t="shared" si="21"/>
        <v>-1342.5300000000002</v>
      </c>
      <c r="M50" s="2"/>
      <c r="N50" s="7">
        <f t="shared" si="22"/>
        <v>-0.64512765313330422</v>
      </c>
      <c r="O50" s="10"/>
      <c r="P50" s="6">
        <v>6909.77</v>
      </c>
      <c r="Q50" s="2"/>
      <c r="R50" s="7">
        <f t="shared" si="23"/>
        <v>6.2252967542780972E-2</v>
      </c>
      <c r="S50" s="2"/>
      <c r="T50" s="6">
        <v>7378.95</v>
      </c>
      <c r="U50" s="2"/>
      <c r="V50" s="7">
        <f t="shared" si="24"/>
        <v>1.5134441887266823E-2</v>
      </c>
      <c r="W50" s="2"/>
      <c r="X50" s="6">
        <f t="shared" si="25"/>
        <v>-469.17999999999938</v>
      </c>
      <c r="Y50" s="2"/>
      <c r="Z50" s="7">
        <f t="shared" si="26"/>
        <v>-6.3583572188454909E-2</v>
      </c>
    </row>
    <row r="51" spans="1:26" s="23" customFormat="1" hidden="1" outlineLevel="2" x14ac:dyDescent="0.25">
      <c r="A51" s="25"/>
      <c r="B51" s="10" t="str">
        <f>CONCATENATE("          ", "6156", " - ", "EMPLOYEE MEALS")</f>
        <v xml:space="preserve">          6156 - EMPLOYEE MEALS</v>
      </c>
      <c r="C51" s="10"/>
      <c r="D51" s="6">
        <v>338.52</v>
      </c>
      <c r="E51" s="2"/>
      <c r="F51" s="7">
        <f t="shared" si="19"/>
        <v>0.15767116907312528</v>
      </c>
      <c r="G51" s="2"/>
      <c r="H51" s="6">
        <v>170.81</v>
      </c>
      <c r="I51" s="2"/>
      <c r="J51" s="7">
        <f t="shared" si="20"/>
        <v>4.5116861149102497E-3</v>
      </c>
      <c r="K51" s="2"/>
      <c r="L51" s="6">
        <f t="shared" si="21"/>
        <v>167.70999999999998</v>
      </c>
      <c r="M51" s="2"/>
      <c r="N51" s="7">
        <f t="shared" si="22"/>
        <v>0.98185117967332114</v>
      </c>
      <c r="O51" s="10"/>
      <c r="P51" s="6">
        <v>2886.25</v>
      </c>
      <c r="Q51" s="2"/>
      <c r="R51" s="7">
        <f t="shared" si="23"/>
        <v>2.6003416549371626E-2</v>
      </c>
      <c r="S51" s="2"/>
      <c r="T51" s="6">
        <v>2442.5100000000002</v>
      </c>
      <c r="U51" s="2"/>
      <c r="V51" s="7">
        <f t="shared" si="24"/>
        <v>5.009659321999484E-3</v>
      </c>
      <c r="W51" s="2"/>
      <c r="X51" s="6">
        <f t="shared" si="25"/>
        <v>443.73999999999978</v>
      </c>
      <c r="Y51" s="2"/>
      <c r="Z51" s="7">
        <f t="shared" si="26"/>
        <v>0.18167377001527107</v>
      </c>
    </row>
    <row r="52" spans="1:26" s="26" customFormat="1" outlineLevel="1" collapsed="1" x14ac:dyDescent="0.25">
      <c r="A52" s="27"/>
      <c r="B52" s="12" t="str">
        <f>CONCATENATE("     ","*Payroll                                          ")</f>
        <v xml:space="preserve">     *Payroll                                          </v>
      </c>
      <c r="C52" s="12"/>
      <c r="D52" s="1">
        <f>SUM(OSRRefD22_1x_0)</f>
        <v>14970.33</v>
      </c>
      <c r="E52" s="1"/>
      <c r="F52" s="5">
        <f t="shared" ref="F52:F57" si="27">IF(D$12=0,0,D52/D$12)</f>
        <v>6.9726734979040526</v>
      </c>
      <c r="G52" s="1"/>
      <c r="H52" s="1">
        <f>SUM(OSRRefH22_1x_0)</f>
        <v>16855.77</v>
      </c>
      <c r="I52" s="1"/>
      <c r="J52" s="5">
        <f t="shared" ref="J52:J57" si="28">IF(H$12=0,0,H52/H$12)</f>
        <v>0.44521950392319387</v>
      </c>
      <c r="K52" s="1"/>
      <c r="L52" s="1">
        <f t="shared" ref="L52:L57" si="29">+D52-H52</f>
        <v>-1885.4400000000005</v>
      </c>
      <c r="M52" s="1"/>
      <c r="N52" s="5">
        <f t="shared" ref="N52:N57" si="30">IF(H52=0,0,L52/H52)</f>
        <v>-0.1118572453231149</v>
      </c>
      <c r="O52" s="12"/>
      <c r="P52" s="1">
        <f>SUM(OSRRefP22_1x_0)</f>
        <v>138818.57</v>
      </c>
      <c r="Q52" s="1"/>
      <c r="R52" s="5">
        <f t="shared" ref="R52:R57" si="31">IF(P$12=0,0,P52/P$12)</f>
        <v>1.2506737463830588</v>
      </c>
      <c r="S52" s="1"/>
      <c r="T52" s="1">
        <f>SUM(OSRRefT22_1x_0)</f>
        <v>159414.16</v>
      </c>
      <c r="U52" s="1"/>
      <c r="V52" s="5">
        <f t="shared" ref="V52:V57" si="32">IF(T$12=0,0,T52/T$12)</f>
        <v>0.32696309644698168</v>
      </c>
      <c r="W52" s="1"/>
      <c r="X52" s="1">
        <f t="shared" ref="X52:X57" si="33">+P52-T52</f>
        <v>-20595.589999999997</v>
      </c>
      <c r="Y52" s="1"/>
      <c r="Z52" s="5">
        <f t="shared" ref="Z52:Z57" si="34">IF(T52=0,0,X52/T52)</f>
        <v>-0.12919548677482601</v>
      </c>
    </row>
    <row r="53" spans="1:26" s="23" customFormat="1" hidden="1" outlineLevel="2" x14ac:dyDescent="0.25">
      <c r="A53" s="25"/>
      <c r="B53" s="10" t="str">
        <f>CONCATENATE("          ", "6002", " - ", "STAFF SALARIES")</f>
        <v xml:space="preserve">          6002 - STAFF SALARIES</v>
      </c>
      <c r="C53" s="10"/>
      <c r="D53" s="6">
        <v>14462.41</v>
      </c>
      <c r="E53" s="2"/>
      <c r="F53" s="7">
        <f t="shared" si="27"/>
        <v>6.7361015370284116</v>
      </c>
      <c r="G53" s="2"/>
      <c r="H53" s="6">
        <v>8100.64</v>
      </c>
      <c r="I53" s="2"/>
      <c r="J53" s="7">
        <f t="shared" si="28"/>
        <v>0.21396607347278596</v>
      </c>
      <c r="K53" s="2"/>
      <c r="L53" s="6">
        <f t="shared" si="29"/>
        <v>6361.7699999999995</v>
      </c>
      <c r="M53" s="2"/>
      <c r="N53" s="7">
        <f t="shared" si="30"/>
        <v>0.7853416520176183</v>
      </c>
      <c r="O53" s="10"/>
      <c r="P53" s="6">
        <v>132471.79</v>
      </c>
      <c r="Q53" s="2"/>
      <c r="R53" s="7">
        <f t="shared" si="31"/>
        <v>1.1934929879292795</v>
      </c>
      <c r="S53" s="2"/>
      <c r="T53" s="6">
        <v>102753</v>
      </c>
      <c r="U53" s="2"/>
      <c r="V53" s="7">
        <f t="shared" si="32"/>
        <v>0.21074940299667674</v>
      </c>
      <c r="W53" s="2"/>
      <c r="X53" s="6">
        <f t="shared" si="33"/>
        <v>29718.790000000008</v>
      </c>
      <c r="Y53" s="2"/>
      <c r="Z53" s="7">
        <f t="shared" si="34"/>
        <v>0.28922552139596908</v>
      </c>
    </row>
    <row r="54" spans="1:26" s="23" customFormat="1" hidden="1" outlineLevel="2" x14ac:dyDescent="0.25">
      <c r="A54" s="25"/>
      <c r="B54" s="10" t="str">
        <f>CONCATENATE("          ", "6004", " - ", "STAFF HOURLY")</f>
        <v xml:space="preserve">          6004 - STAFF HOURLY</v>
      </c>
      <c r="C54" s="10"/>
      <c r="D54" s="6"/>
      <c r="E54" s="2"/>
      <c r="F54" s="7">
        <f t="shared" si="27"/>
        <v>0</v>
      </c>
      <c r="G54" s="2"/>
      <c r="H54" s="6">
        <v>491.67</v>
      </c>
      <c r="I54" s="2"/>
      <c r="J54" s="7">
        <f t="shared" si="28"/>
        <v>1.2986714549018926E-2</v>
      </c>
      <c r="K54" s="2"/>
      <c r="L54" s="6">
        <f t="shared" si="29"/>
        <v>-491.67</v>
      </c>
      <c r="M54" s="2"/>
      <c r="N54" s="7">
        <f t="shared" si="30"/>
        <v>-1</v>
      </c>
      <c r="O54" s="10"/>
      <c r="P54" s="6"/>
      <c r="Q54" s="2"/>
      <c r="R54" s="7">
        <f t="shared" si="31"/>
        <v>0</v>
      </c>
      <c r="S54" s="2"/>
      <c r="T54" s="6">
        <v>491.67</v>
      </c>
      <c r="U54" s="2"/>
      <c r="V54" s="7">
        <f t="shared" si="32"/>
        <v>1.0084295248934442E-3</v>
      </c>
      <c r="W54" s="2"/>
      <c r="X54" s="6">
        <f t="shared" si="33"/>
        <v>-491.67</v>
      </c>
      <c r="Y54" s="2"/>
      <c r="Z54" s="7">
        <f t="shared" si="34"/>
        <v>-1</v>
      </c>
    </row>
    <row r="55" spans="1:26" s="23" customFormat="1" hidden="1" outlineLevel="2" x14ac:dyDescent="0.25">
      <c r="A55" s="25"/>
      <c r="B55" s="10" t="str">
        <f>CONCATENATE("          ", "6005", " - ", "TEMPORARY WAGES-HOURLY")</f>
        <v xml:space="preserve">          6005 - TEMPORARY WAGES-HOURLY</v>
      </c>
      <c r="C55" s="10"/>
      <c r="D55" s="6"/>
      <c r="E55" s="2"/>
      <c r="F55" s="7">
        <f t="shared" si="27"/>
        <v>0</v>
      </c>
      <c r="G55" s="2"/>
      <c r="H55" s="6">
        <v>1928.28</v>
      </c>
      <c r="I55" s="2"/>
      <c r="J55" s="7">
        <f t="shared" si="28"/>
        <v>5.0932580654874632E-2</v>
      </c>
      <c r="K55" s="2"/>
      <c r="L55" s="6">
        <f t="shared" si="29"/>
        <v>-1928.28</v>
      </c>
      <c r="M55" s="2"/>
      <c r="N55" s="7">
        <f t="shared" si="30"/>
        <v>-1</v>
      </c>
      <c r="O55" s="10"/>
      <c r="P55" s="6">
        <v>383.25</v>
      </c>
      <c r="Q55" s="2"/>
      <c r="R55" s="7">
        <f t="shared" si="31"/>
        <v>3.4528573036108011E-3</v>
      </c>
      <c r="S55" s="2"/>
      <c r="T55" s="6">
        <v>18251.97</v>
      </c>
      <c r="U55" s="2"/>
      <c r="V55" s="7">
        <f t="shared" si="32"/>
        <v>3.7435323358084478E-2</v>
      </c>
      <c r="W55" s="2"/>
      <c r="X55" s="6">
        <f t="shared" si="33"/>
        <v>-17868.72</v>
      </c>
      <c r="Y55" s="2"/>
      <c r="Z55" s="7">
        <f t="shared" si="34"/>
        <v>-0.97900226660464595</v>
      </c>
    </row>
    <row r="56" spans="1:26" s="23" customFormat="1" hidden="1" outlineLevel="2" x14ac:dyDescent="0.25">
      <c r="A56" s="25"/>
      <c r="B56" s="10" t="str">
        <f>CONCATENATE("          ", "6006", " - ", "TEMPORARY PART TIME")</f>
        <v xml:space="preserve">          6006 - TEMPORARY PART TIME</v>
      </c>
      <c r="C56" s="10"/>
      <c r="D56" s="6"/>
      <c r="E56" s="2"/>
      <c r="F56" s="7">
        <f t="shared" si="27"/>
        <v>0</v>
      </c>
      <c r="G56" s="2"/>
      <c r="H56" s="6">
        <v>1129.57</v>
      </c>
      <c r="I56" s="2"/>
      <c r="J56" s="7">
        <f t="shared" si="28"/>
        <v>2.9835871932668876E-2</v>
      </c>
      <c r="K56" s="2"/>
      <c r="L56" s="6">
        <f t="shared" si="29"/>
        <v>-1129.57</v>
      </c>
      <c r="M56" s="2"/>
      <c r="N56" s="7">
        <f t="shared" si="30"/>
        <v>-1</v>
      </c>
      <c r="O56" s="10"/>
      <c r="P56" s="6"/>
      <c r="Q56" s="2"/>
      <c r="R56" s="7">
        <f t="shared" si="31"/>
        <v>0</v>
      </c>
      <c r="S56" s="2"/>
      <c r="T56" s="6">
        <v>2571.56</v>
      </c>
      <c r="U56" s="2"/>
      <c r="V56" s="7">
        <f t="shared" si="32"/>
        <v>5.2743446397685136E-3</v>
      </c>
      <c r="W56" s="2"/>
      <c r="X56" s="6">
        <f t="shared" si="33"/>
        <v>-2571.56</v>
      </c>
      <c r="Y56" s="2"/>
      <c r="Z56" s="7">
        <f t="shared" si="34"/>
        <v>-1</v>
      </c>
    </row>
    <row r="57" spans="1:26" s="23" customFormat="1" hidden="1" outlineLevel="2" x14ac:dyDescent="0.25">
      <c r="A57" s="25"/>
      <c r="B57" s="10" t="str">
        <f>CONCATENATE("          ", "6007", " - ", "STUDENT HOURLY")</f>
        <v xml:space="preserve">          6007 - STUDENT HOURLY</v>
      </c>
      <c r="C57" s="10"/>
      <c r="D57" s="6">
        <v>507.92</v>
      </c>
      <c r="E57" s="2"/>
      <c r="F57" s="7">
        <f t="shared" si="27"/>
        <v>0.23657196087564045</v>
      </c>
      <c r="G57" s="2"/>
      <c r="H57" s="6">
        <v>5205.6099999999997</v>
      </c>
      <c r="I57" s="2"/>
      <c r="J57" s="7">
        <f t="shared" si="28"/>
        <v>0.13749826331384546</v>
      </c>
      <c r="K57" s="2"/>
      <c r="L57" s="6">
        <f t="shared" si="29"/>
        <v>-4697.6899999999996</v>
      </c>
      <c r="M57" s="2"/>
      <c r="N57" s="7">
        <f t="shared" si="30"/>
        <v>-0.90242834173132447</v>
      </c>
      <c r="O57" s="10"/>
      <c r="P57" s="6">
        <v>5963.53</v>
      </c>
      <c r="Q57" s="2"/>
      <c r="R57" s="7">
        <f t="shared" si="31"/>
        <v>5.3727901150168615E-2</v>
      </c>
      <c r="S57" s="2"/>
      <c r="T57" s="6">
        <v>35345.96</v>
      </c>
      <c r="U57" s="2"/>
      <c r="V57" s="7">
        <f t="shared" si="32"/>
        <v>7.2495595927558484E-2</v>
      </c>
      <c r="W57" s="2"/>
      <c r="X57" s="6">
        <f t="shared" si="33"/>
        <v>-29382.43</v>
      </c>
      <c r="Y57" s="2"/>
      <c r="Z57" s="7">
        <f t="shared" si="34"/>
        <v>-0.83128114217296689</v>
      </c>
    </row>
    <row r="58" spans="1:26" s="26" customFormat="1" outlineLevel="1" collapsed="1" x14ac:dyDescent="0.25">
      <c r="A58" s="27"/>
      <c r="B58" s="12" t="str">
        <f>CONCATENATE("     ","Advertising/Promo                                 ")</f>
        <v xml:space="preserve">     Advertising/Promo                                 </v>
      </c>
      <c r="C58" s="12"/>
      <c r="D58" s="1">
        <f>SUM(OSRRefD22_2x_0)</f>
        <v>0</v>
      </c>
      <c r="E58" s="1"/>
      <c r="F58" s="5">
        <f t="shared" ref="F58:F68" si="35">IF(D$12=0,0,D58/D$12)</f>
        <v>0</v>
      </c>
      <c r="G58" s="1"/>
      <c r="H58" s="1">
        <f>SUM(OSRRefH22_2x_0)</f>
        <v>425.35</v>
      </c>
      <c r="I58" s="1"/>
      <c r="J58" s="5">
        <f t="shared" ref="J58:J68" si="36">IF(H$12=0,0,H58/H$12)</f>
        <v>1.1234972712236255E-2</v>
      </c>
      <c r="K58" s="1"/>
      <c r="L58" s="1">
        <f t="shared" ref="L58:L68" si="37">+D58-H58</f>
        <v>-425.35</v>
      </c>
      <c r="M58" s="1"/>
      <c r="N58" s="5">
        <f t="shared" ref="N58:N68" si="38">IF(H58=0,0,L58/H58)</f>
        <v>-1</v>
      </c>
      <c r="O58" s="12"/>
      <c r="P58" s="1">
        <f>SUM(OSRRefP22_2x_0)</f>
        <v>0</v>
      </c>
      <c r="Q58" s="1"/>
      <c r="R58" s="5">
        <f t="shared" ref="R58:R68" si="39">IF(P$12=0,0,P58/P$12)</f>
        <v>0</v>
      </c>
      <c r="S58" s="1"/>
      <c r="T58" s="1">
        <f>SUM(OSRRefT22_2x_0)</f>
        <v>1915.77</v>
      </c>
      <c r="U58" s="1"/>
      <c r="V58" s="5">
        <f t="shared" ref="V58:V68" si="40">IF(T$12=0,0,T58/T$12)</f>
        <v>3.9293002031954632E-3</v>
      </c>
      <c r="W58" s="1"/>
      <c r="X58" s="1">
        <f t="shared" ref="X58:X68" si="41">+P58-T58</f>
        <v>-1915.77</v>
      </c>
      <c r="Y58" s="1"/>
      <c r="Z58" s="5">
        <f t="shared" ref="Z58:Z68" si="42">IF(T58=0,0,X58/T58)</f>
        <v>-1</v>
      </c>
    </row>
    <row r="59" spans="1:26" s="23" customFormat="1" hidden="1" outlineLevel="2" x14ac:dyDescent="0.25">
      <c r="A59" s="25"/>
      <c r="B59" s="10" t="str">
        <f>CONCATENATE("          ", "6362", " - ", "ADVERTISING EXPENSE")</f>
        <v xml:space="preserve">          6362 - ADVERTISING EXPENSE</v>
      </c>
      <c r="C59" s="10"/>
      <c r="D59" s="6"/>
      <c r="E59" s="2"/>
      <c r="F59" s="7">
        <f t="shared" si="35"/>
        <v>0</v>
      </c>
      <c r="G59" s="2"/>
      <c r="H59" s="6">
        <v>425.35</v>
      </c>
      <c r="I59" s="2"/>
      <c r="J59" s="7">
        <f t="shared" si="36"/>
        <v>1.1234972712236255E-2</v>
      </c>
      <c r="K59" s="2"/>
      <c r="L59" s="6">
        <f t="shared" si="37"/>
        <v>-425.35</v>
      </c>
      <c r="M59" s="2"/>
      <c r="N59" s="7">
        <f t="shared" si="38"/>
        <v>-1</v>
      </c>
      <c r="O59" s="10"/>
      <c r="P59" s="6"/>
      <c r="Q59" s="2"/>
      <c r="R59" s="7">
        <f t="shared" si="39"/>
        <v>0</v>
      </c>
      <c r="S59" s="2"/>
      <c r="T59" s="6">
        <v>1915.77</v>
      </c>
      <c r="U59" s="2"/>
      <c r="V59" s="7">
        <f t="shared" si="40"/>
        <v>3.9293002031954632E-3</v>
      </c>
      <c r="W59" s="2"/>
      <c r="X59" s="6">
        <f t="shared" si="41"/>
        <v>-1915.77</v>
      </c>
      <c r="Y59" s="2"/>
      <c r="Z59" s="7">
        <f t="shared" si="42"/>
        <v>-1</v>
      </c>
    </row>
    <row r="60" spans="1:26" s="26" customFormat="1" outlineLevel="1" collapsed="1" x14ac:dyDescent="0.25">
      <c r="A60" s="27"/>
      <c r="B60" s="12" t="str">
        <f>CONCATENATE("     ","Depreciation                                      ")</f>
        <v xml:space="preserve">     Depreciation                                      </v>
      </c>
      <c r="C60" s="12"/>
      <c r="D60" s="1">
        <f>SUM(OSRRefD22_3x_0)</f>
        <v>169.88</v>
      </c>
      <c r="E60" s="1"/>
      <c r="F60" s="5">
        <f t="shared" si="35"/>
        <v>7.9124359571495106E-2</v>
      </c>
      <c r="G60" s="1"/>
      <c r="H60" s="1">
        <f>SUM(OSRRefH22_3x_0)</f>
        <v>169.88</v>
      </c>
      <c r="I60" s="1"/>
      <c r="J60" s="5">
        <f t="shared" si="36"/>
        <v>4.4871215807092864E-3</v>
      </c>
      <c r="K60" s="1"/>
      <c r="L60" s="1">
        <f t="shared" si="37"/>
        <v>0</v>
      </c>
      <c r="M60" s="1"/>
      <c r="N60" s="5">
        <f t="shared" si="38"/>
        <v>0</v>
      </c>
      <c r="O60" s="12"/>
      <c r="P60" s="1">
        <f>SUM(OSRRefP22_3x_0)</f>
        <v>1528.92</v>
      </c>
      <c r="Q60" s="1"/>
      <c r="R60" s="5">
        <f t="shared" si="39"/>
        <v>1.3774670811837251E-2</v>
      </c>
      <c r="S60" s="1"/>
      <c r="T60" s="1">
        <f>SUM(OSRRefT22_3x_0)</f>
        <v>679.52</v>
      </c>
      <c r="U60" s="1"/>
      <c r="V60" s="5">
        <f t="shared" si="40"/>
        <v>1.3937153593987697E-3</v>
      </c>
      <c r="W60" s="1"/>
      <c r="X60" s="1">
        <f t="shared" si="41"/>
        <v>849.40000000000009</v>
      </c>
      <c r="Y60" s="1"/>
      <c r="Z60" s="5">
        <f t="shared" si="42"/>
        <v>1.2500000000000002</v>
      </c>
    </row>
    <row r="61" spans="1:26" s="23" customFormat="1" hidden="1" outlineLevel="2" x14ac:dyDescent="0.25">
      <c r="A61" s="25"/>
      <c r="B61" s="10" t="str">
        <f>CONCATENATE("          ", "6322", " - ", "EQUIPMENT DEPRECIATION EXPENSE")</f>
        <v xml:space="preserve">          6322 - EQUIPMENT DEPRECIATION EXPENSE</v>
      </c>
      <c r="C61" s="10"/>
      <c r="D61" s="6">
        <v>169.88</v>
      </c>
      <c r="E61" s="2"/>
      <c r="F61" s="7">
        <f t="shared" si="35"/>
        <v>7.9124359571495106E-2</v>
      </c>
      <c r="G61" s="2"/>
      <c r="H61" s="6">
        <v>169.88</v>
      </c>
      <c r="I61" s="2"/>
      <c r="J61" s="7">
        <f t="shared" si="36"/>
        <v>4.4871215807092864E-3</v>
      </c>
      <c r="K61" s="2"/>
      <c r="L61" s="6">
        <f t="shared" si="37"/>
        <v>0</v>
      </c>
      <c r="M61" s="2"/>
      <c r="N61" s="7">
        <f t="shared" si="38"/>
        <v>0</v>
      </c>
      <c r="O61" s="10"/>
      <c r="P61" s="6">
        <v>1528.92</v>
      </c>
      <c r="Q61" s="2"/>
      <c r="R61" s="7">
        <f t="shared" si="39"/>
        <v>1.3774670811837251E-2</v>
      </c>
      <c r="S61" s="2"/>
      <c r="T61" s="6">
        <v>679.52</v>
      </c>
      <c r="U61" s="2"/>
      <c r="V61" s="7">
        <f t="shared" si="40"/>
        <v>1.3937153593987697E-3</v>
      </c>
      <c r="W61" s="2"/>
      <c r="X61" s="6">
        <f t="shared" si="41"/>
        <v>849.40000000000009</v>
      </c>
      <c r="Y61" s="2"/>
      <c r="Z61" s="7">
        <f t="shared" si="42"/>
        <v>1.2500000000000002</v>
      </c>
    </row>
    <row r="62" spans="1:26" s="26" customFormat="1" outlineLevel="1" collapsed="1" x14ac:dyDescent="0.25">
      <c r="A62" s="27"/>
      <c r="B62" s="12" t="str">
        <f>CONCATENATE("     ","Discounts and Markdowns                           ")</f>
        <v xml:space="preserve">     Discounts and Markdowns                           </v>
      </c>
      <c r="C62" s="12"/>
      <c r="D62" s="1">
        <f>SUM(OSRRefD22_4x_0)</f>
        <v>0</v>
      </c>
      <c r="E62" s="1"/>
      <c r="F62" s="5">
        <f t="shared" si="35"/>
        <v>0</v>
      </c>
      <c r="G62" s="1"/>
      <c r="H62" s="1">
        <f>SUM(OSRRefH22_4x_0)</f>
        <v>143.82</v>
      </c>
      <c r="I62" s="1"/>
      <c r="J62" s="5">
        <f t="shared" si="36"/>
        <v>3.7987863535296064E-3</v>
      </c>
      <c r="K62" s="1"/>
      <c r="L62" s="1">
        <f t="shared" si="37"/>
        <v>-143.82</v>
      </c>
      <c r="M62" s="1"/>
      <c r="N62" s="5">
        <f t="shared" si="38"/>
        <v>-1</v>
      </c>
      <c r="O62" s="12"/>
      <c r="P62" s="1">
        <f>SUM(OSRRefP22_4x_0)</f>
        <v>0</v>
      </c>
      <c r="Q62" s="1"/>
      <c r="R62" s="5">
        <f t="shared" si="39"/>
        <v>0</v>
      </c>
      <c r="S62" s="1"/>
      <c r="T62" s="1">
        <f>SUM(OSRRefT22_4x_0)</f>
        <v>1126.33</v>
      </c>
      <c r="U62" s="1"/>
      <c r="V62" s="5">
        <f t="shared" si="40"/>
        <v>2.3101357145508834E-3</v>
      </c>
      <c r="W62" s="1"/>
      <c r="X62" s="1">
        <f t="shared" si="41"/>
        <v>-1126.33</v>
      </c>
      <c r="Y62" s="1"/>
      <c r="Z62" s="5">
        <f t="shared" si="42"/>
        <v>-1</v>
      </c>
    </row>
    <row r="63" spans="1:26" s="23" customFormat="1" hidden="1" outlineLevel="2" x14ac:dyDescent="0.25">
      <c r="A63" s="25"/>
      <c r="B63" s="10" t="str">
        <f>CONCATENATE("          ", "6382", " - ", "DISCOUNTS/MARK DOWNS")</f>
        <v xml:space="preserve">          6382 - DISCOUNTS/MARK DOWNS</v>
      </c>
      <c r="C63" s="10"/>
      <c r="D63" s="6"/>
      <c r="E63" s="2"/>
      <c r="F63" s="7">
        <f t="shared" si="35"/>
        <v>0</v>
      </c>
      <c r="G63" s="2"/>
      <c r="H63" s="6">
        <v>143.82</v>
      </c>
      <c r="I63" s="2"/>
      <c r="J63" s="7">
        <f t="shared" si="36"/>
        <v>3.7987863535296064E-3</v>
      </c>
      <c r="K63" s="2"/>
      <c r="L63" s="6">
        <f t="shared" si="37"/>
        <v>-143.82</v>
      </c>
      <c r="M63" s="2"/>
      <c r="N63" s="7">
        <f t="shared" si="38"/>
        <v>-1</v>
      </c>
      <c r="O63" s="10"/>
      <c r="P63" s="6">
        <v>0</v>
      </c>
      <c r="Q63" s="2"/>
      <c r="R63" s="7">
        <f t="shared" si="39"/>
        <v>0</v>
      </c>
      <c r="S63" s="2"/>
      <c r="T63" s="6">
        <v>1126.33</v>
      </c>
      <c r="U63" s="2"/>
      <c r="V63" s="7">
        <f t="shared" si="40"/>
        <v>2.3101357145508834E-3</v>
      </c>
      <c r="W63" s="2"/>
      <c r="X63" s="6">
        <f t="shared" si="41"/>
        <v>-1126.33</v>
      </c>
      <c r="Y63" s="2"/>
      <c r="Z63" s="7">
        <f t="shared" si="42"/>
        <v>-1</v>
      </c>
    </row>
    <row r="64" spans="1:26" s="26" customFormat="1" outlineLevel="1" collapsed="1" x14ac:dyDescent="0.25">
      <c r="A64" s="27"/>
      <c r="B64" s="12" t="str">
        <f>CONCATENATE("     ","Equipment Rental                                  ")</f>
        <v xml:space="preserve">     Equipment Rental                                  </v>
      </c>
      <c r="C64" s="12"/>
      <c r="D64" s="1">
        <f>SUM(OSRRefD22_5x_0)</f>
        <v>1205.6400000000001</v>
      </c>
      <c r="E64" s="1"/>
      <c r="F64" s="5">
        <f t="shared" si="35"/>
        <v>0.56154634373544488</v>
      </c>
      <c r="G64" s="1"/>
      <c r="H64" s="1">
        <f>SUM(OSRRefH22_5x_0)</f>
        <v>1205.6400000000001</v>
      </c>
      <c r="I64" s="1"/>
      <c r="J64" s="5">
        <f t="shared" si="36"/>
        <v>3.1845145176397131E-2</v>
      </c>
      <c r="K64" s="1"/>
      <c r="L64" s="1">
        <f t="shared" si="37"/>
        <v>0</v>
      </c>
      <c r="M64" s="1"/>
      <c r="N64" s="5">
        <f t="shared" si="38"/>
        <v>0</v>
      </c>
      <c r="O64" s="12"/>
      <c r="P64" s="1">
        <f>SUM(OSRRefP22_5x_0)</f>
        <v>10850.76</v>
      </c>
      <c r="Q64" s="1"/>
      <c r="R64" s="5">
        <f t="shared" si="39"/>
        <v>9.7758971730536048E-2</v>
      </c>
      <c r="S64" s="1"/>
      <c r="T64" s="1">
        <f>SUM(OSRRefT22_5x_0)</f>
        <v>13549.08</v>
      </c>
      <c r="U64" s="1"/>
      <c r="V64" s="5">
        <f t="shared" si="40"/>
        <v>2.7789558661588595E-2</v>
      </c>
      <c r="W64" s="1"/>
      <c r="X64" s="1">
        <f t="shared" si="41"/>
        <v>-2698.3199999999997</v>
      </c>
      <c r="Y64" s="1"/>
      <c r="Z64" s="5">
        <f t="shared" si="42"/>
        <v>-0.19915152910751133</v>
      </c>
    </row>
    <row r="65" spans="1:26" s="23" customFormat="1" hidden="1" outlineLevel="2" x14ac:dyDescent="0.25">
      <c r="A65" s="25"/>
      <c r="B65" s="10" t="str">
        <f>CONCATENATE("          ", "6351", " - ", "EQUIPMENT RENTAL")</f>
        <v xml:space="preserve">          6351 - EQUIPMENT RENTAL</v>
      </c>
      <c r="C65" s="10"/>
      <c r="D65" s="6">
        <v>1205.6400000000001</v>
      </c>
      <c r="E65" s="2"/>
      <c r="F65" s="7">
        <f t="shared" si="35"/>
        <v>0.56154634373544488</v>
      </c>
      <c r="G65" s="2"/>
      <c r="H65" s="6">
        <v>1205.6400000000001</v>
      </c>
      <c r="I65" s="2"/>
      <c r="J65" s="7">
        <f t="shared" si="36"/>
        <v>3.1845145176397131E-2</v>
      </c>
      <c r="K65" s="2"/>
      <c r="L65" s="6">
        <f t="shared" si="37"/>
        <v>0</v>
      </c>
      <c r="M65" s="2"/>
      <c r="N65" s="7">
        <f t="shared" si="38"/>
        <v>0</v>
      </c>
      <c r="O65" s="10"/>
      <c r="P65" s="6">
        <v>10850.76</v>
      </c>
      <c r="Q65" s="2"/>
      <c r="R65" s="7">
        <f t="shared" si="39"/>
        <v>9.7758971730536048E-2</v>
      </c>
      <c r="S65" s="2"/>
      <c r="T65" s="6">
        <v>13549.08</v>
      </c>
      <c r="U65" s="2"/>
      <c r="V65" s="7">
        <f t="shared" si="40"/>
        <v>2.7789558661588595E-2</v>
      </c>
      <c r="W65" s="2"/>
      <c r="X65" s="6">
        <f t="shared" si="41"/>
        <v>-2698.3199999999997</v>
      </c>
      <c r="Y65" s="2"/>
      <c r="Z65" s="7">
        <f t="shared" si="42"/>
        <v>-0.19915152910751133</v>
      </c>
    </row>
    <row r="66" spans="1:26" s="26" customFormat="1" outlineLevel="1" collapsed="1" x14ac:dyDescent="0.25">
      <c r="A66" s="27"/>
      <c r="B66" s="12" t="str">
        <f>CONCATENATE("     ","Freight out/Postage                               ")</f>
        <v xml:space="preserve">     Freight out/Postage                               </v>
      </c>
      <c r="C66" s="12"/>
      <c r="D66" s="1">
        <f>SUM(OSRRefD22_6x_0)</f>
        <v>-8583.6000000000022</v>
      </c>
      <c r="E66" s="1"/>
      <c r="F66" s="5">
        <f t="shared" si="35"/>
        <v>-3.9979506287843511</v>
      </c>
      <c r="G66" s="1"/>
      <c r="H66" s="1">
        <f>SUM(OSRRefH22_6x_0)</f>
        <v>-1580.9</v>
      </c>
      <c r="I66" s="1"/>
      <c r="J66" s="5">
        <f t="shared" si="36"/>
        <v>-4.1757066793873976E-2</v>
      </c>
      <c r="K66" s="1"/>
      <c r="L66" s="1">
        <f t="shared" si="37"/>
        <v>-7002.7000000000025</v>
      </c>
      <c r="M66" s="1"/>
      <c r="N66" s="5">
        <f t="shared" si="38"/>
        <v>4.4295654374090718</v>
      </c>
      <c r="O66" s="12"/>
      <c r="P66" s="1">
        <f>SUM(OSRRefP22_6x_0)</f>
        <v>-54006.010000000009</v>
      </c>
      <c r="Q66" s="1"/>
      <c r="R66" s="5">
        <f t="shared" si="39"/>
        <v>-0.48656241635323683</v>
      </c>
      <c r="S66" s="1"/>
      <c r="T66" s="1">
        <f>SUM(OSRRefT22_6x_0)</f>
        <v>-18300.909999999996</v>
      </c>
      <c r="U66" s="1"/>
      <c r="V66" s="5">
        <f t="shared" si="40"/>
        <v>-3.7535700726946279E-2</v>
      </c>
      <c r="W66" s="1"/>
      <c r="X66" s="1">
        <f t="shared" si="41"/>
        <v>-35705.100000000013</v>
      </c>
      <c r="Y66" s="1"/>
      <c r="Z66" s="5">
        <f t="shared" si="42"/>
        <v>1.9510013436490328</v>
      </c>
    </row>
    <row r="67" spans="1:26" s="23" customFormat="1" hidden="1" outlineLevel="2" x14ac:dyDescent="0.25">
      <c r="A67" s="25"/>
      <c r="B67" s="10" t="str">
        <f>CONCATENATE("          ", "6305", " - ", "FREIGHT OUT")</f>
        <v xml:space="preserve">          6305 - FREIGHT OUT</v>
      </c>
      <c r="C67" s="10"/>
      <c r="D67" s="6">
        <v>10582.48</v>
      </c>
      <c r="E67" s="2"/>
      <c r="F67" s="7">
        <f t="shared" si="35"/>
        <v>4.9289613414066134</v>
      </c>
      <c r="G67" s="2"/>
      <c r="H67" s="6">
        <v>2798.68</v>
      </c>
      <c r="I67" s="2"/>
      <c r="J67" s="7">
        <f t="shared" si="36"/>
        <v>7.3922871588765399E-2</v>
      </c>
      <c r="K67" s="2"/>
      <c r="L67" s="6">
        <f t="shared" si="37"/>
        <v>7783.7999999999993</v>
      </c>
      <c r="M67" s="2"/>
      <c r="N67" s="7">
        <f t="shared" si="38"/>
        <v>2.7812397273000129</v>
      </c>
      <c r="O67" s="10"/>
      <c r="P67" s="6">
        <v>161479.19</v>
      </c>
      <c r="Q67" s="2"/>
      <c r="R67" s="7">
        <f t="shared" si="39"/>
        <v>1.4548326172802513</v>
      </c>
      <c r="S67" s="2"/>
      <c r="T67" s="6">
        <v>36399.54</v>
      </c>
      <c r="U67" s="2"/>
      <c r="V67" s="7">
        <f t="shared" si="40"/>
        <v>7.4656519268086141E-2</v>
      </c>
      <c r="W67" s="2"/>
      <c r="X67" s="6">
        <f t="shared" si="41"/>
        <v>125079.65</v>
      </c>
      <c r="Y67" s="2"/>
      <c r="Z67" s="7">
        <f t="shared" si="42"/>
        <v>3.4362975466173471</v>
      </c>
    </row>
    <row r="68" spans="1:26" s="23" customFormat="1" hidden="1" outlineLevel="2" x14ac:dyDescent="0.25">
      <c r="A68" s="25"/>
      <c r="B68" s="10" t="str">
        <f>CONCATENATE("          ", "6307", " - ", "POSTAGE")</f>
        <v xml:space="preserve">          6307 - POSTAGE</v>
      </c>
      <c r="C68" s="10"/>
      <c r="D68" s="6">
        <v>-19166.080000000002</v>
      </c>
      <c r="E68" s="2"/>
      <c r="F68" s="7">
        <f t="shared" si="35"/>
        <v>-8.9269119701909645</v>
      </c>
      <c r="G68" s="2"/>
      <c r="H68" s="6">
        <v>-4379.58</v>
      </c>
      <c r="I68" s="2"/>
      <c r="J68" s="7">
        <f t="shared" si="36"/>
        <v>-0.11567993838263937</v>
      </c>
      <c r="K68" s="2"/>
      <c r="L68" s="6">
        <f t="shared" si="37"/>
        <v>-14786.500000000002</v>
      </c>
      <c r="M68" s="2"/>
      <c r="N68" s="7">
        <f t="shared" si="38"/>
        <v>3.3762369907616718</v>
      </c>
      <c r="O68" s="10"/>
      <c r="P68" s="6">
        <v>-215485.2</v>
      </c>
      <c r="Q68" s="2"/>
      <c r="R68" s="7">
        <f t="shared" si="39"/>
        <v>-1.941395033633488</v>
      </c>
      <c r="S68" s="2"/>
      <c r="T68" s="6">
        <v>-54700.45</v>
      </c>
      <c r="U68" s="2"/>
      <c r="V68" s="7">
        <f t="shared" si="40"/>
        <v>-0.11219221999503241</v>
      </c>
      <c r="W68" s="2"/>
      <c r="X68" s="6">
        <f t="shared" si="41"/>
        <v>-160784.75</v>
      </c>
      <c r="Y68" s="2"/>
      <c r="Z68" s="7">
        <f t="shared" si="42"/>
        <v>2.9393679576676246</v>
      </c>
    </row>
    <row r="69" spans="1:26" s="26" customFormat="1" outlineLevel="1" collapsed="1" x14ac:dyDescent="0.25">
      <c r="A69" s="27"/>
      <c r="B69" s="12" t="str">
        <f>CONCATENATE("     ","General                                           ")</f>
        <v xml:space="preserve">     General                                           </v>
      </c>
      <c r="C69" s="12"/>
      <c r="D69" s="1">
        <f>SUM(OSRRefD22_7x_0)</f>
        <v>0</v>
      </c>
      <c r="E69" s="1"/>
      <c r="F69" s="5">
        <f t="shared" ref="F69:F76" si="43">IF(D$12=0,0,D69/D$12)</f>
        <v>0</v>
      </c>
      <c r="G69" s="1"/>
      <c r="H69" s="1">
        <f>SUM(OSRRefH22_7x_0)</f>
        <v>0</v>
      </c>
      <c r="I69" s="1"/>
      <c r="J69" s="5">
        <f t="shared" ref="J69:J76" si="44">IF(H$12=0,0,H69/H$12)</f>
        <v>0</v>
      </c>
      <c r="K69" s="1"/>
      <c r="L69" s="1">
        <f t="shared" ref="L69:L76" si="45">+D69-H69</f>
        <v>0</v>
      </c>
      <c r="M69" s="1"/>
      <c r="N69" s="5">
        <f t="shared" ref="N69:N76" si="46">IF(H69=0,0,L69/H69)</f>
        <v>0</v>
      </c>
      <c r="O69" s="12"/>
      <c r="P69" s="1">
        <f>SUM(OSRRefP22_7x_0)</f>
        <v>0</v>
      </c>
      <c r="Q69" s="1"/>
      <c r="R69" s="5">
        <f t="shared" ref="R69:R76" si="47">IF(P$12=0,0,P69/P$12)</f>
        <v>0</v>
      </c>
      <c r="S69" s="1"/>
      <c r="T69" s="1">
        <f>SUM(OSRRefT22_7x_0)</f>
        <v>155.16999999999999</v>
      </c>
      <c r="U69" s="1"/>
      <c r="V69" s="5">
        <f t="shared" ref="V69:V76" si="48">IF(T$12=0,0,T69/T$12)</f>
        <v>3.1825820037365655E-4</v>
      </c>
      <c r="W69" s="1"/>
      <c r="X69" s="1">
        <f t="shared" ref="X69:X76" si="49">+P69-T69</f>
        <v>-155.16999999999999</v>
      </c>
      <c r="Y69" s="1"/>
      <c r="Z69" s="5">
        <f t="shared" ref="Z69:Z76" si="50">IF(T69=0,0,X69/T69)</f>
        <v>-1</v>
      </c>
    </row>
    <row r="70" spans="1:26" s="23" customFormat="1" hidden="1" outlineLevel="2" x14ac:dyDescent="0.25">
      <c r="A70" s="25"/>
      <c r="B70" s="10" t="str">
        <f>CONCATENATE("          ", "6279", " - ", "GENERAL EXPENSE")</f>
        <v xml:space="preserve">          6279 - GENERAL EXPENSE</v>
      </c>
      <c r="C70" s="10"/>
      <c r="D70" s="6"/>
      <c r="E70" s="2"/>
      <c r="F70" s="7">
        <f t="shared" si="43"/>
        <v>0</v>
      </c>
      <c r="G70" s="2"/>
      <c r="H70" s="6"/>
      <c r="I70" s="2"/>
      <c r="J70" s="7">
        <f t="shared" si="44"/>
        <v>0</v>
      </c>
      <c r="K70" s="2"/>
      <c r="L70" s="6">
        <f t="shared" si="45"/>
        <v>0</v>
      </c>
      <c r="M70" s="2"/>
      <c r="N70" s="7">
        <f t="shared" si="46"/>
        <v>0</v>
      </c>
      <c r="O70" s="10"/>
      <c r="P70" s="6"/>
      <c r="Q70" s="2"/>
      <c r="R70" s="7">
        <f t="shared" si="47"/>
        <v>0</v>
      </c>
      <c r="S70" s="2"/>
      <c r="T70" s="6">
        <v>155.16999999999999</v>
      </c>
      <c r="U70" s="2"/>
      <c r="V70" s="7">
        <f t="shared" si="48"/>
        <v>3.1825820037365655E-4</v>
      </c>
      <c r="W70" s="2"/>
      <c r="X70" s="6">
        <f t="shared" si="49"/>
        <v>-155.16999999999999</v>
      </c>
      <c r="Y70" s="2"/>
      <c r="Z70" s="7">
        <f t="shared" si="50"/>
        <v>-1</v>
      </c>
    </row>
    <row r="71" spans="1:26" s="26" customFormat="1" outlineLevel="1" collapsed="1" x14ac:dyDescent="0.25">
      <c r="A71" s="27"/>
      <c r="B71" s="12" t="str">
        <f>CONCATENATE("     ","Inventory Adjustment                              ")</f>
        <v xml:space="preserve">     Inventory Adjustment                              </v>
      </c>
      <c r="C71" s="12"/>
      <c r="D71" s="1">
        <f>SUM(OSRRefD22_8x_0)</f>
        <v>0</v>
      </c>
      <c r="E71" s="1"/>
      <c r="F71" s="5">
        <f t="shared" si="43"/>
        <v>0</v>
      </c>
      <c r="G71" s="1"/>
      <c r="H71" s="1">
        <f>SUM(OSRRefH22_8x_0)</f>
        <v>100</v>
      </c>
      <c r="I71" s="1"/>
      <c r="J71" s="5">
        <f t="shared" si="44"/>
        <v>2.6413477635444352E-3</v>
      </c>
      <c r="K71" s="1"/>
      <c r="L71" s="1">
        <f t="shared" si="45"/>
        <v>-100</v>
      </c>
      <c r="M71" s="1"/>
      <c r="N71" s="5">
        <f t="shared" si="46"/>
        <v>-1</v>
      </c>
      <c r="O71" s="12"/>
      <c r="P71" s="1">
        <f>SUM(OSRRefP22_8x_0)</f>
        <v>0</v>
      </c>
      <c r="Q71" s="1"/>
      <c r="R71" s="5">
        <f t="shared" si="47"/>
        <v>0</v>
      </c>
      <c r="S71" s="1"/>
      <c r="T71" s="1">
        <f>SUM(OSRRefT22_8x_0)</f>
        <v>800</v>
      </c>
      <c r="U71" s="1"/>
      <c r="V71" s="5">
        <f t="shared" si="48"/>
        <v>1.6408233569564041E-3</v>
      </c>
      <c r="W71" s="1"/>
      <c r="X71" s="1">
        <f t="shared" si="49"/>
        <v>-800</v>
      </c>
      <c r="Y71" s="1"/>
      <c r="Z71" s="5">
        <f t="shared" si="50"/>
        <v>-1</v>
      </c>
    </row>
    <row r="72" spans="1:26" s="23" customFormat="1" hidden="1" outlineLevel="2" x14ac:dyDescent="0.25">
      <c r="A72" s="25"/>
      <c r="B72" s="10" t="str">
        <f>CONCATENATE("          ", "6408", " - ", "INVENTORY ADJUSTMENT")</f>
        <v xml:space="preserve">          6408 - INVENTORY ADJUSTMENT</v>
      </c>
      <c r="C72" s="10"/>
      <c r="D72" s="6"/>
      <c r="E72" s="2"/>
      <c r="F72" s="7">
        <f t="shared" si="43"/>
        <v>0</v>
      </c>
      <c r="G72" s="2"/>
      <c r="H72" s="6">
        <v>100</v>
      </c>
      <c r="I72" s="2"/>
      <c r="J72" s="7">
        <f t="shared" si="44"/>
        <v>2.6413477635444352E-3</v>
      </c>
      <c r="K72" s="2"/>
      <c r="L72" s="6">
        <f t="shared" si="45"/>
        <v>-100</v>
      </c>
      <c r="M72" s="2"/>
      <c r="N72" s="7">
        <f t="shared" si="46"/>
        <v>-1</v>
      </c>
      <c r="O72" s="10"/>
      <c r="P72" s="6"/>
      <c r="Q72" s="2"/>
      <c r="R72" s="7">
        <f t="shared" si="47"/>
        <v>0</v>
      </c>
      <c r="S72" s="2"/>
      <c r="T72" s="6">
        <v>800</v>
      </c>
      <c r="U72" s="2"/>
      <c r="V72" s="7">
        <f t="shared" si="48"/>
        <v>1.6408233569564041E-3</v>
      </c>
      <c r="W72" s="2"/>
      <c r="X72" s="6">
        <f t="shared" si="49"/>
        <v>-800</v>
      </c>
      <c r="Y72" s="2"/>
      <c r="Z72" s="7">
        <f t="shared" si="50"/>
        <v>-1</v>
      </c>
    </row>
    <row r="73" spans="1:26" s="26" customFormat="1" outlineLevel="1" collapsed="1" x14ac:dyDescent="0.25">
      <c r="A73" s="27"/>
      <c r="B73" s="12" t="str">
        <f>CONCATENATE("     ","Repair and Maintenance                            ")</f>
        <v xml:space="preserve">     Repair and Maintenance                            </v>
      </c>
      <c r="C73" s="12"/>
      <c r="D73" s="1">
        <f>SUM(OSRRefD22_9x_0)</f>
        <v>85.78</v>
      </c>
      <c r="E73" s="1"/>
      <c r="F73" s="5">
        <f t="shared" si="43"/>
        <v>3.9953423381462509E-2</v>
      </c>
      <c r="G73" s="1"/>
      <c r="H73" s="1">
        <f>SUM(OSRRefH22_9x_0)</f>
        <v>10224.290000000001</v>
      </c>
      <c r="I73" s="1"/>
      <c r="J73" s="5">
        <f t="shared" si="44"/>
        <v>0.27005905525329738</v>
      </c>
      <c r="K73" s="1"/>
      <c r="L73" s="1">
        <f t="shared" si="45"/>
        <v>-10138.51</v>
      </c>
      <c r="M73" s="1"/>
      <c r="N73" s="5">
        <f t="shared" si="46"/>
        <v>-0.99161017537648088</v>
      </c>
      <c r="O73" s="12"/>
      <c r="P73" s="1">
        <f>SUM(OSRRefP22_9x_0)</f>
        <v>30991.34</v>
      </c>
      <c r="Q73" s="1"/>
      <c r="R73" s="5">
        <f t="shared" si="47"/>
        <v>0.27921376299461337</v>
      </c>
      <c r="S73" s="1"/>
      <c r="T73" s="1">
        <f>SUM(OSRRefT22_9x_0)</f>
        <v>60770.329999999994</v>
      </c>
      <c r="U73" s="1"/>
      <c r="V73" s="5">
        <f t="shared" si="48"/>
        <v>0.12464172109243558</v>
      </c>
      <c r="W73" s="1"/>
      <c r="X73" s="1">
        <f t="shared" si="49"/>
        <v>-29778.989999999994</v>
      </c>
      <c r="Y73" s="1"/>
      <c r="Z73" s="5">
        <f t="shared" si="50"/>
        <v>-0.49002514878559977</v>
      </c>
    </row>
    <row r="74" spans="1:26" s="23" customFormat="1" hidden="1" outlineLevel="2" x14ac:dyDescent="0.25">
      <c r="A74" s="25"/>
      <c r="B74" s="10" t="str">
        <f>CONCATENATE("          ", "6371", " - ", "COMPUTER SOFTWARE MAINTENANCE")</f>
        <v xml:space="preserve">          6371 - COMPUTER SOFTWARE MAINTENANCE</v>
      </c>
      <c r="C74" s="10"/>
      <c r="D74" s="6"/>
      <c r="E74" s="2"/>
      <c r="F74" s="7">
        <f t="shared" si="43"/>
        <v>0</v>
      </c>
      <c r="G74" s="2"/>
      <c r="H74" s="6"/>
      <c r="I74" s="2"/>
      <c r="J74" s="7">
        <f t="shared" si="44"/>
        <v>0</v>
      </c>
      <c r="K74" s="2"/>
      <c r="L74" s="6">
        <f t="shared" si="45"/>
        <v>0</v>
      </c>
      <c r="M74" s="2"/>
      <c r="N74" s="7">
        <f t="shared" si="46"/>
        <v>0</v>
      </c>
      <c r="O74" s="10"/>
      <c r="P74" s="6">
        <v>7.69</v>
      </c>
      <c r="Q74" s="2"/>
      <c r="R74" s="7">
        <f t="shared" si="47"/>
        <v>6.9282381382301532E-5</v>
      </c>
      <c r="S74" s="2"/>
      <c r="T74" s="6"/>
      <c r="U74" s="2"/>
      <c r="V74" s="7">
        <f t="shared" si="48"/>
        <v>0</v>
      </c>
      <c r="W74" s="2"/>
      <c r="X74" s="6">
        <f t="shared" si="49"/>
        <v>7.69</v>
      </c>
      <c r="Y74" s="2"/>
      <c r="Z74" s="7">
        <f t="shared" si="50"/>
        <v>0</v>
      </c>
    </row>
    <row r="75" spans="1:26" s="23" customFormat="1" hidden="1" outlineLevel="2" x14ac:dyDescent="0.25">
      <c r="A75" s="25"/>
      <c r="B75" s="10" t="str">
        <f>CONCATENATE("          ", "6373", " - ", "MAINTENANCE CONTRACTS")</f>
        <v xml:space="preserve">          6373 - MAINTENANCE CONTRACTS</v>
      </c>
      <c r="C75" s="10"/>
      <c r="D75" s="6">
        <v>85.78</v>
      </c>
      <c r="E75" s="2"/>
      <c r="F75" s="7">
        <f t="shared" si="43"/>
        <v>3.9953423381462509E-2</v>
      </c>
      <c r="G75" s="2"/>
      <c r="H75" s="6">
        <v>10186.69</v>
      </c>
      <c r="I75" s="2"/>
      <c r="J75" s="7">
        <f t="shared" si="44"/>
        <v>0.26906590849420464</v>
      </c>
      <c r="K75" s="2"/>
      <c r="L75" s="6">
        <f t="shared" si="45"/>
        <v>-10100.91</v>
      </c>
      <c r="M75" s="2"/>
      <c r="N75" s="7">
        <f t="shared" si="46"/>
        <v>-0.99157920777013919</v>
      </c>
      <c r="O75" s="10"/>
      <c r="P75" s="6">
        <v>30983.65</v>
      </c>
      <c r="Q75" s="2"/>
      <c r="R75" s="7">
        <f t="shared" si="47"/>
        <v>0.27914448061323105</v>
      </c>
      <c r="S75" s="2"/>
      <c r="T75" s="6">
        <v>59847.27</v>
      </c>
      <c r="U75" s="2"/>
      <c r="V75" s="7">
        <f t="shared" si="48"/>
        <v>0.12274849808259537</v>
      </c>
      <c r="W75" s="2"/>
      <c r="X75" s="6">
        <f t="shared" si="49"/>
        <v>-28863.619999999995</v>
      </c>
      <c r="Y75" s="2"/>
      <c r="Z75" s="7">
        <f t="shared" si="50"/>
        <v>-0.48228799743079337</v>
      </c>
    </row>
    <row r="76" spans="1:26" s="23" customFormat="1" hidden="1" outlineLevel="2" x14ac:dyDescent="0.25">
      <c r="A76" s="25"/>
      <c r="B76" s="10" t="str">
        <f>CONCATENATE("          ", "6375", " - ", "OUTSIDE REPAIRS &amp; MAINTENANCE")</f>
        <v xml:space="preserve">          6375 - OUTSIDE REPAIRS &amp; MAINTENANCE</v>
      </c>
      <c r="C76" s="10"/>
      <c r="D76" s="6"/>
      <c r="E76" s="2"/>
      <c r="F76" s="7">
        <f t="shared" si="43"/>
        <v>0</v>
      </c>
      <c r="G76" s="2"/>
      <c r="H76" s="6">
        <v>37.6</v>
      </c>
      <c r="I76" s="2"/>
      <c r="J76" s="7">
        <f t="shared" si="44"/>
        <v>9.9314675909270762E-4</v>
      </c>
      <c r="K76" s="2"/>
      <c r="L76" s="6">
        <f t="shared" si="45"/>
        <v>-37.6</v>
      </c>
      <c r="M76" s="2"/>
      <c r="N76" s="7">
        <f t="shared" si="46"/>
        <v>-1</v>
      </c>
      <c r="O76" s="10"/>
      <c r="P76" s="6"/>
      <c r="Q76" s="2"/>
      <c r="R76" s="7">
        <f t="shared" si="47"/>
        <v>0</v>
      </c>
      <c r="S76" s="2"/>
      <c r="T76" s="6">
        <v>923.06</v>
      </c>
      <c r="U76" s="2"/>
      <c r="V76" s="7">
        <f t="shared" si="48"/>
        <v>1.8932230098402229E-3</v>
      </c>
      <c r="W76" s="2"/>
      <c r="X76" s="6">
        <f t="shared" si="49"/>
        <v>-923.06</v>
      </c>
      <c r="Y76" s="2"/>
      <c r="Z76" s="7">
        <f t="shared" si="50"/>
        <v>-1</v>
      </c>
    </row>
    <row r="77" spans="1:26" s="26" customFormat="1" outlineLevel="1" collapsed="1" x14ac:dyDescent="0.25">
      <c r="A77" s="27"/>
      <c r="B77" s="12" t="str">
        <f>CONCATENATE("     ","Royalty &amp; Commissions                             ")</f>
        <v xml:space="preserve">     Royalty &amp; Commissions                             </v>
      </c>
      <c r="C77" s="12"/>
      <c r="D77" s="1">
        <f>SUM(OSRRefD22_10x_0)</f>
        <v>27.21</v>
      </c>
      <c r="E77" s="1"/>
      <c r="F77" s="5">
        <f t="shared" ref="F77:F85" si="51">IF(D$12=0,0,D77/D$12)</f>
        <v>1.2673497904052167E-2</v>
      </c>
      <c r="G77" s="1"/>
      <c r="H77" s="1">
        <f>SUM(OSRRefH22_10x_0)</f>
        <v>3863.92</v>
      </c>
      <c r="I77" s="1"/>
      <c r="J77" s="5">
        <f t="shared" ref="J77:J85" si="52">IF(H$12=0,0,H77/H$12)</f>
        <v>0.10205956450514614</v>
      </c>
      <c r="K77" s="1"/>
      <c r="L77" s="1">
        <f t="shared" ref="L77:L85" si="53">+D77-H77</f>
        <v>-3836.71</v>
      </c>
      <c r="M77" s="1"/>
      <c r="N77" s="5">
        <f t="shared" ref="N77:N85" si="54">IF(H77=0,0,L77/H77)</f>
        <v>-0.99295792873558453</v>
      </c>
      <c r="O77" s="12"/>
      <c r="P77" s="1">
        <f>SUM(OSRRefP22_10x_0)</f>
        <v>10663.62</v>
      </c>
      <c r="Q77" s="1"/>
      <c r="R77" s="5">
        <f t="shared" ref="R77:R85" si="55">IF(P$12=0,0,P77/P$12)</f>
        <v>9.6072950293359993E-2</v>
      </c>
      <c r="S77" s="1"/>
      <c r="T77" s="1">
        <f>SUM(OSRRefT22_10x_0)</f>
        <v>76825.8</v>
      </c>
      <c r="U77" s="1"/>
      <c r="V77" s="5">
        <f t="shared" ref="V77:V85" si="56">IF(T$12=0,0,T77/T$12)</f>
        <v>0.15757195882107666</v>
      </c>
      <c r="W77" s="1"/>
      <c r="X77" s="1">
        <f t="shared" ref="X77:X85" si="57">+P77-T77</f>
        <v>-66162.180000000008</v>
      </c>
      <c r="Y77" s="1"/>
      <c r="Z77" s="5">
        <f t="shared" ref="Z77:Z85" si="58">IF(T77=0,0,X77/T77)</f>
        <v>-0.86119741024499585</v>
      </c>
    </row>
    <row r="78" spans="1:26" s="23" customFormat="1" hidden="1" outlineLevel="2" x14ac:dyDescent="0.25">
      <c r="A78" s="25"/>
      <c r="B78" s="10" t="str">
        <f>CONCATENATE("          ", "6259", " - ", "ROYALTY &amp; COMMISSIONS")</f>
        <v xml:space="preserve">          6259 - ROYALTY &amp; COMMISSIONS</v>
      </c>
      <c r="C78" s="10"/>
      <c r="D78" s="6">
        <v>27.21</v>
      </c>
      <c r="E78" s="2"/>
      <c r="F78" s="7">
        <f t="shared" si="51"/>
        <v>1.2673497904052167E-2</v>
      </c>
      <c r="G78" s="2"/>
      <c r="H78" s="6">
        <v>3863.92</v>
      </c>
      <c r="I78" s="2"/>
      <c r="J78" s="7">
        <f t="shared" si="52"/>
        <v>0.10205956450514614</v>
      </c>
      <c r="K78" s="2"/>
      <c r="L78" s="6">
        <f t="shared" si="53"/>
        <v>-3836.71</v>
      </c>
      <c r="M78" s="2"/>
      <c r="N78" s="7">
        <f t="shared" si="54"/>
        <v>-0.99295792873558453</v>
      </c>
      <c r="O78" s="10"/>
      <c r="P78" s="6">
        <v>10663.62</v>
      </c>
      <c r="Q78" s="2"/>
      <c r="R78" s="7">
        <f t="shared" si="55"/>
        <v>9.6072950293359993E-2</v>
      </c>
      <c r="S78" s="2"/>
      <c r="T78" s="6">
        <v>76825.8</v>
      </c>
      <c r="U78" s="2"/>
      <c r="V78" s="7">
        <f t="shared" si="56"/>
        <v>0.15757195882107666</v>
      </c>
      <c r="W78" s="2"/>
      <c r="X78" s="6">
        <f t="shared" si="57"/>
        <v>-66162.180000000008</v>
      </c>
      <c r="Y78" s="2"/>
      <c r="Z78" s="7">
        <f t="shared" si="58"/>
        <v>-0.86119741024499585</v>
      </c>
    </row>
    <row r="79" spans="1:26" s="26" customFormat="1" outlineLevel="1" collapsed="1" x14ac:dyDescent="0.25">
      <c r="A79" s="27"/>
      <c r="B79" s="12" t="str">
        <f>CONCATENATE("     ","Supplies                                          ")</f>
        <v xml:space="preserve">     Supplies                                          </v>
      </c>
      <c r="C79" s="12"/>
      <c r="D79" s="1">
        <f>SUM(OSRRefD22_11x_0)</f>
        <v>2585.0099999999998</v>
      </c>
      <c r="E79" s="1"/>
      <c r="F79" s="5">
        <f t="shared" si="51"/>
        <v>1.204010246856078</v>
      </c>
      <c r="G79" s="1"/>
      <c r="H79" s="1">
        <f>SUM(OSRRefH22_11x_0)</f>
        <v>9911.9699999999993</v>
      </c>
      <c r="I79" s="1"/>
      <c r="J79" s="5">
        <f t="shared" si="52"/>
        <v>0.26180959791819536</v>
      </c>
      <c r="K79" s="1"/>
      <c r="L79" s="1">
        <f t="shared" si="53"/>
        <v>-7326.9599999999991</v>
      </c>
      <c r="M79" s="1"/>
      <c r="N79" s="5">
        <f t="shared" si="54"/>
        <v>-0.73920320582084087</v>
      </c>
      <c r="O79" s="12"/>
      <c r="P79" s="1">
        <f>SUM(OSRRefP22_11x_0)</f>
        <v>32513.17</v>
      </c>
      <c r="Q79" s="1"/>
      <c r="R79" s="5">
        <f t="shared" si="55"/>
        <v>0.29292455707251036</v>
      </c>
      <c r="S79" s="1"/>
      <c r="T79" s="1">
        <f>SUM(OSRRefT22_11x_0)</f>
        <v>46618.869999999995</v>
      </c>
      <c r="U79" s="1"/>
      <c r="V79" s="5">
        <f t="shared" si="56"/>
        <v>9.561666346364274E-2</v>
      </c>
      <c r="W79" s="1"/>
      <c r="X79" s="1">
        <f t="shared" si="57"/>
        <v>-14105.699999999997</v>
      </c>
      <c r="Y79" s="1"/>
      <c r="Z79" s="5">
        <f t="shared" si="58"/>
        <v>-0.3025749015366524</v>
      </c>
    </row>
    <row r="80" spans="1:26" s="23" customFormat="1" hidden="1" outlineLevel="2" x14ac:dyDescent="0.25">
      <c r="A80" s="25"/>
      <c r="B80" s="10" t="str">
        <f>CONCATENATE("          ", "6234", " - ", "EXPENDABLE SUPPLIES &amp; EQUIPMEN")</f>
        <v xml:space="preserve">          6234 - EXPENDABLE SUPPLIES &amp; EQUIPMEN</v>
      </c>
      <c r="C80" s="10"/>
      <c r="D80" s="6"/>
      <c r="E80" s="2"/>
      <c r="F80" s="7">
        <f t="shared" si="51"/>
        <v>0</v>
      </c>
      <c r="G80" s="2"/>
      <c r="H80" s="6"/>
      <c r="I80" s="2"/>
      <c r="J80" s="7">
        <f t="shared" si="52"/>
        <v>0</v>
      </c>
      <c r="K80" s="2"/>
      <c r="L80" s="6">
        <f t="shared" si="53"/>
        <v>0</v>
      </c>
      <c r="M80" s="2"/>
      <c r="N80" s="7">
        <f t="shared" si="54"/>
        <v>0</v>
      </c>
      <c r="O80" s="10"/>
      <c r="P80" s="6"/>
      <c r="Q80" s="2"/>
      <c r="R80" s="7">
        <f t="shared" si="55"/>
        <v>0</v>
      </c>
      <c r="S80" s="2"/>
      <c r="T80" s="6">
        <v>1017.27</v>
      </c>
      <c r="U80" s="2"/>
      <c r="V80" s="7">
        <f t="shared" si="56"/>
        <v>2.0864504704138018E-3</v>
      </c>
      <c r="W80" s="2"/>
      <c r="X80" s="6">
        <f t="shared" si="57"/>
        <v>-1017.27</v>
      </c>
      <c r="Y80" s="2"/>
      <c r="Z80" s="7">
        <f t="shared" si="58"/>
        <v>-1</v>
      </c>
    </row>
    <row r="81" spans="1:26" s="23" customFormat="1" hidden="1" outlineLevel="2" x14ac:dyDescent="0.25">
      <c r="A81" s="25"/>
      <c r="B81" s="10" t="str">
        <f>CONCATENATE("          ", "6235", " - ", "COVID-19 EXPENSES")</f>
        <v xml:space="preserve">          6235 - COVID-19 EXPENSES</v>
      </c>
      <c r="C81" s="10"/>
      <c r="D81" s="6"/>
      <c r="E81" s="2"/>
      <c r="F81" s="7">
        <f t="shared" si="51"/>
        <v>0</v>
      </c>
      <c r="G81" s="2"/>
      <c r="H81" s="6"/>
      <c r="I81" s="2"/>
      <c r="J81" s="7">
        <f t="shared" si="52"/>
        <v>0</v>
      </c>
      <c r="K81" s="2"/>
      <c r="L81" s="6">
        <f t="shared" si="53"/>
        <v>0</v>
      </c>
      <c r="M81" s="2"/>
      <c r="N81" s="7">
        <f t="shared" si="54"/>
        <v>0</v>
      </c>
      <c r="O81" s="10"/>
      <c r="P81" s="6">
        <v>310.91000000000003</v>
      </c>
      <c r="Q81" s="2"/>
      <c r="R81" s="7">
        <f t="shared" si="55"/>
        <v>2.8011164103473826E-3</v>
      </c>
      <c r="S81" s="2"/>
      <c r="T81" s="6"/>
      <c r="U81" s="2"/>
      <c r="V81" s="7">
        <f t="shared" si="56"/>
        <v>0</v>
      </c>
      <c r="W81" s="2"/>
      <c r="X81" s="6">
        <f t="shared" si="57"/>
        <v>310.91000000000003</v>
      </c>
      <c r="Y81" s="2"/>
      <c r="Z81" s="7">
        <f t="shared" si="58"/>
        <v>0</v>
      </c>
    </row>
    <row r="82" spans="1:26" s="23" customFormat="1" hidden="1" outlineLevel="2" x14ac:dyDescent="0.25">
      <c r="A82" s="25"/>
      <c r="B82" s="10" t="str">
        <f>CONCATENATE("          ", "6241", " - ", "OFFICE EXPENSE")</f>
        <v xml:space="preserve">          6241 - OFFICE EXPENSE</v>
      </c>
      <c r="C82" s="10"/>
      <c r="D82" s="6">
        <v>46.64</v>
      </c>
      <c r="E82" s="2"/>
      <c r="F82" s="7">
        <f t="shared" si="51"/>
        <v>2.1723334885887284E-2</v>
      </c>
      <c r="G82" s="2"/>
      <c r="H82" s="6">
        <v>8.99</v>
      </c>
      <c r="I82" s="2"/>
      <c r="J82" s="7">
        <f t="shared" si="52"/>
        <v>2.3745716394264472E-4</v>
      </c>
      <c r="K82" s="2"/>
      <c r="L82" s="6">
        <f t="shared" si="53"/>
        <v>37.65</v>
      </c>
      <c r="M82" s="2"/>
      <c r="N82" s="7">
        <f t="shared" si="54"/>
        <v>4.1879866518353728</v>
      </c>
      <c r="O82" s="10"/>
      <c r="P82" s="6">
        <v>4651.21</v>
      </c>
      <c r="Q82" s="2"/>
      <c r="R82" s="7">
        <f t="shared" si="55"/>
        <v>4.1904669064912185E-2</v>
      </c>
      <c r="S82" s="2"/>
      <c r="T82" s="6">
        <v>1713.32</v>
      </c>
      <c r="U82" s="2"/>
      <c r="V82" s="7">
        <f t="shared" si="56"/>
        <v>3.5140693424256832E-3</v>
      </c>
      <c r="W82" s="2"/>
      <c r="X82" s="6">
        <f t="shared" si="57"/>
        <v>2937.8900000000003</v>
      </c>
      <c r="Y82" s="2"/>
      <c r="Z82" s="7">
        <f t="shared" si="58"/>
        <v>1.7147351341255577</v>
      </c>
    </row>
    <row r="83" spans="1:26" s="23" customFormat="1" hidden="1" outlineLevel="2" x14ac:dyDescent="0.25">
      <c r="A83" s="25"/>
      <c r="B83" s="10" t="str">
        <f>CONCATENATE("          ", "6243", " - ", "PAPER SUPPLIES")</f>
        <v xml:space="preserve">          6243 - PAPER SUPPLIES</v>
      </c>
      <c r="C83" s="10"/>
      <c r="D83" s="6">
        <v>309.25</v>
      </c>
      <c r="E83" s="2"/>
      <c r="F83" s="7">
        <f t="shared" si="51"/>
        <v>0.14403819282720073</v>
      </c>
      <c r="G83" s="2"/>
      <c r="H83" s="6">
        <v>5529.37</v>
      </c>
      <c r="I83" s="2"/>
      <c r="J83" s="7">
        <f t="shared" si="52"/>
        <v>0.14604989083309694</v>
      </c>
      <c r="K83" s="2"/>
      <c r="L83" s="6">
        <f t="shared" si="53"/>
        <v>-5220.12</v>
      </c>
      <c r="M83" s="2"/>
      <c r="N83" s="7">
        <f t="shared" si="54"/>
        <v>-0.94407138607110752</v>
      </c>
      <c r="O83" s="10"/>
      <c r="P83" s="6">
        <v>6482.65</v>
      </c>
      <c r="Q83" s="2"/>
      <c r="R83" s="7">
        <f t="shared" si="55"/>
        <v>5.8404867317032122E-2</v>
      </c>
      <c r="S83" s="2"/>
      <c r="T83" s="6">
        <v>17096.919999999998</v>
      </c>
      <c r="U83" s="2"/>
      <c r="V83" s="7">
        <f t="shared" si="56"/>
        <v>3.5066282085018857E-2</v>
      </c>
      <c r="W83" s="2"/>
      <c r="X83" s="6">
        <f t="shared" si="57"/>
        <v>-10614.269999999999</v>
      </c>
      <c r="Y83" s="2"/>
      <c r="Z83" s="7">
        <f t="shared" si="58"/>
        <v>-0.62082936575710712</v>
      </c>
    </row>
    <row r="84" spans="1:26" s="23" customFormat="1" hidden="1" outlineLevel="2" x14ac:dyDescent="0.25">
      <c r="A84" s="25"/>
      <c r="B84" s="10" t="str">
        <f>CONCATENATE("          ", "6245", " - ", "PRINTING")</f>
        <v xml:space="preserve">          6245 - PRINTING</v>
      </c>
      <c r="C84" s="10"/>
      <c r="D84" s="6">
        <v>447.27</v>
      </c>
      <c r="E84" s="2"/>
      <c r="F84" s="7">
        <f t="shared" si="51"/>
        <v>0.20832324173265021</v>
      </c>
      <c r="G84" s="2"/>
      <c r="H84" s="6">
        <v>289.75</v>
      </c>
      <c r="I84" s="2"/>
      <c r="J84" s="7">
        <f t="shared" si="52"/>
        <v>7.6533051448700005E-3</v>
      </c>
      <c r="K84" s="2"/>
      <c r="L84" s="6">
        <f t="shared" si="53"/>
        <v>157.51999999999998</v>
      </c>
      <c r="M84" s="2"/>
      <c r="N84" s="7">
        <f t="shared" si="54"/>
        <v>0.54364106988783423</v>
      </c>
      <c r="O84" s="10"/>
      <c r="P84" s="6">
        <v>1285.55</v>
      </c>
      <c r="Q84" s="2"/>
      <c r="R84" s="7">
        <f t="shared" si="55"/>
        <v>1.1582050115216871E-2</v>
      </c>
      <c r="S84" s="2"/>
      <c r="T84" s="6">
        <v>5563.42</v>
      </c>
      <c r="U84" s="2"/>
      <c r="V84" s="7">
        <f t="shared" si="56"/>
        <v>1.1410736850697998E-2</v>
      </c>
      <c r="W84" s="2"/>
      <c r="X84" s="6">
        <f t="shared" si="57"/>
        <v>-4277.87</v>
      </c>
      <c r="Y84" s="2"/>
      <c r="Z84" s="7">
        <f t="shared" si="58"/>
        <v>-0.76892810537403244</v>
      </c>
    </row>
    <row r="85" spans="1:26" s="23" customFormat="1" hidden="1" outlineLevel="2" x14ac:dyDescent="0.25">
      <c r="A85" s="25"/>
      <c r="B85" s="10" t="str">
        <f>CONCATENATE("          ", "6247", " - ", "STORE SUPPLIES")</f>
        <v xml:space="preserve">          6247 - STORE SUPPLIES</v>
      </c>
      <c r="C85" s="10"/>
      <c r="D85" s="6">
        <v>1781.85</v>
      </c>
      <c r="E85" s="2"/>
      <c r="F85" s="7">
        <f t="shared" si="51"/>
        <v>0.82992547741033995</v>
      </c>
      <c r="G85" s="2"/>
      <c r="H85" s="6">
        <v>4083.86</v>
      </c>
      <c r="I85" s="2"/>
      <c r="J85" s="7">
        <f t="shared" si="52"/>
        <v>0.10786894477628578</v>
      </c>
      <c r="K85" s="2"/>
      <c r="L85" s="6">
        <f t="shared" si="53"/>
        <v>-2302.0100000000002</v>
      </c>
      <c r="M85" s="2"/>
      <c r="N85" s="7">
        <f t="shared" si="54"/>
        <v>-0.56368484717889455</v>
      </c>
      <c r="O85" s="10"/>
      <c r="P85" s="6">
        <v>19782.849999999999</v>
      </c>
      <c r="Q85" s="2"/>
      <c r="R85" s="7">
        <f t="shared" si="55"/>
        <v>0.17823185416500179</v>
      </c>
      <c r="S85" s="2"/>
      <c r="T85" s="6">
        <v>21227.94</v>
      </c>
      <c r="U85" s="2"/>
      <c r="V85" s="7">
        <f t="shared" si="56"/>
        <v>4.3539124715086412E-2</v>
      </c>
      <c r="W85" s="2"/>
      <c r="X85" s="6">
        <f t="shared" si="57"/>
        <v>-1445.0900000000001</v>
      </c>
      <c r="Y85" s="2"/>
      <c r="Z85" s="7">
        <f t="shared" si="58"/>
        <v>-6.8074905054376467E-2</v>
      </c>
    </row>
    <row r="86" spans="1:26" s="26" customFormat="1" outlineLevel="1" collapsed="1" x14ac:dyDescent="0.25">
      <c r="A86" s="27"/>
      <c r="B86" s="12" t="str">
        <f>CONCATENATE("     ","Telephone/Data Lines                              ")</f>
        <v xml:space="preserve">     Telephone/Data Lines                              </v>
      </c>
      <c r="C86" s="12"/>
      <c r="D86" s="1">
        <f>SUM(OSRRefD22_12x_0)</f>
        <v>82.1</v>
      </c>
      <c r="E86" s="1"/>
      <c r="F86" s="5">
        <f t="shared" ref="F86:F91" si="59">IF(D$12=0,0,D86/D$12)</f>
        <v>3.8239403819282716E-2</v>
      </c>
      <c r="G86" s="1"/>
      <c r="H86" s="1">
        <f>SUM(OSRRefH22_12x_0)</f>
        <v>196.75</v>
      </c>
      <c r="I86" s="1"/>
      <c r="J86" s="5">
        <f t="shared" ref="J86:J91" si="60">IF(H$12=0,0,H86/H$12)</f>
        <v>5.1968517247736766E-3</v>
      </c>
      <c r="K86" s="1"/>
      <c r="L86" s="1">
        <f t="shared" ref="L86:L91" si="61">+D86-H86</f>
        <v>-114.65</v>
      </c>
      <c r="M86" s="1"/>
      <c r="N86" s="5">
        <f t="shared" ref="N86:N91" si="62">IF(H86=0,0,L86/H86)</f>
        <v>-0.58271918678526047</v>
      </c>
      <c r="O86" s="12"/>
      <c r="P86" s="1">
        <f>SUM(OSRRefP22_12x_0)</f>
        <v>1503.4</v>
      </c>
      <c r="Q86" s="1"/>
      <c r="R86" s="5">
        <f t="shared" ref="R86:R91" si="63">IF(P$12=0,0,P86/P$12)</f>
        <v>1.3544750607301967E-2</v>
      </c>
      <c r="S86" s="1"/>
      <c r="T86" s="1">
        <f>SUM(OSRRefT22_12x_0)</f>
        <v>1820.15</v>
      </c>
      <c r="U86" s="1"/>
      <c r="V86" s="5">
        <f t="shared" ref="V86:V91" si="64">IF(T$12=0,0,T86/T$12)</f>
        <v>3.733180791455249E-3</v>
      </c>
      <c r="W86" s="1"/>
      <c r="X86" s="1">
        <f t="shared" ref="X86:X91" si="65">+P86-T86</f>
        <v>-316.75</v>
      </c>
      <c r="Y86" s="1"/>
      <c r="Z86" s="5">
        <f t="shared" ref="Z86:Z91" si="66">IF(T86=0,0,X86/T86)</f>
        <v>-0.17402411889130015</v>
      </c>
    </row>
    <row r="87" spans="1:26" s="23" customFormat="1" hidden="1" outlineLevel="2" x14ac:dyDescent="0.25">
      <c r="A87" s="25"/>
      <c r="B87" s="10" t="str">
        <f>CONCATENATE("          ", "6309", " - ", "TELEPHONE")</f>
        <v xml:space="preserve">          6309 - TELEPHONE</v>
      </c>
      <c r="C87" s="10"/>
      <c r="D87" s="6">
        <v>82.1</v>
      </c>
      <c r="E87" s="2"/>
      <c r="F87" s="7">
        <f t="shared" si="59"/>
        <v>3.8239403819282716E-2</v>
      </c>
      <c r="G87" s="2"/>
      <c r="H87" s="6">
        <v>196.75</v>
      </c>
      <c r="I87" s="2"/>
      <c r="J87" s="7">
        <f t="shared" si="60"/>
        <v>5.1968517247736766E-3</v>
      </c>
      <c r="K87" s="2"/>
      <c r="L87" s="6">
        <f t="shared" si="61"/>
        <v>-114.65</v>
      </c>
      <c r="M87" s="2"/>
      <c r="N87" s="7">
        <f t="shared" si="62"/>
        <v>-0.58271918678526047</v>
      </c>
      <c r="O87" s="10"/>
      <c r="P87" s="6">
        <v>1503.4</v>
      </c>
      <c r="Q87" s="2"/>
      <c r="R87" s="7">
        <f t="shared" si="63"/>
        <v>1.3544750607301967E-2</v>
      </c>
      <c r="S87" s="2"/>
      <c r="T87" s="6">
        <v>1820.15</v>
      </c>
      <c r="U87" s="2"/>
      <c r="V87" s="7">
        <f t="shared" si="64"/>
        <v>3.733180791455249E-3</v>
      </c>
      <c r="W87" s="2"/>
      <c r="X87" s="6">
        <f t="shared" si="65"/>
        <v>-316.75</v>
      </c>
      <c r="Y87" s="2"/>
      <c r="Z87" s="7">
        <f t="shared" si="66"/>
        <v>-0.17402411889130015</v>
      </c>
    </row>
    <row r="88" spans="1:26" s="26" customFormat="1" outlineLevel="1" collapsed="1" x14ac:dyDescent="0.25">
      <c r="A88" s="27"/>
      <c r="B88" s="12" t="str">
        <f>CONCATENATE("     ","Training                                          ")</f>
        <v xml:space="preserve">     Training                                          </v>
      </c>
      <c r="C88" s="12"/>
      <c r="D88" s="1">
        <f>SUM(OSRRefD22_13x_0)</f>
        <v>0</v>
      </c>
      <c r="E88" s="1"/>
      <c r="F88" s="5">
        <f t="shared" si="59"/>
        <v>0</v>
      </c>
      <c r="G88" s="1"/>
      <c r="H88" s="1">
        <f>SUM(OSRRefH22_13x_0)</f>
        <v>0</v>
      </c>
      <c r="I88" s="1"/>
      <c r="J88" s="5">
        <f t="shared" si="60"/>
        <v>0</v>
      </c>
      <c r="K88" s="1"/>
      <c r="L88" s="1">
        <f t="shared" si="61"/>
        <v>0</v>
      </c>
      <c r="M88" s="1"/>
      <c r="N88" s="5">
        <f t="shared" si="62"/>
        <v>0</v>
      </c>
      <c r="O88" s="12"/>
      <c r="P88" s="1">
        <f>SUM(OSRRefP22_13x_0)</f>
        <v>0</v>
      </c>
      <c r="Q88" s="1"/>
      <c r="R88" s="5">
        <f t="shared" si="63"/>
        <v>0</v>
      </c>
      <c r="S88" s="1"/>
      <c r="T88" s="1">
        <f>SUM(OSRRefT22_13x_0)</f>
        <v>97.71</v>
      </c>
      <c r="U88" s="1"/>
      <c r="V88" s="5">
        <f t="shared" si="64"/>
        <v>2.0040606276026281E-4</v>
      </c>
      <c r="W88" s="1"/>
      <c r="X88" s="1">
        <f t="shared" si="65"/>
        <v>-97.71</v>
      </c>
      <c r="Y88" s="1"/>
      <c r="Z88" s="5">
        <f t="shared" si="66"/>
        <v>-1</v>
      </c>
    </row>
    <row r="89" spans="1:26" s="23" customFormat="1" hidden="1" outlineLevel="2" x14ac:dyDescent="0.25">
      <c r="A89" s="25"/>
      <c r="B89" s="10" t="str">
        <f>CONCATENATE("          ", "6376", " - ", "TRAINING")</f>
        <v xml:space="preserve">          6376 - TRAINING</v>
      </c>
      <c r="C89" s="10"/>
      <c r="D89" s="6"/>
      <c r="E89" s="2"/>
      <c r="F89" s="7">
        <f t="shared" si="59"/>
        <v>0</v>
      </c>
      <c r="G89" s="2"/>
      <c r="H89" s="6"/>
      <c r="I89" s="2"/>
      <c r="J89" s="7">
        <f t="shared" si="60"/>
        <v>0</v>
      </c>
      <c r="K89" s="2"/>
      <c r="L89" s="6">
        <f t="shared" si="61"/>
        <v>0</v>
      </c>
      <c r="M89" s="2"/>
      <c r="N89" s="7">
        <f t="shared" si="62"/>
        <v>0</v>
      </c>
      <c r="O89" s="10"/>
      <c r="P89" s="6"/>
      <c r="Q89" s="2"/>
      <c r="R89" s="7">
        <f t="shared" si="63"/>
        <v>0</v>
      </c>
      <c r="S89" s="2"/>
      <c r="T89" s="6">
        <v>97.71</v>
      </c>
      <c r="U89" s="2"/>
      <c r="V89" s="7">
        <f t="shared" si="64"/>
        <v>2.0040606276026281E-4</v>
      </c>
      <c r="W89" s="2"/>
      <c r="X89" s="6">
        <f t="shared" si="65"/>
        <v>-97.71</v>
      </c>
      <c r="Y89" s="2"/>
      <c r="Z89" s="7">
        <f t="shared" si="66"/>
        <v>-1</v>
      </c>
    </row>
    <row r="90" spans="1:26" s="26" customFormat="1" outlineLevel="1" collapsed="1" x14ac:dyDescent="0.25">
      <c r="A90" s="27"/>
      <c r="B90" s="12" t="str">
        <f>CONCATENATE("     ","Utilities                                         ")</f>
        <v xml:space="preserve">     Utilities                                         </v>
      </c>
      <c r="C90" s="12"/>
      <c r="D90" s="1">
        <f>SUM(OSRRefD22_14x_0)</f>
        <v>0</v>
      </c>
      <c r="E90" s="1"/>
      <c r="F90" s="5">
        <f t="shared" si="59"/>
        <v>0</v>
      </c>
      <c r="G90" s="1"/>
      <c r="H90" s="1">
        <f>SUM(OSRRefH22_14x_0)</f>
        <v>0</v>
      </c>
      <c r="I90" s="1"/>
      <c r="J90" s="5">
        <f t="shared" si="60"/>
        <v>0</v>
      </c>
      <c r="K90" s="1"/>
      <c r="L90" s="1">
        <f t="shared" si="61"/>
        <v>0</v>
      </c>
      <c r="M90" s="1"/>
      <c r="N90" s="5">
        <f t="shared" si="62"/>
        <v>0</v>
      </c>
      <c r="O90" s="12"/>
      <c r="P90" s="1">
        <f>SUM(OSRRefP22_14x_0)</f>
        <v>15.02</v>
      </c>
      <c r="Q90" s="1"/>
      <c r="R90" s="5">
        <f t="shared" si="63"/>
        <v>1.3532137429937178E-4</v>
      </c>
      <c r="S90" s="1"/>
      <c r="T90" s="1">
        <f>SUM(OSRRefT22_14x_0)</f>
        <v>0</v>
      </c>
      <c r="U90" s="1"/>
      <c r="V90" s="5">
        <f t="shared" si="64"/>
        <v>0</v>
      </c>
      <c r="W90" s="1"/>
      <c r="X90" s="1">
        <f t="shared" si="65"/>
        <v>15.02</v>
      </c>
      <c r="Y90" s="1"/>
      <c r="Z90" s="5">
        <f t="shared" si="66"/>
        <v>0</v>
      </c>
    </row>
    <row r="91" spans="1:26" s="23" customFormat="1" hidden="1" outlineLevel="2" x14ac:dyDescent="0.25">
      <c r="A91" s="25"/>
      <c r="B91" s="10" t="str">
        <f>CONCATENATE("          ", "6274", " - ", "UTILITIES")</f>
        <v xml:space="preserve">          6274 - UTILITIES</v>
      </c>
      <c r="C91" s="10"/>
      <c r="D91" s="6"/>
      <c r="E91" s="2"/>
      <c r="F91" s="7">
        <f t="shared" si="59"/>
        <v>0</v>
      </c>
      <c r="G91" s="2"/>
      <c r="H91" s="6"/>
      <c r="I91" s="2"/>
      <c r="J91" s="7">
        <f t="shared" si="60"/>
        <v>0</v>
      </c>
      <c r="K91" s="2"/>
      <c r="L91" s="6">
        <f t="shared" si="61"/>
        <v>0</v>
      </c>
      <c r="M91" s="2"/>
      <c r="N91" s="7">
        <f t="shared" si="62"/>
        <v>0</v>
      </c>
      <c r="O91" s="10"/>
      <c r="P91" s="6">
        <v>15.02</v>
      </c>
      <c r="Q91" s="2"/>
      <c r="R91" s="7">
        <f t="shared" si="63"/>
        <v>1.3532137429937178E-4</v>
      </c>
      <c r="S91" s="2"/>
      <c r="T91" s="6"/>
      <c r="U91" s="2"/>
      <c r="V91" s="7">
        <f t="shared" si="64"/>
        <v>0</v>
      </c>
      <c r="W91" s="2"/>
      <c r="X91" s="6">
        <f t="shared" si="65"/>
        <v>15.02</v>
      </c>
      <c r="Y91" s="2"/>
      <c r="Z91" s="7">
        <f t="shared" si="66"/>
        <v>0</v>
      </c>
    </row>
    <row r="92" spans="1:26" s="60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4" customFormat="1" collapsed="1" x14ac:dyDescent="0.25">
      <c r="A93" s="11"/>
      <c r="B93" s="28" t="s">
        <v>292</v>
      </c>
      <c r="C93" s="11"/>
      <c r="D93" s="4">
        <f>SUM(OSRRefD25x_0)</f>
        <v>6782</v>
      </c>
      <c r="E93" s="4"/>
      <c r="F93" s="13">
        <f t="shared" ref="F93:F99" si="67">IF(D$12=0,0,D93/D$12)</f>
        <v>3.158826269212855</v>
      </c>
      <c r="G93" s="4"/>
      <c r="H93" s="4">
        <f>SUM(OSRRefH25x_0)</f>
        <v>11984.1</v>
      </c>
      <c r="I93" s="4"/>
      <c r="J93" s="13">
        <f t="shared" ref="J93:J99" si="68">IF(H$12=0,0,H93/H$12)</f>
        <v>0.31654175733092865</v>
      </c>
      <c r="K93" s="4"/>
      <c r="L93" s="4">
        <f t="shared" ref="L93:L99" si="69">+D93-H93</f>
        <v>-5202.1000000000004</v>
      </c>
      <c r="M93" s="4"/>
      <c r="N93" s="13">
        <f t="shared" ref="N93:N99" si="70">IF(H93=0,0,L93/H93)</f>
        <v>-0.43408349396283413</v>
      </c>
      <c r="O93" s="11"/>
      <c r="P93" s="4">
        <f>SUM(OSRRefP25x_0)</f>
        <v>61038</v>
      </c>
      <c r="Q93" s="4"/>
      <c r="R93" s="13">
        <f t="shared" ref="R93:R99" si="71">IF(P$12=0,0,P93/P$12)</f>
        <v>0.54991651427996369</v>
      </c>
      <c r="S93" s="4"/>
      <c r="T93" s="4">
        <f>SUM(OSRRefT25x_0)</f>
        <v>230869.93</v>
      </c>
      <c r="U93" s="4"/>
      <c r="V93" s="13">
        <f t="shared" ref="V93:V99" si="72">IF(T$12=0,0,T93/T$12)</f>
        <v>0.47352096695361257</v>
      </c>
      <c r="W93" s="4"/>
      <c r="X93" s="4">
        <f t="shared" ref="X93:X99" si="73">+P93-T93</f>
        <v>-169831.93</v>
      </c>
      <c r="Y93" s="4"/>
      <c r="Z93" s="13">
        <f t="shared" ref="Z93:Z99" si="74">IF(T93=0,0,X93/T93)</f>
        <v>-0.73561736688706059</v>
      </c>
    </row>
    <row r="94" spans="1:26" s="23" customFormat="1" hidden="1" outlineLevel="1" x14ac:dyDescent="0.25">
      <c r="A94" s="44"/>
      <c r="B94" s="10" t="str">
        <f>CONCATENATE("          ", "4098", " - ", "TAXABLE SALES-GRAD RENTALS")</f>
        <v xml:space="preserve">          4098 - TAXABLE SALES-GRAD RENTALS</v>
      </c>
      <c r="C94" s="10"/>
      <c r="D94" s="2">
        <f t="shared" ref="D94:D96" si="75">0</f>
        <v>0</v>
      </c>
      <c r="E94" s="2"/>
      <c r="F94" s="19">
        <f t="shared" si="67"/>
        <v>0</v>
      </c>
      <c r="G94" s="2"/>
      <c r="H94" s="2">
        <f>--42</f>
        <v>42</v>
      </c>
      <c r="I94" s="2"/>
      <c r="J94" s="19">
        <f t="shared" si="68"/>
        <v>1.1093660606886627E-3</v>
      </c>
      <c r="K94" s="2"/>
      <c r="L94" s="2">
        <f t="shared" si="69"/>
        <v>-42</v>
      </c>
      <c r="M94" s="2"/>
      <c r="N94" s="19">
        <f t="shared" si="70"/>
        <v>-1</v>
      </c>
      <c r="O94" s="10"/>
      <c r="P94" s="2">
        <f t="shared" ref="P94:P96" si="76">0</f>
        <v>0</v>
      </c>
      <c r="Q94" s="2"/>
      <c r="R94" s="19">
        <f t="shared" si="71"/>
        <v>0</v>
      </c>
      <c r="S94" s="2"/>
      <c r="T94" s="2">
        <f>--2098.85</f>
        <v>2098.85</v>
      </c>
      <c r="U94" s="2"/>
      <c r="V94" s="19">
        <f t="shared" si="72"/>
        <v>4.304802628434936E-3</v>
      </c>
      <c r="W94" s="2"/>
      <c r="X94" s="2">
        <f t="shared" si="73"/>
        <v>-2098.85</v>
      </c>
      <c r="Y94" s="2"/>
      <c r="Z94" s="19">
        <f t="shared" si="74"/>
        <v>-1</v>
      </c>
    </row>
    <row r="95" spans="1:26" s="23" customFormat="1" hidden="1" outlineLevel="1" x14ac:dyDescent="0.25">
      <c r="A95" s="44"/>
      <c r="B95" s="10" t="str">
        <f>CONCATENATE("          ", "4197", " - ", "NON-TAXABLE SALES-RETURNED CHE")</f>
        <v xml:space="preserve">          4197 - NON-TAXABLE SALES-RETURNED CHE</v>
      </c>
      <c r="C95" s="10"/>
      <c r="D95" s="2">
        <f t="shared" si="75"/>
        <v>0</v>
      </c>
      <c r="E95" s="2"/>
      <c r="F95" s="19">
        <f t="shared" si="67"/>
        <v>0</v>
      </c>
      <c r="G95" s="2"/>
      <c r="H95" s="2">
        <f t="shared" ref="H95:H96" si="77">0</f>
        <v>0</v>
      </c>
      <c r="I95" s="2"/>
      <c r="J95" s="19">
        <f t="shared" si="68"/>
        <v>0</v>
      </c>
      <c r="K95" s="2"/>
      <c r="L95" s="2">
        <f t="shared" si="69"/>
        <v>0</v>
      </c>
      <c r="M95" s="2"/>
      <c r="N95" s="19">
        <f t="shared" si="70"/>
        <v>0</v>
      </c>
      <c r="O95" s="10"/>
      <c r="P95" s="2">
        <f t="shared" si="76"/>
        <v>0</v>
      </c>
      <c r="Q95" s="2"/>
      <c r="R95" s="19">
        <f t="shared" si="71"/>
        <v>0</v>
      </c>
      <c r="S95" s="2"/>
      <c r="T95" s="2">
        <f>--30</f>
        <v>30</v>
      </c>
      <c r="U95" s="2"/>
      <c r="V95" s="19">
        <f t="shared" si="72"/>
        <v>6.1530875885865155E-5</v>
      </c>
      <c r="W95" s="2"/>
      <c r="X95" s="2">
        <f t="shared" si="73"/>
        <v>-30</v>
      </c>
      <c r="Y95" s="2"/>
      <c r="Z95" s="19">
        <f t="shared" si="74"/>
        <v>-1</v>
      </c>
    </row>
    <row r="96" spans="1:26" s="23" customFormat="1" hidden="1" outlineLevel="1" x14ac:dyDescent="0.25">
      <c r="A96" s="44"/>
      <c r="B96" s="10" t="str">
        <f>CONCATENATE("          ", "4198", " - ", "NON-TAXABLE SALES-GRAD RENTALS")</f>
        <v xml:space="preserve">          4198 - NON-TAXABLE SALES-GRAD RENTALS</v>
      </c>
      <c r="C96" s="10"/>
      <c r="D96" s="2">
        <f t="shared" si="75"/>
        <v>0</v>
      </c>
      <c r="E96" s="2"/>
      <c r="F96" s="19">
        <f t="shared" si="67"/>
        <v>0</v>
      </c>
      <c r="G96" s="2"/>
      <c r="H96" s="2">
        <f t="shared" si="77"/>
        <v>0</v>
      </c>
      <c r="I96" s="2"/>
      <c r="J96" s="19">
        <f t="shared" si="68"/>
        <v>0</v>
      </c>
      <c r="K96" s="2"/>
      <c r="L96" s="2">
        <f t="shared" si="69"/>
        <v>0</v>
      </c>
      <c r="M96" s="2"/>
      <c r="N96" s="19">
        <f t="shared" si="70"/>
        <v>0</v>
      </c>
      <c r="O96" s="10"/>
      <c r="P96" s="2">
        <f t="shared" si="76"/>
        <v>0</v>
      </c>
      <c r="Q96" s="2"/>
      <c r="R96" s="19">
        <f t="shared" si="71"/>
        <v>0</v>
      </c>
      <c r="S96" s="2"/>
      <c r="T96" s="2">
        <f>--3732.1</f>
        <v>3732.1</v>
      </c>
      <c r="U96" s="2"/>
      <c r="V96" s="19">
        <f t="shared" si="72"/>
        <v>7.6546460631212454E-3</v>
      </c>
      <c r="W96" s="2"/>
      <c r="X96" s="2">
        <f t="shared" si="73"/>
        <v>-3732.1</v>
      </c>
      <c r="Y96" s="2"/>
      <c r="Z96" s="19">
        <f t="shared" si="74"/>
        <v>-1</v>
      </c>
    </row>
    <row r="97" spans="1:26" s="23" customFormat="1" hidden="1" outlineLevel="1" x14ac:dyDescent="0.25">
      <c r="A97" s="44"/>
      <c r="B97" s="10" t="str">
        <f>CONCATENATE("          ", "9150", " - ", "MISC. INCOME")</f>
        <v xml:space="preserve">          9150 - MISC. INCOME</v>
      </c>
      <c r="C97" s="10"/>
      <c r="D97" s="2">
        <f>--6782</f>
        <v>6782</v>
      </c>
      <c r="E97" s="2"/>
      <c r="F97" s="19">
        <f t="shared" si="67"/>
        <v>3.158826269212855</v>
      </c>
      <c r="G97" s="2"/>
      <c r="H97" s="2">
        <f>--11942.1</f>
        <v>11942.1</v>
      </c>
      <c r="I97" s="2"/>
      <c r="J97" s="19">
        <f t="shared" si="68"/>
        <v>0.31543239127024003</v>
      </c>
      <c r="K97" s="2"/>
      <c r="L97" s="2">
        <f t="shared" si="69"/>
        <v>-5160.1000000000004</v>
      </c>
      <c r="M97" s="2"/>
      <c r="N97" s="19">
        <f t="shared" si="70"/>
        <v>-0.43209318294102378</v>
      </c>
      <c r="O97" s="10"/>
      <c r="P97" s="2">
        <f>--61038</f>
        <v>61038</v>
      </c>
      <c r="Q97" s="2"/>
      <c r="R97" s="19">
        <f t="shared" si="71"/>
        <v>0.54991651427996369</v>
      </c>
      <c r="S97" s="2"/>
      <c r="T97" s="2">
        <f>--118094.1</f>
        <v>118094.1</v>
      </c>
      <c r="U97" s="2"/>
      <c r="V97" s="19">
        <f t="shared" si="72"/>
        <v>0.24221444699843164</v>
      </c>
      <c r="W97" s="2"/>
      <c r="X97" s="2">
        <f t="shared" si="73"/>
        <v>-57056.100000000006</v>
      </c>
      <c r="Y97" s="2"/>
      <c r="Z97" s="19">
        <f t="shared" si="74"/>
        <v>-0.48314098672160594</v>
      </c>
    </row>
    <row r="98" spans="1:26" s="23" customFormat="1" hidden="1" outlineLevel="1" x14ac:dyDescent="0.25">
      <c r="A98" s="44"/>
      <c r="B98" s="10" t="str">
        <f>CONCATENATE("          ", "9160", " - ", "MISC. INCOME")</f>
        <v xml:space="preserve">          9160 - MISC. INCOME</v>
      </c>
      <c r="C98" s="10"/>
      <c r="D98" s="2">
        <f t="shared" ref="D98:D99" si="78">0</f>
        <v>0</v>
      </c>
      <c r="E98" s="2"/>
      <c r="F98" s="19">
        <f t="shared" si="67"/>
        <v>0</v>
      </c>
      <c r="G98" s="2"/>
      <c r="H98" s="2">
        <f t="shared" ref="H98:H99" si="79">0</f>
        <v>0</v>
      </c>
      <c r="I98" s="2"/>
      <c r="J98" s="19">
        <f t="shared" si="68"/>
        <v>0</v>
      </c>
      <c r="K98" s="2"/>
      <c r="L98" s="2">
        <f t="shared" si="69"/>
        <v>0</v>
      </c>
      <c r="M98" s="2"/>
      <c r="N98" s="19">
        <f t="shared" si="70"/>
        <v>0</v>
      </c>
      <c r="O98" s="10"/>
      <c r="P98" s="2">
        <f t="shared" ref="P98:P99" si="80">0</f>
        <v>0</v>
      </c>
      <c r="Q98" s="2"/>
      <c r="R98" s="19">
        <f t="shared" si="71"/>
        <v>0</v>
      </c>
      <c r="S98" s="2"/>
      <c r="T98" s="2">
        <f>--22475</f>
        <v>22475</v>
      </c>
      <c r="U98" s="2"/>
      <c r="V98" s="19">
        <f t="shared" si="72"/>
        <v>4.6096881184493982E-2</v>
      </c>
      <c r="W98" s="2"/>
      <c r="X98" s="2">
        <f t="shared" si="73"/>
        <v>-22475</v>
      </c>
      <c r="Y98" s="2"/>
      <c r="Z98" s="19">
        <f t="shared" si="74"/>
        <v>-1</v>
      </c>
    </row>
    <row r="99" spans="1:26" s="23" customFormat="1" hidden="1" outlineLevel="1" x14ac:dyDescent="0.25">
      <c r="A99" s="44"/>
      <c r="B99" s="10" t="str">
        <f>CONCATENATE("          ", "9163", " - ", "MISC. INCOME")</f>
        <v xml:space="preserve">          9163 - MISC. INCOME</v>
      </c>
      <c r="C99" s="10"/>
      <c r="D99" s="2">
        <f t="shared" si="78"/>
        <v>0</v>
      </c>
      <c r="E99" s="2"/>
      <c r="F99" s="19">
        <f t="shared" si="67"/>
        <v>0</v>
      </c>
      <c r="G99" s="2"/>
      <c r="H99" s="2">
        <f t="shared" si="79"/>
        <v>0</v>
      </c>
      <c r="I99" s="2"/>
      <c r="J99" s="19">
        <f t="shared" si="68"/>
        <v>0</v>
      </c>
      <c r="K99" s="2"/>
      <c r="L99" s="2">
        <f t="shared" si="69"/>
        <v>0</v>
      </c>
      <c r="M99" s="2"/>
      <c r="N99" s="19">
        <f t="shared" si="70"/>
        <v>0</v>
      </c>
      <c r="O99" s="10"/>
      <c r="P99" s="2">
        <f t="shared" si="80"/>
        <v>0</v>
      </c>
      <c r="Q99" s="2"/>
      <c r="R99" s="19">
        <f t="shared" si="71"/>
        <v>0</v>
      </c>
      <c r="S99" s="2"/>
      <c r="T99" s="2">
        <f>--84439.88</f>
        <v>84439.88</v>
      </c>
      <c r="U99" s="2"/>
      <c r="V99" s="19">
        <f t="shared" si="72"/>
        <v>0.17318865920324494</v>
      </c>
      <c r="W99" s="2"/>
      <c r="X99" s="2">
        <f t="shared" si="73"/>
        <v>-84439.88</v>
      </c>
      <c r="Y99" s="2"/>
      <c r="Z99" s="19">
        <f t="shared" si="74"/>
        <v>-1</v>
      </c>
    </row>
    <row r="100" spans="1:26" x14ac:dyDescent="0.25">
      <c r="A100" s="9"/>
      <c r="B100" s="11"/>
      <c r="C100" s="11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1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4" customFormat="1" x14ac:dyDescent="0.25">
      <c r="A101" s="11"/>
      <c r="B101" s="29" t="s">
        <v>276</v>
      </c>
      <c r="C101" s="29"/>
      <c r="D101" s="22">
        <f>+D40-D42+D93</f>
        <v>-10511.499999999989</v>
      </c>
      <c r="E101" s="14"/>
      <c r="F101" s="20">
        <f>IF(D$12=0,0,D101/D$12)</f>
        <v>-4.8959012575686955</v>
      </c>
      <c r="G101" s="14"/>
      <c r="H101" s="22">
        <f>+H40-H42+H93</f>
        <v>-7528.4499999999953</v>
      </c>
      <c r="I101" s="14"/>
      <c r="J101" s="20">
        <f>IF(H$12=0,0,H101/H$12)</f>
        <v>-0.1988525457045609</v>
      </c>
      <c r="K101" s="15"/>
      <c r="L101" s="22">
        <f>+D101-H101</f>
        <v>-2983.0499999999938</v>
      </c>
      <c r="M101" s="15"/>
      <c r="N101" s="20">
        <f>IF(H101=0,0,L101/H101)</f>
        <v>0.39623694120303593</v>
      </c>
      <c r="O101" s="28"/>
      <c r="P101" s="22">
        <f>+P40-P42+P93</f>
        <v>-85231.88</v>
      </c>
      <c r="Q101" s="14"/>
      <c r="R101" s="20">
        <f>IF(P$12=0,0,P101/P$12)</f>
        <v>-0.7678891568388243</v>
      </c>
      <c r="S101" s="14"/>
      <c r="T101" s="22">
        <f>+T40-T42+T93</f>
        <v>289225.32999999996</v>
      </c>
      <c r="U101" s="14"/>
      <c r="V101" s="20">
        <f>IF(T$12=0,0,T101/T$12)</f>
        <v>0.5932095961092797</v>
      </c>
      <c r="W101" s="15"/>
      <c r="X101" s="22">
        <f>+P101-T101</f>
        <v>-374457.20999999996</v>
      </c>
      <c r="Y101" s="15"/>
      <c r="Z101" s="20">
        <f>IF(T101=0,0,X101/T101)</f>
        <v>-1.2946902333900008</v>
      </c>
    </row>
    <row r="102" spans="1:26" x14ac:dyDescent="0.25">
      <c r="A102" s="9"/>
      <c r="B102" s="11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4" customFormat="1" x14ac:dyDescent="0.25">
      <c r="A103" s="51"/>
      <c r="B103" s="11" t="s">
        <v>127</v>
      </c>
      <c r="C103" s="11"/>
      <c r="D103" s="4">
        <v>1319.33</v>
      </c>
      <c r="E103" s="4"/>
      <c r="F103" s="13">
        <f>IF(D$12=0,0,D103/D$12)</f>
        <v>0.61449930135072195</v>
      </c>
      <c r="G103" s="4"/>
      <c r="H103" s="4">
        <v>6409.86</v>
      </c>
      <c r="I103" s="4"/>
      <c r="J103" s="13">
        <f>IF(H$12=0,0,H103/H$12)</f>
        <v>0.16930669375632931</v>
      </c>
      <c r="K103" s="4"/>
      <c r="L103" s="4">
        <f>+D103-H103</f>
        <v>-5090.53</v>
      </c>
      <c r="M103" s="4"/>
      <c r="N103" s="13">
        <f>IF(H103=0,0,L103/H103)</f>
        <v>-0.79417179158359152</v>
      </c>
      <c r="O103" s="11"/>
      <c r="P103" s="4">
        <v>22875.13</v>
      </c>
      <c r="Q103" s="4"/>
      <c r="R103" s="13">
        <f>IF(P$12=0,0,P103/P$12)</f>
        <v>0.20609147995185012</v>
      </c>
      <c r="S103" s="4"/>
      <c r="T103" s="4">
        <v>52243.25</v>
      </c>
      <c r="U103" s="4"/>
      <c r="V103" s="13">
        <f>IF(T$12=0,0,T103/T$12)</f>
        <v>0.10715243105414084</v>
      </c>
      <c r="W103" s="4"/>
      <c r="X103" s="4">
        <f>+P103-T103</f>
        <v>-29368.12</v>
      </c>
      <c r="Y103" s="4"/>
      <c r="Z103" s="13">
        <f>IF(T103=0,0,X103/T103)</f>
        <v>-0.56214190349949511</v>
      </c>
    </row>
    <row r="104" spans="1:26" x14ac:dyDescent="0.25">
      <c r="A104" s="9"/>
      <c r="B104" s="11"/>
      <c r="C104" s="11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1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4" customFormat="1" ht="15.75" thickBot="1" x14ac:dyDescent="0.3">
      <c r="A105" s="11"/>
      <c r="B105" s="29" t="s">
        <v>125</v>
      </c>
      <c r="C105" s="29"/>
      <c r="D105" s="30">
        <f>+D101-D103</f>
        <v>-11830.829999999989</v>
      </c>
      <c r="E105" s="14"/>
      <c r="F105" s="36">
        <f>IF(D$12=0,0,D105/D$12)</f>
        <v>-5.5104005589194172</v>
      </c>
      <c r="G105" s="14"/>
      <c r="H105" s="30">
        <f>+H101-H103</f>
        <v>-13938.309999999994</v>
      </c>
      <c r="I105" s="14"/>
      <c r="J105" s="36">
        <f>IF(H$12=0,0,H105/H$12)</f>
        <v>-0.36815923946089019</v>
      </c>
      <c r="K105" s="15"/>
      <c r="L105" s="30">
        <f>D105-H105</f>
        <v>2107.480000000005</v>
      </c>
      <c r="M105" s="15"/>
      <c r="N105" s="36">
        <f>IF(H105=0,0,L105/H105)</f>
        <v>-0.15120054009417253</v>
      </c>
      <c r="O105" s="28"/>
      <c r="P105" s="30">
        <f>+P101-P103</f>
        <v>-108107.01000000001</v>
      </c>
      <c r="Q105" s="14"/>
      <c r="R105" s="36">
        <f>IF(P$12=0,0,P105/P$12)</f>
        <v>-0.97398063679067437</v>
      </c>
      <c r="S105" s="14"/>
      <c r="T105" s="30">
        <f>+T101-T103</f>
        <v>236982.07999999996</v>
      </c>
      <c r="U105" s="14"/>
      <c r="V105" s="36">
        <f>IF(T$12=0,0,T105/T$12)</f>
        <v>0.48605716505513885</v>
      </c>
      <c r="W105" s="15"/>
      <c r="X105" s="30">
        <f>P105-T105</f>
        <v>-345089.08999999997</v>
      </c>
      <c r="Y105" s="15"/>
      <c r="Z105" s="36">
        <f>IF(T105=0,0,X105/T105)</f>
        <v>-1.4561822142838818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4" customFormat="1" ht="15.75" thickBot="1" x14ac:dyDescent="0.3">
      <c r="A108" s="11"/>
      <c r="B108" s="29" t="s">
        <v>293</v>
      </c>
      <c r="C108" s="29"/>
      <c r="D108" s="35">
        <f>SUM(D105:D107)</f>
        <v>-11830.829999999989</v>
      </c>
      <c r="E108" s="14"/>
      <c r="F108" s="34">
        <f>IF(D$12=0,0,D108/D$12)</f>
        <v>-5.5104005589194172</v>
      </c>
      <c r="G108" s="14"/>
      <c r="H108" s="35">
        <f>SUM(H105:H107)</f>
        <v>-13938.309999999994</v>
      </c>
      <c r="I108" s="14"/>
      <c r="J108" s="34">
        <f>IF(H$12=0,0,H108/H$12)</f>
        <v>-0.36815923946089019</v>
      </c>
      <c r="K108" s="15"/>
      <c r="L108" s="35">
        <f>+D108-H108</f>
        <v>2107.480000000005</v>
      </c>
      <c r="M108" s="15"/>
      <c r="N108" s="34">
        <f>IF(H108=0,0,L108/H108)</f>
        <v>-0.15120054009417253</v>
      </c>
      <c r="O108" s="28"/>
      <c r="P108" s="35">
        <f>SUM(P105:P107)</f>
        <v>-108107.01000000001</v>
      </c>
      <c r="Q108" s="14"/>
      <c r="R108" s="34">
        <f>IF(P$12=0,0,P108/P$12)</f>
        <v>-0.97398063679067437</v>
      </c>
      <c r="S108" s="14"/>
      <c r="T108" s="35">
        <f>SUM(T105:T107)</f>
        <v>236982.07999999996</v>
      </c>
      <c r="U108" s="14"/>
      <c r="V108" s="34">
        <f>IF(T$12=0,0,T108/T$12)</f>
        <v>0.48605716505513885</v>
      </c>
      <c r="W108" s="15"/>
      <c r="X108" s="35">
        <f>+P108-T108</f>
        <v>-345089.08999999997</v>
      </c>
      <c r="Y108" s="15"/>
      <c r="Z108" s="34">
        <f>IF(T108=0,0,X108/T108)</f>
        <v>-1.4561822142838818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4">
        <v>44295.963177233796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8" t="s">
        <v>56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2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","316", " - ", "Campus Copy Center")</f>
        <v>Department 316 - Campus Copy Center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2147</v>
      </c>
      <c r="E12" s="4"/>
      <c r="F12" s="13"/>
      <c r="G12" s="4"/>
      <c r="H12" s="4">
        <f>SUM(OSRRefH13x_0)</f>
        <v>27001.46</v>
      </c>
      <c r="I12" s="4"/>
      <c r="J12" s="13"/>
      <c r="K12" s="4"/>
      <c r="L12" s="4">
        <f t="shared" ref="L12:L29" si="0">+D12-H12</f>
        <v>-24854.46</v>
      </c>
      <c r="M12" s="4"/>
      <c r="N12" s="13">
        <f t="shared" ref="N12:N29" si="1">IF(H12=0,0,L12/H12)</f>
        <v>-0.92048578113924207</v>
      </c>
      <c r="O12" s="11"/>
      <c r="P12" s="4">
        <f>SUM(OSRRefP13x_0)</f>
        <v>110995.03</v>
      </c>
      <c r="Q12" s="4"/>
      <c r="R12" s="13"/>
      <c r="S12" s="4"/>
      <c r="T12" s="4">
        <f>SUM(OSRRefT13x_0)</f>
        <v>469142.26999999996</v>
      </c>
      <c r="U12" s="4"/>
      <c r="V12" s="13"/>
      <c r="W12" s="4"/>
      <c r="X12" s="4">
        <f t="shared" ref="X12:X29" si="2">+P12-T12</f>
        <v>-358147.24</v>
      </c>
      <c r="Y12" s="4"/>
      <c r="Z12" s="13">
        <f t="shared" ref="Z12:Z29" si="3">IF(T12=0,0,X12/T12)</f>
        <v>-0.7634085924510704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-9.28</f>
        <v>-9.2799999999999994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-9.2799999999999994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"4041", " - ", "TAXABLE SALES-LOGO GIFTS")</f>
        <v xml:space="preserve">          4041 - TAXABLE SALES-LOGO GIFTS</v>
      </c>
      <c r="C14" s="10"/>
      <c r="D14" s="2">
        <f>--591.75</f>
        <v>591.75</v>
      </c>
      <c r="E14" s="2"/>
      <c r="F14" s="19"/>
      <c r="G14" s="2"/>
      <c r="H14" s="2">
        <f>--358.56</f>
        <v>358.56</v>
      </c>
      <c r="I14" s="2"/>
      <c r="J14" s="19"/>
      <c r="K14" s="2"/>
      <c r="L14" s="2">
        <f t="shared" si="0"/>
        <v>233.19</v>
      </c>
      <c r="M14" s="2"/>
      <c r="N14" s="19">
        <f t="shared" si="1"/>
        <v>0.65035140562248994</v>
      </c>
      <c r="O14" s="10"/>
      <c r="P14" s="2">
        <f>--92657.97</f>
        <v>92657.97</v>
      </c>
      <c r="Q14" s="2"/>
      <c r="R14" s="19"/>
      <c r="S14" s="2"/>
      <c r="T14" s="2">
        <f>--174182.55</f>
        <v>174182.55</v>
      </c>
      <c r="U14" s="2"/>
      <c r="V14" s="19"/>
      <c r="W14" s="2"/>
      <c r="X14" s="2">
        <f t="shared" si="2"/>
        <v>-81524.579999999987</v>
      </c>
      <c r="Y14" s="2"/>
      <c r="Z14" s="19">
        <f t="shared" si="3"/>
        <v>-0.46804102936832648</v>
      </c>
    </row>
    <row r="15" spans="1:26" s="23" customFormat="1" hidden="1" outlineLevel="1" x14ac:dyDescent="0.25">
      <c r="A15" s="44"/>
      <c r="B15" s="10" t="str">
        <f>CONCATENATE("          ", "4042", " - ", "TAXABLE SALES-EVERYDAY GIFTS")</f>
        <v xml:space="preserve">          4042 - TAXABLE SALES-EVERYDAY GIFTS</v>
      </c>
      <c r="C15" s="10"/>
      <c r="D15" s="2">
        <f>--671.32</f>
        <v>671.32</v>
      </c>
      <c r="E15" s="2"/>
      <c r="F15" s="19"/>
      <c r="G15" s="2"/>
      <c r="H15" s="2">
        <f>--12049.94</f>
        <v>12049.94</v>
      </c>
      <c r="I15" s="2"/>
      <c r="J15" s="19"/>
      <c r="K15" s="2"/>
      <c r="L15" s="2">
        <f t="shared" si="0"/>
        <v>-11378.62</v>
      </c>
      <c r="M15" s="2"/>
      <c r="N15" s="19">
        <f t="shared" si="1"/>
        <v>-0.9442885192789342</v>
      </c>
      <c r="O15" s="10"/>
      <c r="P15" s="2">
        <f>--15819.95</f>
        <v>15819.95</v>
      </c>
      <c r="Q15" s="2"/>
      <c r="R15" s="19"/>
      <c r="S15" s="2"/>
      <c r="T15" s="2">
        <f>--74184.41</f>
        <v>74184.41</v>
      </c>
      <c r="U15" s="2"/>
      <c r="V15" s="19"/>
      <c r="W15" s="2"/>
      <c r="X15" s="2">
        <f t="shared" si="2"/>
        <v>-58364.460000000006</v>
      </c>
      <c r="Y15" s="2"/>
      <c r="Z15" s="19">
        <f t="shared" si="3"/>
        <v>-0.78674832083991775</v>
      </c>
    </row>
    <row r="16" spans="1:26" s="23" customFormat="1" hidden="1" outlineLevel="1" x14ac:dyDescent="0.25">
      <c r="A16" s="44"/>
      <c r="B16" s="10" t="str">
        <f>CONCATENATE("          ", "4043", " - ", "TAXABLE SALES-CARDS")</f>
        <v xml:space="preserve">          4043 - TAXABLE SALES-CARDS</v>
      </c>
      <c r="C16" s="10"/>
      <c r="D16" s="2">
        <f>--14.9</f>
        <v>14.9</v>
      </c>
      <c r="E16" s="2"/>
      <c r="F16" s="19"/>
      <c r="G16" s="2"/>
      <c r="H16" s="2">
        <f>--20.93</f>
        <v>20.93</v>
      </c>
      <c r="I16" s="2"/>
      <c r="J16" s="19"/>
      <c r="K16" s="2"/>
      <c r="L16" s="2">
        <f t="shared" si="0"/>
        <v>-6.0299999999999994</v>
      </c>
      <c r="M16" s="2"/>
      <c r="N16" s="19">
        <f t="shared" si="1"/>
        <v>-0.28810320114667937</v>
      </c>
      <c r="O16" s="10"/>
      <c r="P16" s="2">
        <f>--52.68</f>
        <v>52.68</v>
      </c>
      <c r="Q16" s="2"/>
      <c r="R16" s="19"/>
      <c r="S16" s="2"/>
      <c r="T16" s="2">
        <f>--270.72</f>
        <v>270.72000000000003</v>
      </c>
      <c r="U16" s="2"/>
      <c r="V16" s="19"/>
      <c r="W16" s="2"/>
      <c r="X16" s="2">
        <f t="shared" si="2"/>
        <v>-218.04000000000002</v>
      </c>
      <c r="Y16" s="2"/>
      <c r="Z16" s="19">
        <f t="shared" si="3"/>
        <v>-0.80540780141843971</v>
      </c>
    </row>
    <row r="17" spans="1:26" s="23" customFormat="1" hidden="1" outlineLevel="1" x14ac:dyDescent="0.25">
      <c r="A17" s="44"/>
      <c r="B17" s="10" t="str">
        <f>CONCATENATE("          ", "4044", " - ", "TAXABLE SALES-ACCESSORIES")</f>
        <v xml:space="preserve">          4044 - TAXABLE SALES-ACCESSORIES</v>
      </c>
      <c r="C17" s="10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8" si="5">0</f>
        <v>0</v>
      </c>
      <c r="Q17" s="2"/>
      <c r="R17" s="19"/>
      <c r="S17" s="2"/>
      <c r="T17" s="2">
        <f>--235.18</f>
        <v>235.18</v>
      </c>
      <c r="U17" s="2"/>
      <c r="V17" s="19"/>
      <c r="W17" s="2"/>
      <c r="X17" s="2">
        <f t="shared" si="2"/>
        <v>-235.18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"4047", " - ", "TAXABLE SALES-MISC")</f>
        <v xml:space="preserve">          4047 - TAXABLE SALES-MISC</v>
      </c>
      <c r="C18" s="10"/>
      <c r="D18" s="2">
        <f t="shared" si="4"/>
        <v>0</v>
      </c>
      <c r="E18" s="2"/>
      <c r="F18" s="19"/>
      <c r="G18" s="2"/>
      <c r="H18" s="2">
        <f>--490.15</f>
        <v>490.15</v>
      </c>
      <c r="I18" s="2"/>
      <c r="J18" s="19"/>
      <c r="K18" s="2"/>
      <c r="L18" s="2">
        <f t="shared" si="0"/>
        <v>-490.15</v>
      </c>
      <c r="M18" s="2"/>
      <c r="N18" s="19">
        <f t="shared" si="1"/>
        <v>-1</v>
      </c>
      <c r="O18" s="10"/>
      <c r="P18" s="2">
        <f t="shared" si="5"/>
        <v>0</v>
      </c>
      <c r="Q18" s="2"/>
      <c r="R18" s="19"/>
      <c r="S18" s="2"/>
      <c r="T18" s="2">
        <f>--2676.14</f>
        <v>2676.14</v>
      </c>
      <c r="U18" s="2"/>
      <c r="V18" s="19"/>
      <c r="W18" s="2"/>
      <c r="X18" s="2">
        <f t="shared" si="2"/>
        <v>-2676.14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"4095", " - ", "TAXABLE SALES-CUSTOMER SERVICE")</f>
        <v xml:space="preserve">          4095 - TAXABLE SALES-CUSTOMER SERVICE</v>
      </c>
      <c r="C19" s="10"/>
      <c r="D19" s="2">
        <f>--775.28</f>
        <v>775.28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775.28</v>
      </c>
      <c r="M19" s="2"/>
      <c r="N19" s="19">
        <f t="shared" si="1"/>
        <v>0</v>
      </c>
      <c r="O19" s="10"/>
      <c r="P19" s="2">
        <f>--915.13</f>
        <v>915.13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915.13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"4141", " - ", "NON-TAXABLE SALES-LOGO GIFTS")</f>
        <v xml:space="preserve">          4141 - NON-TAXABLE SALES-LOGO GIFTS</v>
      </c>
      <c r="C20" s="10"/>
      <c r="D20" s="2">
        <f t="shared" ref="D20:D21" si="6">0</f>
        <v>0</v>
      </c>
      <c r="E20" s="2"/>
      <c r="F20" s="19"/>
      <c r="G20" s="2"/>
      <c r="H20" s="2">
        <f>--6.65</f>
        <v>6.65</v>
      </c>
      <c r="I20" s="2"/>
      <c r="J20" s="19"/>
      <c r="K20" s="2"/>
      <c r="L20" s="2">
        <f t="shared" si="0"/>
        <v>-6.65</v>
      </c>
      <c r="M20" s="2"/>
      <c r="N20" s="19">
        <f t="shared" si="1"/>
        <v>-1</v>
      </c>
      <c r="O20" s="10"/>
      <c r="P20" s="2">
        <f>--1278.64</f>
        <v>1278.6400000000001</v>
      </c>
      <c r="Q20" s="2"/>
      <c r="R20" s="19"/>
      <c r="S20" s="2"/>
      <c r="T20" s="2">
        <f>--864.6</f>
        <v>864.6</v>
      </c>
      <c r="U20" s="2"/>
      <c r="V20" s="19"/>
      <c r="W20" s="2"/>
      <c r="X20" s="2">
        <f t="shared" si="2"/>
        <v>414.04000000000008</v>
      </c>
      <c r="Y20" s="2"/>
      <c r="Z20" s="19">
        <f t="shared" si="3"/>
        <v>0.47888040712468199</v>
      </c>
    </row>
    <row r="21" spans="1:26" s="23" customFormat="1" hidden="1" outlineLevel="1" x14ac:dyDescent="0.25">
      <c r="A21" s="44"/>
      <c r="B21" s="10" t="str">
        <f>CONCATENATE("          ", "4142", " - ", "NON-TAXABLE SALES-EVERYDAY GIF")</f>
        <v xml:space="preserve">          4142 - NON-TAXABLE SALES-EVERYDAY GIF</v>
      </c>
      <c r="C21" s="10"/>
      <c r="D21" s="2">
        <f t="shared" si="6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>--1110.59</f>
        <v>1110.5899999999999</v>
      </c>
      <c r="Q21" s="2"/>
      <c r="R21" s="19"/>
      <c r="S21" s="2"/>
      <c r="T21" s="2">
        <f>--8924.02</f>
        <v>8924.02</v>
      </c>
      <c r="U21" s="2"/>
      <c r="V21" s="19"/>
      <c r="W21" s="2"/>
      <c r="X21" s="2">
        <f t="shared" si="2"/>
        <v>-7813.43</v>
      </c>
      <c r="Y21" s="2"/>
      <c r="Z21" s="19">
        <f t="shared" si="3"/>
        <v>-0.87555048061299723</v>
      </c>
    </row>
    <row r="22" spans="1:26" s="23" customFormat="1" hidden="1" outlineLevel="1" x14ac:dyDescent="0.25">
      <c r="A22" s="44"/>
      <c r="B22" s="10" t="str">
        <f>CONCATENATE("          ", "4146", " - ", "NON-TAXABLE SALES-COIN OP MACH")</f>
        <v xml:space="preserve">          4146 - NON-TAXABLE SALES-COIN OP MACH</v>
      </c>
      <c r="C22" s="10"/>
      <c r="D22" s="2">
        <f>--90.7</f>
        <v>90.7</v>
      </c>
      <c r="E22" s="2"/>
      <c r="F22" s="19"/>
      <c r="G22" s="2"/>
      <c r="H22" s="2">
        <f>--13383.2</f>
        <v>13383.2</v>
      </c>
      <c r="I22" s="2"/>
      <c r="J22" s="19"/>
      <c r="K22" s="2"/>
      <c r="L22" s="2">
        <f t="shared" si="0"/>
        <v>-13292.5</v>
      </c>
      <c r="M22" s="2"/>
      <c r="N22" s="19">
        <f t="shared" si="1"/>
        <v>-0.99322284655388837</v>
      </c>
      <c r="O22" s="10"/>
      <c r="P22" s="2">
        <f>--299.1</f>
        <v>299.10000000000002</v>
      </c>
      <c r="Q22" s="2"/>
      <c r="R22" s="19"/>
      <c r="S22" s="2"/>
      <c r="T22" s="2">
        <f>--205786.95</f>
        <v>205786.95</v>
      </c>
      <c r="U22" s="2"/>
      <c r="V22" s="19"/>
      <c r="W22" s="2"/>
      <c r="X22" s="2">
        <f t="shared" si="2"/>
        <v>-205487.85</v>
      </c>
      <c r="Y22" s="2"/>
      <c r="Z22" s="19">
        <f t="shared" si="3"/>
        <v>-0.99854655506580958</v>
      </c>
    </row>
    <row r="23" spans="1:26" s="23" customFormat="1" hidden="1" outlineLevel="1" x14ac:dyDescent="0.25">
      <c r="A23" s="44"/>
      <c r="B23" s="10" t="str">
        <f>CONCATENATE("          ", "4147", " - ", "NON-TAXABLE SALES-MISC")</f>
        <v xml:space="preserve">          4147 - NON-TAXABLE SALES-MISC</v>
      </c>
      <c r="C23" s="10"/>
      <c r="D23" s="2">
        <f>--11</f>
        <v>11</v>
      </c>
      <c r="E23" s="2"/>
      <c r="F23" s="19"/>
      <c r="G23" s="2"/>
      <c r="H23" s="2">
        <f>--933.53</f>
        <v>933.53</v>
      </c>
      <c r="I23" s="2"/>
      <c r="J23" s="19"/>
      <c r="K23" s="2"/>
      <c r="L23" s="2">
        <f t="shared" si="0"/>
        <v>-922.53</v>
      </c>
      <c r="M23" s="2"/>
      <c r="N23" s="19">
        <f t="shared" si="1"/>
        <v>-0.98821676860947161</v>
      </c>
      <c r="O23" s="10"/>
      <c r="P23" s="2">
        <f>--143.5</f>
        <v>143.5</v>
      </c>
      <c r="Q23" s="2"/>
      <c r="R23" s="19"/>
      <c r="S23" s="2"/>
      <c r="T23" s="2">
        <f>--3436.37</f>
        <v>3436.37</v>
      </c>
      <c r="U23" s="2"/>
      <c r="V23" s="19"/>
      <c r="W23" s="2"/>
      <c r="X23" s="2">
        <f t="shared" si="2"/>
        <v>-3292.87</v>
      </c>
      <c r="Y23" s="2"/>
      <c r="Z23" s="19">
        <f t="shared" si="3"/>
        <v>-0.95824081807255912</v>
      </c>
    </row>
    <row r="24" spans="1:26" s="23" customFormat="1" hidden="1" outlineLevel="1" x14ac:dyDescent="0.25">
      <c r="A24" s="44"/>
      <c r="B24" s="10" t="str">
        <f>CONCATENATE("          ", "4241", " - ", "SALES RETURN TAXABLE-LOGO GIFT")</f>
        <v xml:space="preserve">          4241 - SALES RETURN TAXABLE-LOGO GIFT</v>
      </c>
      <c r="C24" s="10"/>
      <c r="D24" s="2">
        <f>-7.95</f>
        <v>-7.95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-7.95</v>
      </c>
      <c r="M24" s="2"/>
      <c r="N24" s="19">
        <f t="shared" si="1"/>
        <v>0</v>
      </c>
      <c r="O24" s="10"/>
      <c r="P24" s="2">
        <f>-1262.05</f>
        <v>-1262.05</v>
      </c>
      <c r="Q24" s="2"/>
      <c r="R24" s="19"/>
      <c r="S24" s="2"/>
      <c r="T24" s="2">
        <f>-1059.4</f>
        <v>-1059.4000000000001</v>
      </c>
      <c r="U24" s="2"/>
      <c r="V24" s="19"/>
      <c r="W24" s="2"/>
      <c r="X24" s="2">
        <f t="shared" si="2"/>
        <v>-202.64999999999986</v>
      </c>
      <c r="Y24" s="2"/>
      <c r="Z24" s="19">
        <f t="shared" si="3"/>
        <v>0.1912875212384367</v>
      </c>
    </row>
    <row r="25" spans="1:26" s="23" customFormat="1" hidden="1" outlineLevel="1" x14ac:dyDescent="0.25">
      <c r="A25" s="44"/>
      <c r="B25" s="10" t="str">
        <f>CONCATENATE("          ", "4242", " - ", "SALES RETURN TAXABLE-EVERYDAY")</f>
        <v xml:space="preserve">          4242 - SALES RETURN TAXABLE-EVERYDAY</v>
      </c>
      <c r="C25" s="10"/>
      <c r="D25" s="2">
        <f t="shared" ref="D25:D29" si="7">0</f>
        <v>0</v>
      </c>
      <c r="E25" s="2"/>
      <c r="F25" s="19"/>
      <c r="G25" s="2"/>
      <c r="H25" s="2">
        <f>-157.5</f>
        <v>-157.5</v>
      </c>
      <c r="I25" s="2"/>
      <c r="J25" s="19"/>
      <c r="K25" s="2"/>
      <c r="L25" s="2">
        <f t="shared" si="0"/>
        <v>157.5</v>
      </c>
      <c r="M25" s="2"/>
      <c r="N25" s="19">
        <f t="shared" si="1"/>
        <v>-1</v>
      </c>
      <c r="O25" s="10"/>
      <c r="P25" s="2">
        <f>0</f>
        <v>0</v>
      </c>
      <c r="Q25" s="2"/>
      <c r="R25" s="19"/>
      <c r="S25" s="2"/>
      <c r="T25" s="2">
        <f>-227.7</f>
        <v>-227.7</v>
      </c>
      <c r="U25" s="2"/>
      <c r="V25" s="19"/>
      <c r="W25" s="2"/>
      <c r="X25" s="2">
        <f t="shared" si="2"/>
        <v>227.7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"4341", " - ", "SALES RETURN NON TAXABLE-LOGO")</f>
        <v xml:space="preserve">          4341 - SALES RETURN NON TAXABLE-LOGO</v>
      </c>
      <c r="C26" s="10"/>
      <c r="D26" s="2">
        <f t="shared" si="7"/>
        <v>0</v>
      </c>
      <c r="E26" s="2"/>
      <c r="F26" s="19"/>
      <c r="G26" s="2"/>
      <c r="H26" s="2">
        <f t="shared" ref="H26:H28" si="8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>-11.2</f>
        <v>-11.2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-11.2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"4342", " - ", "SALES RETURN NON TAXABLE-EVERY")</f>
        <v xml:space="preserve">          4342 - SALES RETURN NON TAXABLE-EVERY</v>
      </c>
      <c r="C27" s="10"/>
      <c r="D27" s="2">
        <f t="shared" si="7"/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ref="P27:P29" si="9">0</f>
        <v>0</v>
      </c>
      <c r="Q27" s="2"/>
      <c r="R27" s="19"/>
      <c r="S27" s="2"/>
      <c r="T27" s="2">
        <f>-39.42</f>
        <v>-39.42</v>
      </c>
      <c r="U27" s="2"/>
      <c r="V27" s="19"/>
      <c r="W27" s="2"/>
      <c r="X27" s="2">
        <f t="shared" si="2"/>
        <v>39.42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"4346", " - ", "SALES RETURN NON TAXABLE-COIN-")</f>
        <v xml:space="preserve">          4346 - SALES RETURN NON TAXABLE-COIN-</v>
      </c>
      <c r="C28" s="10"/>
      <c r="D28" s="2">
        <f t="shared" si="7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9"/>
        <v>0</v>
      </c>
      <c r="Q28" s="2"/>
      <c r="R28" s="19"/>
      <c r="S28" s="2"/>
      <c r="T28" s="2">
        <f>-8.15</f>
        <v>-8.15</v>
      </c>
      <c r="U28" s="2"/>
      <c r="V28" s="19"/>
      <c r="W28" s="2"/>
      <c r="X28" s="2">
        <f t="shared" si="2"/>
        <v>8.15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"4347", " - ", "SALES RETURN NON TAXABLE-MISC")</f>
        <v xml:space="preserve">          4347 - SALES RETURN NON TAXABLE-MISC</v>
      </c>
      <c r="C29" s="10"/>
      <c r="D29" s="2">
        <f t="shared" si="7"/>
        <v>0</v>
      </c>
      <c r="E29" s="2"/>
      <c r="F29" s="19"/>
      <c r="G29" s="2"/>
      <c r="H29" s="2">
        <f>-84</f>
        <v>-84</v>
      </c>
      <c r="I29" s="2"/>
      <c r="J29" s="19"/>
      <c r="K29" s="2"/>
      <c r="L29" s="2">
        <f t="shared" si="0"/>
        <v>84</v>
      </c>
      <c r="M29" s="2"/>
      <c r="N29" s="19">
        <f t="shared" si="1"/>
        <v>-1</v>
      </c>
      <c r="O29" s="10"/>
      <c r="P29" s="2">
        <f t="shared" si="9"/>
        <v>0</v>
      </c>
      <c r="Q29" s="2"/>
      <c r="R29" s="19"/>
      <c r="S29" s="2"/>
      <c r="T29" s="2">
        <f>-84</f>
        <v>-84</v>
      </c>
      <c r="U29" s="2"/>
      <c r="V29" s="19"/>
      <c r="W29" s="2"/>
      <c r="X29" s="2">
        <f t="shared" si="2"/>
        <v>84</v>
      </c>
      <c r="Y29" s="2"/>
      <c r="Z29" s="19">
        <f t="shared" si="3"/>
        <v>-1</v>
      </c>
    </row>
    <row r="30" spans="1:26" x14ac:dyDescent="0.25">
      <c r="A30" s="9"/>
      <c r="B30" s="11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x14ac:dyDescent="0.25">
      <c r="A31" s="11"/>
      <c r="B31" s="28" t="s">
        <v>256</v>
      </c>
      <c r="C31" s="11"/>
      <c r="D31" s="4">
        <f>SUM(0)</f>
        <v>0</v>
      </c>
      <c r="E31" s="4"/>
      <c r="F31" s="13">
        <f>IF(D$12=0,0,D31/D$12)</f>
        <v>0</v>
      </c>
      <c r="G31" s="4"/>
      <c r="H31" s="4">
        <f>SUM(0)</f>
        <v>0</v>
      </c>
      <c r="I31" s="4"/>
      <c r="J31" s="13">
        <f>IF(H$12=0,0,H31/H$12)</f>
        <v>0</v>
      </c>
      <c r="K31" s="4"/>
      <c r="L31" s="4">
        <f>+D31-H31</f>
        <v>0</v>
      </c>
      <c r="M31" s="4"/>
      <c r="N31" s="13">
        <f>IF(H31=0,0,L31/H31)</f>
        <v>0</v>
      </c>
      <c r="O31" s="11"/>
      <c r="P31" s="4">
        <f>SUM(0)</f>
        <v>0</v>
      </c>
      <c r="Q31" s="4"/>
      <c r="R31" s="13">
        <f>IF(P$12=0,0,P31/P$12)</f>
        <v>0</v>
      </c>
      <c r="S31" s="4"/>
      <c r="T31" s="4">
        <f>SUM(0)</f>
        <v>0</v>
      </c>
      <c r="U31" s="4"/>
      <c r="V31" s="13">
        <f>IF(T$12=0,0,T31/T$12)</f>
        <v>0</v>
      </c>
      <c r="W31" s="4"/>
      <c r="X31" s="4">
        <f>+P31-T31</f>
        <v>0</v>
      </c>
      <c r="Y31" s="4"/>
      <c r="Z31" s="13">
        <f>IF(T31=0,0,X31/T31)</f>
        <v>0</v>
      </c>
    </row>
    <row r="32" spans="1:26" x14ac:dyDescent="0.25">
      <c r="A32" s="9"/>
      <c r="B32" s="11"/>
      <c r="C32" s="11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1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11"/>
      <c r="B33" s="29" t="s">
        <v>107</v>
      </c>
      <c r="C33" s="29"/>
      <c r="D33" s="22">
        <f>D12-D31</f>
        <v>2147</v>
      </c>
      <c r="E33" s="14"/>
      <c r="F33" s="20">
        <f>IF(D$12=0,0,D33/D$12)</f>
        <v>1</v>
      </c>
      <c r="G33" s="14"/>
      <c r="H33" s="22">
        <f>H12-H31</f>
        <v>27001.46</v>
      </c>
      <c r="I33" s="14"/>
      <c r="J33" s="20">
        <f>IF(H$12=0,0,H33/H$12)</f>
        <v>1</v>
      </c>
      <c r="K33" s="15"/>
      <c r="L33" s="22">
        <f>+D33-H33</f>
        <v>-24854.46</v>
      </c>
      <c r="M33" s="15"/>
      <c r="N33" s="20">
        <f>IF(H33=0,0,L33/H33)</f>
        <v>-0.92048578113924207</v>
      </c>
      <c r="O33" s="28"/>
      <c r="P33" s="22">
        <f>P12-P31</f>
        <v>110995.03</v>
      </c>
      <c r="Q33" s="14"/>
      <c r="R33" s="20">
        <f>IF(P$12=0,0,P33/P$12)</f>
        <v>1</v>
      </c>
      <c r="S33" s="14"/>
      <c r="T33" s="22">
        <f>T12-T31</f>
        <v>469142.26999999996</v>
      </c>
      <c r="U33" s="14"/>
      <c r="V33" s="20">
        <f>IF(T$12=0,0,T33/T$12)</f>
        <v>1</v>
      </c>
      <c r="W33" s="15"/>
      <c r="X33" s="22">
        <f>+P33-T33</f>
        <v>-358147.24</v>
      </c>
      <c r="Y33" s="15"/>
      <c r="Z33" s="20">
        <f>IF(T33=0,0,X33/T33)</f>
        <v>-0.7634085924510704</v>
      </c>
    </row>
    <row r="34" spans="1:26" x14ac:dyDescent="0.25">
      <c r="A34" s="9"/>
      <c r="B34" s="11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4" customFormat="1" x14ac:dyDescent="0.25">
      <c r="A35" s="11"/>
      <c r="B35" s="28" t="s">
        <v>294</v>
      </c>
      <c r="C35" s="11"/>
      <c r="D35" s="21">
        <f>SUM(OSRRefD22x_0)</f>
        <v>19440.499999999989</v>
      </c>
      <c r="E35" s="21"/>
      <c r="F35" s="31">
        <f t="shared" ref="F35:F44" si="10">IF(D$12=0,0,D35/D$12)</f>
        <v>9.0547275267815515</v>
      </c>
      <c r="G35" s="21"/>
      <c r="H35" s="21">
        <f>SUM(OSRRefH22x_0)</f>
        <v>49251.07</v>
      </c>
      <c r="I35" s="21"/>
      <c r="J35" s="31">
        <f t="shared" ref="J35:J44" si="11">IF(H$12=0,0,H35/H$12)</f>
        <v>1.8240150717776002</v>
      </c>
      <c r="K35" s="4"/>
      <c r="L35" s="21">
        <f t="shared" ref="L35:L44" si="12">+D35-H35</f>
        <v>-29810.570000000011</v>
      </c>
      <c r="M35" s="4"/>
      <c r="N35" s="31">
        <f t="shared" ref="N35:N44" si="13">IF(H35=0,0,L35/H35)</f>
        <v>-0.60527761122753299</v>
      </c>
      <c r="O35" s="11"/>
      <c r="P35" s="21">
        <f>SUM(OSRRefP22x_0)</f>
        <v>257264.91</v>
      </c>
      <c r="Q35" s="21"/>
      <c r="R35" s="31">
        <f t="shared" ref="R35:R44" si="14">IF(P$12=0,0,P35/P$12)</f>
        <v>2.317805671118788</v>
      </c>
      <c r="S35" s="21"/>
      <c r="T35" s="21">
        <f>SUM(OSRRefT22x_0)</f>
        <v>421544.37999999995</v>
      </c>
      <c r="U35" s="21"/>
      <c r="V35" s="31">
        <f t="shared" ref="V35:V44" si="15">IF(T$12=0,0,T35/T$12)</f>
        <v>0.89854273843198995</v>
      </c>
      <c r="W35" s="4"/>
      <c r="X35" s="21">
        <f t="shared" ref="X35:X44" si="16">+P35-T35</f>
        <v>-164279.46999999994</v>
      </c>
      <c r="Y35" s="4"/>
      <c r="Z35" s="31">
        <f t="shared" ref="Z35:Z44" si="17">IF(T35=0,0,X35/T35)</f>
        <v>-0.38970859960225296</v>
      </c>
    </row>
    <row r="36" spans="1:26" s="26" customFormat="1" outlineLevel="1" collapsed="1" x14ac:dyDescent="0.25">
      <c r="A36" s="27"/>
      <c r="B36" s="12" t="str">
        <f>CONCATENATE("     ","*Benefits                                         ")</f>
        <v xml:space="preserve">     *Benefits                                         </v>
      </c>
      <c r="C36" s="12"/>
      <c r="D36" s="1">
        <f>SUM(OSRRefD22_0x_0)</f>
        <v>8898.1500000000015</v>
      </c>
      <c r="E36" s="1"/>
      <c r="F36" s="5">
        <f t="shared" si="10"/>
        <v>4.1444573823940392</v>
      </c>
      <c r="G36" s="1"/>
      <c r="H36" s="1">
        <f>SUM(OSRRefH22_0x_0)</f>
        <v>11185.09</v>
      </c>
      <c r="I36" s="1"/>
      <c r="J36" s="5">
        <f t="shared" si="11"/>
        <v>0.41424019293771525</v>
      </c>
      <c r="K36" s="1"/>
      <c r="L36" s="1">
        <f t="shared" si="12"/>
        <v>-2286.9399999999987</v>
      </c>
      <c r="M36" s="1"/>
      <c r="N36" s="5">
        <f t="shared" si="13"/>
        <v>-0.2044632631476366</v>
      </c>
      <c r="O36" s="12"/>
      <c r="P36" s="1">
        <f>SUM(OSRRefP22_0x_0)</f>
        <v>84386.12000000001</v>
      </c>
      <c r="Q36" s="1"/>
      <c r="R36" s="5">
        <f t="shared" si="14"/>
        <v>0.76026935620450764</v>
      </c>
      <c r="S36" s="1"/>
      <c r="T36" s="1">
        <f>SUM(OSRRefT22_0x_0)</f>
        <v>74437.22</v>
      </c>
      <c r="U36" s="1"/>
      <c r="V36" s="5">
        <f t="shared" si="15"/>
        <v>0.15866662366620685</v>
      </c>
      <c r="W36" s="1"/>
      <c r="X36" s="1">
        <f t="shared" si="16"/>
        <v>9948.9000000000087</v>
      </c>
      <c r="Y36" s="1"/>
      <c r="Z36" s="5">
        <f t="shared" si="17"/>
        <v>0.13365491080940434</v>
      </c>
    </row>
    <row r="37" spans="1:26" s="23" customFormat="1" hidden="1" outlineLevel="2" x14ac:dyDescent="0.25">
      <c r="A37" s="25"/>
      <c r="B37" s="10" t="str">
        <f>CONCATENATE("          ", "6111", " - ", "F.I.C.A.")</f>
        <v xml:space="preserve">          6111 - F.I.C.A.</v>
      </c>
      <c r="C37" s="10"/>
      <c r="D37" s="6">
        <v>1213.6400000000001</v>
      </c>
      <c r="E37" s="2"/>
      <c r="F37" s="7">
        <f t="shared" si="10"/>
        <v>0.56527247321844443</v>
      </c>
      <c r="G37" s="2"/>
      <c r="H37" s="6">
        <v>1399.9</v>
      </c>
      <c r="I37" s="2"/>
      <c r="J37" s="7">
        <f t="shared" si="11"/>
        <v>5.184534465914066E-2</v>
      </c>
      <c r="K37" s="2"/>
      <c r="L37" s="6">
        <f t="shared" si="12"/>
        <v>-186.26</v>
      </c>
      <c r="M37" s="2"/>
      <c r="N37" s="7">
        <f t="shared" si="13"/>
        <v>-0.13305236088292019</v>
      </c>
      <c r="O37" s="10"/>
      <c r="P37" s="6">
        <v>11467.69</v>
      </c>
      <c r="Q37" s="2"/>
      <c r="R37" s="7">
        <f t="shared" si="14"/>
        <v>0.10331714852457809</v>
      </c>
      <c r="S37" s="2"/>
      <c r="T37" s="6">
        <v>11636.17</v>
      </c>
      <c r="U37" s="2"/>
      <c r="V37" s="7">
        <f t="shared" si="15"/>
        <v>2.4803073063529323E-2</v>
      </c>
      <c r="W37" s="2"/>
      <c r="X37" s="6">
        <f t="shared" si="16"/>
        <v>-168.47999999999956</v>
      </c>
      <c r="Y37" s="2"/>
      <c r="Z37" s="7">
        <f t="shared" si="17"/>
        <v>-1.4478990939458564E-2</v>
      </c>
    </row>
    <row r="38" spans="1:26" s="23" customFormat="1" hidden="1" outlineLevel="2" x14ac:dyDescent="0.25">
      <c r="A38" s="25"/>
      <c r="B38" s="10" t="str">
        <f>CONCATENATE("          ", "6112", " - ", "COMPENSATION INSURANCE")</f>
        <v xml:space="preserve">          6112 - COMPENSATION INSURANCE</v>
      </c>
      <c r="C38" s="10"/>
      <c r="D38" s="6">
        <v>311.66000000000003</v>
      </c>
      <c r="E38" s="2"/>
      <c r="F38" s="7">
        <f t="shared" si="10"/>
        <v>0.14516068933395437</v>
      </c>
      <c r="G38" s="2"/>
      <c r="H38" s="6">
        <v>208.47</v>
      </c>
      <c r="I38" s="2"/>
      <c r="J38" s="7">
        <f t="shared" si="11"/>
        <v>7.7206936217523057E-3</v>
      </c>
      <c r="K38" s="2"/>
      <c r="L38" s="6">
        <f t="shared" si="12"/>
        <v>103.19000000000003</v>
      </c>
      <c r="M38" s="2"/>
      <c r="N38" s="7">
        <f t="shared" si="13"/>
        <v>0.49498728833884986</v>
      </c>
      <c r="O38" s="10"/>
      <c r="P38" s="6">
        <v>3030.26</v>
      </c>
      <c r="Q38" s="2"/>
      <c r="R38" s="7">
        <f t="shared" si="14"/>
        <v>2.7300862029588174E-2</v>
      </c>
      <c r="S38" s="2"/>
      <c r="T38" s="6">
        <v>1877.86</v>
      </c>
      <c r="U38" s="2"/>
      <c r="V38" s="7">
        <f t="shared" si="15"/>
        <v>4.0027516599602077E-3</v>
      </c>
      <c r="W38" s="2"/>
      <c r="X38" s="6">
        <f t="shared" si="16"/>
        <v>1152.4000000000003</v>
      </c>
      <c r="Y38" s="2"/>
      <c r="Z38" s="7">
        <f t="shared" si="17"/>
        <v>0.61367727093606572</v>
      </c>
    </row>
    <row r="39" spans="1:26" s="23" customFormat="1" hidden="1" outlineLevel="2" x14ac:dyDescent="0.25">
      <c r="A39" s="25"/>
      <c r="B39" s="10" t="str">
        <f>CONCATENATE("          ", "6113", " - ", "GROUP INSURANCE")</f>
        <v xml:space="preserve">          6113 - GROUP INSURANCE</v>
      </c>
      <c r="C39" s="10"/>
      <c r="D39" s="6">
        <v>3421.48</v>
      </c>
      <c r="E39" s="2"/>
      <c r="F39" s="7">
        <f t="shared" si="10"/>
        <v>1.5936096879366559</v>
      </c>
      <c r="G39" s="2"/>
      <c r="H39" s="6">
        <v>3218.03</v>
      </c>
      <c r="I39" s="2"/>
      <c r="J39" s="7">
        <f t="shared" si="11"/>
        <v>0.1191798517561643</v>
      </c>
      <c r="K39" s="2"/>
      <c r="L39" s="6">
        <f t="shared" si="12"/>
        <v>203.44999999999982</v>
      </c>
      <c r="M39" s="2"/>
      <c r="N39" s="7">
        <f t="shared" si="13"/>
        <v>6.3221909056161624E-2</v>
      </c>
      <c r="O39" s="10"/>
      <c r="P39" s="6">
        <v>32635.77</v>
      </c>
      <c r="Q39" s="2"/>
      <c r="R39" s="7">
        <f t="shared" si="14"/>
        <v>0.2940291110331697</v>
      </c>
      <c r="S39" s="2"/>
      <c r="T39" s="6">
        <v>27037.53</v>
      </c>
      <c r="U39" s="2"/>
      <c r="V39" s="7">
        <f t="shared" si="15"/>
        <v>5.763183522132849E-2</v>
      </c>
      <c r="W39" s="2"/>
      <c r="X39" s="6">
        <f t="shared" si="16"/>
        <v>5598.2400000000016</v>
      </c>
      <c r="Y39" s="2"/>
      <c r="Z39" s="7">
        <f t="shared" si="17"/>
        <v>0.20705441658317167</v>
      </c>
    </row>
    <row r="40" spans="1:26" s="23" customFormat="1" hidden="1" outlineLevel="2" x14ac:dyDescent="0.25">
      <c r="A40" s="25"/>
      <c r="B40" s="10" t="str">
        <f>CONCATENATE("          ", "6114", " - ", "STATE UNEMPLOYMENT INSURANCE")</f>
        <v xml:space="preserve">          6114 - STATE UNEMPLOYMENT INSURANCE</v>
      </c>
      <c r="C40" s="10"/>
      <c r="D40" s="6">
        <v>43.8</v>
      </c>
      <c r="E40" s="2"/>
      <c r="F40" s="7">
        <f t="shared" si="10"/>
        <v>2.0400558919422447E-2</v>
      </c>
      <c r="G40" s="2"/>
      <c r="H40" s="6">
        <v>43.65</v>
      </c>
      <c r="I40" s="2"/>
      <c r="J40" s="7">
        <f t="shared" si="11"/>
        <v>1.6165792516404669E-3</v>
      </c>
      <c r="K40" s="2"/>
      <c r="L40" s="6">
        <f t="shared" si="12"/>
        <v>0.14999999999999858</v>
      </c>
      <c r="M40" s="2"/>
      <c r="N40" s="7">
        <f t="shared" si="13"/>
        <v>3.4364261168384554E-3</v>
      </c>
      <c r="O40" s="10"/>
      <c r="P40" s="6">
        <v>425.86</v>
      </c>
      <c r="Q40" s="2"/>
      <c r="R40" s="7">
        <f t="shared" si="14"/>
        <v>3.8367483661205372E-3</v>
      </c>
      <c r="S40" s="2"/>
      <c r="T40" s="6">
        <v>449.44</v>
      </c>
      <c r="U40" s="2"/>
      <c r="V40" s="7">
        <f t="shared" si="15"/>
        <v>9.5800363501672965E-4</v>
      </c>
      <c r="W40" s="2"/>
      <c r="X40" s="6">
        <f t="shared" si="16"/>
        <v>-23.579999999999984</v>
      </c>
      <c r="Y40" s="2"/>
      <c r="Z40" s="7">
        <f t="shared" si="17"/>
        <v>-5.246529013883941E-2</v>
      </c>
    </row>
    <row r="41" spans="1:26" s="23" customFormat="1" hidden="1" outlineLevel="2" x14ac:dyDescent="0.25">
      <c r="A41" s="25"/>
      <c r="B41" s="10" t="str">
        <f>CONCATENATE("          ", "6115", " - ", "P.E.R.S.")</f>
        <v xml:space="preserve">          6115 - P.E.R.S.</v>
      </c>
      <c r="C41" s="10"/>
      <c r="D41" s="6">
        <v>1614.45</v>
      </c>
      <c r="E41" s="2"/>
      <c r="F41" s="7">
        <f t="shared" si="10"/>
        <v>0.75195621797857481</v>
      </c>
      <c r="G41" s="2"/>
      <c r="H41" s="6">
        <v>1128.2</v>
      </c>
      <c r="I41" s="2"/>
      <c r="J41" s="7">
        <f t="shared" si="11"/>
        <v>4.1782925812159789E-2</v>
      </c>
      <c r="K41" s="2"/>
      <c r="L41" s="6">
        <f t="shared" si="12"/>
        <v>486.25</v>
      </c>
      <c r="M41" s="2"/>
      <c r="N41" s="7">
        <f t="shared" si="13"/>
        <v>0.43099627725580569</v>
      </c>
      <c r="O41" s="10"/>
      <c r="P41" s="6">
        <v>15714.79</v>
      </c>
      <c r="Q41" s="2"/>
      <c r="R41" s="7">
        <f t="shared" si="14"/>
        <v>0.14158102394314412</v>
      </c>
      <c r="S41" s="2"/>
      <c r="T41" s="6">
        <v>11918.99</v>
      </c>
      <c r="U41" s="2"/>
      <c r="V41" s="7">
        <f t="shared" si="15"/>
        <v>2.540591791057327E-2</v>
      </c>
      <c r="W41" s="2"/>
      <c r="X41" s="6">
        <f t="shared" si="16"/>
        <v>3795.8000000000011</v>
      </c>
      <c r="Y41" s="2"/>
      <c r="Z41" s="7">
        <f t="shared" si="17"/>
        <v>0.31846658148047791</v>
      </c>
    </row>
    <row r="42" spans="1:26" s="23" customFormat="1" hidden="1" outlineLevel="2" x14ac:dyDescent="0.25">
      <c r="A42" s="25"/>
      <c r="B42" s="10" t="str">
        <f>CONCATENATE("          ", "6118", " - ", "VACATION")</f>
        <v xml:space="preserve">          6118 - VACATION</v>
      </c>
      <c r="C42" s="10"/>
      <c r="D42" s="6">
        <v>1216.0999999999999</v>
      </c>
      <c r="E42" s="2"/>
      <c r="F42" s="7">
        <f t="shared" si="10"/>
        <v>0.56641825803446666</v>
      </c>
      <c r="G42" s="2"/>
      <c r="H42" s="6">
        <v>2935</v>
      </c>
      <c r="I42" s="2"/>
      <c r="J42" s="7">
        <f t="shared" si="11"/>
        <v>0.10869782596941055</v>
      </c>
      <c r="K42" s="2"/>
      <c r="L42" s="6">
        <f t="shared" si="12"/>
        <v>-1718.9</v>
      </c>
      <c r="M42" s="2"/>
      <c r="N42" s="7">
        <f t="shared" si="13"/>
        <v>-0.58565587734241908</v>
      </c>
      <c r="O42" s="10"/>
      <c r="P42" s="6">
        <v>11315.73</v>
      </c>
      <c r="Q42" s="2"/>
      <c r="R42" s="7">
        <f t="shared" si="14"/>
        <v>0.10194807821575434</v>
      </c>
      <c r="S42" s="2"/>
      <c r="T42" s="6">
        <v>11784.33</v>
      </c>
      <c r="U42" s="2"/>
      <c r="V42" s="7">
        <f t="shared" si="15"/>
        <v>2.5118883446592865E-2</v>
      </c>
      <c r="W42" s="2"/>
      <c r="X42" s="6">
        <f t="shared" si="16"/>
        <v>-468.60000000000036</v>
      </c>
      <c r="Y42" s="2"/>
      <c r="Z42" s="7">
        <f t="shared" si="17"/>
        <v>-3.9764670541303608E-2</v>
      </c>
    </row>
    <row r="43" spans="1:26" s="23" customFormat="1" hidden="1" outlineLevel="2" x14ac:dyDescent="0.25">
      <c r="A43" s="25"/>
      <c r="B43" s="10" t="str">
        <f>CONCATENATE("          ", "6119", " - ", "SICK LEAVE")</f>
        <v xml:space="preserve">          6119 - SICK LEAVE</v>
      </c>
      <c r="C43" s="10"/>
      <c r="D43" s="6">
        <v>738.5</v>
      </c>
      <c r="E43" s="2"/>
      <c r="F43" s="7">
        <f t="shared" si="10"/>
        <v>0.34396832789939452</v>
      </c>
      <c r="G43" s="2"/>
      <c r="H43" s="6">
        <v>2081.0300000000002</v>
      </c>
      <c r="I43" s="2"/>
      <c r="J43" s="7">
        <f t="shared" si="11"/>
        <v>7.7071017641268294E-2</v>
      </c>
      <c r="K43" s="2"/>
      <c r="L43" s="6">
        <f t="shared" si="12"/>
        <v>-1342.5300000000002</v>
      </c>
      <c r="M43" s="2"/>
      <c r="N43" s="7">
        <f t="shared" si="13"/>
        <v>-0.64512765313330422</v>
      </c>
      <c r="O43" s="10"/>
      <c r="P43" s="6">
        <v>6909.77</v>
      </c>
      <c r="Q43" s="2"/>
      <c r="R43" s="7">
        <f t="shared" si="14"/>
        <v>6.2252967542780972E-2</v>
      </c>
      <c r="S43" s="2"/>
      <c r="T43" s="6">
        <v>7290.39</v>
      </c>
      <c r="U43" s="2"/>
      <c r="V43" s="7">
        <f t="shared" si="15"/>
        <v>1.5539827609223959E-2</v>
      </c>
      <c r="W43" s="2"/>
      <c r="X43" s="6">
        <f t="shared" si="16"/>
        <v>-380.61999999999989</v>
      </c>
      <c r="Y43" s="2"/>
      <c r="Z43" s="7">
        <f t="shared" si="17"/>
        <v>-5.2208455240391784E-2</v>
      </c>
    </row>
    <row r="44" spans="1:26" s="23" customFormat="1" hidden="1" outlineLevel="2" x14ac:dyDescent="0.25">
      <c r="A44" s="25"/>
      <c r="B44" s="10" t="str">
        <f>CONCATENATE("          ", "6156", " - ", "EMPLOYEE MEALS")</f>
        <v xml:space="preserve">          6156 - EMPLOYEE MEALS</v>
      </c>
      <c r="C44" s="10"/>
      <c r="D44" s="6">
        <v>338.52</v>
      </c>
      <c r="E44" s="2"/>
      <c r="F44" s="7">
        <f t="shared" si="10"/>
        <v>0.15767116907312528</v>
      </c>
      <c r="G44" s="2"/>
      <c r="H44" s="6">
        <v>170.81</v>
      </c>
      <c r="I44" s="2"/>
      <c r="J44" s="7">
        <f t="shared" si="11"/>
        <v>6.3259542261788811E-3</v>
      </c>
      <c r="K44" s="2"/>
      <c r="L44" s="6">
        <f t="shared" si="12"/>
        <v>167.70999999999998</v>
      </c>
      <c r="M44" s="2"/>
      <c r="N44" s="7">
        <f t="shared" si="13"/>
        <v>0.98185117967332114</v>
      </c>
      <c r="O44" s="10"/>
      <c r="P44" s="6">
        <v>2886.25</v>
      </c>
      <c r="Q44" s="2"/>
      <c r="R44" s="7">
        <f t="shared" si="14"/>
        <v>2.6003416549371626E-2</v>
      </c>
      <c r="S44" s="2"/>
      <c r="T44" s="6">
        <v>2442.5100000000002</v>
      </c>
      <c r="U44" s="2"/>
      <c r="V44" s="7">
        <f t="shared" si="15"/>
        <v>5.2063311199820059E-3</v>
      </c>
      <c r="W44" s="2"/>
      <c r="X44" s="6">
        <f t="shared" si="16"/>
        <v>443.73999999999978</v>
      </c>
      <c r="Y44" s="2"/>
      <c r="Z44" s="7">
        <f t="shared" si="17"/>
        <v>0.18167377001527107</v>
      </c>
    </row>
    <row r="45" spans="1:26" s="26" customFormat="1" outlineLevel="1" collapsed="1" x14ac:dyDescent="0.25">
      <c r="A45" s="27"/>
      <c r="B45" s="12" t="str">
        <f>CONCATENATE("     ","*Payroll                                          ")</f>
        <v xml:space="preserve">     *Payroll                                          </v>
      </c>
      <c r="C45" s="12"/>
      <c r="D45" s="1">
        <f>SUM(OSRRefD22_1x_0)</f>
        <v>14970.33</v>
      </c>
      <c r="E45" s="1"/>
      <c r="F45" s="5">
        <f t="shared" ref="F45:F49" si="18">IF(D$12=0,0,D45/D$12)</f>
        <v>6.9726734979040526</v>
      </c>
      <c r="G45" s="1"/>
      <c r="H45" s="1">
        <f>SUM(OSRRefH22_1x_0)</f>
        <v>12739.510000000002</v>
      </c>
      <c r="I45" s="1"/>
      <c r="J45" s="5">
        <f t="shared" ref="J45:J49" si="19">IF(H$12=0,0,H45/H$12)</f>
        <v>0.47180819111262884</v>
      </c>
      <c r="K45" s="1"/>
      <c r="L45" s="1">
        <f t="shared" ref="L45:L49" si="20">+D45-H45</f>
        <v>2230.8199999999979</v>
      </c>
      <c r="M45" s="1"/>
      <c r="N45" s="5">
        <f t="shared" ref="N45:N49" si="21">IF(H45=0,0,L45/H45)</f>
        <v>0.17511034568833475</v>
      </c>
      <c r="O45" s="12"/>
      <c r="P45" s="1">
        <f>SUM(OSRRefP22_1x_0)</f>
        <v>138818.57</v>
      </c>
      <c r="Q45" s="1"/>
      <c r="R45" s="5">
        <f t="shared" ref="R45:R49" si="22">IF(P$12=0,0,P45/P$12)</f>
        <v>1.2506737463830588</v>
      </c>
      <c r="S45" s="1"/>
      <c r="T45" s="1">
        <f>SUM(OSRRefT22_1x_0)</f>
        <v>153311.16</v>
      </c>
      <c r="U45" s="1"/>
      <c r="V45" s="5">
        <f t="shared" ref="V45:V49" si="23">IF(T$12=0,0,T45/T$12)</f>
        <v>0.32679033590386136</v>
      </c>
      <c r="W45" s="1"/>
      <c r="X45" s="1">
        <f t="shared" ref="X45:X49" si="24">+P45-T45</f>
        <v>-14492.589999999997</v>
      </c>
      <c r="Y45" s="1"/>
      <c r="Z45" s="5">
        <f t="shared" ref="Z45:Z49" si="25">IF(T45=0,0,X45/T45)</f>
        <v>-9.4530561245508779E-2</v>
      </c>
    </row>
    <row r="46" spans="1:26" s="23" customFormat="1" hidden="1" outlineLevel="2" x14ac:dyDescent="0.25">
      <c r="A46" s="25"/>
      <c r="B46" s="10" t="str">
        <f>CONCATENATE("          ", "6002", " - ", "STAFF SALARIES")</f>
        <v xml:space="preserve">          6002 - STAFF SALARIES</v>
      </c>
      <c r="C46" s="10"/>
      <c r="D46" s="6">
        <v>14462.41</v>
      </c>
      <c r="E46" s="2"/>
      <c r="F46" s="7">
        <f t="shared" si="18"/>
        <v>6.7361015370284116</v>
      </c>
      <c r="G46" s="2"/>
      <c r="H46" s="6">
        <v>8100.64</v>
      </c>
      <c r="I46" s="2"/>
      <c r="J46" s="7">
        <f t="shared" si="19"/>
        <v>0.30000748107694919</v>
      </c>
      <c r="K46" s="2"/>
      <c r="L46" s="6">
        <f t="shared" si="20"/>
        <v>6361.7699999999995</v>
      </c>
      <c r="M46" s="2"/>
      <c r="N46" s="7">
        <f t="shared" si="21"/>
        <v>0.7853416520176183</v>
      </c>
      <c r="O46" s="10"/>
      <c r="P46" s="6">
        <v>132471.79</v>
      </c>
      <c r="Q46" s="2"/>
      <c r="R46" s="7">
        <f t="shared" si="22"/>
        <v>1.1934929879292795</v>
      </c>
      <c r="S46" s="2"/>
      <c r="T46" s="6">
        <v>100881</v>
      </c>
      <c r="U46" s="2"/>
      <c r="V46" s="7">
        <f t="shared" si="23"/>
        <v>0.21503285133526767</v>
      </c>
      <c r="W46" s="2"/>
      <c r="X46" s="6">
        <f t="shared" si="24"/>
        <v>31590.790000000008</v>
      </c>
      <c r="Y46" s="2"/>
      <c r="Z46" s="7">
        <f t="shared" si="25"/>
        <v>0.31314905680950833</v>
      </c>
    </row>
    <row r="47" spans="1:26" s="23" customFormat="1" hidden="1" outlineLevel="2" x14ac:dyDescent="0.25">
      <c r="A47" s="25"/>
      <c r="B47" s="10" t="str">
        <f>CONCATENATE("          ", "6005", " - ", "TEMPORARY WAGES-HOURLY")</f>
        <v xml:space="preserve">          6005 - TEMPORARY WAGES-HOURLY</v>
      </c>
      <c r="C47" s="10"/>
      <c r="D47" s="6"/>
      <c r="E47" s="2"/>
      <c r="F47" s="7">
        <f t="shared" si="18"/>
        <v>0</v>
      </c>
      <c r="G47" s="2"/>
      <c r="H47" s="6">
        <v>1787.67</v>
      </c>
      <c r="I47" s="2"/>
      <c r="J47" s="7">
        <f t="shared" si="19"/>
        <v>6.6206419949143502E-2</v>
      </c>
      <c r="K47" s="2"/>
      <c r="L47" s="6">
        <f t="shared" si="20"/>
        <v>-1787.67</v>
      </c>
      <c r="M47" s="2"/>
      <c r="N47" s="7">
        <f t="shared" si="21"/>
        <v>-1</v>
      </c>
      <c r="O47" s="10"/>
      <c r="P47" s="6">
        <v>383.25</v>
      </c>
      <c r="Q47" s="2"/>
      <c r="R47" s="7">
        <f t="shared" si="22"/>
        <v>3.4528573036108011E-3</v>
      </c>
      <c r="S47" s="2"/>
      <c r="T47" s="6">
        <v>18111.36</v>
      </c>
      <c r="U47" s="2"/>
      <c r="V47" s="7">
        <f t="shared" si="23"/>
        <v>3.8605261470044047E-2</v>
      </c>
      <c r="W47" s="2"/>
      <c r="X47" s="6">
        <f t="shared" si="24"/>
        <v>-17728.11</v>
      </c>
      <c r="Y47" s="2"/>
      <c r="Z47" s="7">
        <f t="shared" si="25"/>
        <v>-0.97883924785328102</v>
      </c>
    </row>
    <row r="48" spans="1:26" s="23" customFormat="1" hidden="1" outlineLevel="2" x14ac:dyDescent="0.25">
      <c r="A48" s="25"/>
      <c r="B48" s="10" t="str">
        <f>CONCATENATE("          ", "6006", " - ", "TEMPORARY PART TIME")</f>
        <v xml:space="preserve">          6006 - TEMPORARY PART TIME</v>
      </c>
      <c r="C48" s="10"/>
      <c r="D48" s="6"/>
      <c r="E48" s="2"/>
      <c r="F48" s="7">
        <f t="shared" si="18"/>
        <v>0</v>
      </c>
      <c r="G48" s="2"/>
      <c r="H48" s="6">
        <v>1066.5899999999999</v>
      </c>
      <c r="I48" s="2"/>
      <c r="J48" s="7">
        <f t="shared" si="19"/>
        <v>3.9501197342662213E-2</v>
      </c>
      <c r="K48" s="2"/>
      <c r="L48" s="6">
        <f t="shared" si="20"/>
        <v>-1066.5899999999999</v>
      </c>
      <c r="M48" s="2"/>
      <c r="N48" s="7">
        <f t="shared" si="21"/>
        <v>-1</v>
      </c>
      <c r="O48" s="10"/>
      <c r="P48" s="6"/>
      <c r="Q48" s="2"/>
      <c r="R48" s="7">
        <f t="shared" si="22"/>
        <v>0</v>
      </c>
      <c r="S48" s="2"/>
      <c r="T48" s="6">
        <v>2451.21</v>
      </c>
      <c r="U48" s="2"/>
      <c r="V48" s="7">
        <f t="shared" si="23"/>
        <v>5.2248756011689171E-3</v>
      </c>
      <c r="W48" s="2"/>
      <c r="X48" s="6">
        <f t="shared" si="24"/>
        <v>-2451.21</v>
      </c>
      <c r="Y48" s="2"/>
      <c r="Z48" s="7">
        <f t="shared" si="25"/>
        <v>-1</v>
      </c>
    </row>
    <row r="49" spans="1:26" s="23" customFormat="1" hidden="1" outlineLevel="2" x14ac:dyDescent="0.25">
      <c r="A49" s="25"/>
      <c r="B49" s="10" t="str">
        <f>CONCATENATE("          ", "6007", " - ", "STUDENT HOURLY")</f>
        <v xml:space="preserve">          6007 - STUDENT HOURLY</v>
      </c>
      <c r="C49" s="10"/>
      <c r="D49" s="6">
        <v>507.92</v>
      </c>
      <c r="E49" s="2"/>
      <c r="F49" s="7">
        <f t="shared" si="18"/>
        <v>0.23657196087564045</v>
      </c>
      <c r="G49" s="2"/>
      <c r="H49" s="6">
        <v>1784.61</v>
      </c>
      <c r="I49" s="2"/>
      <c r="J49" s="7">
        <f t="shared" si="19"/>
        <v>6.6093092743873844E-2</v>
      </c>
      <c r="K49" s="2"/>
      <c r="L49" s="6">
        <f t="shared" si="20"/>
        <v>-1276.6899999999998</v>
      </c>
      <c r="M49" s="2"/>
      <c r="N49" s="7">
        <f t="shared" si="21"/>
        <v>-0.71538879643171327</v>
      </c>
      <c r="O49" s="10"/>
      <c r="P49" s="6">
        <v>5963.53</v>
      </c>
      <c r="Q49" s="2"/>
      <c r="R49" s="7">
        <f t="shared" si="22"/>
        <v>5.3727901150168615E-2</v>
      </c>
      <c r="S49" s="2"/>
      <c r="T49" s="6">
        <v>31867.59</v>
      </c>
      <c r="U49" s="2"/>
      <c r="V49" s="7">
        <f t="shared" si="23"/>
        <v>6.7927347497380705E-2</v>
      </c>
      <c r="W49" s="2"/>
      <c r="X49" s="6">
        <f t="shared" si="24"/>
        <v>-25904.06</v>
      </c>
      <c r="Y49" s="2"/>
      <c r="Z49" s="7">
        <f t="shared" si="25"/>
        <v>-0.81286535944512905</v>
      </c>
    </row>
    <row r="50" spans="1:26" s="26" customFormat="1" outlineLevel="1" collapsed="1" x14ac:dyDescent="0.25">
      <c r="A50" s="27"/>
      <c r="B50" s="12" t="str">
        <f>CONCATENATE("     ","Advertising/Promo                                 ")</f>
        <v xml:space="preserve">     Advertising/Promo                                 </v>
      </c>
      <c r="C50" s="12"/>
      <c r="D50" s="1">
        <f>SUM(OSRRefD22_2x_0)</f>
        <v>0</v>
      </c>
      <c r="E50" s="1"/>
      <c r="F50" s="5">
        <f t="shared" ref="F50:F60" si="26">IF(D$12=0,0,D50/D$12)</f>
        <v>0</v>
      </c>
      <c r="G50" s="1"/>
      <c r="H50" s="1">
        <f>SUM(OSRRefH22_2x_0)</f>
        <v>0</v>
      </c>
      <c r="I50" s="1"/>
      <c r="J50" s="5">
        <f t="shared" ref="J50:J60" si="27">IF(H$12=0,0,H50/H$12)</f>
        <v>0</v>
      </c>
      <c r="K50" s="1"/>
      <c r="L50" s="1">
        <f t="shared" ref="L50:L60" si="28">+D50-H50</f>
        <v>0</v>
      </c>
      <c r="M50" s="1"/>
      <c r="N50" s="5">
        <f t="shared" ref="N50:N60" si="29">IF(H50=0,0,L50/H50)</f>
        <v>0</v>
      </c>
      <c r="O50" s="12"/>
      <c r="P50" s="1">
        <f>SUM(OSRRefP22_2x_0)</f>
        <v>0</v>
      </c>
      <c r="Q50" s="1"/>
      <c r="R50" s="5">
        <f t="shared" ref="R50:R60" si="30">IF(P$12=0,0,P50/P$12)</f>
        <v>0</v>
      </c>
      <c r="S50" s="1"/>
      <c r="T50" s="1">
        <f>SUM(OSRRefT22_2x_0)</f>
        <v>751</v>
      </c>
      <c r="U50" s="1"/>
      <c r="V50" s="5">
        <f t="shared" ref="V50:V60" si="31">IF(T$12=0,0,T50/T$12)</f>
        <v>1.6007937208471965E-3</v>
      </c>
      <c r="W50" s="1"/>
      <c r="X50" s="1">
        <f t="shared" ref="X50:X60" si="32">+P50-T50</f>
        <v>-751</v>
      </c>
      <c r="Y50" s="1"/>
      <c r="Z50" s="5">
        <f t="shared" ref="Z50:Z60" si="33">IF(T50=0,0,X50/T50)</f>
        <v>-1</v>
      </c>
    </row>
    <row r="51" spans="1:26" s="23" customFormat="1" hidden="1" outlineLevel="2" x14ac:dyDescent="0.25">
      <c r="A51" s="25"/>
      <c r="B51" s="10" t="str">
        <f>CONCATENATE("          ", "6362", " - ", "ADVERTISING EXPENSE")</f>
        <v xml:space="preserve">          6362 - ADVERTISING EXPENSE</v>
      </c>
      <c r="C51" s="10"/>
      <c r="D51" s="6"/>
      <c r="E51" s="2"/>
      <c r="F51" s="7">
        <f t="shared" si="26"/>
        <v>0</v>
      </c>
      <c r="G51" s="2"/>
      <c r="H51" s="6"/>
      <c r="I51" s="2"/>
      <c r="J51" s="7">
        <f t="shared" si="27"/>
        <v>0</v>
      </c>
      <c r="K51" s="2"/>
      <c r="L51" s="6">
        <f t="shared" si="28"/>
        <v>0</v>
      </c>
      <c r="M51" s="2"/>
      <c r="N51" s="7">
        <f t="shared" si="29"/>
        <v>0</v>
      </c>
      <c r="O51" s="10"/>
      <c r="P51" s="6"/>
      <c r="Q51" s="2"/>
      <c r="R51" s="7">
        <f t="shared" si="30"/>
        <v>0</v>
      </c>
      <c r="S51" s="2"/>
      <c r="T51" s="6">
        <v>751</v>
      </c>
      <c r="U51" s="2"/>
      <c r="V51" s="7">
        <f t="shared" si="31"/>
        <v>1.6007937208471965E-3</v>
      </c>
      <c r="W51" s="2"/>
      <c r="X51" s="6">
        <f t="shared" si="32"/>
        <v>-751</v>
      </c>
      <c r="Y51" s="2"/>
      <c r="Z51" s="7">
        <f t="shared" si="33"/>
        <v>-1</v>
      </c>
    </row>
    <row r="52" spans="1:26" s="26" customFormat="1" outlineLevel="1" collapsed="1" x14ac:dyDescent="0.25">
      <c r="A52" s="27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SUM(OSRRefD22_3x_0)</f>
        <v>169.88</v>
      </c>
      <c r="E52" s="1"/>
      <c r="F52" s="5">
        <f t="shared" si="26"/>
        <v>7.9124359571495106E-2</v>
      </c>
      <c r="G52" s="1"/>
      <c r="H52" s="1">
        <f>SUM(OSRRefH22_3x_0)</f>
        <v>169.88</v>
      </c>
      <c r="I52" s="1"/>
      <c r="J52" s="5">
        <f t="shared" si="27"/>
        <v>6.2915116441851666E-3</v>
      </c>
      <c r="K52" s="1"/>
      <c r="L52" s="1">
        <f t="shared" si="28"/>
        <v>0</v>
      </c>
      <c r="M52" s="1"/>
      <c r="N52" s="5">
        <f t="shared" si="29"/>
        <v>0</v>
      </c>
      <c r="O52" s="12"/>
      <c r="P52" s="1">
        <f>SUM(OSRRefP22_3x_0)</f>
        <v>1528.92</v>
      </c>
      <c r="Q52" s="1"/>
      <c r="R52" s="5">
        <f t="shared" si="30"/>
        <v>1.3774670811837251E-2</v>
      </c>
      <c r="S52" s="1"/>
      <c r="T52" s="1">
        <f>SUM(OSRRefT22_3x_0)</f>
        <v>679.52</v>
      </c>
      <c r="U52" s="1"/>
      <c r="V52" s="5">
        <f t="shared" si="31"/>
        <v>1.4484305581758813E-3</v>
      </c>
      <c r="W52" s="1"/>
      <c r="X52" s="1">
        <f t="shared" si="32"/>
        <v>849.40000000000009</v>
      </c>
      <c r="Y52" s="1"/>
      <c r="Z52" s="5">
        <f t="shared" si="33"/>
        <v>1.2500000000000002</v>
      </c>
    </row>
    <row r="53" spans="1:26" s="23" customFormat="1" hidden="1" outlineLevel="2" x14ac:dyDescent="0.25">
      <c r="A53" s="25"/>
      <c r="B53" s="10" t="str">
        <f>CONCATENATE("          ", "6322", " - ", "EQUIPMENT DEPRECIATION EXPENSE")</f>
        <v xml:space="preserve">          6322 - EQUIPMENT DEPRECIATION EXPENSE</v>
      </c>
      <c r="C53" s="10"/>
      <c r="D53" s="6">
        <v>169.88</v>
      </c>
      <c r="E53" s="2"/>
      <c r="F53" s="7">
        <f t="shared" si="26"/>
        <v>7.9124359571495106E-2</v>
      </c>
      <c r="G53" s="2"/>
      <c r="H53" s="6">
        <v>169.88</v>
      </c>
      <c r="I53" s="2"/>
      <c r="J53" s="7">
        <f t="shared" si="27"/>
        <v>6.2915116441851666E-3</v>
      </c>
      <c r="K53" s="2"/>
      <c r="L53" s="6">
        <f t="shared" si="28"/>
        <v>0</v>
      </c>
      <c r="M53" s="2"/>
      <c r="N53" s="7">
        <f t="shared" si="29"/>
        <v>0</v>
      </c>
      <c r="O53" s="10"/>
      <c r="P53" s="6">
        <v>1528.92</v>
      </c>
      <c r="Q53" s="2"/>
      <c r="R53" s="7">
        <f t="shared" si="30"/>
        <v>1.3774670811837251E-2</v>
      </c>
      <c r="S53" s="2"/>
      <c r="T53" s="6">
        <v>679.52</v>
      </c>
      <c r="U53" s="2"/>
      <c r="V53" s="7">
        <f t="shared" si="31"/>
        <v>1.4484305581758813E-3</v>
      </c>
      <c r="W53" s="2"/>
      <c r="X53" s="6">
        <f t="shared" si="32"/>
        <v>849.40000000000009</v>
      </c>
      <c r="Y53" s="2"/>
      <c r="Z53" s="7">
        <f t="shared" si="33"/>
        <v>1.2500000000000002</v>
      </c>
    </row>
    <row r="54" spans="1:26" s="26" customFormat="1" outlineLevel="1" collapsed="1" x14ac:dyDescent="0.25">
      <c r="A54" s="27"/>
      <c r="B54" s="12" t="str">
        <f>CONCATENATE("     ","Discounts and Markdowns                           ")</f>
        <v xml:space="preserve">     Discounts and Markdowns                           </v>
      </c>
      <c r="C54" s="12"/>
      <c r="D54" s="1">
        <f>SUM(OSRRefD22_4x_0)</f>
        <v>0</v>
      </c>
      <c r="E54" s="1"/>
      <c r="F54" s="5">
        <f t="shared" si="26"/>
        <v>0</v>
      </c>
      <c r="G54" s="1"/>
      <c r="H54" s="1">
        <f>SUM(OSRRefH22_4x_0)</f>
        <v>30.85</v>
      </c>
      <c r="I54" s="1"/>
      <c r="J54" s="5">
        <f t="shared" si="27"/>
        <v>1.1425308112968707E-3</v>
      </c>
      <c r="K54" s="1"/>
      <c r="L54" s="1">
        <f t="shared" si="28"/>
        <v>-30.85</v>
      </c>
      <c r="M54" s="1"/>
      <c r="N54" s="5">
        <f t="shared" si="29"/>
        <v>-1</v>
      </c>
      <c r="O54" s="12"/>
      <c r="P54" s="1">
        <f>SUM(OSRRefP22_4x_0)</f>
        <v>0</v>
      </c>
      <c r="Q54" s="1"/>
      <c r="R54" s="5">
        <f t="shared" si="30"/>
        <v>0</v>
      </c>
      <c r="S54" s="1"/>
      <c r="T54" s="1">
        <f>SUM(OSRRefT22_4x_0)</f>
        <v>726.07</v>
      </c>
      <c r="U54" s="1"/>
      <c r="V54" s="5">
        <f t="shared" si="31"/>
        <v>1.5476541902736671E-3</v>
      </c>
      <c r="W54" s="1"/>
      <c r="X54" s="1">
        <f t="shared" si="32"/>
        <v>-726.07</v>
      </c>
      <c r="Y54" s="1"/>
      <c r="Z54" s="5">
        <f t="shared" si="33"/>
        <v>-1</v>
      </c>
    </row>
    <row r="55" spans="1:26" s="23" customFormat="1" hidden="1" outlineLevel="2" x14ac:dyDescent="0.25">
      <c r="A55" s="25"/>
      <c r="B55" s="10" t="str">
        <f>CONCATENATE("          ", "6382", " - ", "DISCOUNTS/MARK DOWNS")</f>
        <v xml:space="preserve">          6382 - DISCOUNTS/MARK DOWNS</v>
      </c>
      <c r="C55" s="10"/>
      <c r="D55" s="6"/>
      <c r="E55" s="2"/>
      <c r="F55" s="7">
        <f t="shared" si="26"/>
        <v>0</v>
      </c>
      <c r="G55" s="2"/>
      <c r="H55" s="6">
        <v>30.85</v>
      </c>
      <c r="I55" s="2"/>
      <c r="J55" s="7">
        <f t="shared" si="27"/>
        <v>1.1425308112968707E-3</v>
      </c>
      <c r="K55" s="2"/>
      <c r="L55" s="6">
        <f t="shared" si="28"/>
        <v>-30.85</v>
      </c>
      <c r="M55" s="2"/>
      <c r="N55" s="7">
        <f t="shared" si="29"/>
        <v>-1</v>
      </c>
      <c r="O55" s="10"/>
      <c r="P55" s="6">
        <v>0</v>
      </c>
      <c r="Q55" s="2"/>
      <c r="R55" s="7">
        <f t="shared" si="30"/>
        <v>0</v>
      </c>
      <c r="S55" s="2"/>
      <c r="T55" s="6">
        <v>726.07</v>
      </c>
      <c r="U55" s="2"/>
      <c r="V55" s="7">
        <f t="shared" si="31"/>
        <v>1.5476541902736671E-3</v>
      </c>
      <c r="W55" s="2"/>
      <c r="X55" s="6">
        <f t="shared" si="32"/>
        <v>-726.07</v>
      </c>
      <c r="Y55" s="2"/>
      <c r="Z55" s="7">
        <f t="shared" si="33"/>
        <v>-1</v>
      </c>
    </row>
    <row r="56" spans="1:26" s="26" customFormat="1" outlineLevel="1" collapsed="1" x14ac:dyDescent="0.25">
      <c r="A56" s="27"/>
      <c r="B56" s="12" t="str">
        <f>CONCATENATE("     ","Equipment Rental                                  ")</f>
        <v xml:space="preserve">     Equipment Rental                                  </v>
      </c>
      <c r="C56" s="12"/>
      <c r="D56" s="1">
        <f>SUM(OSRRefD22_5x_0)</f>
        <v>1205.6400000000001</v>
      </c>
      <c r="E56" s="1"/>
      <c r="F56" s="5">
        <f t="shared" si="26"/>
        <v>0.56154634373544488</v>
      </c>
      <c r="G56" s="1"/>
      <c r="H56" s="1">
        <f>SUM(OSRRefH22_5x_0)</f>
        <v>1205.6400000000001</v>
      </c>
      <c r="I56" s="1"/>
      <c r="J56" s="5">
        <f t="shared" si="27"/>
        <v>4.4650918876238552E-2</v>
      </c>
      <c r="K56" s="1"/>
      <c r="L56" s="1">
        <f t="shared" si="28"/>
        <v>0</v>
      </c>
      <c r="M56" s="1"/>
      <c r="N56" s="5">
        <f t="shared" si="29"/>
        <v>0</v>
      </c>
      <c r="O56" s="12"/>
      <c r="P56" s="1">
        <f>SUM(OSRRefP22_5x_0)</f>
        <v>10850.76</v>
      </c>
      <c r="Q56" s="1"/>
      <c r="R56" s="5">
        <f t="shared" si="30"/>
        <v>9.7758971730536048E-2</v>
      </c>
      <c r="S56" s="1"/>
      <c r="T56" s="1">
        <f>SUM(OSRRefT22_5x_0)</f>
        <v>13549.08</v>
      </c>
      <c r="U56" s="1"/>
      <c r="V56" s="5">
        <f t="shared" si="31"/>
        <v>2.8880535535627607E-2</v>
      </c>
      <c r="W56" s="1"/>
      <c r="X56" s="1">
        <f t="shared" si="32"/>
        <v>-2698.3199999999997</v>
      </c>
      <c r="Y56" s="1"/>
      <c r="Z56" s="5">
        <f t="shared" si="33"/>
        <v>-0.19915152910751133</v>
      </c>
    </row>
    <row r="57" spans="1:26" s="23" customFormat="1" hidden="1" outlineLevel="2" x14ac:dyDescent="0.25">
      <c r="A57" s="25"/>
      <c r="B57" s="10" t="str">
        <f>CONCATENATE("          ", "6351", " - ", "EQUIPMENT RENTAL")</f>
        <v xml:space="preserve">          6351 - EQUIPMENT RENTAL</v>
      </c>
      <c r="C57" s="10"/>
      <c r="D57" s="6">
        <v>1205.6400000000001</v>
      </c>
      <c r="E57" s="2"/>
      <c r="F57" s="7">
        <f t="shared" si="26"/>
        <v>0.56154634373544488</v>
      </c>
      <c r="G57" s="2"/>
      <c r="H57" s="6">
        <v>1205.6400000000001</v>
      </c>
      <c r="I57" s="2"/>
      <c r="J57" s="7">
        <f t="shared" si="27"/>
        <v>4.4650918876238552E-2</v>
      </c>
      <c r="K57" s="2"/>
      <c r="L57" s="6">
        <f t="shared" si="28"/>
        <v>0</v>
      </c>
      <c r="M57" s="2"/>
      <c r="N57" s="7">
        <f t="shared" si="29"/>
        <v>0</v>
      </c>
      <c r="O57" s="10"/>
      <c r="P57" s="6">
        <v>10850.76</v>
      </c>
      <c r="Q57" s="2"/>
      <c r="R57" s="7">
        <f t="shared" si="30"/>
        <v>9.7758971730536048E-2</v>
      </c>
      <c r="S57" s="2"/>
      <c r="T57" s="6">
        <v>13549.08</v>
      </c>
      <c r="U57" s="2"/>
      <c r="V57" s="7">
        <f t="shared" si="31"/>
        <v>2.8880535535627607E-2</v>
      </c>
      <c r="W57" s="2"/>
      <c r="X57" s="6">
        <f t="shared" si="32"/>
        <v>-2698.3199999999997</v>
      </c>
      <c r="Y57" s="2"/>
      <c r="Z57" s="7">
        <f t="shared" si="33"/>
        <v>-0.19915152910751133</v>
      </c>
    </row>
    <row r="58" spans="1:26" s="26" customFormat="1" outlineLevel="1" collapsed="1" x14ac:dyDescent="0.25">
      <c r="A58" s="27"/>
      <c r="B58" s="12" t="str">
        <f>CONCATENATE("     ","Freight out/Postage                               ")</f>
        <v xml:space="preserve">     Freight out/Postage                               </v>
      </c>
      <c r="C58" s="12"/>
      <c r="D58" s="1">
        <f>SUM(OSRRefD22_6x_0)</f>
        <v>-8583.6000000000022</v>
      </c>
      <c r="E58" s="1"/>
      <c r="F58" s="5">
        <f t="shared" si="26"/>
        <v>-3.9979506287843511</v>
      </c>
      <c r="G58" s="1"/>
      <c r="H58" s="1">
        <f>SUM(OSRRefH22_6x_0)</f>
        <v>5.89</v>
      </c>
      <c r="I58" s="1"/>
      <c r="J58" s="5">
        <f t="shared" si="27"/>
        <v>2.1813635262685796E-4</v>
      </c>
      <c r="K58" s="1"/>
      <c r="L58" s="1">
        <f t="shared" si="28"/>
        <v>-8589.4900000000016</v>
      </c>
      <c r="M58" s="1"/>
      <c r="N58" s="5">
        <f t="shared" si="29"/>
        <v>-1458.3174872665538</v>
      </c>
      <c r="O58" s="12"/>
      <c r="P58" s="1">
        <f>SUM(OSRRefP22_6x_0)</f>
        <v>-54006.010000000009</v>
      </c>
      <c r="Q58" s="1"/>
      <c r="R58" s="5">
        <f t="shared" si="30"/>
        <v>-0.48656241635323683</v>
      </c>
      <c r="S58" s="1"/>
      <c r="T58" s="1">
        <f>SUM(OSRRefT22_6x_0)</f>
        <v>15.02</v>
      </c>
      <c r="U58" s="1"/>
      <c r="V58" s="5">
        <f t="shared" si="31"/>
        <v>3.2015874416943927E-5</v>
      </c>
      <c r="W58" s="1"/>
      <c r="X58" s="1">
        <f t="shared" si="32"/>
        <v>-54021.030000000006</v>
      </c>
      <c r="Y58" s="1"/>
      <c r="Z58" s="5">
        <f t="shared" si="33"/>
        <v>-3596.6065246338221</v>
      </c>
    </row>
    <row r="59" spans="1:26" s="23" customFormat="1" hidden="1" outlineLevel="2" x14ac:dyDescent="0.25">
      <c r="A59" s="25"/>
      <c r="B59" s="10" t="str">
        <f>CONCATENATE("          ", "6305", " - ", "FREIGHT OUT")</f>
        <v xml:space="preserve">          6305 - FREIGHT OUT</v>
      </c>
      <c r="C59" s="10"/>
      <c r="D59" s="6">
        <v>10582.48</v>
      </c>
      <c r="E59" s="2"/>
      <c r="F59" s="7">
        <f t="shared" si="26"/>
        <v>4.9289613414066134</v>
      </c>
      <c r="G59" s="2"/>
      <c r="H59" s="6">
        <v>5.89</v>
      </c>
      <c r="I59" s="2"/>
      <c r="J59" s="7">
        <f t="shared" si="27"/>
        <v>2.1813635262685796E-4</v>
      </c>
      <c r="K59" s="2"/>
      <c r="L59" s="6">
        <f t="shared" si="28"/>
        <v>10576.59</v>
      </c>
      <c r="M59" s="2"/>
      <c r="N59" s="7">
        <f t="shared" si="29"/>
        <v>1795.6859083191853</v>
      </c>
      <c r="O59" s="10"/>
      <c r="P59" s="6">
        <v>161479.19</v>
      </c>
      <c r="Q59" s="2"/>
      <c r="R59" s="7">
        <f t="shared" si="30"/>
        <v>1.4548326172802513</v>
      </c>
      <c r="S59" s="2"/>
      <c r="T59" s="6">
        <v>15.02</v>
      </c>
      <c r="U59" s="2"/>
      <c r="V59" s="7">
        <f t="shared" si="31"/>
        <v>3.2015874416943927E-5</v>
      </c>
      <c r="W59" s="2"/>
      <c r="X59" s="6">
        <f t="shared" si="32"/>
        <v>161464.17000000001</v>
      </c>
      <c r="Y59" s="2"/>
      <c r="Z59" s="7">
        <f t="shared" si="33"/>
        <v>10749.944740346205</v>
      </c>
    </row>
    <row r="60" spans="1:26" s="23" customFormat="1" hidden="1" outlineLevel="2" x14ac:dyDescent="0.25">
      <c r="A60" s="25"/>
      <c r="B60" s="10" t="str">
        <f>CONCATENATE("          ", "6307", " - ", "POSTAGE")</f>
        <v xml:space="preserve">          6307 - POSTAGE</v>
      </c>
      <c r="C60" s="10"/>
      <c r="D60" s="6">
        <v>-19166.080000000002</v>
      </c>
      <c r="E60" s="2"/>
      <c r="F60" s="7">
        <f t="shared" si="26"/>
        <v>-8.9269119701909645</v>
      </c>
      <c r="G60" s="2"/>
      <c r="H60" s="6"/>
      <c r="I60" s="2"/>
      <c r="J60" s="7">
        <f t="shared" si="27"/>
        <v>0</v>
      </c>
      <c r="K60" s="2"/>
      <c r="L60" s="6">
        <f t="shared" si="28"/>
        <v>-19166.080000000002</v>
      </c>
      <c r="M60" s="2"/>
      <c r="N60" s="7">
        <f t="shared" si="29"/>
        <v>0</v>
      </c>
      <c r="O60" s="10"/>
      <c r="P60" s="6">
        <v>-215485.2</v>
      </c>
      <c r="Q60" s="2"/>
      <c r="R60" s="7">
        <f t="shared" si="30"/>
        <v>-1.941395033633488</v>
      </c>
      <c r="S60" s="2"/>
      <c r="T60" s="6"/>
      <c r="U60" s="2"/>
      <c r="V60" s="7">
        <f t="shared" si="31"/>
        <v>0</v>
      </c>
      <c r="W60" s="2"/>
      <c r="X60" s="6">
        <f t="shared" si="32"/>
        <v>-215485.2</v>
      </c>
      <c r="Y60" s="2"/>
      <c r="Z60" s="7">
        <f t="shared" si="33"/>
        <v>0</v>
      </c>
    </row>
    <row r="61" spans="1:26" s="26" customFormat="1" outlineLevel="1" collapsed="1" x14ac:dyDescent="0.25">
      <c r="A61" s="27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SUM(OSRRefD22_7x_0)</f>
        <v>0</v>
      </c>
      <c r="E61" s="1"/>
      <c r="F61" s="5">
        <f t="shared" ref="F61:F66" si="34">IF(D$12=0,0,D61/D$12)</f>
        <v>0</v>
      </c>
      <c r="G61" s="1"/>
      <c r="H61" s="1">
        <f>SUM(OSRRefH22_7x_0)</f>
        <v>0</v>
      </c>
      <c r="I61" s="1"/>
      <c r="J61" s="5">
        <f t="shared" ref="J61:J66" si="35">IF(H$12=0,0,H61/H$12)</f>
        <v>0</v>
      </c>
      <c r="K61" s="1"/>
      <c r="L61" s="1">
        <f t="shared" ref="L61:L66" si="36">+D61-H61</f>
        <v>0</v>
      </c>
      <c r="M61" s="1"/>
      <c r="N61" s="5">
        <f t="shared" ref="N61:N66" si="37">IF(H61=0,0,L61/H61)</f>
        <v>0</v>
      </c>
      <c r="O61" s="12"/>
      <c r="P61" s="1">
        <f>SUM(OSRRefP22_7x_0)</f>
        <v>0</v>
      </c>
      <c r="Q61" s="1"/>
      <c r="R61" s="5">
        <f t="shared" ref="R61:R66" si="38">IF(P$12=0,0,P61/P$12)</f>
        <v>0</v>
      </c>
      <c r="S61" s="1"/>
      <c r="T61" s="1">
        <f>SUM(OSRRefT22_7x_0)</f>
        <v>75</v>
      </c>
      <c r="U61" s="1"/>
      <c r="V61" s="5">
        <f t="shared" ref="V61:V66" si="39">IF(T$12=0,0,T61/T$12)</f>
        <v>1.5986621712854826E-4</v>
      </c>
      <c r="W61" s="1"/>
      <c r="X61" s="1">
        <f t="shared" ref="X61:X66" si="40">+P61-T61</f>
        <v>-75</v>
      </c>
      <c r="Y61" s="1"/>
      <c r="Z61" s="5">
        <f t="shared" ref="Z61:Z66" si="41">IF(T61=0,0,X61/T61)</f>
        <v>-1</v>
      </c>
    </row>
    <row r="62" spans="1:26" s="23" customFormat="1" hidden="1" outlineLevel="2" x14ac:dyDescent="0.25">
      <c r="A62" s="25"/>
      <c r="B62" s="10" t="str">
        <f>CONCATENATE("          ", "6279", " - ", "GENERAL EXPENSE")</f>
        <v xml:space="preserve">          6279 - GENERAL EXPENSE</v>
      </c>
      <c r="C62" s="10"/>
      <c r="D62" s="6"/>
      <c r="E62" s="2"/>
      <c r="F62" s="7">
        <f t="shared" si="34"/>
        <v>0</v>
      </c>
      <c r="G62" s="2"/>
      <c r="H62" s="6"/>
      <c r="I62" s="2"/>
      <c r="J62" s="7">
        <f t="shared" si="35"/>
        <v>0</v>
      </c>
      <c r="K62" s="2"/>
      <c r="L62" s="6">
        <f t="shared" si="36"/>
        <v>0</v>
      </c>
      <c r="M62" s="2"/>
      <c r="N62" s="7">
        <f t="shared" si="37"/>
        <v>0</v>
      </c>
      <c r="O62" s="10"/>
      <c r="P62" s="6"/>
      <c r="Q62" s="2"/>
      <c r="R62" s="7">
        <f t="shared" si="38"/>
        <v>0</v>
      </c>
      <c r="S62" s="2"/>
      <c r="T62" s="6">
        <v>75</v>
      </c>
      <c r="U62" s="2"/>
      <c r="V62" s="7">
        <f t="shared" si="39"/>
        <v>1.5986621712854826E-4</v>
      </c>
      <c r="W62" s="2"/>
      <c r="X62" s="6">
        <f t="shared" si="40"/>
        <v>-75</v>
      </c>
      <c r="Y62" s="2"/>
      <c r="Z62" s="7">
        <f t="shared" si="41"/>
        <v>-1</v>
      </c>
    </row>
    <row r="63" spans="1:26" s="26" customFormat="1" outlineLevel="1" collapsed="1" x14ac:dyDescent="0.25">
      <c r="A63" s="27"/>
      <c r="B63" s="12" t="str">
        <f>CONCATENATE("     ","Repair and Maintenance                            ")</f>
        <v xml:space="preserve">     Repair and Maintenance                            </v>
      </c>
      <c r="C63" s="12"/>
      <c r="D63" s="1">
        <f>SUM(OSRRefD22_8x_0)</f>
        <v>85.78</v>
      </c>
      <c r="E63" s="1"/>
      <c r="F63" s="5">
        <f t="shared" si="34"/>
        <v>3.9953423381462509E-2</v>
      </c>
      <c r="G63" s="1"/>
      <c r="H63" s="1">
        <f>SUM(OSRRefH22_8x_0)</f>
        <v>10224.290000000001</v>
      </c>
      <c r="I63" s="1"/>
      <c r="J63" s="5">
        <f t="shared" si="35"/>
        <v>0.37865693188442406</v>
      </c>
      <c r="K63" s="1"/>
      <c r="L63" s="1">
        <f t="shared" si="36"/>
        <v>-10138.51</v>
      </c>
      <c r="M63" s="1"/>
      <c r="N63" s="5">
        <f t="shared" si="37"/>
        <v>-0.99161017537648088</v>
      </c>
      <c r="O63" s="12"/>
      <c r="P63" s="1">
        <f>SUM(OSRRefP22_8x_0)</f>
        <v>30991.34</v>
      </c>
      <c r="Q63" s="1"/>
      <c r="R63" s="5">
        <f t="shared" si="38"/>
        <v>0.27921376299461337</v>
      </c>
      <c r="S63" s="1"/>
      <c r="T63" s="1">
        <f>SUM(OSRRefT22_8x_0)</f>
        <v>60770.329999999994</v>
      </c>
      <c r="U63" s="1"/>
      <c r="V63" s="5">
        <f t="shared" si="39"/>
        <v>0.12953497027671371</v>
      </c>
      <c r="W63" s="1"/>
      <c r="X63" s="1">
        <f t="shared" si="40"/>
        <v>-29778.989999999994</v>
      </c>
      <c r="Y63" s="1"/>
      <c r="Z63" s="5">
        <f t="shared" si="41"/>
        <v>-0.49002514878559977</v>
      </c>
    </row>
    <row r="64" spans="1:26" s="23" customFormat="1" hidden="1" outlineLevel="2" x14ac:dyDescent="0.25">
      <c r="A64" s="25"/>
      <c r="B64" s="10" t="str">
        <f>CONCATENATE("          ", "6371", " - ", "COMPUTER SOFTWARE MAINTENANCE")</f>
        <v xml:space="preserve">          6371 - COMPUTER SOFTWARE MAINTENANCE</v>
      </c>
      <c r="C64" s="10"/>
      <c r="D64" s="6"/>
      <c r="E64" s="2"/>
      <c r="F64" s="7">
        <f t="shared" si="34"/>
        <v>0</v>
      </c>
      <c r="G64" s="2"/>
      <c r="H64" s="6"/>
      <c r="I64" s="2"/>
      <c r="J64" s="7">
        <f t="shared" si="35"/>
        <v>0</v>
      </c>
      <c r="K64" s="2"/>
      <c r="L64" s="6">
        <f t="shared" si="36"/>
        <v>0</v>
      </c>
      <c r="M64" s="2"/>
      <c r="N64" s="7">
        <f t="shared" si="37"/>
        <v>0</v>
      </c>
      <c r="O64" s="10"/>
      <c r="P64" s="6">
        <v>7.69</v>
      </c>
      <c r="Q64" s="2"/>
      <c r="R64" s="7">
        <f t="shared" si="38"/>
        <v>6.9282381382301532E-5</v>
      </c>
      <c r="S64" s="2"/>
      <c r="T64" s="6"/>
      <c r="U64" s="2"/>
      <c r="V64" s="7">
        <f t="shared" si="39"/>
        <v>0</v>
      </c>
      <c r="W64" s="2"/>
      <c r="X64" s="6">
        <f t="shared" si="40"/>
        <v>7.69</v>
      </c>
      <c r="Y64" s="2"/>
      <c r="Z64" s="7">
        <f t="shared" si="41"/>
        <v>0</v>
      </c>
    </row>
    <row r="65" spans="1:26" s="23" customFormat="1" hidden="1" outlineLevel="2" x14ac:dyDescent="0.25">
      <c r="A65" s="25"/>
      <c r="B65" s="10" t="str">
        <f>CONCATENATE("          ", "6373", " - ", "MAINTENANCE CONTRACTS")</f>
        <v xml:space="preserve">          6373 - MAINTENANCE CONTRACTS</v>
      </c>
      <c r="C65" s="10"/>
      <c r="D65" s="6">
        <v>85.78</v>
      </c>
      <c r="E65" s="2"/>
      <c r="F65" s="7">
        <f t="shared" si="34"/>
        <v>3.9953423381462509E-2</v>
      </c>
      <c r="G65" s="2"/>
      <c r="H65" s="6">
        <v>10186.69</v>
      </c>
      <c r="I65" s="2"/>
      <c r="J65" s="7">
        <f t="shared" si="35"/>
        <v>0.37726441459091475</v>
      </c>
      <c r="K65" s="2"/>
      <c r="L65" s="6">
        <f t="shared" si="36"/>
        <v>-10100.91</v>
      </c>
      <c r="M65" s="2"/>
      <c r="N65" s="7">
        <f t="shared" si="37"/>
        <v>-0.99157920777013919</v>
      </c>
      <c r="O65" s="10"/>
      <c r="P65" s="6">
        <v>30983.65</v>
      </c>
      <c r="Q65" s="2"/>
      <c r="R65" s="7">
        <f t="shared" si="38"/>
        <v>0.27914448061323105</v>
      </c>
      <c r="S65" s="2"/>
      <c r="T65" s="6">
        <v>59847.27</v>
      </c>
      <c r="U65" s="2"/>
      <c r="V65" s="7">
        <f t="shared" si="39"/>
        <v>0.12756742213827801</v>
      </c>
      <c r="W65" s="2"/>
      <c r="X65" s="6">
        <f t="shared" si="40"/>
        <v>-28863.619999999995</v>
      </c>
      <c r="Y65" s="2"/>
      <c r="Z65" s="7">
        <f t="shared" si="41"/>
        <v>-0.48228799743079337</v>
      </c>
    </row>
    <row r="66" spans="1:26" s="23" customFormat="1" hidden="1" outlineLevel="2" x14ac:dyDescent="0.25">
      <c r="A66" s="25"/>
      <c r="B66" s="10" t="str">
        <f>CONCATENATE("          ", "6375", " - ", "OUTSIDE REPAIRS &amp; MAINTENANCE")</f>
        <v xml:space="preserve">          6375 - OUTSIDE REPAIRS &amp; MAINTENANCE</v>
      </c>
      <c r="C66" s="10"/>
      <c r="D66" s="6"/>
      <c r="E66" s="2"/>
      <c r="F66" s="7">
        <f t="shared" si="34"/>
        <v>0</v>
      </c>
      <c r="G66" s="2"/>
      <c r="H66" s="6">
        <v>37.6</v>
      </c>
      <c r="I66" s="2"/>
      <c r="J66" s="7">
        <f t="shared" si="35"/>
        <v>1.3925172935093141E-3</v>
      </c>
      <c r="K66" s="2"/>
      <c r="L66" s="6">
        <f t="shared" si="36"/>
        <v>-37.6</v>
      </c>
      <c r="M66" s="2"/>
      <c r="N66" s="7">
        <f t="shared" si="37"/>
        <v>-1</v>
      </c>
      <c r="O66" s="10"/>
      <c r="P66" s="6"/>
      <c r="Q66" s="2"/>
      <c r="R66" s="7">
        <f t="shared" si="38"/>
        <v>0</v>
      </c>
      <c r="S66" s="2"/>
      <c r="T66" s="6">
        <v>923.06</v>
      </c>
      <c r="U66" s="2"/>
      <c r="V66" s="7">
        <f t="shared" si="39"/>
        <v>1.967548138435703E-3</v>
      </c>
      <c r="W66" s="2"/>
      <c r="X66" s="6">
        <f t="shared" si="40"/>
        <v>-923.06</v>
      </c>
      <c r="Y66" s="2"/>
      <c r="Z66" s="7">
        <f t="shared" si="41"/>
        <v>-1</v>
      </c>
    </row>
    <row r="67" spans="1:26" s="26" customFormat="1" outlineLevel="1" collapsed="1" x14ac:dyDescent="0.25">
      <c r="A67" s="27"/>
      <c r="B67" s="12" t="str">
        <f>CONCATENATE("     ","Royalty &amp; Commissions                             ")</f>
        <v xml:space="preserve">     Royalty &amp; Commissions                             </v>
      </c>
      <c r="C67" s="12"/>
      <c r="D67" s="1">
        <f>SUM(OSRRefD22_9x_0)</f>
        <v>27.21</v>
      </c>
      <c r="E67" s="1"/>
      <c r="F67" s="5">
        <f t="shared" ref="F67:F75" si="42">IF(D$12=0,0,D67/D$12)</f>
        <v>1.2673497904052167E-2</v>
      </c>
      <c r="G67" s="1"/>
      <c r="H67" s="1">
        <f>SUM(OSRRefH22_9x_0)</f>
        <v>3863.92</v>
      </c>
      <c r="I67" s="1"/>
      <c r="J67" s="5">
        <f t="shared" ref="J67:J75" si="43">IF(H$12=0,0,H67/H$12)</f>
        <v>0.14310041012597097</v>
      </c>
      <c r="K67" s="1"/>
      <c r="L67" s="1">
        <f t="shared" ref="L67:L75" si="44">+D67-H67</f>
        <v>-3836.71</v>
      </c>
      <c r="M67" s="1"/>
      <c r="N67" s="5">
        <f t="shared" ref="N67:N75" si="45">IF(H67=0,0,L67/H67)</f>
        <v>-0.99295792873558453</v>
      </c>
      <c r="O67" s="12"/>
      <c r="P67" s="1">
        <f>SUM(OSRRefP22_9x_0)</f>
        <v>10663.62</v>
      </c>
      <c r="Q67" s="1"/>
      <c r="R67" s="5">
        <f t="shared" ref="R67:R75" si="46">IF(P$12=0,0,P67/P$12)</f>
        <v>9.6072950293359993E-2</v>
      </c>
      <c r="S67" s="1"/>
      <c r="T67" s="1">
        <f>SUM(OSRRefT22_9x_0)</f>
        <v>76825.8</v>
      </c>
      <c r="U67" s="1"/>
      <c r="V67" s="5">
        <f t="shared" ref="V67:V75" si="47">IF(T$12=0,0,T67/T$12)</f>
        <v>0.16375800031832563</v>
      </c>
      <c r="W67" s="1"/>
      <c r="X67" s="1">
        <f t="shared" ref="X67:X75" si="48">+P67-T67</f>
        <v>-66162.180000000008</v>
      </c>
      <c r="Y67" s="1"/>
      <c r="Z67" s="5">
        <f t="shared" ref="Z67:Z75" si="49">IF(T67=0,0,X67/T67)</f>
        <v>-0.86119741024499585</v>
      </c>
    </row>
    <row r="68" spans="1:26" s="23" customFormat="1" hidden="1" outlineLevel="2" x14ac:dyDescent="0.25">
      <c r="A68" s="25"/>
      <c r="B68" s="10" t="str">
        <f>CONCATENATE("          ", "6259", " - ", "ROYALTY &amp; COMMISSIONS")</f>
        <v xml:space="preserve">          6259 - ROYALTY &amp; COMMISSIONS</v>
      </c>
      <c r="C68" s="10"/>
      <c r="D68" s="6">
        <v>27.21</v>
      </c>
      <c r="E68" s="2"/>
      <c r="F68" s="7">
        <f t="shared" si="42"/>
        <v>1.2673497904052167E-2</v>
      </c>
      <c r="G68" s="2"/>
      <c r="H68" s="6">
        <v>3863.92</v>
      </c>
      <c r="I68" s="2"/>
      <c r="J68" s="7">
        <f t="shared" si="43"/>
        <v>0.14310041012597097</v>
      </c>
      <c r="K68" s="2"/>
      <c r="L68" s="6">
        <f t="shared" si="44"/>
        <v>-3836.71</v>
      </c>
      <c r="M68" s="2"/>
      <c r="N68" s="7">
        <f t="shared" si="45"/>
        <v>-0.99295792873558453</v>
      </c>
      <c r="O68" s="10"/>
      <c r="P68" s="6">
        <v>10663.62</v>
      </c>
      <c r="Q68" s="2"/>
      <c r="R68" s="7">
        <f t="shared" si="46"/>
        <v>9.6072950293359993E-2</v>
      </c>
      <c r="S68" s="2"/>
      <c r="T68" s="6">
        <v>76825.8</v>
      </c>
      <c r="U68" s="2"/>
      <c r="V68" s="7">
        <f t="shared" si="47"/>
        <v>0.16375800031832563</v>
      </c>
      <c r="W68" s="2"/>
      <c r="X68" s="6">
        <f t="shared" si="48"/>
        <v>-66162.180000000008</v>
      </c>
      <c r="Y68" s="2"/>
      <c r="Z68" s="7">
        <f t="shared" si="49"/>
        <v>-0.86119741024499585</v>
      </c>
    </row>
    <row r="69" spans="1:26" s="26" customFormat="1" outlineLevel="1" collapsed="1" x14ac:dyDescent="0.25">
      <c r="A69" s="27"/>
      <c r="B69" s="12" t="str">
        <f>CONCATENATE("     ","Supplies                                          ")</f>
        <v xml:space="preserve">     Supplies                                          </v>
      </c>
      <c r="C69" s="12"/>
      <c r="D69" s="1">
        <f>SUM(OSRRefD22_10x_0)</f>
        <v>2585.0099999999998</v>
      </c>
      <c r="E69" s="1"/>
      <c r="F69" s="5">
        <f t="shared" si="42"/>
        <v>1.204010246856078</v>
      </c>
      <c r="G69" s="1"/>
      <c r="H69" s="1">
        <f>SUM(OSRRefH22_10x_0)</f>
        <v>9666</v>
      </c>
      <c r="I69" s="1"/>
      <c r="J69" s="5">
        <f t="shared" si="43"/>
        <v>0.35798064252821887</v>
      </c>
      <c r="K69" s="1"/>
      <c r="L69" s="1">
        <f t="shared" si="44"/>
        <v>-7080.99</v>
      </c>
      <c r="M69" s="1"/>
      <c r="N69" s="5">
        <f t="shared" si="45"/>
        <v>-0.73256672873991302</v>
      </c>
      <c r="O69" s="12"/>
      <c r="P69" s="1">
        <f>SUM(OSRRefP22_10x_0)</f>
        <v>32513.17</v>
      </c>
      <c r="Q69" s="1"/>
      <c r="R69" s="5">
        <f t="shared" si="46"/>
        <v>0.29292455707251036</v>
      </c>
      <c r="S69" s="1"/>
      <c r="T69" s="1">
        <f>SUM(OSRRefT22_10x_0)</f>
        <v>39027.47</v>
      </c>
      <c r="U69" s="1"/>
      <c r="V69" s="5">
        <f t="shared" si="47"/>
        <v>8.3188986573305368E-2</v>
      </c>
      <c r="W69" s="1"/>
      <c r="X69" s="1">
        <f t="shared" si="48"/>
        <v>-6514.3000000000029</v>
      </c>
      <c r="Y69" s="1"/>
      <c r="Z69" s="5">
        <f t="shared" si="49"/>
        <v>-0.16691576471649336</v>
      </c>
    </row>
    <row r="70" spans="1:26" s="23" customFormat="1" hidden="1" outlineLevel="2" x14ac:dyDescent="0.25">
      <c r="A70" s="25"/>
      <c r="B70" s="10" t="str">
        <f>CONCATENATE("          ", "6234", " - ", "EXPENDABLE SUPPLIES &amp; EQUIPMEN")</f>
        <v xml:space="preserve">          6234 - EXPENDABLE SUPPLIES &amp; EQUIPMEN</v>
      </c>
      <c r="C70" s="10"/>
      <c r="D70" s="6"/>
      <c r="E70" s="2"/>
      <c r="F70" s="7">
        <f t="shared" si="42"/>
        <v>0</v>
      </c>
      <c r="G70" s="2"/>
      <c r="H70" s="6"/>
      <c r="I70" s="2"/>
      <c r="J70" s="7">
        <f t="shared" si="43"/>
        <v>0</v>
      </c>
      <c r="K70" s="2"/>
      <c r="L70" s="6">
        <f t="shared" si="44"/>
        <v>0</v>
      </c>
      <c r="M70" s="2"/>
      <c r="N70" s="7">
        <f t="shared" si="45"/>
        <v>0</v>
      </c>
      <c r="O70" s="10"/>
      <c r="P70" s="6"/>
      <c r="Q70" s="2"/>
      <c r="R70" s="7">
        <f t="shared" si="46"/>
        <v>0</v>
      </c>
      <c r="S70" s="2"/>
      <c r="T70" s="6">
        <v>1017.27</v>
      </c>
      <c r="U70" s="2"/>
      <c r="V70" s="7">
        <f t="shared" si="47"/>
        <v>2.168361422644777E-3</v>
      </c>
      <c r="W70" s="2"/>
      <c r="X70" s="6">
        <f t="shared" si="48"/>
        <v>-1017.27</v>
      </c>
      <c r="Y70" s="2"/>
      <c r="Z70" s="7">
        <f t="shared" si="49"/>
        <v>-1</v>
      </c>
    </row>
    <row r="71" spans="1:26" s="23" customFormat="1" hidden="1" outlineLevel="2" x14ac:dyDescent="0.25">
      <c r="A71" s="25"/>
      <c r="B71" s="10" t="str">
        <f>CONCATENATE("          ", "6235", " - ", "COVID-19 EXPENSES")</f>
        <v xml:space="preserve">          6235 - COVID-19 EXPENSES</v>
      </c>
      <c r="C71" s="10"/>
      <c r="D71" s="6"/>
      <c r="E71" s="2"/>
      <c r="F71" s="7">
        <f t="shared" si="42"/>
        <v>0</v>
      </c>
      <c r="G71" s="2"/>
      <c r="H71" s="6"/>
      <c r="I71" s="2"/>
      <c r="J71" s="7">
        <f t="shared" si="43"/>
        <v>0</v>
      </c>
      <c r="K71" s="2"/>
      <c r="L71" s="6">
        <f t="shared" si="44"/>
        <v>0</v>
      </c>
      <c r="M71" s="2"/>
      <c r="N71" s="7">
        <f t="shared" si="45"/>
        <v>0</v>
      </c>
      <c r="O71" s="10"/>
      <c r="P71" s="6">
        <v>310.91000000000003</v>
      </c>
      <c r="Q71" s="2"/>
      <c r="R71" s="7">
        <f t="shared" si="46"/>
        <v>2.8011164103473826E-3</v>
      </c>
      <c r="S71" s="2"/>
      <c r="T71" s="6"/>
      <c r="U71" s="2"/>
      <c r="V71" s="7">
        <f t="shared" si="47"/>
        <v>0</v>
      </c>
      <c r="W71" s="2"/>
      <c r="X71" s="6">
        <f t="shared" si="48"/>
        <v>310.91000000000003</v>
      </c>
      <c r="Y71" s="2"/>
      <c r="Z71" s="7">
        <f t="shared" si="49"/>
        <v>0</v>
      </c>
    </row>
    <row r="72" spans="1:26" s="23" customFormat="1" hidden="1" outlineLevel="2" x14ac:dyDescent="0.25">
      <c r="A72" s="25"/>
      <c r="B72" s="10" t="str">
        <f>CONCATENATE("          ", "6241", " - ", "OFFICE EXPENSE")</f>
        <v xml:space="preserve">          6241 - OFFICE EXPENSE</v>
      </c>
      <c r="C72" s="10"/>
      <c r="D72" s="6">
        <v>46.64</v>
      </c>
      <c r="E72" s="2"/>
      <c r="F72" s="7">
        <f t="shared" si="42"/>
        <v>2.1723334885887284E-2</v>
      </c>
      <c r="G72" s="2"/>
      <c r="H72" s="6"/>
      <c r="I72" s="2"/>
      <c r="J72" s="7">
        <f t="shared" si="43"/>
        <v>0</v>
      </c>
      <c r="K72" s="2"/>
      <c r="L72" s="6">
        <f t="shared" si="44"/>
        <v>46.64</v>
      </c>
      <c r="M72" s="2"/>
      <c r="N72" s="7">
        <f t="shared" si="45"/>
        <v>0</v>
      </c>
      <c r="O72" s="10"/>
      <c r="P72" s="6">
        <v>4651.21</v>
      </c>
      <c r="Q72" s="2"/>
      <c r="R72" s="7">
        <f t="shared" si="46"/>
        <v>4.1904669064912185E-2</v>
      </c>
      <c r="S72" s="2"/>
      <c r="T72" s="6">
        <v>1578.06</v>
      </c>
      <c r="U72" s="2"/>
      <c r="V72" s="7">
        <f t="shared" si="47"/>
        <v>3.3637131013583579E-3</v>
      </c>
      <c r="W72" s="2"/>
      <c r="X72" s="6">
        <f t="shared" si="48"/>
        <v>3073.15</v>
      </c>
      <c r="Y72" s="2"/>
      <c r="Z72" s="7">
        <f t="shared" si="49"/>
        <v>1.9474227849384689</v>
      </c>
    </row>
    <row r="73" spans="1:26" s="23" customFormat="1" hidden="1" outlineLevel="2" x14ac:dyDescent="0.25">
      <c r="A73" s="25"/>
      <c r="B73" s="10" t="str">
        <f>CONCATENATE("          ", "6243", " - ", "PAPER SUPPLIES")</f>
        <v xml:space="preserve">          6243 - PAPER SUPPLIES</v>
      </c>
      <c r="C73" s="10"/>
      <c r="D73" s="6">
        <v>309.25</v>
      </c>
      <c r="E73" s="2"/>
      <c r="F73" s="7">
        <f t="shared" si="42"/>
        <v>0.14403819282720073</v>
      </c>
      <c r="G73" s="2"/>
      <c r="H73" s="6">
        <v>5529.37</v>
      </c>
      <c r="I73" s="2"/>
      <c r="J73" s="7">
        <f t="shared" si="43"/>
        <v>0.20478040817052115</v>
      </c>
      <c r="K73" s="2"/>
      <c r="L73" s="6">
        <f t="shared" si="44"/>
        <v>-5220.12</v>
      </c>
      <c r="M73" s="2"/>
      <c r="N73" s="7">
        <f t="shared" si="45"/>
        <v>-0.94407138607110752</v>
      </c>
      <c r="O73" s="10"/>
      <c r="P73" s="6">
        <v>6482.65</v>
      </c>
      <c r="Q73" s="2"/>
      <c r="R73" s="7">
        <f t="shared" si="46"/>
        <v>5.8404867317032122E-2</v>
      </c>
      <c r="S73" s="2"/>
      <c r="T73" s="6">
        <v>17096.919999999998</v>
      </c>
      <c r="U73" s="2"/>
      <c r="V73" s="7">
        <f t="shared" si="47"/>
        <v>3.6442932332658919E-2</v>
      </c>
      <c r="W73" s="2"/>
      <c r="X73" s="6">
        <f t="shared" si="48"/>
        <v>-10614.269999999999</v>
      </c>
      <c r="Y73" s="2"/>
      <c r="Z73" s="7">
        <f t="shared" si="49"/>
        <v>-0.62082936575710712</v>
      </c>
    </row>
    <row r="74" spans="1:26" s="23" customFormat="1" hidden="1" outlineLevel="2" x14ac:dyDescent="0.25">
      <c r="A74" s="25"/>
      <c r="B74" s="10" t="str">
        <f>CONCATENATE("          ", "6245", " - ", "PRINTING")</f>
        <v xml:space="preserve">          6245 - PRINTING</v>
      </c>
      <c r="C74" s="10"/>
      <c r="D74" s="6">
        <v>447.27</v>
      </c>
      <c r="E74" s="2"/>
      <c r="F74" s="7">
        <f t="shared" si="42"/>
        <v>0.20832324173265021</v>
      </c>
      <c r="G74" s="2"/>
      <c r="H74" s="6">
        <v>289.75</v>
      </c>
      <c r="I74" s="2"/>
      <c r="J74" s="7">
        <f t="shared" si="43"/>
        <v>1.0730901217934142E-2</v>
      </c>
      <c r="K74" s="2"/>
      <c r="L74" s="6">
        <f t="shared" si="44"/>
        <v>157.51999999999998</v>
      </c>
      <c r="M74" s="2"/>
      <c r="N74" s="7">
        <f t="shared" si="45"/>
        <v>0.54364106988783423</v>
      </c>
      <c r="O74" s="10"/>
      <c r="P74" s="6">
        <v>1285.55</v>
      </c>
      <c r="Q74" s="2"/>
      <c r="R74" s="7">
        <f t="shared" si="46"/>
        <v>1.1582050115216871E-2</v>
      </c>
      <c r="S74" s="2"/>
      <c r="T74" s="6">
        <v>5563.42</v>
      </c>
      <c r="U74" s="2"/>
      <c r="V74" s="7">
        <f t="shared" si="47"/>
        <v>1.1858705462630771E-2</v>
      </c>
      <c r="W74" s="2"/>
      <c r="X74" s="6">
        <f t="shared" si="48"/>
        <v>-4277.87</v>
      </c>
      <c r="Y74" s="2"/>
      <c r="Z74" s="7">
        <f t="shared" si="49"/>
        <v>-0.76892810537403244</v>
      </c>
    </row>
    <row r="75" spans="1:26" s="23" customFormat="1" hidden="1" outlineLevel="2" x14ac:dyDescent="0.25">
      <c r="A75" s="25"/>
      <c r="B75" s="10" t="str">
        <f>CONCATENATE("          ", "6247", " - ", "STORE SUPPLIES")</f>
        <v xml:space="preserve">          6247 - STORE SUPPLIES</v>
      </c>
      <c r="C75" s="10"/>
      <c r="D75" s="6">
        <v>1781.85</v>
      </c>
      <c r="E75" s="2"/>
      <c r="F75" s="7">
        <f t="shared" si="42"/>
        <v>0.82992547741033995</v>
      </c>
      <c r="G75" s="2"/>
      <c r="H75" s="6">
        <v>3846.88</v>
      </c>
      <c r="I75" s="2"/>
      <c r="J75" s="7">
        <f t="shared" si="43"/>
        <v>0.14246933313976357</v>
      </c>
      <c r="K75" s="2"/>
      <c r="L75" s="6">
        <f t="shared" si="44"/>
        <v>-2065.0300000000002</v>
      </c>
      <c r="M75" s="2"/>
      <c r="N75" s="7">
        <f t="shared" si="45"/>
        <v>-0.53680645094206214</v>
      </c>
      <c r="O75" s="10"/>
      <c r="P75" s="6">
        <v>19782.849999999999</v>
      </c>
      <c r="Q75" s="2"/>
      <c r="R75" s="7">
        <f t="shared" si="46"/>
        <v>0.17823185416500179</v>
      </c>
      <c r="S75" s="2"/>
      <c r="T75" s="6">
        <v>13771.8</v>
      </c>
      <c r="U75" s="2"/>
      <c r="V75" s="7">
        <f t="shared" si="47"/>
        <v>2.9355274254012541E-2</v>
      </c>
      <c r="W75" s="2"/>
      <c r="X75" s="6">
        <f t="shared" si="48"/>
        <v>6011.0499999999993</v>
      </c>
      <c r="Y75" s="2"/>
      <c r="Z75" s="7">
        <f t="shared" si="49"/>
        <v>0.4364752610406773</v>
      </c>
    </row>
    <row r="76" spans="1:26" s="26" customFormat="1" outlineLevel="1" collapsed="1" x14ac:dyDescent="0.25">
      <c r="A76" s="27"/>
      <c r="B76" s="12" t="str">
        <f>CONCATENATE("     ","Telephone/Data Lines                              ")</f>
        <v xml:space="preserve">     Telephone/Data Lines                              </v>
      </c>
      <c r="C76" s="12"/>
      <c r="D76" s="1">
        <f>SUM(OSRRefD22_11x_0)</f>
        <v>82.1</v>
      </c>
      <c r="E76" s="1"/>
      <c r="F76" s="5">
        <f t="shared" ref="F76:F81" si="50">IF(D$12=0,0,D76/D$12)</f>
        <v>3.8239403819282716E-2</v>
      </c>
      <c r="G76" s="1"/>
      <c r="H76" s="1">
        <f>SUM(OSRRefH22_11x_0)</f>
        <v>160</v>
      </c>
      <c r="I76" s="1"/>
      <c r="J76" s="5">
        <f t="shared" ref="J76:J81" si="51">IF(H$12=0,0,H76/H$12)</f>
        <v>5.9256055042949535E-3</v>
      </c>
      <c r="K76" s="1"/>
      <c r="L76" s="1">
        <f t="shared" ref="L76:L81" si="52">+D76-H76</f>
        <v>-77.900000000000006</v>
      </c>
      <c r="M76" s="1"/>
      <c r="N76" s="5">
        <f t="shared" ref="N76:N81" si="53">IF(H76=0,0,L76/H76)</f>
        <v>-0.48687500000000006</v>
      </c>
      <c r="O76" s="12"/>
      <c r="P76" s="1">
        <f>SUM(OSRRefP22_11x_0)</f>
        <v>1503.4</v>
      </c>
      <c r="Q76" s="1"/>
      <c r="R76" s="5">
        <f t="shared" ref="R76:R81" si="54">IF(P$12=0,0,P76/P$12)</f>
        <v>1.3544750607301967E-2</v>
      </c>
      <c r="S76" s="1"/>
      <c r="T76" s="1">
        <f>SUM(OSRRefT22_11x_0)</f>
        <v>1279</v>
      </c>
      <c r="U76" s="1"/>
      <c r="V76" s="5">
        <f t="shared" ref="V76:V81" si="55">IF(T$12=0,0,T76/T$12)</f>
        <v>2.7262518894321762E-3</v>
      </c>
      <c r="W76" s="1"/>
      <c r="X76" s="1">
        <f t="shared" ref="X76:X81" si="56">+P76-T76</f>
        <v>224.40000000000009</v>
      </c>
      <c r="Y76" s="1"/>
      <c r="Z76" s="5">
        <f t="shared" ref="Z76:Z81" si="57">IF(T76=0,0,X76/T76)</f>
        <v>0.17544956997654423</v>
      </c>
    </row>
    <row r="77" spans="1:26" s="23" customFormat="1" hidden="1" outlineLevel="2" x14ac:dyDescent="0.25">
      <c r="A77" s="25"/>
      <c r="B77" s="10" t="str">
        <f>CONCATENATE("          ", "6309", " - ", "TELEPHONE")</f>
        <v xml:space="preserve">          6309 - TELEPHONE</v>
      </c>
      <c r="C77" s="10"/>
      <c r="D77" s="6">
        <v>82.1</v>
      </c>
      <c r="E77" s="2"/>
      <c r="F77" s="7">
        <f t="shared" si="50"/>
        <v>3.8239403819282716E-2</v>
      </c>
      <c r="G77" s="2"/>
      <c r="H77" s="6">
        <v>160</v>
      </c>
      <c r="I77" s="2"/>
      <c r="J77" s="7">
        <f t="shared" si="51"/>
        <v>5.9256055042949535E-3</v>
      </c>
      <c r="K77" s="2"/>
      <c r="L77" s="6">
        <f t="shared" si="52"/>
        <v>-77.900000000000006</v>
      </c>
      <c r="M77" s="2"/>
      <c r="N77" s="7">
        <f t="shared" si="53"/>
        <v>-0.48687500000000006</v>
      </c>
      <c r="O77" s="10"/>
      <c r="P77" s="6">
        <v>1503.4</v>
      </c>
      <c r="Q77" s="2"/>
      <c r="R77" s="7">
        <f t="shared" si="54"/>
        <v>1.3544750607301967E-2</v>
      </c>
      <c r="S77" s="2"/>
      <c r="T77" s="6">
        <v>1279</v>
      </c>
      <c r="U77" s="2"/>
      <c r="V77" s="7">
        <f t="shared" si="55"/>
        <v>2.7262518894321762E-3</v>
      </c>
      <c r="W77" s="2"/>
      <c r="X77" s="6">
        <f t="shared" si="56"/>
        <v>224.40000000000009</v>
      </c>
      <c r="Y77" s="2"/>
      <c r="Z77" s="7">
        <f t="shared" si="57"/>
        <v>0.17544956997654423</v>
      </c>
    </row>
    <row r="78" spans="1:26" s="26" customFormat="1" outlineLevel="1" collapsed="1" x14ac:dyDescent="0.25">
      <c r="A78" s="27"/>
      <c r="B78" s="12" t="str">
        <f>CONCATENATE("     ","Training                                          ")</f>
        <v xml:space="preserve">     Training                                          </v>
      </c>
      <c r="C78" s="12"/>
      <c r="D78" s="1">
        <f>SUM(OSRRefD22_12x_0)</f>
        <v>0</v>
      </c>
      <c r="E78" s="1"/>
      <c r="F78" s="5">
        <f t="shared" si="50"/>
        <v>0</v>
      </c>
      <c r="G78" s="1"/>
      <c r="H78" s="1">
        <f>SUM(OSRRefH22_12x_0)</f>
        <v>0</v>
      </c>
      <c r="I78" s="1"/>
      <c r="J78" s="5">
        <f t="shared" si="51"/>
        <v>0</v>
      </c>
      <c r="K78" s="1"/>
      <c r="L78" s="1">
        <f t="shared" si="52"/>
        <v>0</v>
      </c>
      <c r="M78" s="1"/>
      <c r="N78" s="5">
        <f t="shared" si="53"/>
        <v>0</v>
      </c>
      <c r="O78" s="12"/>
      <c r="P78" s="1">
        <f>SUM(OSRRefP22_12x_0)</f>
        <v>0</v>
      </c>
      <c r="Q78" s="1"/>
      <c r="R78" s="5">
        <f t="shared" si="54"/>
        <v>0</v>
      </c>
      <c r="S78" s="1"/>
      <c r="T78" s="1">
        <f>SUM(OSRRefT22_12x_0)</f>
        <v>97.71</v>
      </c>
      <c r="U78" s="1"/>
      <c r="V78" s="5">
        <f t="shared" si="55"/>
        <v>2.0827370767507265E-4</v>
      </c>
      <c r="W78" s="1"/>
      <c r="X78" s="1">
        <f t="shared" si="56"/>
        <v>-97.71</v>
      </c>
      <c r="Y78" s="1"/>
      <c r="Z78" s="5">
        <f t="shared" si="57"/>
        <v>-1</v>
      </c>
    </row>
    <row r="79" spans="1:26" s="23" customFormat="1" hidden="1" outlineLevel="2" x14ac:dyDescent="0.25">
      <c r="A79" s="25"/>
      <c r="B79" s="10" t="str">
        <f>CONCATENATE("          ", "6376", " - ", "TRAINING")</f>
        <v xml:space="preserve">          6376 - TRAINING</v>
      </c>
      <c r="C79" s="10"/>
      <c r="D79" s="6"/>
      <c r="E79" s="2"/>
      <c r="F79" s="7">
        <f t="shared" si="50"/>
        <v>0</v>
      </c>
      <c r="G79" s="2"/>
      <c r="H79" s="6"/>
      <c r="I79" s="2"/>
      <c r="J79" s="7">
        <f t="shared" si="51"/>
        <v>0</v>
      </c>
      <c r="K79" s="2"/>
      <c r="L79" s="6">
        <f t="shared" si="52"/>
        <v>0</v>
      </c>
      <c r="M79" s="2"/>
      <c r="N79" s="7">
        <f t="shared" si="53"/>
        <v>0</v>
      </c>
      <c r="O79" s="10"/>
      <c r="P79" s="6"/>
      <c r="Q79" s="2"/>
      <c r="R79" s="7">
        <f t="shared" si="54"/>
        <v>0</v>
      </c>
      <c r="S79" s="2"/>
      <c r="T79" s="6">
        <v>97.71</v>
      </c>
      <c r="U79" s="2"/>
      <c r="V79" s="7">
        <f t="shared" si="55"/>
        <v>2.0827370767507265E-4</v>
      </c>
      <c r="W79" s="2"/>
      <c r="X79" s="6">
        <f t="shared" si="56"/>
        <v>-97.71</v>
      </c>
      <c r="Y79" s="2"/>
      <c r="Z79" s="7">
        <f t="shared" si="57"/>
        <v>-1</v>
      </c>
    </row>
    <row r="80" spans="1:26" s="26" customFormat="1" outlineLevel="1" collapsed="1" x14ac:dyDescent="0.25">
      <c r="A80" s="27"/>
      <c r="B80" s="12" t="str">
        <f>CONCATENATE("     ","Utilities                                         ")</f>
        <v xml:space="preserve">     Utilities                                         </v>
      </c>
      <c r="C80" s="12"/>
      <c r="D80" s="1">
        <f>SUM(OSRRefD22_13x_0)</f>
        <v>0</v>
      </c>
      <c r="E80" s="1"/>
      <c r="F80" s="5">
        <f t="shared" si="50"/>
        <v>0</v>
      </c>
      <c r="G80" s="1"/>
      <c r="H80" s="1">
        <f>SUM(OSRRefH22_13x_0)</f>
        <v>0</v>
      </c>
      <c r="I80" s="1"/>
      <c r="J80" s="5">
        <f t="shared" si="51"/>
        <v>0</v>
      </c>
      <c r="K80" s="1"/>
      <c r="L80" s="1">
        <f t="shared" si="52"/>
        <v>0</v>
      </c>
      <c r="M80" s="1"/>
      <c r="N80" s="5">
        <f t="shared" si="53"/>
        <v>0</v>
      </c>
      <c r="O80" s="12"/>
      <c r="P80" s="1">
        <f>SUM(OSRRefP22_13x_0)</f>
        <v>15.02</v>
      </c>
      <c r="Q80" s="1"/>
      <c r="R80" s="5">
        <f t="shared" si="54"/>
        <v>1.3532137429937178E-4</v>
      </c>
      <c r="S80" s="1"/>
      <c r="T80" s="1">
        <f>SUM(OSRRefT22_13x_0)</f>
        <v>0</v>
      </c>
      <c r="U80" s="1"/>
      <c r="V80" s="5">
        <f t="shared" si="55"/>
        <v>0</v>
      </c>
      <c r="W80" s="1"/>
      <c r="X80" s="1">
        <f t="shared" si="56"/>
        <v>15.02</v>
      </c>
      <c r="Y80" s="1"/>
      <c r="Z80" s="5">
        <f t="shared" si="57"/>
        <v>0</v>
      </c>
    </row>
    <row r="81" spans="1:26" s="23" customFormat="1" hidden="1" outlineLevel="2" x14ac:dyDescent="0.25">
      <c r="A81" s="25"/>
      <c r="B81" s="10" t="str">
        <f>CONCATENATE("          ", "6274", " - ", "UTILITIES")</f>
        <v xml:space="preserve">          6274 - UTILITIES</v>
      </c>
      <c r="C81" s="10"/>
      <c r="D81" s="6"/>
      <c r="E81" s="2"/>
      <c r="F81" s="7">
        <f t="shared" si="50"/>
        <v>0</v>
      </c>
      <c r="G81" s="2"/>
      <c r="H81" s="6"/>
      <c r="I81" s="2"/>
      <c r="J81" s="7">
        <f t="shared" si="51"/>
        <v>0</v>
      </c>
      <c r="K81" s="2"/>
      <c r="L81" s="6">
        <f t="shared" si="52"/>
        <v>0</v>
      </c>
      <c r="M81" s="2"/>
      <c r="N81" s="7">
        <f t="shared" si="53"/>
        <v>0</v>
      </c>
      <c r="O81" s="10"/>
      <c r="P81" s="6">
        <v>15.02</v>
      </c>
      <c r="Q81" s="2"/>
      <c r="R81" s="7">
        <f t="shared" si="54"/>
        <v>1.3532137429937178E-4</v>
      </c>
      <c r="S81" s="2"/>
      <c r="T81" s="6"/>
      <c r="U81" s="2"/>
      <c r="V81" s="7">
        <f t="shared" si="55"/>
        <v>0</v>
      </c>
      <c r="W81" s="2"/>
      <c r="X81" s="6">
        <f t="shared" si="56"/>
        <v>15.02</v>
      </c>
      <c r="Y81" s="2"/>
      <c r="Z81" s="7">
        <f t="shared" si="57"/>
        <v>0</v>
      </c>
    </row>
    <row r="82" spans="1:26" s="60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4" customFormat="1" collapsed="1" x14ac:dyDescent="0.25">
      <c r="A83" s="11"/>
      <c r="B83" s="28" t="s">
        <v>292</v>
      </c>
      <c r="C83" s="11"/>
      <c r="D83" s="4">
        <f>SUM(OSRRefD25x_0)</f>
        <v>6782</v>
      </c>
      <c r="E83" s="4"/>
      <c r="F83" s="13">
        <f t="shared" ref="F83:F84" si="58">IF(D$12=0,0,D83/D$12)</f>
        <v>3.158826269212855</v>
      </c>
      <c r="G83" s="4"/>
      <c r="H83" s="4">
        <f>SUM(OSRRefH25x_0)</f>
        <v>11942.1</v>
      </c>
      <c r="I83" s="4"/>
      <c r="J83" s="13">
        <f t="shared" ref="J83:J84" si="59">IF(H$12=0,0,H83/H$12)</f>
        <v>0.44227608433025478</v>
      </c>
      <c r="K83" s="4"/>
      <c r="L83" s="4">
        <f t="shared" ref="L83:L84" si="60">+D83-H83</f>
        <v>-5160.1000000000004</v>
      </c>
      <c r="M83" s="4"/>
      <c r="N83" s="13">
        <f t="shared" ref="N83:N84" si="61">IF(H83=0,0,L83/H83)</f>
        <v>-0.43209318294102378</v>
      </c>
      <c r="O83" s="11"/>
      <c r="P83" s="4">
        <f>SUM(OSRRefP25x_0)</f>
        <v>61038</v>
      </c>
      <c r="Q83" s="4"/>
      <c r="R83" s="13">
        <f t="shared" ref="R83:R84" si="62">IF(P$12=0,0,P83/P$12)</f>
        <v>0.54991651427996369</v>
      </c>
      <c r="S83" s="4"/>
      <c r="T83" s="4">
        <f>SUM(OSRRefT25x_0)</f>
        <v>118094.1</v>
      </c>
      <c r="U83" s="4"/>
      <c r="V83" s="13">
        <f t="shared" ref="V83:V84" si="63">IF(T$12=0,0,T83/T$12)</f>
        <v>0.25172342709600654</v>
      </c>
      <c r="W83" s="4"/>
      <c r="X83" s="4">
        <f t="shared" ref="X83:X84" si="64">+P83-T83</f>
        <v>-57056.100000000006</v>
      </c>
      <c r="Y83" s="4"/>
      <c r="Z83" s="13">
        <f t="shared" ref="Z83:Z84" si="65">IF(T83=0,0,X83/T83)</f>
        <v>-0.48314098672160594</v>
      </c>
    </row>
    <row r="84" spans="1:26" s="23" customFormat="1" hidden="1" outlineLevel="1" x14ac:dyDescent="0.25">
      <c r="A84" s="44"/>
      <c r="B84" s="10" t="str">
        <f>CONCATENATE("          ", "9150", " - ", "MISC. INCOME")</f>
        <v xml:space="preserve">          9150 - MISC. INCOME</v>
      </c>
      <c r="C84" s="10"/>
      <c r="D84" s="2">
        <f>--6782</f>
        <v>6782</v>
      </c>
      <c r="E84" s="2"/>
      <c r="F84" s="19">
        <f t="shared" si="58"/>
        <v>3.158826269212855</v>
      </c>
      <c r="G84" s="2"/>
      <c r="H84" s="2">
        <f>--11942.1</f>
        <v>11942.1</v>
      </c>
      <c r="I84" s="2"/>
      <c r="J84" s="19">
        <f t="shared" si="59"/>
        <v>0.44227608433025478</v>
      </c>
      <c r="K84" s="2"/>
      <c r="L84" s="2">
        <f t="shared" si="60"/>
        <v>-5160.1000000000004</v>
      </c>
      <c r="M84" s="2"/>
      <c r="N84" s="19">
        <f t="shared" si="61"/>
        <v>-0.43209318294102378</v>
      </c>
      <c r="O84" s="10"/>
      <c r="P84" s="2">
        <f>--61038</f>
        <v>61038</v>
      </c>
      <c r="Q84" s="2"/>
      <c r="R84" s="19">
        <f t="shared" si="62"/>
        <v>0.54991651427996369</v>
      </c>
      <c r="S84" s="2"/>
      <c r="T84" s="2">
        <f>--118094.1</f>
        <v>118094.1</v>
      </c>
      <c r="U84" s="2"/>
      <c r="V84" s="19">
        <f t="shared" si="63"/>
        <v>0.25172342709600654</v>
      </c>
      <c r="W84" s="2"/>
      <c r="X84" s="2">
        <f t="shared" si="64"/>
        <v>-57056.100000000006</v>
      </c>
      <c r="Y84" s="2"/>
      <c r="Z84" s="19">
        <f t="shared" si="65"/>
        <v>-0.48314098672160594</v>
      </c>
    </row>
    <row r="85" spans="1:26" x14ac:dyDescent="0.25">
      <c r="A85" s="9"/>
      <c r="B85" s="11"/>
      <c r="C85" s="11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1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x14ac:dyDescent="0.25">
      <c r="A86" s="11"/>
      <c r="B86" s="29" t="s">
        <v>276</v>
      </c>
      <c r="C86" s="29"/>
      <c r="D86" s="22">
        <f>+D33-D35+D83</f>
        <v>-10511.499999999989</v>
      </c>
      <c r="E86" s="14"/>
      <c r="F86" s="20">
        <f>IF(D$12=0,0,D86/D$12)</f>
        <v>-4.8959012575686955</v>
      </c>
      <c r="G86" s="14"/>
      <c r="H86" s="22">
        <f>+H33-H35+H83</f>
        <v>-10307.51</v>
      </c>
      <c r="I86" s="14"/>
      <c r="J86" s="20">
        <f>IF(H$12=0,0,H86/H$12)</f>
        <v>-0.38173898744734547</v>
      </c>
      <c r="K86" s="15"/>
      <c r="L86" s="22">
        <f>+D86-H86</f>
        <v>-203.98999999998887</v>
      </c>
      <c r="M86" s="15"/>
      <c r="N86" s="20">
        <f>IF(H86=0,0,L86/H86)</f>
        <v>1.97904246515394E-2</v>
      </c>
      <c r="O86" s="28"/>
      <c r="P86" s="22">
        <f>+P33-P35+P83</f>
        <v>-85231.88</v>
      </c>
      <c r="Q86" s="14"/>
      <c r="R86" s="20">
        <f>IF(P$12=0,0,P86/P$12)</f>
        <v>-0.7678891568388243</v>
      </c>
      <c r="S86" s="14"/>
      <c r="T86" s="22">
        <f>+T33-T35+T83</f>
        <v>165691.99000000002</v>
      </c>
      <c r="U86" s="14"/>
      <c r="V86" s="20">
        <f>IF(T$12=0,0,T86/T$12)</f>
        <v>0.35318068866401664</v>
      </c>
      <c r="W86" s="15"/>
      <c r="X86" s="22">
        <f>+P86-T86</f>
        <v>-250923.87000000002</v>
      </c>
      <c r="Y86" s="15"/>
      <c r="Z86" s="20">
        <f>IF(T86=0,0,X86/T86)</f>
        <v>-1.5143995192525601</v>
      </c>
    </row>
    <row r="87" spans="1:26" x14ac:dyDescent="0.25">
      <c r="A87" s="9"/>
      <c r="B87" s="11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x14ac:dyDescent="0.25">
      <c r="A88" s="51"/>
      <c r="B88" s="11" t="s">
        <v>127</v>
      </c>
      <c r="C88" s="11"/>
      <c r="D88" s="4">
        <v>1319.33</v>
      </c>
      <c r="E88" s="4"/>
      <c r="F88" s="13">
        <f>IF(D$12=0,0,D88/D$12)</f>
        <v>0.61449930135072195</v>
      </c>
      <c r="G88" s="4"/>
      <c r="H88" s="4">
        <v>5206.84</v>
      </c>
      <c r="I88" s="4"/>
      <c r="J88" s="13">
        <f>IF(H$12=0,0,H88/H$12)</f>
        <v>0.19283549852489459</v>
      </c>
      <c r="K88" s="4"/>
      <c r="L88" s="4">
        <f>+D88-H88</f>
        <v>-3887.51</v>
      </c>
      <c r="M88" s="4"/>
      <c r="N88" s="13">
        <f>IF(H88=0,0,L88/H88)</f>
        <v>-0.74661598973657728</v>
      </c>
      <c r="O88" s="11"/>
      <c r="P88" s="4">
        <v>22875.13</v>
      </c>
      <c r="Q88" s="4"/>
      <c r="R88" s="13">
        <f>IF(P$12=0,0,P88/P$12)</f>
        <v>0.20609147995185012</v>
      </c>
      <c r="S88" s="4"/>
      <c r="T88" s="4">
        <v>50269.73</v>
      </c>
      <c r="U88" s="4"/>
      <c r="V88" s="13">
        <f>IF(T$12=0,0,T88/T$12)</f>
        <v>0.10715242094897995</v>
      </c>
      <c r="W88" s="4"/>
      <c r="X88" s="4">
        <f>+P88-T88</f>
        <v>-27394.600000000002</v>
      </c>
      <c r="Y88" s="4"/>
      <c r="Z88" s="13">
        <f>IF(T88=0,0,X88/T88)</f>
        <v>-0.54495220085725549</v>
      </c>
    </row>
    <row r="89" spans="1:26" x14ac:dyDescent="0.25">
      <c r="A89" s="9"/>
      <c r="B89" s="11"/>
      <c r="C89" s="11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1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9" t="s">
        <v>125</v>
      </c>
      <c r="C90" s="29"/>
      <c r="D90" s="30">
        <f>+D86-D88</f>
        <v>-11830.829999999989</v>
      </c>
      <c r="E90" s="14"/>
      <c r="F90" s="36">
        <f>IF(D$12=0,0,D90/D$12)</f>
        <v>-5.5104005589194172</v>
      </c>
      <c r="G90" s="14"/>
      <c r="H90" s="30">
        <f>+H86-H88</f>
        <v>-15514.35</v>
      </c>
      <c r="I90" s="14"/>
      <c r="J90" s="36">
        <f>IF(H$12=0,0,H90/H$12)</f>
        <v>-0.57457448597224003</v>
      </c>
      <c r="K90" s="15"/>
      <c r="L90" s="30">
        <f>D90-H90</f>
        <v>3683.5200000000114</v>
      </c>
      <c r="M90" s="15"/>
      <c r="N90" s="36">
        <f>IF(H90=0,0,L90/H90)</f>
        <v>-0.23742664049734674</v>
      </c>
      <c r="O90" s="28"/>
      <c r="P90" s="30">
        <f>+P86-P88</f>
        <v>-108107.01000000001</v>
      </c>
      <c r="Q90" s="14"/>
      <c r="R90" s="36">
        <f>IF(P$12=0,0,P90/P$12)</f>
        <v>-0.97398063679067437</v>
      </c>
      <c r="S90" s="14"/>
      <c r="T90" s="30">
        <f>+T86-T88</f>
        <v>115422.26000000001</v>
      </c>
      <c r="U90" s="14"/>
      <c r="V90" s="36">
        <f>IF(T$12=0,0,T90/T$12)</f>
        <v>0.24602826771503666</v>
      </c>
      <c r="W90" s="15"/>
      <c r="X90" s="30">
        <f>P90-T90</f>
        <v>-223529.27000000002</v>
      </c>
      <c r="Y90" s="15"/>
      <c r="Z90" s="36">
        <f>IF(T90=0,0,X90/T90)</f>
        <v>-1.9366218440013219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4" customFormat="1" ht="15.75" thickBot="1" x14ac:dyDescent="0.3">
      <c r="A93" s="11"/>
      <c r="B93" s="29" t="s">
        <v>293</v>
      </c>
      <c r="C93" s="29"/>
      <c r="D93" s="35">
        <f>SUM(D90:D92)</f>
        <v>-11830.829999999989</v>
      </c>
      <c r="E93" s="14"/>
      <c r="F93" s="34">
        <f>IF(D$12=0,0,D93/D$12)</f>
        <v>-5.5104005589194172</v>
      </c>
      <c r="G93" s="14"/>
      <c r="H93" s="35">
        <f>SUM(H90:H92)</f>
        <v>-15514.35</v>
      </c>
      <c r="I93" s="14"/>
      <c r="J93" s="34">
        <f>IF(H$12=0,0,H93/H$12)</f>
        <v>-0.57457448597224003</v>
      </c>
      <c r="K93" s="15"/>
      <c r="L93" s="35">
        <f>+D93-H93</f>
        <v>3683.5200000000114</v>
      </c>
      <c r="M93" s="15"/>
      <c r="N93" s="34">
        <f>IF(H93=0,0,L93/H93)</f>
        <v>-0.23742664049734674</v>
      </c>
      <c r="O93" s="28"/>
      <c r="P93" s="35">
        <f>SUM(P90:P92)</f>
        <v>-108107.01000000001</v>
      </c>
      <c r="Q93" s="14"/>
      <c r="R93" s="34">
        <f>IF(P$12=0,0,P93/P$12)</f>
        <v>-0.97398063679067437</v>
      </c>
      <c r="S93" s="14"/>
      <c r="T93" s="35">
        <f>SUM(T90:T92)</f>
        <v>115422.26000000001</v>
      </c>
      <c r="U93" s="14"/>
      <c r="V93" s="34">
        <f>IF(T$12=0,0,T93/T$12)</f>
        <v>0.24602826771503666</v>
      </c>
      <c r="W93" s="15"/>
      <c r="X93" s="35">
        <f>+P93-T93</f>
        <v>-223529.27000000002</v>
      </c>
      <c r="Y93" s="15"/>
      <c r="Z93" s="34">
        <f>IF(T93=0,0,X93/T93)</f>
        <v>-1.9366218440013219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4">
        <v>44295.963243634258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8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62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","320", " - ", "Customer Service (old)")</f>
        <v>Department 320 - Customer Service (old)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10858</v>
      </c>
      <c r="I12" s="4"/>
      <c r="J12" s="13"/>
      <c r="K12" s="4"/>
      <c r="L12" s="4">
        <f t="shared" ref="L12:L15" si="0">+D12-H12</f>
        <v>-10858</v>
      </c>
      <c r="M12" s="4"/>
      <c r="N12" s="13">
        <f t="shared" ref="N12:N15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18417.830000000002</v>
      </c>
      <c r="U12" s="4"/>
      <c r="V12" s="13"/>
      <c r="W12" s="4"/>
      <c r="X12" s="4">
        <f t="shared" ref="X12:X15" si="2">+P12-T12</f>
        <v>-18417.830000000002</v>
      </c>
      <c r="Y12" s="4"/>
      <c r="Z12" s="13">
        <f t="shared" ref="Z12:Z15" si="3">IF(T12=0,0,X12/T12)</f>
        <v>-1</v>
      </c>
    </row>
    <row r="13" spans="1:26" s="23" customFormat="1" hidden="1" outlineLevel="1" x14ac:dyDescent="0.25">
      <c r="A13" s="44"/>
      <c r="B13" s="10" t="str">
        <f>CONCATENATE("          ", "4092", " - ", "TAXABLE SALES-GRAD MERCH")</f>
        <v xml:space="preserve">          4092 - TAXABLE SALES-GRAD MERCH</v>
      </c>
      <c r="C13" s="10"/>
      <c r="D13" s="2">
        <f t="shared" ref="D13:D15" si="4">0</f>
        <v>0</v>
      </c>
      <c r="E13" s="2"/>
      <c r="F13" s="19"/>
      <c r="G13" s="2"/>
      <c r="H13" s="2">
        <f>--10952.9</f>
        <v>10952.9</v>
      </c>
      <c r="I13" s="2"/>
      <c r="J13" s="19"/>
      <c r="K13" s="2"/>
      <c r="L13" s="2">
        <f t="shared" si="0"/>
        <v>-10952.9</v>
      </c>
      <c r="M13" s="2"/>
      <c r="N13" s="19">
        <f t="shared" si="1"/>
        <v>-1</v>
      </c>
      <c r="O13" s="10"/>
      <c r="P13" s="2">
        <f t="shared" ref="P13:P15" si="5">0</f>
        <v>0</v>
      </c>
      <c r="Q13" s="2"/>
      <c r="R13" s="19"/>
      <c r="S13" s="2"/>
      <c r="T13" s="2">
        <f>--18652.22</f>
        <v>18652.22</v>
      </c>
      <c r="U13" s="2"/>
      <c r="V13" s="19"/>
      <c r="W13" s="2"/>
      <c r="X13" s="2">
        <f t="shared" si="2"/>
        <v>-18652.22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"4095", " - ", "TAXABLE SALES-CUSTOMER SERVICE")</f>
        <v xml:space="preserve">          4095 - TAXABLE SALES-CUSTOMER SERVICE</v>
      </c>
      <c r="C14" s="10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5"/>
        <v>0</v>
      </c>
      <c r="Q14" s="2"/>
      <c r="R14" s="19"/>
      <c r="S14" s="2"/>
      <c r="T14" s="2">
        <f>--279.56</f>
        <v>279.56</v>
      </c>
      <c r="U14" s="2"/>
      <c r="V14" s="19"/>
      <c r="W14" s="2"/>
      <c r="X14" s="2">
        <f t="shared" si="2"/>
        <v>-279.56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"4292", " - ", "SALES RETURN TAXABLE-GRAD MERC")</f>
        <v xml:space="preserve">          4292 - SALES RETURN TAXABLE-GRAD MERC</v>
      </c>
      <c r="C15" s="10"/>
      <c r="D15" s="2">
        <f t="shared" si="4"/>
        <v>0</v>
      </c>
      <c r="E15" s="2"/>
      <c r="F15" s="19"/>
      <c r="G15" s="2"/>
      <c r="H15" s="2">
        <f>-94.9</f>
        <v>-94.9</v>
      </c>
      <c r="I15" s="2"/>
      <c r="J15" s="19"/>
      <c r="K15" s="2"/>
      <c r="L15" s="2">
        <f t="shared" si="0"/>
        <v>94.9</v>
      </c>
      <c r="M15" s="2"/>
      <c r="N15" s="19">
        <f t="shared" si="1"/>
        <v>-1</v>
      </c>
      <c r="O15" s="10"/>
      <c r="P15" s="2">
        <f t="shared" si="5"/>
        <v>0</v>
      </c>
      <c r="Q15" s="2"/>
      <c r="R15" s="19"/>
      <c r="S15" s="2"/>
      <c r="T15" s="2">
        <f>-513.95</f>
        <v>-513.95000000000005</v>
      </c>
      <c r="U15" s="2"/>
      <c r="V15" s="19"/>
      <c r="W15" s="2"/>
      <c r="X15" s="2">
        <f t="shared" si="2"/>
        <v>513.95000000000005</v>
      </c>
      <c r="Y15" s="2"/>
      <c r="Z15" s="19">
        <f t="shared" si="3"/>
        <v>-1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0</v>
      </c>
      <c r="E17" s="4"/>
      <c r="F17" s="13">
        <f t="shared" ref="F17:F22" si="6">IF(D$12=0,0,D17/D$12)</f>
        <v>0</v>
      </c>
      <c r="G17" s="4"/>
      <c r="H17" s="4">
        <f>SUM(OSRRefH16x_0)</f>
        <v>4617.28</v>
      </c>
      <c r="I17" s="4"/>
      <c r="J17" s="13">
        <f t="shared" ref="J17:J22" si="7">IF(H$12=0,0,H17/H$12)</f>
        <v>0.4252422177196537</v>
      </c>
      <c r="K17" s="4"/>
      <c r="L17" s="4">
        <f t="shared" ref="L17:L22" si="8">+D17-H17</f>
        <v>-4617.28</v>
      </c>
      <c r="M17" s="4"/>
      <c r="N17" s="13">
        <f t="shared" ref="N17:N22" si="9">IF(H17=0,0,L17/H17)</f>
        <v>-1</v>
      </c>
      <c r="O17" s="11"/>
      <c r="P17" s="4">
        <f>SUM(OSRRefP16x_0)</f>
        <v>0</v>
      </c>
      <c r="Q17" s="4"/>
      <c r="R17" s="13">
        <f t="shared" ref="R17:R22" si="10">IF(P$12=0,0,P17/P$12)</f>
        <v>0</v>
      </c>
      <c r="S17" s="4"/>
      <c r="T17" s="4">
        <f>SUM(OSRRefT16x_0)</f>
        <v>8421.06</v>
      </c>
      <c r="U17" s="4"/>
      <c r="V17" s="13">
        <f t="shared" ref="V17:V22" si="11">IF(T$12=0,0,T17/T$12)</f>
        <v>0.45722324508370416</v>
      </c>
      <c r="W17" s="4"/>
      <c r="X17" s="4">
        <f t="shared" ref="X17:X22" si="12">+P17-T17</f>
        <v>-8421.06</v>
      </c>
      <c r="Y17" s="4"/>
      <c r="Z17" s="13">
        <f t="shared" ref="Z17:Z22" si="13">IF(T17=0,0,X17/T17)</f>
        <v>-1</v>
      </c>
    </row>
    <row r="18" spans="1:26" s="23" customFormat="1" hidden="1" outlineLevel="1" x14ac:dyDescent="0.25">
      <c r="A18" s="44"/>
      <c r="B18" s="10" t="str">
        <f>CONCATENATE("          ", "5092", " - ", "PURCHASES @ COST-GRAD MERCH")</f>
        <v xml:space="preserve">          5092 - PURCHASES @ COST-GRAD MERCH</v>
      </c>
      <c r="C18" s="10"/>
      <c r="D18" s="2"/>
      <c r="E18" s="2"/>
      <c r="F18" s="19">
        <f t="shared" si="6"/>
        <v>0</v>
      </c>
      <c r="G18" s="2"/>
      <c r="H18" s="2">
        <v>1036.33</v>
      </c>
      <c r="I18" s="2"/>
      <c r="J18" s="19">
        <f t="shared" si="7"/>
        <v>9.5443912322711363E-2</v>
      </c>
      <c r="K18" s="2"/>
      <c r="L18" s="2">
        <f t="shared" si="8"/>
        <v>-1036.33</v>
      </c>
      <c r="M18" s="2"/>
      <c r="N18" s="19">
        <f t="shared" si="9"/>
        <v>-1</v>
      </c>
      <c r="O18" s="10"/>
      <c r="P18" s="2">
        <v>0</v>
      </c>
      <c r="Q18" s="2"/>
      <c r="R18" s="19">
        <f t="shared" si="10"/>
        <v>0</v>
      </c>
      <c r="S18" s="2"/>
      <c r="T18" s="2">
        <v>3006.48</v>
      </c>
      <c r="U18" s="2"/>
      <c r="V18" s="19">
        <f t="shared" si="11"/>
        <v>0.16323747151537393</v>
      </c>
      <c r="W18" s="2"/>
      <c r="X18" s="2">
        <f t="shared" si="12"/>
        <v>-3006.48</v>
      </c>
      <c r="Y18" s="2"/>
      <c r="Z18" s="19">
        <f t="shared" si="13"/>
        <v>-1</v>
      </c>
    </row>
    <row r="19" spans="1:26" s="23" customFormat="1" hidden="1" outlineLevel="1" x14ac:dyDescent="0.25">
      <c r="A19" s="44"/>
      <c r="B19" s="10" t="str">
        <f>CONCATENATE("          ", "5095", " - ", "PURCHASES @ COST-CUSTOMER SERV")</f>
        <v xml:space="preserve">          5095 - PURCHASES @ COST-CUSTOMER SERV</v>
      </c>
      <c r="C19" s="10"/>
      <c r="D19" s="2"/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0</v>
      </c>
      <c r="M19" s="2"/>
      <c r="N19" s="19">
        <f t="shared" si="9"/>
        <v>0</v>
      </c>
      <c r="O19" s="10"/>
      <c r="P19" s="2"/>
      <c r="Q19" s="2"/>
      <c r="R19" s="19">
        <f t="shared" si="10"/>
        <v>0</v>
      </c>
      <c r="S19" s="2"/>
      <c r="T19" s="2">
        <v>11.85</v>
      </c>
      <c r="U19" s="2"/>
      <c r="V19" s="19">
        <f t="shared" si="11"/>
        <v>6.4339827221773674E-4</v>
      </c>
      <c r="W19" s="2"/>
      <c r="X19" s="2">
        <f t="shared" si="12"/>
        <v>-11.85</v>
      </c>
      <c r="Y19" s="2"/>
      <c r="Z19" s="19">
        <f t="shared" si="13"/>
        <v>-1</v>
      </c>
    </row>
    <row r="20" spans="1:26" s="23" customFormat="1" hidden="1" outlineLevel="1" x14ac:dyDescent="0.25">
      <c r="A20" s="44"/>
      <c r="B20" s="10" t="str">
        <f>CONCATENATE("          ", "5200", " - ", "PURCHASES OFFSET")</f>
        <v xml:space="preserve">          5200 - PURCHASES OFFSET</v>
      </c>
      <c r="C20" s="10"/>
      <c r="D20" s="2"/>
      <c r="E20" s="2"/>
      <c r="F20" s="19">
        <f t="shared" si="6"/>
        <v>0</v>
      </c>
      <c r="G20" s="2"/>
      <c r="H20" s="2">
        <v>-1049</v>
      </c>
      <c r="I20" s="2"/>
      <c r="J20" s="19">
        <f t="shared" si="7"/>
        <v>-9.6610793884693319E-2</v>
      </c>
      <c r="K20" s="2"/>
      <c r="L20" s="2">
        <f t="shared" si="8"/>
        <v>1049</v>
      </c>
      <c r="M20" s="2"/>
      <c r="N20" s="19">
        <f t="shared" si="9"/>
        <v>-1</v>
      </c>
      <c r="O20" s="10"/>
      <c r="P20" s="2"/>
      <c r="Q20" s="2"/>
      <c r="R20" s="19">
        <f t="shared" si="10"/>
        <v>0</v>
      </c>
      <c r="S20" s="2"/>
      <c r="T20" s="2">
        <v>-3138</v>
      </c>
      <c r="U20" s="2"/>
      <c r="V20" s="19">
        <f t="shared" si="11"/>
        <v>-0.17037837790879815</v>
      </c>
      <c r="W20" s="2"/>
      <c r="X20" s="2">
        <f t="shared" si="12"/>
        <v>3138</v>
      </c>
      <c r="Y20" s="2"/>
      <c r="Z20" s="19">
        <f t="shared" si="13"/>
        <v>-1</v>
      </c>
    </row>
    <row r="21" spans="1:26" s="23" customFormat="1" hidden="1" outlineLevel="1" x14ac:dyDescent="0.25">
      <c r="A21" s="44"/>
      <c r="B21" s="10" t="str">
        <f>CONCATENATE("          ", "5300", " - ", "COG$ OFFSET")</f>
        <v xml:space="preserve">          5300 - COG$ OFFSET</v>
      </c>
      <c r="C21" s="10"/>
      <c r="D21" s="2"/>
      <c r="E21" s="2"/>
      <c r="F21" s="19">
        <f t="shared" si="6"/>
        <v>0</v>
      </c>
      <c r="G21" s="2"/>
      <c r="H21" s="2">
        <v>4617</v>
      </c>
      <c r="I21" s="2"/>
      <c r="J21" s="19">
        <f t="shared" si="7"/>
        <v>0.42521643028181988</v>
      </c>
      <c r="K21" s="2"/>
      <c r="L21" s="2">
        <f t="shared" si="8"/>
        <v>-4617</v>
      </c>
      <c r="M21" s="2"/>
      <c r="N21" s="19">
        <f t="shared" si="9"/>
        <v>-1</v>
      </c>
      <c r="O21" s="10"/>
      <c r="P21" s="2"/>
      <c r="Q21" s="2"/>
      <c r="R21" s="19">
        <f t="shared" si="10"/>
        <v>0</v>
      </c>
      <c r="S21" s="2"/>
      <c r="T21" s="2">
        <v>8422</v>
      </c>
      <c r="U21" s="2"/>
      <c r="V21" s="19">
        <f t="shared" si="11"/>
        <v>0.45727428258377883</v>
      </c>
      <c r="W21" s="2"/>
      <c r="X21" s="2">
        <f t="shared" si="12"/>
        <v>-8422</v>
      </c>
      <c r="Y21" s="2"/>
      <c r="Z21" s="19">
        <f t="shared" si="13"/>
        <v>-1</v>
      </c>
    </row>
    <row r="22" spans="1:26" s="23" customFormat="1" hidden="1" outlineLevel="1" x14ac:dyDescent="0.25">
      <c r="A22" s="44"/>
      <c r="B22" s="10" t="str">
        <f>CONCATENATE("          ", "5592", " - ", "FREIGHT-IN-GRAD MERCH")</f>
        <v xml:space="preserve">          5592 - FREIGHT-IN-GRAD MERCH</v>
      </c>
      <c r="C22" s="10"/>
      <c r="D22" s="2"/>
      <c r="E22" s="2"/>
      <c r="F22" s="19">
        <f t="shared" si="6"/>
        <v>0</v>
      </c>
      <c r="G22" s="2"/>
      <c r="H22" s="2">
        <v>12.95</v>
      </c>
      <c r="I22" s="2"/>
      <c r="J22" s="19">
        <f t="shared" si="7"/>
        <v>1.192668999815804E-3</v>
      </c>
      <c r="K22" s="2"/>
      <c r="L22" s="2">
        <f t="shared" si="8"/>
        <v>-12.95</v>
      </c>
      <c r="M22" s="2"/>
      <c r="N22" s="19">
        <f t="shared" si="9"/>
        <v>-1</v>
      </c>
      <c r="O22" s="10"/>
      <c r="P22" s="2">
        <v>0</v>
      </c>
      <c r="Q22" s="2"/>
      <c r="R22" s="19">
        <f t="shared" si="10"/>
        <v>0</v>
      </c>
      <c r="S22" s="2"/>
      <c r="T22" s="2">
        <v>118.73</v>
      </c>
      <c r="U22" s="2"/>
      <c r="V22" s="19">
        <f t="shared" si="11"/>
        <v>6.446470621131805E-3</v>
      </c>
      <c r="W22" s="2"/>
      <c r="X22" s="2">
        <f t="shared" si="12"/>
        <v>-118.73</v>
      </c>
      <c r="Y22" s="2"/>
      <c r="Z22" s="19">
        <f t="shared" si="13"/>
        <v>-1</v>
      </c>
    </row>
    <row r="23" spans="1:26" x14ac:dyDescent="0.25">
      <c r="A23" s="9"/>
      <c r="B23" s="11"/>
      <c r="C23" s="11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1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11"/>
      <c r="B24" s="29" t="s">
        <v>107</v>
      </c>
      <c r="C24" s="29"/>
      <c r="D24" s="22">
        <f>D12-D17</f>
        <v>0</v>
      </c>
      <c r="E24" s="14"/>
      <c r="F24" s="20">
        <f>IF(D$12=0,0,D24/D$12)</f>
        <v>0</v>
      </c>
      <c r="G24" s="14"/>
      <c r="H24" s="22">
        <f>H12-H17</f>
        <v>6240.72</v>
      </c>
      <c r="I24" s="14"/>
      <c r="J24" s="20">
        <f>IF(H$12=0,0,H24/H$12)</f>
        <v>0.57475778228034635</v>
      </c>
      <c r="K24" s="15"/>
      <c r="L24" s="22">
        <f>+D24-H24</f>
        <v>-6240.72</v>
      </c>
      <c r="M24" s="15"/>
      <c r="N24" s="20">
        <f>IF(H24=0,0,L24/H24)</f>
        <v>-1</v>
      </c>
      <c r="O24" s="28"/>
      <c r="P24" s="22">
        <f>P12-P17</f>
        <v>0</v>
      </c>
      <c r="Q24" s="14"/>
      <c r="R24" s="20">
        <f>IF(P$12=0,0,P24/P$12)</f>
        <v>0</v>
      </c>
      <c r="S24" s="14"/>
      <c r="T24" s="22">
        <f>T12-T17</f>
        <v>9996.7700000000023</v>
      </c>
      <c r="U24" s="14"/>
      <c r="V24" s="20">
        <f>IF(T$12=0,0,T24/T$12)</f>
        <v>0.54277675491629584</v>
      </c>
      <c r="W24" s="15"/>
      <c r="X24" s="22">
        <f>+P24-T24</f>
        <v>-9996.7700000000023</v>
      </c>
      <c r="Y24" s="15"/>
      <c r="Z24" s="20">
        <f>IF(T24=0,0,X24/T24)</f>
        <v>-1</v>
      </c>
    </row>
    <row r="25" spans="1:26" x14ac:dyDescent="0.25">
      <c r="A25" s="9"/>
      <c r="B25" s="11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4" customFormat="1" x14ac:dyDescent="0.25">
      <c r="A26" s="11"/>
      <c r="B26" s="28" t="s">
        <v>294</v>
      </c>
      <c r="C26" s="11"/>
      <c r="D26" s="21">
        <f>SUM(OSRRefD22x_0)</f>
        <v>0</v>
      </c>
      <c r="E26" s="21"/>
      <c r="F26" s="31">
        <f t="shared" ref="F26:F34" si="14">IF(D$12=0,0,D26/D$12)</f>
        <v>0</v>
      </c>
      <c r="G26" s="21"/>
      <c r="H26" s="21">
        <f>SUM(OSRRefH22x_0)</f>
        <v>3503.6600000000003</v>
      </c>
      <c r="I26" s="21"/>
      <c r="J26" s="31">
        <f t="shared" ref="J26:J34" si="15">IF(H$12=0,0,H26/H$12)</f>
        <v>0.32268005157487567</v>
      </c>
      <c r="K26" s="4"/>
      <c r="L26" s="21">
        <f t="shared" ref="L26:L34" si="16">+D26-H26</f>
        <v>-3503.6600000000003</v>
      </c>
      <c r="M26" s="4"/>
      <c r="N26" s="31">
        <f t="shared" ref="N26:N34" si="17">IF(H26=0,0,L26/H26)</f>
        <v>-1</v>
      </c>
      <c r="O26" s="11"/>
      <c r="P26" s="21">
        <f>SUM(OSRRefP22x_0)</f>
        <v>0</v>
      </c>
      <c r="Q26" s="21"/>
      <c r="R26" s="31">
        <f t="shared" ref="R26:R34" si="18">IF(P$12=0,0,P26/P$12)</f>
        <v>0</v>
      </c>
      <c r="S26" s="21"/>
      <c r="T26" s="21">
        <f>SUM(OSRRefT22x_0)</f>
        <v>-760.73999999999853</v>
      </c>
      <c r="U26" s="21"/>
      <c r="V26" s="31">
        <f t="shared" ref="V26:V34" si="19">IF(T$12=0,0,T26/T$12)</f>
        <v>-4.130454021999326E-2</v>
      </c>
      <c r="W26" s="4"/>
      <c r="X26" s="21">
        <f t="shared" ref="X26:X34" si="20">+P26-T26</f>
        <v>760.73999999999853</v>
      </c>
      <c r="Y26" s="4"/>
      <c r="Z26" s="31">
        <f t="shared" ref="Z26:Z34" si="21">IF(T26=0,0,X26/T26)</f>
        <v>-1</v>
      </c>
    </row>
    <row r="27" spans="1:26" s="26" customFormat="1" outlineLevel="1" collapsed="1" x14ac:dyDescent="0.25">
      <c r="A27" s="27"/>
      <c r="B27" s="12" t="str">
        <f>CONCATENATE("     ","*Benefits                                         ")</f>
        <v xml:space="preserve">     *Benefits                                         </v>
      </c>
      <c r="C27" s="12"/>
      <c r="D27" s="1">
        <f>SUM(OSRRefD22_0x_0)</f>
        <v>0</v>
      </c>
      <c r="E27" s="1"/>
      <c r="F27" s="5">
        <f t="shared" si="14"/>
        <v>0</v>
      </c>
      <c r="G27" s="1"/>
      <c r="H27" s="1">
        <f>SUM(OSRRefH22_0x_0)</f>
        <v>53.15</v>
      </c>
      <c r="I27" s="1"/>
      <c r="J27" s="5">
        <f t="shared" si="15"/>
        <v>4.8950082888193037E-3</v>
      </c>
      <c r="K27" s="1"/>
      <c r="L27" s="1">
        <f t="shared" si="16"/>
        <v>-53.15</v>
      </c>
      <c r="M27" s="1"/>
      <c r="N27" s="5">
        <f t="shared" si="17"/>
        <v>-1</v>
      </c>
      <c r="O27" s="12"/>
      <c r="P27" s="1">
        <f>SUM(OSRRefP22_0x_0)</f>
        <v>0</v>
      </c>
      <c r="Q27" s="1"/>
      <c r="R27" s="5">
        <f t="shared" si="18"/>
        <v>0</v>
      </c>
      <c r="S27" s="1"/>
      <c r="T27" s="1">
        <f>SUM(OSRRefT22_0x_0)</f>
        <v>874.44</v>
      </c>
      <c r="U27" s="1"/>
      <c r="V27" s="5">
        <f t="shared" si="19"/>
        <v>4.7477905920512896E-2</v>
      </c>
      <c r="W27" s="1"/>
      <c r="X27" s="1">
        <f t="shared" si="20"/>
        <v>-874.44</v>
      </c>
      <c r="Y27" s="1"/>
      <c r="Z27" s="5">
        <f t="shared" si="21"/>
        <v>-1</v>
      </c>
    </row>
    <row r="28" spans="1:26" s="23" customFormat="1" hidden="1" outlineLevel="2" x14ac:dyDescent="0.25">
      <c r="A28" s="25"/>
      <c r="B28" s="10" t="str">
        <f>CONCATENATE("          ", "6111", " - ", "F.I.C.A.")</f>
        <v xml:space="preserve">          6111 - F.I.C.A.</v>
      </c>
      <c r="C28" s="10"/>
      <c r="D28" s="6"/>
      <c r="E28" s="2"/>
      <c r="F28" s="7">
        <f t="shared" si="14"/>
        <v>0</v>
      </c>
      <c r="G28" s="2"/>
      <c r="H28" s="6">
        <v>53.15</v>
      </c>
      <c r="I28" s="2"/>
      <c r="J28" s="7">
        <f t="shared" si="15"/>
        <v>4.8950082888193037E-3</v>
      </c>
      <c r="K28" s="2"/>
      <c r="L28" s="6">
        <f t="shared" si="16"/>
        <v>-53.15</v>
      </c>
      <c r="M28" s="2"/>
      <c r="N28" s="7">
        <f t="shared" si="17"/>
        <v>-1</v>
      </c>
      <c r="O28" s="10"/>
      <c r="P28" s="6"/>
      <c r="Q28" s="2"/>
      <c r="R28" s="7">
        <f t="shared" si="18"/>
        <v>0</v>
      </c>
      <c r="S28" s="2"/>
      <c r="T28" s="6">
        <v>208.81</v>
      </c>
      <c r="U28" s="2"/>
      <c r="V28" s="7">
        <f t="shared" si="19"/>
        <v>1.1337383394243512E-2</v>
      </c>
      <c r="W28" s="2"/>
      <c r="X28" s="6">
        <f t="shared" si="20"/>
        <v>-208.81</v>
      </c>
      <c r="Y28" s="2"/>
      <c r="Z28" s="7">
        <f t="shared" si="21"/>
        <v>-1</v>
      </c>
    </row>
    <row r="29" spans="1:26" s="23" customFormat="1" hidden="1" outlineLevel="2" x14ac:dyDescent="0.25">
      <c r="A29" s="25"/>
      <c r="B29" s="10" t="str">
        <f>CONCATENATE("          ", "6112", " - ", "COMPENSATION INSURANCE")</f>
        <v xml:space="preserve">          6112 - COMPENSATION INSURANCE</v>
      </c>
      <c r="C29" s="10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0"/>
      <c r="P29" s="6"/>
      <c r="Q29" s="2"/>
      <c r="R29" s="7">
        <f t="shared" si="18"/>
        <v>0</v>
      </c>
      <c r="S29" s="2"/>
      <c r="T29" s="6">
        <v>22.05</v>
      </c>
      <c r="U29" s="2"/>
      <c r="V29" s="7">
        <f t="shared" si="19"/>
        <v>1.1972094432405988E-3</v>
      </c>
      <c r="W29" s="2"/>
      <c r="X29" s="6">
        <f t="shared" si="20"/>
        <v>-22.05</v>
      </c>
      <c r="Y29" s="2"/>
      <c r="Z29" s="7">
        <f t="shared" si="21"/>
        <v>-1</v>
      </c>
    </row>
    <row r="30" spans="1:26" s="23" customFormat="1" hidden="1" outlineLevel="2" x14ac:dyDescent="0.25">
      <c r="A30" s="25"/>
      <c r="B30" s="10" t="str">
        <f>CONCATENATE("          ", "6113", " - ", "GROUP INSURANCE")</f>
        <v xml:space="preserve">          6113 - GROUP INSURANCE</v>
      </c>
      <c r="C30" s="10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0"/>
      <c r="P30" s="6"/>
      <c r="Q30" s="2"/>
      <c r="R30" s="7">
        <f t="shared" si="18"/>
        <v>0</v>
      </c>
      <c r="S30" s="2"/>
      <c r="T30" s="6">
        <v>305.26</v>
      </c>
      <c r="U30" s="2"/>
      <c r="V30" s="7">
        <f t="shared" si="19"/>
        <v>1.6574156673180282E-2</v>
      </c>
      <c r="W30" s="2"/>
      <c r="X30" s="6">
        <f t="shared" si="20"/>
        <v>-305.26</v>
      </c>
      <c r="Y30" s="2"/>
      <c r="Z30" s="7">
        <f t="shared" si="21"/>
        <v>-1</v>
      </c>
    </row>
    <row r="31" spans="1:26" s="23" customFormat="1" hidden="1" outlineLevel="2" x14ac:dyDescent="0.25">
      <c r="A31" s="25"/>
      <c r="B31" s="10" t="str">
        <f>CONCATENATE("          ", "6114", " - ", "STATE UNEMPLOYMENT INSURANCE")</f>
        <v xml:space="preserve">          6114 - STATE UNEMPLOYMENT INSURANCE</v>
      </c>
      <c r="C31" s="10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0"/>
      <c r="P31" s="6"/>
      <c r="Q31" s="2"/>
      <c r="R31" s="7">
        <f t="shared" si="18"/>
        <v>0</v>
      </c>
      <c r="S31" s="2"/>
      <c r="T31" s="6">
        <v>5</v>
      </c>
      <c r="U31" s="2"/>
      <c r="V31" s="7">
        <f t="shared" si="19"/>
        <v>2.7147606422689316E-4</v>
      </c>
      <c r="W31" s="2"/>
      <c r="X31" s="6">
        <f t="shared" si="20"/>
        <v>-5</v>
      </c>
      <c r="Y31" s="2"/>
      <c r="Z31" s="7">
        <f t="shared" si="21"/>
        <v>-1</v>
      </c>
    </row>
    <row r="32" spans="1:26" s="23" customFormat="1" hidden="1" outlineLevel="2" x14ac:dyDescent="0.25">
      <c r="A32" s="25"/>
      <c r="B32" s="10" t="str">
        <f>CONCATENATE("          ", "6115", " - ", "P.E.R.S.")</f>
        <v xml:space="preserve">          6115 - P.E.R.S.</v>
      </c>
      <c r="C32" s="10"/>
      <c r="D32" s="6"/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0"/>
      <c r="P32" s="6"/>
      <c r="Q32" s="2"/>
      <c r="R32" s="7">
        <f t="shared" si="18"/>
        <v>0</v>
      </c>
      <c r="S32" s="2"/>
      <c r="T32" s="6">
        <v>134.12</v>
      </c>
      <c r="U32" s="2"/>
      <c r="V32" s="7">
        <f t="shared" si="19"/>
        <v>7.2820739468221823E-3</v>
      </c>
      <c r="W32" s="2"/>
      <c r="X32" s="6">
        <f t="shared" si="20"/>
        <v>-134.12</v>
      </c>
      <c r="Y32" s="2"/>
      <c r="Z32" s="7">
        <f t="shared" si="21"/>
        <v>-1</v>
      </c>
    </row>
    <row r="33" spans="1:26" s="23" customFormat="1" hidden="1" outlineLevel="2" x14ac:dyDescent="0.25">
      <c r="A33" s="25"/>
      <c r="B33" s="10" t="str">
        <f>CONCATENATE("          ", "6118", " - ", "VACATION")</f>
        <v xml:space="preserve">          6118 - VACATION</v>
      </c>
      <c r="C33" s="10"/>
      <c r="D33" s="6"/>
      <c r="E33" s="2"/>
      <c r="F33" s="7">
        <f t="shared" si="14"/>
        <v>0</v>
      </c>
      <c r="G33" s="2"/>
      <c r="H33" s="6"/>
      <c r="I33" s="2"/>
      <c r="J33" s="7">
        <f t="shared" si="15"/>
        <v>0</v>
      </c>
      <c r="K33" s="2"/>
      <c r="L33" s="6">
        <f t="shared" si="16"/>
        <v>0</v>
      </c>
      <c r="M33" s="2"/>
      <c r="N33" s="7">
        <f t="shared" si="17"/>
        <v>0</v>
      </c>
      <c r="O33" s="10"/>
      <c r="P33" s="6"/>
      <c r="Q33" s="2"/>
      <c r="R33" s="7">
        <f t="shared" si="18"/>
        <v>0</v>
      </c>
      <c r="S33" s="2"/>
      <c r="T33" s="6">
        <v>110.64</v>
      </c>
      <c r="U33" s="2"/>
      <c r="V33" s="7">
        <f t="shared" si="19"/>
        <v>6.0072223492126913E-3</v>
      </c>
      <c r="W33" s="2"/>
      <c r="X33" s="6">
        <f t="shared" si="20"/>
        <v>-110.64</v>
      </c>
      <c r="Y33" s="2"/>
      <c r="Z33" s="7">
        <f t="shared" si="21"/>
        <v>-1</v>
      </c>
    </row>
    <row r="34" spans="1:26" s="23" customFormat="1" hidden="1" outlineLevel="2" x14ac:dyDescent="0.25">
      <c r="A34" s="25"/>
      <c r="B34" s="10" t="str">
        <f>CONCATENATE("          ", "6119", " - ", "SICK LEAVE")</f>
        <v xml:space="preserve">          6119 - SICK LEAVE</v>
      </c>
      <c r="C34" s="10"/>
      <c r="D34" s="6"/>
      <c r="E34" s="2"/>
      <c r="F34" s="7">
        <f t="shared" si="14"/>
        <v>0</v>
      </c>
      <c r="G34" s="2"/>
      <c r="H34" s="6"/>
      <c r="I34" s="2"/>
      <c r="J34" s="7">
        <f t="shared" si="15"/>
        <v>0</v>
      </c>
      <c r="K34" s="2"/>
      <c r="L34" s="6">
        <f t="shared" si="16"/>
        <v>0</v>
      </c>
      <c r="M34" s="2"/>
      <c r="N34" s="7">
        <f t="shared" si="17"/>
        <v>0</v>
      </c>
      <c r="O34" s="10"/>
      <c r="P34" s="6"/>
      <c r="Q34" s="2"/>
      <c r="R34" s="7">
        <f t="shared" si="18"/>
        <v>0</v>
      </c>
      <c r="S34" s="2"/>
      <c r="T34" s="6">
        <v>88.56</v>
      </c>
      <c r="U34" s="2"/>
      <c r="V34" s="7">
        <f t="shared" si="19"/>
        <v>4.808384049586732E-3</v>
      </c>
      <c r="W34" s="2"/>
      <c r="X34" s="6">
        <f t="shared" si="20"/>
        <v>-88.56</v>
      </c>
      <c r="Y34" s="2"/>
      <c r="Z34" s="7">
        <f t="shared" si="21"/>
        <v>-1</v>
      </c>
    </row>
    <row r="35" spans="1:26" s="26" customFormat="1" outlineLevel="1" collapsed="1" x14ac:dyDescent="0.25">
      <c r="A35" s="27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0</v>
      </c>
      <c r="E35" s="1"/>
      <c r="F35" s="5">
        <f t="shared" ref="F35:F40" si="22">IF(D$12=0,0,D35/D$12)</f>
        <v>0</v>
      </c>
      <c r="G35" s="1"/>
      <c r="H35" s="1">
        <f>SUM(OSRRefH22_1x_0)</f>
        <v>4116.26</v>
      </c>
      <c r="I35" s="1"/>
      <c r="J35" s="5">
        <f t="shared" ref="J35:J40" si="23">IF(H$12=0,0,H35/H$12)</f>
        <v>0.37909928163566037</v>
      </c>
      <c r="K35" s="1"/>
      <c r="L35" s="1">
        <f t="shared" ref="L35:L40" si="24">+D35-H35</f>
        <v>-4116.26</v>
      </c>
      <c r="M35" s="1"/>
      <c r="N35" s="5">
        <f t="shared" ref="N35:N40" si="25">IF(H35=0,0,L35/H35)</f>
        <v>-1</v>
      </c>
      <c r="O35" s="12"/>
      <c r="P35" s="1">
        <f>SUM(OSRRefP22_1x_0)</f>
        <v>0</v>
      </c>
      <c r="Q35" s="1"/>
      <c r="R35" s="5">
        <f t="shared" ref="R35:R40" si="26">IF(P$12=0,0,P35/P$12)</f>
        <v>0</v>
      </c>
      <c r="S35" s="1"/>
      <c r="T35" s="1">
        <f>SUM(OSRRefT22_1x_0)</f>
        <v>6103</v>
      </c>
      <c r="U35" s="1"/>
      <c r="V35" s="5">
        <f t="shared" ref="V35:V40" si="27">IF(T$12=0,0,T35/T$12)</f>
        <v>0.33136368399534577</v>
      </c>
      <c r="W35" s="1"/>
      <c r="X35" s="1">
        <f t="shared" ref="X35:X40" si="28">+P35-T35</f>
        <v>-6103</v>
      </c>
      <c r="Y35" s="1"/>
      <c r="Z35" s="5">
        <f t="shared" ref="Z35:Z40" si="29">IF(T35=0,0,X35/T35)</f>
        <v>-1</v>
      </c>
    </row>
    <row r="36" spans="1:26" s="23" customFormat="1" hidden="1" outlineLevel="2" x14ac:dyDescent="0.25">
      <c r="A36" s="25"/>
      <c r="B36" s="10" t="str">
        <f>CONCATENATE("          ", "6002", " - ", "STAFF SALARIES")</f>
        <v xml:space="preserve">          6002 - STAFF SALARIES</v>
      </c>
      <c r="C36" s="10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0"/>
      <c r="P36" s="6"/>
      <c r="Q36" s="2"/>
      <c r="R36" s="7">
        <f t="shared" si="26"/>
        <v>0</v>
      </c>
      <c r="S36" s="2"/>
      <c r="T36" s="6">
        <v>1872</v>
      </c>
      <c r="U36" s="2"/>
      <c r="V36" s="7">
        <f t="shared" si="27"/>
        <v>0.1016406384465488</v>
      </c>
      <c r="W36" s="2"/>
      <c r="X36" s="6">
        <f t="shared" si="28"/>
        <v>-1872</v>
      </c>
      <c r="Y36" s="2"/>
      <c r="Z36" s="7">
        <f t="shared" si="29"/>
        <v>-1</v>
      </c>
    </row>
    <row r="37" spans="1:26" s="23" customFormat="1" hidden="1" outlineLevel="2" x14ac:dyDescent="0.25">
      <c r="A37" s="25"/>
      <c r="B37" s="10" t="str">
        <f>CONCATENATE("          ", "6004", " - ", "STAFF HOURLY")</f>
        <v xml:space="preserve">          6004 - STAFF HOURLY</v>
      </c>
      <c r="C37" s="10"/>
      <c r="D37" s="6"/>
      <c r="E37" s="2"/>
      <c r="F37" s="7">
        <f t="shared" si="22"/>
        <v>0</v>
      </c>
      <c r="G37" s="2"/>
      <c r="H37" s="6">
        <v>491.67</v>
      </c>
      <c r="I37" s="2"/>
      <c r="J37" s="7">
        <f t="shared" si="23"/>
        <v>4.5281819856327135E-2</v>
      </c>
      <c r="K37" s="2"/>
      <c r="L37" s="6">
        <f t="shared" si="24"/>
        <v>-491.67</v>
      </c>
      <c r="M37" s="2"/>
      <c r="N37" s="7">
        <f t="shared" si="25"/>
        <v>-1</v>
      </c>
      <c r="O37" s="10"/>
      <c r="P37" s="6"/>
      <c r="Q37" s="2"/>
      <c r="R37" s="7">
        <f t="shared" si="26"/>
        <v>0</v>
      </c>
      <c r="S37" s="2"/>
      <c r="T37" s="6">
        <v>491.67</v>
      </c>
      <c r="U37" s="2"/>
      <c r="V37" s="7">
        <f t="shared" si="27"/>
        <v>2.6695327299687311E-2</v>
      </c>
      <c r="W37" s="2"/>
      <c r="X37" s="6">
        <f t="shared" si="28"/>
        <v>-491.67</v>
      </c>
      <c r="Y37" s="2"/>
      <c r="Z37" s="7">
        <f t="shared" si="29"/>
        <v>-1</v>
      </c>
    </row>
    <row r="38" spans="1:26" s="23" customFormat="1" hidden="1" outlineLevel="2" x14ac:dyDescent="0.25">
      <c r="A38" s="25"/>
      <c r="B38" s="10" t="str">
        <f>CONCATENATE("          ", "6005", " - ", "TEMPORARY WAGES-HOURLY")</f>
        <v xml:space="preserve">          6005 - TEMPORARY WAGES-HOURLY</v>
      </c>
      <c r="C38" s="10"/>
      <c r="D38" s="6"/>
      <c r="E38" s="2"/>
      <c r="F38" s="7">
        <f t="shared" si="22"/>
        <v>0</v>
      </c>
      <c r="G38" s="2"/>
      <c r="H38" s="6">
        <v>140.61000000000001</v>
      </c>
      <c r="I38" s="2"/>
      <c r="J38" s="7">
        <f t="shared" si="23"/>
        <v>1.2949898692208511E-2</v>
      </c>
      <c r="K38" s="2"/>
      <c r="L38" s="6">
        <f t="shared" si="24"/>
        <v>-140.61000000000001</v>
      </c>
      <c r="M38" s="2"/>
      <c r="N38" s="7">
        <f t="shared" si="25"/>
        <v>-1</v>
      </c>
      <c r="O38" s="10"/>
      <c r="P38" s="6"/>
      <c r="Q38" s="2"/>
      <c r="R38" s="7">
        <f t="shared" si="26"/>
        <v>0</v>
      </c>
      <c r="S38" s="2"/>
      <c r="T38" s="6">
        <v>140.61000000000001</v>
      </c>
      <c r="U38" s="2"/>
      <c r="V38" s="7">
        <f t="shared" si="27"/>
        <v>7.6344498781886899E-3</v>
      </c>
      <c r="W38" s="2"/>
      <c r="X38" s="6">
        <f t="shared" si="28"/>
        <v>-140.61000000000001</v>
      </c>
      <c r="Y38" s="2"/>
      <c r="Z38" s="7">
        <f t="shared" si="29"/>
        <v>-1</v>
      </c>
    </row>
    <row r="39" spans="1:26" s="23" customFormat="1" hidden="1" outlineLevel="2" x14ac:dyDescent="0.25">
      <c r="A39" s="25"/>
      <c r="B39" s="10" t="str">
        <f>CONCATENATE("          ", "6006", " - ", "TEMPORARY PART TIME")</f>
        <v xml:space="preserve">          6006 - TEMPORARY PART TIME</v>
      </c>
      <c r="C39" s="10"/>
      <c r="D39" s="6"/>
      <c r="E39" s="2"/>
      <c r="F39" s="7">
        <f t="shared" si="22"/>
        <v>0</v>
      </c>
      <c r="G39" s="2"/>
      <c r="H39" s="6">
        <v>62.98</v>
      </c>
      <c r="I39" s="2"/>
      <c r="J39" s="7">
        <f t="shared" si="23"/>
        <v>5.800331552772149E-3</v>
      </c>
      <c r="K39" s="2"/>
      <c r="L39" s="6">
        <f t="shared" si="24"/>
        <v>-62.98</v>
      </c>
      <c r="M39" s="2"/>
      <c r="N39" s="7">
        <f t="shared" si="25"/>
        <v>-1</v>
      </c>
      <c r="O39" s="10"/>
      <c r="P39" s="6"/>
      <c r="Q39" s="2"/>
      <c r="R39" s="7">
        <f t="shared" si="26"/>
        <v>0</v>
      </c>
      <c r="S39" s="2"/>
      <c r="T39" s="6">
        <v>120.35</v>
      </c>
      <c r="U39" s="2"/>
      <c r="V39" s="7">
        <f t="shared" si="27"/>
        <v>6.5344288659413179E-3</v>
      </c>
      <c r="W39" s="2"/>
      <c r="X39" s="6">
        <f t="shared" si="28"/>
        <v>-120.35</v>
      </c>
      <c r="Y39" s="2"/>
      <c r="Z39" s="7">
        <f t="shared" si="29"/>
        <v>-1</v>
      </c>
    </row>
    <row r="40" spans="1:26" s="23" customFormat="1" hidden="1" outlineLevel="2" x14ac:dyDescent="0.25">
      <c r="A40" s="25"/>
      <c r="B40" s="10" t="str">
        <f>CONCATENATE("          ", "6007", " - ", "STUDENT HOURLY")</f>
        <v xml:space="preserve">          6007 - STUDENT HOURLY</v>
      </c>
      <c r="C40" s="10"/>
      <c r="D40" s="6"/>
      <c r="E40" s="2"/>
      <c r="F40" s="7">
        <f t="shared" si="22"/>
        <v>0</v>
      </c>
      <c r="G40" s="2"/>
      <c r="H40" s="6">
        <v>3421</v>
      </c>
      <c r="I40" s="2"/>
      <c r="J40" s="7">
        <f t="shared" si="23"/>
        <v>0.31506723153435257</v>
      </c>
      <c r="K40" s="2"/>
      <c r="L40" s="6">
        <f t="shared" si="24"/>
        <v>-3421</v>
      </c>
      <c r="M40" s="2"/>
      <c r="N40" s="7">
        <f t="shared" si="25"/>
        <v>-1</v>
      </c>
      <c r="O40" s="10"/>
      <c r="P40" s="6"/>
      <c r="Q40" s="2"/>
      <c r="R40" s="7">
        <f t="shared" si="26"/>
        <v>0</v>
      </c>
      <c r="S40" s="2"/>
      <c r="T40" s="6">
        <v>3478.37</v>
      </c>
      <c r="U40" s="2"/>
      <c r="V40" s="7">
        <f t="shared" si="27"/>
        <v>0.18885883950497967</v>
      </c>
      <c r="W40" s="2"/>
      <c r="X40" s="6">
        <f t="shared" si="28"/>
        <v>-3478.37</v>
      </c>
      <c r="Y40" s="2"/>
      <c r="Z40" s="7">
        <f t="shared" si="29"/>
        <v>-1</v>
      </c>
    </row>
    <row r="41" spans="1:26" s="26" customFormat="1" outlineLevel="1" collapsed="1" x14ac:dyDescent="0.25">
      <c r="A41" s="27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47" si="30">IF(D$12=0,0,D41/D$12)</f>
        <v>0</v>
      </c>
      <c r="G41" s="1"/>
      <c r="H41" s="1">
        <f>SUM(OSRRefH22_2x_0)</f>
        <v>425.35</v>
      </c>
      <c r="I41" s="1"/>
      <c r="J41" s="5">
        <f t="shared" ref="J41:J47" si="31">IF(H$12=0,0,H41/H$12)</f>
        <v>3.9173881009394E-2</v>
      </c>
      <c r="K41" s="1"/>
      <c r="L41" s="1">
        <f t="shared" ref="L41:L47" si="32">+D41-H41</f>
        <v>-425.35</v>
      </c>
      <c r="M41" s="1"/>
      <c r="N41" s="5">
        <f t="shared" ref="N41:N47" si="33">IF(H41=0,0,L41/H41)</f>
        <v>-1</v>
      </c>
      <c r="O41" s="12"/>
      <c r="P41" s="1">
        <f>SUM(OSRRefP22_2x_0)</f>
        <v>0</v>
      </c>
      <c r="Q41" s="1"/>
      <c r="R41" s="5">
        <f t="shared" ref="R41:R47" si="34">IF(P$12=0,0,P41/P$12)</f>
        <v>0</v>
      </c>
      <c r="S41" s="1"/>
      <c r="T41" s="1">
        <f>SUM(OSRRefT22_2x_0)</f>
        <v>1164.77</v>
      </c>
      <c r="U41" s="1"/>
      <c r="V41" s="5">
        <f t="shared" ref="V41:V47" si="35">IF(T$12=0,0,T41/T$12)</f>
        <v>6.3241435065911664E-2</v>
      </c>
      <c r="W41" s="1"/>
      <c r="X41" s="1">
        <f t="shared" ref="X41:X47" si="36">+P41-T41</f>
        <v>-1164.77</v>
      </c>
      <c r="Y41" s="1"/>
      <c r="Z41" s="5">
        <f t="shared" ref="Z41:Z47" si="37">IF(T41=0,0,X41/T41)</f>
        <v>-1</v>
      </c>
    </row>
    <row r="42" spans="1:26" s="23" customFormat="1" hidden="1" outlineLevel="2" x14ac:dyDescent="0.25">
      <c r="A42" s="25"/>
      <c r="B42" s="10" t="str">
        <f>CONCATENATE("          ", "6362", " - ", "ADVERTISING EXPENSE")</f>
        <v xml:space="preserve">          6362 - ADVERTISING EXPENSE</v>
      </c>
      <c r="C42" s="10"/>
      <c r="D42" s="6"/>
      <c r="E42" s="2"/>
      <c r="F42" s="7">
        <f t="shared" si="30"/>
        <v>0</v>
      </c>
      <c r="G42" s="2"/>
      <c r="H42" s="6">
        <v>425.35</v>
      </c>
      <c r="I42" s="2"/>
      <c r="J42" s="7">
        <f t="shared" si="31"/>
        <v>3.9173881009394E-2</v>
      </c>
      <c r="K42" s="2"/>
      <c r="L42" s="6">
        <f t="shared" si="32"/>
        <v>-425.35</v>
      </c>
      <c r="M42" s="2"/>
      <c r="N42" s="7">
        <f t="shared" si="33"/>
        <v>-1</v>
      </c>
      <c r="O42" s="10"/>
      <c r="P42" s="6"/>
      <c r="Q42" s="2"/>
      <c r="R42" s="7">
        <f t="shared" si="34"/>
        <v>0</v>
      </c>
      <c r="S42" s="2"/>
      <c r="T42" s="6">
        <v>1164.77</v>
      </c>
      <c r="U42" s="2"/>
      <c r="V42" s="7">
        <f t="shared" si="35"/>
        <v>6.3241435065911664E-2</v>
      </c>
      <c r="W42" s="2"/>
      <c r="X42" s="6">
        <f t="shared" si="36"/>
        <v>-1164.77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2" t="str">
        <f>CONCATENATE("     ","Discounts and Markdowns                           ")</f>
        <v xml:space="preserve">     Discounts and Markdowns                           </v>
      </c>
      <c r="C43" s="12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112.97</v>
      </c>
      <c r="I43" s="1"/>
      <c r="J43" s="5">
        <f t="shared" si="31"/>
        <v>1.0404310186037944E-2</v>
      </c>
      <c r="K43" s="1"/>
      <c r="L43" s="1">
        <f t="shared" si="32"/>
        <v>-112.97</v>
      </c>
      <c r="M43" s="1"/>
      <c r="N43" s="5">
        <f t="shared" si="33"/>
        <v>-1</v>
      </c>
      <c r="O43" s="12"/>
      <c r="P43" s="1">
        <f>SUM(OSRRefP22_3x_0)</f>
        <v>0</v>
      </c>
      <c r="Q43" s="1"/>
      <c r="R43" s="5">
        <f t="shared" si="34"/>
        <v>0</v>
      </c>
      <c r="S43" s="1"/>
      <c r="T43" s="1">
        <f>SUM(OSRRefT22_3x_0)</f>
        <v>400.26</v>
      </c>
      <c r="U43" s="1"/>
      <c r="V43" s="5">
        <f t="shared" si="35"/>
        <v>2.1732201893491249E-2</v>
      </c>
      <c r="W43" s="1"/>
      <c r="X43" s="1">
        <f t="shared" si="36"/>
        <v>-400.26</v>
      </c>
      <c r="Y43" s="1"/>
      <c r="Z43" s="5">
        <f t="shared" si="37"/>
        <v>-1</v>
      </c>
    </row>
    <row r="44" spans="1:26" s="23" customFormat="1" hidden="1" outlineLevel="2" x14ac:dyDescent="0.25">
      <c r="A44" s="25"/>
      <c r="B44" s="10" t="str">
        <f>CONCATENATE("          ", "6382", " - ", "DISCOUNTS/MARK DOWNS")</f>
        <v xml:space="preserve">          6382 - DISCOUNTS/MARK DOWNS</v>
      </c>
      <c r="C44" s="10"/>
      <c r="D44" s="6"/>
      <c r="E44" s="2"/>
      <c r="F44" s="7">
        <f t="shared" si="30"/>
        <v>0</v>
      </c>
      <c r="G44" s="2"/>
      <c r="H44" s="6">
        <v>112.97</v>
      </c>
      <c r="I44" s="2"/>
      <c r="J44" s="7">
        <f t="shared" si="31"/>
        <v>1.0404310186037944E-2</v>
      </c>
      <c r="K44" s="2"/>
      <c r="L44" s="6">
        <f t="shared" si="32"/>
        <v>-112.97</v>
      </c>
      <c r="M44" s="2"/>
      <c r="N44" s="7">
        <f t="shared" si="33"/>
        <v>-1</v>
      </c>
      <c r="O44" s="10"/>
      <c r="P44" s="6"/>
      <c r="Q44" s="2"/>
      <c r="R44" s="7">
        <f t="shared" si="34"/>
        <v>0</v>
      </c>
      <c r="S44" s="2"/>
      <c r="T44" s="6">
        <v>400.26</v>
      </c>
      <c r="U44" s="2"/>
      <c r="V44" s="7">
        <f t="shared" si="35"/>
        <v>2.1732201893491249E-2</v>
      </c>
      <c r="W44" s="2"/>
      <c r="X44" s="6">
        <f t="shared" si="36"/>
        <v>-400.26</v>
      </c>
      <c r="Y44" s="2"/>
      <c r="Z44" s="7">
        <f t="shared" si="37"/>
        <v>-1</v>
      </c>
    </row>
    <row r="45" spans="1:26" s="26" customFormat="1" outlineLevel="1" collapsed="1" x14ac:dyDescent="0.25">
      <c r="A45" s="27"/>
      <c r="B45" s="12" t="str">
        <f>CONCATENATE("     ","Freight out/Postage                               ")</f>
        <v xml:space="preserve">     Freight out/Postage                               </v>
      </c>
      <c r="C45" s="12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-1586.79</v>
      </c>
      <c r="I45" s="1"/>
      <c r="J45" s="5">
        <f t="shared" si="31"/>
        <v>-0.14614017314422545</v>
      </c>
      <c r="K45" s="1"/>
      <c r="L45" s="1">
        <f t="shared" si="32"/>
        <v>1586.79</v>
      </c>
      <c r="M45" s="1"/>
      <c r="N45" s="5">
        <f t="shared" si="33"/>
        <v>-1</v>
      </c>
      <c r="O45" s="12"/>
      <c r="P45" s="1">
        <f>SUM(OSRRefP22_4x_0)</f>
        <v>0</v>
      </c>
      <c r="Q45" s="1"/>
      <c r="R45" s="5">
        <f t="shared" si="34"/>
        <v>0</v>
      </c>
      <c r="S45" s="1"/>
      <c r="T45" s="1">
        <f>SUM(OSRRefT22_4x_0)</f>
        <v>-18315.93</v>
      </c>
      <c r="U45" s="1"/>
      <c r="V45" s="5">
        <f t="shared" si="35"/>
        <v>-0.9944673178110558</v>
      </c>
      <c r="W45" s="1"/>
      <c r="X45" s="1">
        <f t="shared" si="36"/>
        <v>18315.93</v>
      </c>
      <c r="Y45" s="1"/>
      <c r="Z45" s="5">
        <f t="shared" si="37"/>
        <v>-1</v>
      </c>
    </row>
    <row r="46" spans="1:26" s="23" customFormat="1" hidden="1" outlineLevel="2" x14ac:dyDescent="0.25">
      <c r="A46" s="25"/>
      <c r="B46" s="10" t="str">
        <f>CONCATENATE("          ", "6305", " - ", "FREIGHT OUT")</f>
        <v xml:space="preserve">          6305 - FREIGHT OUT</v>
      </c>
      <c r="C46" s="10"/>
      <c r="D46" s="6"/>
      <c r="E46" s="2"/>
      <c r="F46" s="7">
        <f t="shared" si="30"/>
        <v>0</v>
      </c>
      <c r="G46" s="2"/>
      <c r="H46" s="6">
        <v>2792.79</v>
      </c>
      <c r="I46" s="2"/>
      <c r="J46" s="7">
        <f t="shared" si="31"/>
        <v>0.25721035181433044</v>
      </c>
      <c r="K46" s="2"/>
      <c r="L46" s="6">
        <f t="shared" si="32"/>
        <v>-2792.79</v>
      </c>
      <c r="M46" s="2"/>
      <c r="N46" s="7">
        <f t="shared" si="33"/>
        <v>-1</v>
      </c>
      <c r="O46" s="10"/>
      <c r="P46" s="6">
        <v>0</v>
      </c>
      <c r="Q46" s="2"/>
      <c r="R46" s="7">
        <f t="shared" si="34"/>
        <v>0</v>
      </c>
      <c r="S46" s="2"/>
      <c r="T46" s="6">
        <v>36384.519999999997</v>
      </c>
      <c r="U46" s="2"/>
      <c r="V46" s="7">
        <f t="shared" si="35"/>
        <v>1.9755052576769354</v>
      </c>
      <c r="W46" s="2"/>
      <c r="X46" s="6">
        <f t="shared" si="36"/>
        <v>-36384.519999999997</v>
      </c>
      <c r="Y46" s="2"/>
      <c r="Z46" s="7">
        <f t="shared" si="37"/>
        <v>-1</v>
      </c>
    </row>
    <row r="47" spans="1:26" s="23" customFormat="1" hidden="1" outlineLevel="2" x14ac:dyDescent="0.25">
      <c r="A47" s="25"/>
      <c r="B47" s="10" t="str">
        <f>CONCATENATE("          ", "6307", " - ", "POSTAGE")</f>
        <v xml:space="preserve">          6307 - POSTAGE</v>
      </c>
      <c r="C47" s="10"/>
      <c r="D47" s="6"/>
      <c r="E47" s="2"/>
      <c r="F47" s="7">
        <f t="shared" si="30"/>
        <v>0</v>
      </c>
      <c r="G47" s="2"/>
      <c r="H47" s="6">
        <v>-4379.58</v>
      </c>
      <c r="I47" s="2"/>
      <c r="J47" s="7">
        <f t="shared" si="31"/>
        <v>-0.40335052495855589</v>
      </c>
      <c r="K47" s="2"/>
      <c r="L47" s="6">
        <f t="shared" si="32"/>
        <v>4379.58</v>
      </c>
      <c r="M47" s="2"/>
      <c r="N47" s="7">
        <f t="shared" si="33"/>
        <v>-1</v>
      </c>
      <c r="O47" s="10"/>
      <c r="P47" s="6">
        <v>0</v>
      </c>
      <c r="Q47" s="2"/>
      <c r="R47" s="7">
        <f t="shared" si="34"/>
        <v>0</v>
      </c>
      <c r="S47" s="2"/>
      <c r="T47" s="6">
        <v>-54700.45</v>
      </c>
      <c r="U47" s="2"/>
      <c r="V47" s="7">
        <f t="shared" si="35"/>
        <v>-2.9699725754879913</v>
      </c>
      <c r="W47" s="2"/>
      <c r="X47" s="6">
        <f t="shared" si="36"/>
        <v>54700.45</v>
      </c>
      <c r="Y47" s="2"/>
      <c r="Z47" s="7">
        <f t="shared" si="37"/>
        <v>-1</v>
      </c>
    </row>
    <row r="48" spans="1:26" s="26" customFormat="1" outlineLevel="1" collapsed="1" x14ac:dyDescent="0.25">
      <c r="A48" s="27"/>
      <c r="B48" s="12" t="str">
        <f>CONCATENATE("     ","General                                           ")</f>
        <v xml:space="preserve">     General                                           </v>
      </c>
      <c r="C48" s="12"/>
      <c r="D48" s="1">
        <f>SUM(OSRRefD22_5x_0)</f>
        <v>0</v>
      </c>
      <c r="E48" s="1"/>
      <c r="F48" s="5">
        <f t="shared" ref="F48:F54" si="38">IF(D$12=0,0,D48/D$12)</f>
        <v>0</v>
      </c>
      <c r="G48" s="1"/>
      <c r="H48" s="1">
        <f>SUM(OSRRefH22_5x_0)</f>
        <v>0</v>
      </c>
      <c r="I48" s="1"/>
      <c r="J48" s="5">
        <f t="shared" ref="J48:J54" si="39">IF(H$12=0,0,H48/H$12)</f>
        <v>0</v>
      </c>
      <c r="K48" s="1"/>
      <c r="L48" s="1">
        <f t="shared" ref="L48:L54" si="40">+D48-H48</f>
        <v>0</v>
      </c>
      <c r="M48" s="1"/>
      <c r="N48" s="5">
        <f t="shared" ref="N48:N54" si="41">IF(H48=0,0,L48/H48)</f>
        <v>0</v>
      </c>
      <c r="O48" s="12"/>
      <c r="P48" s="1">
        <f>SUM(OSRRefP22_5x_0)</f>
        <v>0</v>
      </c>
      <c r="Q48" s="1"/>
      <c r="R48" s="5">
        <f t="shared" ref="R48:R54" si="42">IF(P$12=0,0,P48/P$12)</f>
        <v>0</v>
      </c>
      <c r="S48" s="1"/>
      <c r="T48" s="1">
        <f>SUM(OSRRefT22_5x_0)</f>
        <v>80.17</v>
      </c>
      <c r="U48" s="1"/>
      <c r="V48" s="5">
        <f t="shared" ref="V48:V54" si="43">IF(T$12=0,0,T48/T$12)</f>
        <v>4.3528472138140047E-3</v>
      </c>
      <c r="W48" s="1"/>
      <c r="X48" s="1">
        <f t="shared" ref="X48:X54" si="44">+P48-T48</f>
        <v>-80.17</v>
      </c>
      <c r="Y48" s="1"/>
      <c r="Z48" s="5">
        <f t="shared" ref="Z48:Z54" si="45">IF(T48=0,0,X48/T48)</f>
        <v>-1</v>
      </c>
    </row>
    <row r="49" spans="1:26" s="23" customFormat="1" hidden="1" outlineLevel="2" x14ac:dyDescent="0.25">
      <c r="A49" s="25"/>
      <c r="B49" s="10" t="str">
        <f>CONCATENATE("          ", "6279", " - ", "GENERAL EXPENSE")</f>
        <v xml:space="preserve">          6279 - GENERAL EXPENSE</v>
      </c>
      <c r="C49" s="10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0"/>
      <c r="P49" s="6"/>
      <c r="Q49" s="2"/>
      <c r="R49" s="7">
        <f t="shared" si="42"/>
        <v>0</v>
      </c>
      <c r="S49" s="2"/>
      <c r="T49" s="6">
        <v>80.17</v>
      </c>
      <c r="U49" s="2"/>
      <c r="V49" s="7">
        <f t="shared" si="43"/>
        <v>4.3528472138140047E-3</v>
      </c>
      <c r="W49" s="2"/>
      <c r="X49" s="6">
        <f t="shared" si="44"/>
        <v>-80.17</v>
      </c>
      <c r="Y49" s="2"/>
      <c r="Z49" s="7">
        <f t="shared" si="45"/>
        <v>-1</v>
      </c>
    </row>
    <row r="50" spans="1:26" s="26" customFormat="1" outlineLevel="1" collapsed="1" x14ac:dyDescent="0.25">
      <c r="A50" s="27"/>
      <c r="B50" s="12" t="str">
        <f>CONCATENATE("     ","Inventory Adjustment                              ")</f>
        <v xml:space="preserve">     Inventory Adjustment                              </v>
      </c>
      <c r="C50" s="12"/>
      <c r="D50" s="1">
        <f>SUM(OSRRefD22_6x_0)</f>
        <v>0</v>
      </c>
      <c r="E50" s="1"/>
      <c r="F50" s="5">
        <f t="shared" si="38"/>
        <v>0</v>
      </c>
      <c r="G50" s="1"/>
      <c r="H50" s="1">
        <f>SUM(OSRRefH22_6x_0)</f>
        <v>100</v>
      </c>
      <c r="I50" s="1"/>
      <c r="J50" s="5">
        <f t="shared" si="39"/>
        <v>9.2097992263768646E-3</v>
      </c>
      <c r="K50" s="1"/>
      <c r="L50" s="1">
        <f t="shared" si="40"/>
        <v>-100</v>
      </c>
      <c r="M50" s="1"/>
      <c r="N50" s="5">
        <f t="shared" si="41"/>
        <v>-1</v>
      </c>
      <c r="O50" s="12"/>
      <c r="P50" s="1">
        <f>SUM(OSRRefP22_6x_0)</f>
        <v>0</v>
      </c>
      <c r="Q50" s="1"/>
      <c r="R50" s="5">
        <f t="shared" si="42"/>
        <v>0</v>
      </c>
      <c r="S50" s="1"/>
      <c r="T50" s="1">
        <f>SUM(OSRRefT22_6x_0)</f>
        <v>800</v>
      </c>
      <c r="U50" s="1"/>
      <c r="V50" s="5">
        <f t="shared" si="43"/>
        <v>4.3436170276302907E-2</v>
      </c>
      <c r="W50" s="1"/>
      <c r="X50" s="1">
        <f t="shared" si="44"/>
        <v>-800</v>
      </c>
      <c r="Y50" s="1"/>
      <c r="Z50" s="5">
        <f t="shared" si="45"/>
        <v>-1</v>
      </c>
    </row>
    <row r="51" spans="1:26" s="23" customFormat="1" hidden="1" outlineLevel="2" x14ac:dyDescent="0.25">
      <c r="A51" s="25"/>
      <c r="B51" s="10" t="str">
        <f>CONCATENATE("          ", "6408", " - ", "INVENTORY ADJUSTMENT")</f>
        <v xml:space="preserve">          6408 - INVENTORY ADJUSTMENT</v>
      </c>
      <c r="C51" s="10"/>
      <c r="D51" s="6"/>
      <c r="E51" s="2"/>
      <c r="F51" s="7">
        <f t="shared" si="38"/>
        <v>0</v>
      </c>
      <c r="G51" s="2"/>
      <c r="H51" s="6">
        <v>100</v>
      </c>
      <c r="I51" s="2"/>
      <c r="J51" s="7">
        <f t="shared" si="39"/>
        <v>9.2097992263768646E-3</v>
      </c>
      <c r="K51" s="2"/>
      <c r="L51" s="6">
        <f t="shared" si="40"/>
        <v>-100</v>
      </c>
      <c r="M51" s="2"/>
      <c r="N51" s="7">
        <f t="shared" si="41"/>
        <v>-1</v>
      </c>
      <c r="O51" s="10"/>
      <c r="P51" s="6"/>
      <c r="Q51" s="2"/>
      <c r="R51" s="7">
        <f t="shared" si="42"/>
        <v>0</v>
      </c>
      <c r="S51" s="2"/>
      <c r="T51" s="6">
        <v>800</v>
      </c>
      <c r="U51" s="2"/>
      <c r="V51" s="7">
        <f t="shared" si="43"/>
        <v>4.3436170276302907E-2</v>
      </c>
      <c r="W51" s="2"/>
      <c r="X51" s="6">
        <f t="shared" si="44"/>
        <v>-800</v>
      </c>
      <c r="Y51" s="2"/>
      <c r="Z51" s="7">
        <f t="shared" si="45"/>
        <v>-1</v>
      </c>
    </row>
    <row r="52" spans="1:26" s="26" customFormat="1" outlineLevel="1" collapsed="1" x14ac:dyDescent="0.25">
      <c r="A52" s="27"/>
      <c r="B52" s="12" t="str">
        <f>CONCATENATE("     ","Supplies                                          ")</f>
        <v xml:space="preserve">     Supplies                                          </v>
      </c>
      <c r="C52" s="12"/>
      <c r="D52" s="1">
        <f>SUM(OSRRefD22_7x_0)</f>
        <v>0</v>
      </c>
      <c r="E52" s="1"/>
      <c r="F52" s="5">
        <f t="shared" si="38"/>
        <v>0</v>
      </c>
      <c r="G52" s="1"/>
      <c r="H52" s="1">
        <f>SUM(OSRRefH22_7x_0)</f>
        <v>245.97</v>
      </c>
      <c r="I52" s="1"/>
      <c r="J52" s="5">
        <f t="shared" si="39"/>
        <v>2.2653343157119175E-2</v>
      </c>
      <c r="K52" s="1"/>
      <c r="L52" s="1">
        <f t="shared" si="40"/>
        <v>-245.97</v>
      </c>
      <c r="M52" s="1"/>
      <c r="N52" s="5">
        <f t="shared" si="41"/>
        <v>-1</v>
      </c>
      <c r="O52" s="12"/>
      <c r="P52" s="1">
        <f>SUM(OSRRefP22_7x_0)</f>
        <v>0</v>
      </c>
      <c r="Q52" s="1"/>
      <c r="R52" s="5">
        <f t="shared" si="42"/>
        <v>0</v>
      </c>
      <c r="S52" s="1"/>
      <c r="T52" s="1">
        <f>SUM(OSRRefT22_7x_0)</f>
        <v>7591.4000000000005</v>
      </c>
      <c r="U52" s="1"/>
      <c r="V52" s="5">
        <f t="shared" si="43"/>
        <v>0.41217667879440739</v>
      </c>
      <c r="W52" s="1"/>
      <c r="X52" s="1">
        <f t="shared" si="44"/>
        <v>-7591.4000000000005</v>
      </c>
      <c r="Y52" s="1"/>
      <c r="Z52" s="5">
        <f t="shared" si="45"/>
        <v>-1</v>
      </c>
    </row>
    <row r="53" spans="1:26" s="23" customFormat="1" hidden="1" outlineLevel="2" x14ac:dyDescent="0.25">
      <c r="A53" s="25"/>
      <c r="B53" s="10" t="str">
        <f>CONCATENATE("          ", "6241", " - ", "OFFICE EXPENSE")</f>
        <v xml:space="preserve">          6241 - OFFICE EXPENSE</v>
      </c>
      <c r="C53" s="10"/>
      <c r="D53" s="6"/>
      <c r="E53" s="2"/>
      <c r="F53" s="7">
        <f t="shared" si="38"/>
        <v>0</v>
      </c>
      <c r="G53" s="2"/>
      <c r="H53" s="6">
        <v>8.99</v>
      </c>
      <c r="I53" s="2"/>
      <c r="J53" s="7">
        <f t="shared" si="39"/>
        <v>8.2796095045128016E-4</v>
      </c>
      <c r="K53" s="2"/>
      <c r="L53" s="6">
        <f t="shared" si="40"/>
        <v>-8.99</v>
      </c>
      <c r="M53" s="2"/>
      <c r="N53" s="7">
        <f t="shared" si="41"/>
        <v>-1</v>
      </c>
      <c r="O53" s="10"/>
      <c r="P53" s="6"/>
      <c r="Q53" s="2"/>
      <c r="R53" s="7">
        <f t="shared" si="42"/>
        <v>0</v>
      </c>
      <c r="S53" s="2"/>
      <c r="T53" s="6">
        <v>135.26</v>
      </c>
      <c r="U53" s="2"/>
      <c r="V53" s="7">
        <f t="shared" si="43"/>
        <v>7.3439704894659131E-3</v>
      </c>
      <c r="W53" s="2"/>
      <c r="X53" s="6">
        <f t="shared" si="44"/>
        <v>-135.26</v>
      </c>
      <c r="Y53" s="2"/>
      <c r="Z53" s="7">
        <f t="shared" si="45"/>
        <v>-1</v>
      </c>
    </row>
    <row r="54" spans="1:26" s="23" customFormat="1" hidden="1" outlineLevel="2" x14ac:dyDescent="0.25">
      <c r="A54" s="25"/>
      <c r="B54" s="10" t="str">
        <f>CONCATENATE("          ", "6247", " - ", "STORE SUPPLIES")</f>
        <v xml:space="preserve">          6247 - STORE SUPPLIES</v>
      </c>
      <c r="C54" s="10"/>
      <c r="D54" s="6"/>
      <c r="E54" s="2"/>
      <c r="F54" s="7">
        <f t="shared" si="38"/>
        <v>0</v>
      </c>
      <c r="G54" s="2"/>
      <c r="H54" s="6">
        <v>236.98</v>
      </c>
      <c r="I54" s="2"/>
      <c r="J54" s="7">
        <f t="shared" si="39"/>
        <v>2.1825382206667895E-2</v>
      </c>
      <c r="K54" s="2"/>
      <c r="L54" s="6">
        <f t="shared" si="40"/>
        <v>-236.98</v>
      </c>
      <c r="M54" s="2"/>
      <c r="N54" s="7">
        <f t="shared" si="41"/>
        <v>-1</v>
      </c>
      <c r="O54" s="10"/>
      <c r="P54" s="6">
        <v>0</v>
      </c>
      <c r="Q54" s="2"/>
      <c r="R54" s="7">
        <f t="shared" si="42"/>
        <v>0</v>
      </c>
      <c r="S54" s="2"/>
      <c r="T54" s="6">
        <v>7456.14</v>
      </c>
      <c r="U54" s="2"/>
      <c r="V54" s="7">
        <f t="shared" si="43"/>
        <v>0.40483270830494145</v>
      </c>
      <c r="W54" s="2"/>
      <c r="X54" s="6">
        <f t="shared" si="44"/>
        <v>-7456.14</v>
      </c>
      <c r="Y54" s="2"/>
      <c r="Z54" s="7">
        <f t="shared" si="45"/>
        <v>-1</v>
      </c>
    </row>
    <row r="55" spans="1:26" s="26" customFormat="1" outlineLevel="1" collapsed="1" x14ac:dyDescent="0.25">
      <c r="A55" s="27"/>
      <c r="B55" s="12" t="str">
        <f>CONCATENATE("     ","Telephone/Data Lines                              ")</f>
        <v xml:space="preserve">     Telephone/Data Lines                              </v>
      </c>
      <c r="C55" s="12"/>
      <c r="D55" s="1">
        <f>SUM(OSRRefD22_8x_0)</f>
        <v>0</v>
      </c>
      <c r="E55" s="1"/>
      <c r="F55" s="5">
        <f t="shared" ref="F55:F56" si="46">IF(D$12=0,0,D55/D$12)</f>
        <v>0</v>
      </c>
      <c r="G55" s="1"/>
      <c r="H55" s="1">
        <f>SUM(OSRRefH22_8x_0)</f>
        <v>36.75</v>
      </c>
      <c r="I55" s="1"/>
      <c r="J55" s="5">
        <f t="shared" ref="J55:J56" si="47">IF(H$12=0,0,H55/H$12)</f>
        <v>3.3846012156934979E-3</v>
      </c>
      <c r="K55" s="1"/>
      <c r="L55" s="1">
        <f t="shared" ref="L55:L56" si="48">+D55-H55</f>
        <v>-36.75</v>
      </c>
      <c r="M55" s="1"/>
      <c r="N55" s="5">
        <f t="shared" ref="N55:N56" si="49">IF(H55=0,0,L55/H55)</f>
        <v>-1</v>
      </c>
      <c r="O55" s="12"/>
      <c r="P55" s="1">
        <f>SUM(OSRRefP22_8x_0)</f>
        <v>0</v>
      </c>
      <c r="Q55" s="1"/>
      <c r="R55" s="5">
        <f t="shared" ref="R55:R56" si="50">IF(P$12=0,0,P55/P$12)</f>
        <v>0</v>
      </c>
      <c r="S55" s="1"/>
      <c r="T55" s="1">
        <f>SUM(OSRRefT22_8x_0)</f>
        <v>541.15</v>
      </c>
      <c r="U55" s="1"/>
      <c r="V55" s="5">
        <f t="shared" ref="V55:V56" si="51">IF(T$12=0,0,T55/T$12)</f>
        <v>2.9381854431276645E-2</v>
      </c>
      <c r="W55" s="1"/>
      <c r="X55" s="1">
        <f t="shared" ref="X55:X56" si="52">+P55-T55</f>
        <v>-541.15</v>
      </c>
      <c r="Y55" s="1"/>
      <c r="Z55" s="5">
        <f t="shared" ref="Z55:Z56" si="53">IF(T55=0,0,X55/T55)</f>
        <v>-1</v>
      </c>
    </row>
    <row r="56" spans="1:26" s="23" customFormat="1" hidden="1" outlineLevel="2" x14ac:dyDescent="0.25">
      <c r="A56" s="25"/>
      <c r="B56" s="10" t="str">
        <f>CONCATENATE("          ", "6309", " - ", "TELEPHONE")</f>
        <v xml:space="preserve">          6309 - TELEPHONE</v>
      </c>
      <c r="C56" s="10"/>
      <c r="D56" s="6"/>
      <c r="E56" s="2"/>
      <c r="F56" s="7">
        <f t="shared" si="46"/>
        <v>0</v>
      </c>
      <c r="G56" s="2"/>
      <c r="H56" s="6">
        <v>36.75</v>
      </c>
      <c r="I56" s="2"/>
      <c r="J56" s="7">
        <f t="shared" si="47"/>
        <v>3.3846012156934979E-3</v>
      </c>
      <c r="K56" s="2"/>
      <c r="L56" s="6">
        <f t="shared" si="48"/>
        <v>-36.75</v>
      </c>
      <c r="M56" s="2"/>
      <c r="N56" s="7">
        <f t="shared" si="49"/>
        <v>-1</v>
      </c>
      <c r="O56" s="10"/>
      <c r="P56" s="6">
        <v>0</v>
      </c>
      <c r="Q56" s="2"/>
      <c r="R56" s="7">
        <f t="shared" si="50"/>
        <v>0</v>
      </c>
      <c r="S56" s="2"/>
      <c r="T56" s="6">
        <v>541.15</v>
      </c>
      <c r="U56" s="2"/>
      <c r="V56" s="7">
        <f t="shared" si="51"/>
        <v>2.9381854431276645E-2</v>
      </c>
      <c r="W56" s="2"/>
      <c r="X56" s="6">
        <f t="shared" si="52"/>
        <v>-541.15</v>
      </c>
      <c r="Y56" s="2"/>
      <c r="Z56" s="7">
        <f t="shared" si="53"/>
        <v>-1</v>
      </c>
    </row>
    <row r="57" spans="1:26" s="60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4" customFormat="1" collapsed="1" x14ac:dyDescent="0.25">
      <c r="A58" s="11"/>
      <c r="B58" s="28" t="s">
        <v>292</v>
      </c>
      <c r="C58" s="11"/>
      <c r="D58" s="4">
        <f>SUM(OSRRefD25x_0)</f>
        <v>0</v>
      </c>
      <c r="E58" s="4"/>
      <c r="F58" s="13">
        <f t="shared" ref="F58:F63" si="54">IF(D$12=0,0,D58/D$12)</f>
        <v>0</v>
      </c>
      <c r="G58" s="4"/>
      <c r="H58" s="4">
        <f>SUM(OSRRefH25x_0)</f>
        <v>42</v>
      </c>
      <c r="I58" s="4"/>
      <c r="J58" s="13">
        <f t="shared" ref="J58:J63" si="55">IF(H$12=0,0,H58/H$12)</f>
        <v>3.8681156750782833E-3</v>
      </c>
      <c r="K58" s="4"/>
      <c r="L58" s="4">
        <f t="shared" ref="L58:L63" si="56">+D58-H58</f>
        <v>-42</v>
      </c>
      <c r="M58" s="4"/>
      <c r="N58" s="13">
        <f t="shared" ref="N58:N63" si="57">IF(H58=0,0,L58/H58)</f>
        <v>-1</v>
      </c>
      <c r="O58" s="11"/>
      <c r="P58" s="4">
        <f>SUM(OSRRefP25x_0)</f>
        <v>0</v>
      </c>
      <c r="Q58" s="4"/>
      <c r="R58" s="13">
        <f t="shared" ref="R58:R63" si="58">IF(P$12=0,0,P58/P$12)</f>
        <v>0</v>
      </c>
      <c r="S58" s="4"/>
      <c r="T58" s="4">
        <f>SUM(OSRRefT25x_0)</f>
        <v>112775.83</v>
      </c>
      <c r="U58" s="4"/>
      <c r="V58" s="13">
        <f t="shared" ref="V58:V63" si="59">IF(T$12=0,0,T58/T$12)</f>
        <v>6.1231876936642369</v>
      </c>
      <c r="W58" s="4"/>
      <c r="X58" s="4">
        <f t="shared" ref="X58:X63" si="60">+P58-T58</f>
        <v>-112775.83</v>
      </c>
      <c r="Y58" s="4"/>
      <c r="Z58" s="13">
        <f t="shared" ref="Z58:Z63" si="61">IF(T58=0,0,X58/T58)</f>
        <v>-1</v>
      </c>
    </row>
    <row r="59" spans="1:26" s="23" customFormat="1" hidden="1" outlineLevel="1" x14ac:dyDescent="0.25">
      <c r="A59" s="44"/>
      <c r="B59" s="10" t="str">
        <f>CONCATENATE("          ", "4098", " - ", "TAXABLE SALES-GRAD RENTALS")</f>
        <v xml:space="preserve">          4098 - TAXABLE SALES-GRAD RENTALS</v>
      </c>
      <c r="C59" s="10"/>
      <c r="D59" s="2">
        <f t="shared" ref="D59:D63" si="62">0</f>
        <v>0</v>
      </c>
      <c r="E59" s="2"/>
      <c r="F59" s="19">
        <f t="shared" si="54"/>
        <v>0</v>
      </c>
      <c r="G59" s="2"/>
      <c r="H59" s="2">
        <f>--42</f>
        <v>42</v>
      </c>
      <c r="I59" s="2"/>
      <c r="J59" s="19">
        <f t="shared" si="55"/>
        <v>3.8681156750782833E-3</v>
      </c>
      <c r="K59" s="2"/>
      <c r="L59" s="2">
        <f t="shared" si="56"/>
        <v>-42</v>
      </c>
      <c r="M59" s="2"/>
      <c r="N59" s="19">
        <f t="shared" si="57"/>
        <v>-1</v>
      </c>
      <c r="O59" s="10"/>
      <c r="P59" s="2">
        <f t="shared" ref="P59:P63" si="63">0</f>
        <v>0</v>
      </c>
      <c r="Q59" s="2"/>
      <c r="R59" s="19">
        <f t="shared" si="58"/>
        <v>0</v>
      </c>
      <c r="S59" s="2"/>
      <c r="T59" s="2">
        <f>--2098.85</f>
        <v>2098.85</v>
      </c>
      <c r="U59" s="2"/>
      <c r="V59" s="19">
        <f t="shared" si="59"/>
        <v>0.11395750748052294</v>
      </c>
      <c r="W59" s="2"/>
      <c r="X59" s="2">
        <f t="shared" si="60"/>
        <v>-2098.85</v>
      </c>
      <c r="Y59" s="2"/>
      <c r="Z59" s="19">
        <f t="shared" si="61"/>
        <v>-1</v>
      </c>
    </row>
    <row r="60" spans="1:26" s="23" customFormat="1" hidden="1" outlineLevel="1" x14ac:dyDescent="0.25">
      <c r="A60" s="44"/>
      <c r="B60" s="10" t="str">
        <f>CONCATENATE("          ", "4197", " - ", "NON-TAXABLE SALES-RETURNED CHE")</f>
        <v xml:space="preserve">          4197 - NON-TAXABLE SALES-RETURNED CHE</v>
      </c>
      <c r="C60" s="10"/>
      <c r="D60" s="2">
        <f t="shared" si="62"/>
        <v>0</v>
      </c>
      <c r="E60" s="2"/>
      <c r="F60" s="19">
        <f t="shared" si="54"/>
        <v>0</v>
      </c>
      <c r="G60" s="2"/>
      <c r="H60" s="2">
        <f t="shared" ref="H60:H63" si="64">0</f>
        <v>0</v>
      </c>
      <c r="I60" s="2"/>
      <c r="J60" s="19">
        <f t="shared" si="55"/>
        <v>0</v>
      </c>
      <c r="K60" s="2"/>
      <c r="L60" s="2">
        <f t="shared" si="56"/>
        <v>0</v>
      </c>
      <c r="M60" s="2"/>
      <c r="N60" s="19">
        <f t="shared" si="57"/>
        <v>0</v>
      </c>
      <c r="O60" s="10"/>
      <c r="P60" s="2">
        <f t="shared" si="63"/>
        <v>0</v>
      </c>
      <c r="Q60" s="2"/>
      <c r="R60" s="19">
        <f t="shared" si="58"/>
        <v>0</v>
      </c>
      <c r="S60" s="2"/>
      <c r="T60" s="2">
        <f>--30</f>
        <v>30</v>
      </c>
      <c r="U60" s="2"/>
      <c r="V60" s="19">
        <f t="shared" si="59"/>
        <v>1.6288563853613588E-3</v>
      </c>
      <c r="W60" s="2"/>
      <c r="X60" s="2">
        <f t="shared" si="60"/>
        <v>-30</v>
      </c>
      <c r="Y60" s="2"/>
      <c r="Z60" s="19">
        <f t="shared" si="61"/>
        <v>-1</v>
      </c>
    </row>
    <row r="61" spans="1:26" s="23" customFormat="1" hidden="1" outlineLevel="1" x14ac:dyDescent="0.25">
      <c r="A61" s="44"/>
      <c r="B61" s="10" t="str">
        <f>CONCATENATE("          ", "4198", " - ", "NON-TAXABLE SALES-GRAD RENTALS")</f>
        <v xml:space="preserve">          4198 - NON-TAXABLE SALES-GRAD RENTALS</v>
      </c>
      <c r="C61" s="10"/>
      <c r="D61" s="2">
        <f t="shared" si="62"/>
        <v>0</v>
      </c>
      <c r="E61" s="2"/>
      <c r="F61" s="19">
        <f t="shared" si="54"/>
        <v>0</v>
      </c>
      <c r="G61" s="2"/>
      <c r="H61" s="2">
        <f t="shared" si="64"/>
        <v>0</v>
      </c>
      <c r="I61" s="2"/>
      <c r="J61" s="19">
        <f t="shared" si="55"/>
        <v>0</v>
      </c>
      <c r="K61" s="2"/>
      <c r="L61" s="2">
        <f t="shared" si="56"/>
        <v>0</v>
      </c>
      <c r="M61" s="2"/>
      <c r="N61" s="19">
        <f t="shared" si="57"/>
        <v>0</v>
      </c>
      <c r="O61" s="10"/>
      <c r="P61" s="2">
        <f t="shared" si="63"/>
        <v>0</v>
      </c>
      <c r="Q61" s="2"/>
      <c r="R61" s="19">
        <f t="shared" si="58"/>
        <v>0</v>
      </c>
      <c r="S61" s="2"/>
      <c r="T61" s="2">
        <f>--3732.1</f>
        <v>3732.1</v>
      </c>
      <c r="U61" s="2"/>
      <c r="V61" s="19">
        <f t="shared" si="59"/>
        <v>0.20263516386023758</v>
      </c>
      <c r="W61" s="2"/>
      <c r="X61" s="2">
        <f t="shared" si="60"/>
        <v>-3732.1</v>
      </c>
      <c r="Y61" s="2"/>
      <c r="Z61" s="19">
        <f t="shared" si="61"/>
        <v>-1</v>
      </c>
    </row>
    <row r="62" spans="1:26" s="23" customFormat="1" hidden="1" outlineLevel="1" x14ac:dyDescent="0.25">
      <c r="A62" s="44"/>
      <c r="B62" s="10" t="str">
        <f>CONCATENATE("          ", "9160", " - ", "MISC. INCOME")</f>
        <v xml:space="preserve">          9160 - MISC. INCOME</v>
      </c>
      <c r="C62" s="10"/>
      <c r="D62" s="2">
        <f t="shared" si="62"/>
        <v>0</v>
      </c>
      <c r="E62" s="2"/>
      <c r="F62" s="19">
        <f t="shared" si="54"/>
        <v>0</v>
      </c>
      <c r="G62" s="2"/>
      <c r="H62" s="2">
        <f t="shared" si="64"/>
        <v>0</v>
      </c>
      <c r="I62" s="2"/>
      <c r="J62" s="19">
        <f t="shared" si="55"/>
        <v>0</v>
      </c>
      <c r="K62" s="2"/>
      <c r="L62" s="2">
        <f t="shared" si="56"/>
        <v>0</v>
      </c>
      <c r="M62" s="2"/>
      <c r="N62" s="19">
        <f t="shared" si="57"/>
        <v>0</v>
      </c>
      <c r="O62" s="10"/>
      <c r="P62" s="2">
        <f t="shared" si="63"/>
        <v>0</v>
      </c>
      <c r="Q62" s="2"/>
      <c r="R62" s="19">
        <f t="shared" si="58"/>
        <v>0</v>
      </c>
      <c r="S62" s="2"/>
      <c r="T62" s="2">
        <f>--22475</f>
        <v>22475</v>
      </c>
      <c r="U62" s="2"/>
      <c r="V62" s="19">
        <f t="shared" si="59"/>
        <v>1.2202849086998848</v>
      </c>
      <c r="W62" s="2"/>
      <c r="X62" s="2">
        <f t="shared" si="60"/>
        <v>-22475</v>
      </c>
      <c r="Y62" s="2"/>
      <c r="Z62" s="19">
        <f t="shared" si="61"/>
        <v>-1</v>
      </c>
    </row>
    <row r="63" spans="1:26" s="23" customFormat="1" hidden="1" outlineLevel="1" x14ac:dyDescent="0.25">
      <c r="A63" s="44"/>
      <c r="B63" s="10" t="str">
        <f>CONCATENATE("          ", "9163", " - ", "MISC. INCOME")</f>
        <v xml:space="preserve">          9163 - MISC. INCOME</v>
      </c>
      <c r="C63" s="10"/>
      <c r="D63" s="2">
        <f t="shared" si="62"/>
        <v>0</v>
      </c>
      <c r="E63" s="2"/>
      <c r="F63" s="19">
        <f t="shared" si="54"/>
        <v>0</v>
      </c>
      <c r="G63" s="2"/>
      <c r="H63" s="2">
        <f t="shared" si="64"/>
        <v>0</v>
      </c>
      <c r="I63" s="2"/>
      <c r="J63" s="19">
        <f t="shared" si="55"/>
        <v>0</v>
      </c>
      <c r="K63" s="2"/>
      <c r="L63" s="2">
        <f t="shared" si="56"/>
        <v>0</v>
      </c>
      <c r="M63" s="2"/>
      <c r="N63" s="19">
        <f t="shared" si="57"/>
        <v>0</v>
      </c>
      <c r="O63" s="10"/>
      <c r="P63" s="2">
        <f t="shared" si="63"/>
        <v>0</v>
      </c>
      <c r="Q63" s="2"/>
      <c r="R63" s="19">
        <f t="shared" si="58"/>
        <v>0</v>
      </c>
      <c r="S63" s="2"/>
      <c r="T63" s="2">
        <f>--84439.88</f>
        <v>84439.88</v>
      </c>
      <c r="U63" s="2"/>
      <c r="V63" s="19">
        <f t="shared" si="59"/>
        <v>4.5846812572382305</v>
      </c>
      <c r="W63" s="2"/>
      <c r="X63" s="2">
        <f t="shared" si="60"/>
        <v>-84439.88</v>
      </c>
      <c r="Y63" s="2"/>
      <c r="Z63" s="19">
        <f t="shared" si="61"/>
        <v>-1</v>
      </c>
    </row>
    <row r="64" spans="1:26" x14ac:dyDescent="0.25">
      <c r="A64" s="9"/>
      <c r="B64" s="11"/>
      <c r="C64" s="11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1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x14ac:dyDescent="0.25">
      <c r="A65" s="11"/>
      <c r="B65" s="29" t="s">
        <v>276</v>
      </c>
      <c r="C65" s="29"/>
      <c r="D65" s="22">
        <f>+D24-D26+D58</f>
        <v>0</v>
      </c>
      <c r="E65" s="14"/>
      <c r="F65" s="20">
        <f>IF(D$12=0,0,D65/D$12)</f>
        <v>0</v>
      </c>
      <c r="G65" s="14"/>
      <c r="H65" s="22">
        <f>+H24-H26+H58</f>
        <v>2779.06</v>
      </c>
      <c r="I65" s="14"/>
      <c r="J65" s="20">
        <f>IF(H$12=0,0,H65/H$12)</f>
        <v>0.2559458463805489</v>
      </c>
      <c r="K65" s="15"/>
      <c r="L65" s="22">
        <f>+D65-H65</f>
        <v>-2779.06</v>
      </c>
      <c r="M65" s="15"/>
      <c r="N65" s="20">
        <f>IF(H65=0,0,L65/H65)</f>
        <v>-1</v>
      </c>
      <c r="O65" s="28"/>
      <c r="P65" s="22">
        <f>+P24-P26+P58</f>
        <v>0</v>
      </c>
      <c r="Q65" s="14"/>
      <c r="R65" s="20">
        <f>IF(P$12=0,0,P65/P$12)</f>
        <v>0</v>
      </c>
      <c r="S65" s="14"/>
      <c r="T65" s="22">
        <f>+T24-T26+T58</f>
        <v>123533.34</v>
      </c>
      <c r="U65" s="14"/>
      <c r="V65" s="20">
        <f>IF(T$12=0,0,T65/T$12)</f>
        <v>6.7072689888005259</v>
      </c>
      <c r="W65" s="15"/>
      <c r="X65" s="22">
        <f>+P65-T65</f>
        <v>-123533.34</v>
      </c>
      <c r="Y65" s="15"/>
      <c r="Z65" s="20">
        <f>IF(T65=0,0,X65/T65)</f>
        <v>-1</v>
      </c>
    </row>
    <row r="66" spans="1:26" x14ac:dyDescent="0.25">
      <c r="A66" s="9"/>
      <c r="B66" s="11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4" customFormat="1" x14ac:dyDescent="0.25">
      <c r="A67" s="51"/>
      <c r="B67" s="11" t="s">
        <v>127</v>
      </c>
      <c r="C67" s="11"/>
      <c r="D67" s="4"/>
      <c r="E67" s="4"/>
      <c r="F67" s="13">
        <f>IF(D$12=0,0,D67/D$12)</f>
        <v>0</v>
      </c>
      <c r="G67" s="4"/>
      <c r="H67" s="4">
        <v>1203.02</v>
      </c>
      <c r="I67" s="4"/>
      <c r="J67" s="13">
        <f>IF(H$12=0,0,H67/H$12)</f>
        <v>0.11079572665315895</v>
      </c>
      <c r="K67" s="4"/>
      <c r="L67" s="4">
        <f>+D67-H67</f>
        <v>-1203.02</v>
      </c>
      <c r="M67" s="4"/>
      <c r="N67" s="13">
        <f>IF(H67=0,0,L67/H67)</f>
        <v>-1</v>
      </c>
      <c r="O67" s="11"/>
      <c r="P67" s="4"/>
      <c r="Q67" s="4"/>
      <c r="R67" s="13">
        <f>IF(P$12=0,0,P67/P$12)</f>
        <v>0</v>
      </c>
      <c r="S67" s="4"/>
      <c r="T67" s="4">
        <v>1973.52</v>
      </c>
      <c r="U67" s="4"/>
      <c r="V67" s="13">
        <f>IF(T$12=0,0,T67/T$12)</f>
        <v>0.10715268845461164</v>
      </c>
      <c r="W67" s="4"/>
      <c r="X67" s="4">
        <f>+P67-T67</f>
        <v>-1973.52</v>
      </c>
      <c r="Y67" s="4"/>
      <c r="Z67" s="13">
        <f>IF(T67=0,0,X67/T67)</f>
        <v>-1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ht="15.75" thickBot="1" x14ac:dyDescent="0.3">
      <c r="A69" s="11"/>
      <c r="B69" s="29" t="s">
        <v>125</v>
      </c>
      <c r="C69" s="29"/>
      <c r="D69" s="30">
        <f>+D65-D67</f>
        <v>0</v>
      </c>
      <c r="E69" s="14"/>
      <c r="F69" s="36">
        <f>IF(D$12=0,0,D69/D$12)</f>
        <v>0</v>
      </c>
      <c r="G69" s="14"/>
      <c r="H69" s="30">
        <f>+H65-H67</f>
        <v>1576.04</v>
      </c>
      <c r="I69" s="14"/>
      <c r="J69" s="36">
        <f>IF(H$12=0,0,H69/H$12)</f>
        <v>0.14515011972738995</v>
      </c>
      <c r="K69" s="15"/>
      <c r="L69" s="30">
        <f>D69-H69</f>
        <v>-1576.04</v>
      </c>
      <c r="M69" s="15"/>
      <c r="N69" s="36">
        <f>IF(H69=0,0,L69/H69)</f>
        <v>-1</v>
      </c>
      <c r="O69" s="28"/>
      <c r="P69" s="30">
        <f>+P65-P67</f>
        <v>0</v>
      </c>
      <c r="Q69" s="14"/>
      <c r="R69" s="36">
        <f>IF(P$12=0,0,P69/P$12)</f>
        <v>0</v>
      </c>
      <c r="S69" s="14"/>
      <c r="T69" s="30">
        <f>+T65-T67</f>
        <v>121559.81999999999</v>
      </c>
      <c r="U69" s="14"/>
      <c r="V69" s="36">
        <f>IF(T$12=0,0,T69/T$12)</f>
        <v>6.6001163003459133</v>
      </c>
      <c r="W69" s="15"/>
      <c r="X69" s="30">
        <f>P69-T69</f>
        <v>-121559.81999999999</v>
      </c>
      <c r="Y69" s="15"/>
      <c r="Z69" s="36">
        <f>IF(T69=0,0,X69/T69)</f>
        <v>-1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ht="15.75" thickBot="1" x14ac:dyDescent="0.3">
      <c r="A72" s="11"/>
      <c r="B72" s="29" t="s">
        <v>293</v>
      </c>
      <c r="C72" s="29"/>
      <c r="D72" s="35">
        <f>SUM(D69:D71)</f>
        <v>0</v>
      </c>
      <c r="E72" s="14"/>
      <c r="F72" s="34">
        <f>IF(D$12=0,0,D72/D$12)</f>
        <v>0</v>
      </c>
      <c r="G72" s="14"/>
      <c r="H72" s="35">
        <f>SUM(H69:H71)</f>
        <v>1576.04</v>
      </c>
      <c r="I72" s="14"/>
      <c r="J72" s="34">
        <f>IF(H$12=0,0,H72/H$12)</f>
        <v>0.14515011972738995</v>
      </c>
      <c r="K72" s="15"/>
      <c r="L72" s="35">
        <f>+D72-H72</f>
        <v>-1576.04</v>
      </c>
      <c r="M72" s="15"/>
      <c r="N72" s="34">
        <f>IF(H72=0,0,L72/H72)</f>
        <v>-1</v>
      </c>
      <c r="O72" s="28"/>
      <c r="P72" s="35">
        <f>SUM(P69:P71)</f>
        <v>0</v>
      </c>
      <c r="Q72" s="14"/>
      <c r="R72" s="34">
        <f>IF(P$12=0,0,P72/P$12)</f>
        <v>0</v>
      </c>
      <c r="S72" s="14"/>
      <c r="T72" s="35">
        <f>SUM(T69:T71)</f>
        <v>121559.81999999999</v>
      </c>
      <c r="U72" s="14"/>
      <c r="V72" s="34">
        <f>IF(T$12=0,0,T72/T$12)</f>
        <v>6.6001163003459133</v>
      </c>
      <c r="W72" s="15"/>
      <c r="X72" s="35">
        <f>+P72-T72</f>
        <v>-121559.81999999999</v>
      </c>
      <c r="Y72" s="15"/>
      <c r="Z72" s="34">
        <f>IF(T72=0,0,X72/T72)</f>
        <v>-1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4">
        <v>44295.963243634258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8" t="s">
        <v>56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62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218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429085.26</v>
      </c>
      <c r="E12" s="4"/>
      <c r="F12" s="13"/>
      <c r="G12" s="4"/>
      <c r="H12" s="4">
        <f>SUM(OSRRefH13x_0)</f>
        <v>114301.87000000001</v>
      </c>
      <c r="I12" s="4"/>
      <c r="J12" s="13"/>
      <c r="K12" s="4"/>
      <c r="L12" s="4">
        <f t="shared" ref="L12:L37" si="0">+D12-H12</f>
        <v>314783.39</v>
      </c>
      <c r="M12" s="4"/>
      <c r="N12" s="13">
        <f t="shared" ref="N12:N37" si="1">IF(H12=0,0,L12/H12)</f>
        <v>2.7539653550724936</v>
      </c>
      <c r="O12" s="11"/>
      <c r="P12" s="4">
        <f>SUM(OSRRefP13x_0)</f>
        <v>2019556.4600000002</v>
      </c>
      <c r="Q12" s="4"/>
      <c r="R12" s="13"/>
      <c r="S12" s="4"/>
      <c r="T12" s="4">
        <f>SUM(OSRRefT13x_0)</f>
        <v>2038334.4500000002</v>
      </c>
      <c r="U12" s="4"/>
      <c r="V12" s="13"/>
      <c r="W12" s="4"/>
      <c r="X12" s="4">
        <f t="shared" ref="X12:X37" si="2">+P12-T12</f>
        <v>-18777.989999999991</v>
      </c>
      <c r="Y12" s="4"/>
      <c r="Z12" s="13">
        <f t="shared" ref="Z12:Z37" si="3">IF(T12=0,0,X12/T12)</f>
        <v>-9.2124185017821731E-3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-36.19</f>
        <v>-36.19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-36.19</v>
      </c>
      <c r="M13" s="2"/>
      <c r="N13" s="19">
        <f t="shared" si="1"/>
        <v>0</v>
      </c>
      <c r="O13" s="10"/>
      <c r="P13" s="2">
        <f>-2733.15</f>
        <v>-2733.15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-2733.15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"4081", " - ", "TAXABLE SALES-ELECTRONICS")</f>
        <v xml:space="preserve">          4081 - TAXABLE SALES-ELECTRONICS</v>
      </c>
      <c r="C14" s="10"/>
      <c r="D14" s="2">
        <f>--1204.4</f>
        <v>1204.4000000000001</v>
      </c>
      <c r="E14" s="2"/>
      <c r="F14" s="19"/>
      <c r="G14" s="2"/>
      <c r="H14" s="2">
        <f>--14974.95</f>
        <v>14974.95</v>
      </c>
      <c r="I14" s="2"/>
      <c r="J14" s="19"/>
      <c r="K14" s="2"/>
      <c r="L14" s="2">
        <f t="shared" si="0"/>
        <v>-13770.550000000001</v>
      </c>
      <c r="M14" s="2"/>
      <c r="N14" s="19">
        <f t="shared" si="1"/>
        <v>-0.91957235249533387</v>
      </c>
      <c r="O14" s="10"/>
      <c r="P14" s="2">
        <f>--60467.25</f>
        <v>60467.25</v>
      </c>
      <c r="Q14" s="2"/>
      <c r="R14" s="19"/>
      <c r="S14" s="2"/>
      <c r="T14" s="2">
        <f>--311197.12</f>
        <v>311197.12</v>
      </c>
      <c r="U14" s="2"/>
      <c r="V14" s="19"/>
      <c r="W14" s="2"/>
      <c r="X14" s="2">
        <f t="shared" si="2"/>
        <v>-250729.87</v>
      </c>
      <c r="Y14" s="2"/>
      <c r="Z14" s="19">
        <f t="shared" si="3"/>
        <v>-0.80569469923114967</v>
      </c>
    </row>
    <row r="15" spans="1:26" s="23" customFormat="1" hidden="1" outlineLevel="1" x14ac:dyDescent="0.25">
      <c r="A15" s="44"/>
      <c r="B15" s="10" t="str">
        <f>CONCATENATE("          ", "4082", " - ", "TAXABLE SALES-COMPUTER HARDWAR")</f>
        <v xml:space="preserve">          4082 - TAXABLE SALES-COMPUTER HARDWAR</v>
      </c>
      <c r="C15" s="10"/>
      <c r="D15" s="2">
        <f>--407027.89</f>
        <v>407027.89</v>
      </c>
      <c r="E15" s="2"/>
      <c r="F15" s="19"/>
      <c r="G15" s="2"/>
      <c r="H15" s="2">
        <f>--77563.48</f>
        <v>77563.48</v>
      </c>
      <c r="I15" s="2"/>
      <c r="J15" s="19"/>
      <c r="K15" s="2"/>
      <c r="L15" s="2">
        <f t="shared" si="0"/>
        <v>329464.41000000003</v>
      </c>
      <c r="M15" s="2"/>
      <c r="N15" s="19">
        <f t="shared" si="1"/>
        <v>4.2476744210032873</v>
      </c>
      <c r="O15" s="10"/>
      <c r="P15" s="2">
        <f>--1657866.36</f>
        <v>1657866.36</v>
      </c>
      <c r="Q15" s="2"/>
      <c r="R15" s="19"/>
      <c r="S15" s="2"/>
      <c r="T15" s="2">
        <f>--1661109.03</f>
        <v>1661109.03</v>
      </c>
      <c r="U15" s="2"/>
      <c r="V15" s="19"/>
      <c r="W15" s="2"/>
      <c r="X15" s="2">
        <f t="shared" si="2"/>
        <v>-3242.6699999999255</v>
      </c>
      <c r="Y15" s="2"/>
      <c r="Z15" s="19">
        <f t="shared" si="3"/>
        <v>-1.952111475789115E-3</v>
      </c>
    </row>
    <row r="16" spans="1:26" s="23" customFormat="1" hidden="1" outlineLevel="1" x14ac:dyDescent="0.25">
      <c r="A16" s="44"/>
      <c r="B16" s="10" t="str">
        <f>CONCATENATE("          ", "4083", " - ", "TAXABLE SALES-COMPUTER EQUIPME")</f>
        <v xml:space="preserve">          4083 - TAXABLE SALES-COMPUTER EQUIPME</v>
      </c>
      <c r="C16" s="10"/>
      <c r="D16" s="2">
        <f>--22860.44</f>
        <v>22860.44</v>
      </c>
      <c r="E16" s="2"/>
      <c r="F16" s="19"/>
      <c r="G16" s="2"/>
      <c r="H16" s="2">
        <f>--4721.24</f>
        <v>4721.24</v>
      </c>
      <c r="I16" s="2"/>
      <c r="J16" s="19"/>
      <c r="K16" s="2"/>
      <c r="L16" s="2">
        <f t="shared" si="0"/>
        <v>18139.199999999997</v>
      </c>
      <c r="M16" s="2"/>
      <c r="N16" s="19">
        <f t="shared" si="1"/>
        <v>3.8420414975726711</v>
      </c>
      <c r="O16" s="10"/>
      <c r="P16" s="2">
        <f>--119659.27</f>
        <v>119659.27</v>
      </c>
      <c r="Q16" s="2"/>
      <c r="R16" s="19"/>
      <c r="S16" s="2"/>
      <c r="T16" s="2">
        <f>--99968.32</f>
        <v>99968.320000000007</v>
      </c>
      <c r="U16" s="2"/>
      <c r="V16" s="19"/>
      <c r="W16" s="2"/>
      <c r="X16" s="2">
        <f t="shared" si="2"/>
        <v>19690.949999999997</v>
      </c>
      <c r="Y16" s="2"/>
      <c r="Z16" s="19">
        <f t="shared" si="3"/>
        <v>0.19697190069814113</v>
      </c>
    </row>
    <row r="17" spans="1:26" s="23" customFormat="1" hidden="1" outlineLevel="1" x14ac:dyDescent="0.25">
      <c r="A17" s="44"/>
      <c r="B17" s="10" t="str">
        <f>CONCATENATE("          ", "4084", " - ", "TAXABLE SALES-SOFTWARE LICENSE")</f>
        <v xml:space="preserve">          4084 - TAXABLE SALES-SOFTWARE LICENSE</v>
      </c>
      <c r="C17" s="10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"4085", " - ", "TAXABLE SALES-SOFTWARE")</f>
        <v xml:space="preserve">          4085 - TAXABLE SALES-SOFTWARE</v>
      </c>
      <c r="C18" s="10"/>
      <c r="D18" s="2">
        <f>--219.98</f>
        <v>219.98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219.98</v>
      </c>
      <c r="M18" s="2"/>
      <c r="N18" s="19">
        <f t="shared" si="1"/>
        <v>0</v>
      </c>
      <c r="O18" s="10"/>
      <c r="P18" s="2">
        <f>--3098.91</f>
        <v>3098.91</v>
      </c>
      <c r="Q18" s="2"/>
      <c r="R18" s="19"/>
      <c r="S18" s="2"/>
      <c r="T18" s="2">
        <f>--4557.93</f>
        <v>4557.93</v>
      </c>
      <c r="U18" s="2"/>
      <c r="V18" s="19"/>
      <c r="W18" s="2"/>
      <c r="X18" s="2">
        <f t="shared" si="2"/>
        <v>-1459.0200000000004</v>
      </c>
      <c r="Y18" s="2"/>
      <c r="Z18" s="19">
        <f t="shared" si="3"/>
        <v>-0.3201058375183472</v>
      </c>
    </row>
    <row r="19" spans="1:26" s="23" customFormat="1" hidden="1" outlineLevel="1" x14ac:dyDescent="0.25">
      <c r="A19" s="44"/>
      <c r="B19" s="10" t="str">
        <f>CONCATENATE("          ", "4086", " - ", "TAXABLE SALES-COMPUTER SUPPLIE")</f>
        <v xml:space="preserve">          4086 - TAXABLE SALES-COMPUTER SUPPLIE</v>
      </c>
      <c r="C19" s="10"/>
      <c r="D19" s="2">
        <f>--503.73</f>
        <v>503.73</v>
      </c>
      <c r="E19" s="2"/>
      <c r="F19" s="19"/>
      <c r="G19" s="2"/>
      <c r="H19" s="2">
        <f>--2048.99</f>
        <v>2048.9899999999998</v>
      </c>
      <c r="I19" s="2"/>
      <c r="J19" s="19"/>
      <c r="K19" s="2"/>
      <c r="L19" s="2">
        <f t="shared" si="0"/>
        <v>-1545.2599999999998</v>
      </c>
      <c r="M19" s="2"/>
      <c r="N19" s="19">
        <f t="shared" si="1"/>
        <v>-0.75415692609529572</v>
      </c>
      <c r="O19" s="10"/>
      <c r="P19" s="2">
        <f>--59450.9</f>
        <v>59450.9</v>
      </c>
      <c r="Q19" s="2"/>
      <c r="R19" s="19"/>
      <c r="S19" s="2"/>
      <c r="T19" s="2">
        <f>--48266.32</f>
        <v>48266.32</v>
      </c>
      <c r="U19" s="2"/>
      <c r="V19" s="19"/>
      <c r="W19" s="2"/>
      <c r="X19" s="2">
        <f t="shared" si="2"/>
        <v>11184.580000000002</v>
      </c>
      <c r="Y19" s="2"/>
      <c r="Z19" s="19">
        <f t="shared" si="3"/>
        <v>0.23172638809008025</v>
      </c>
    </row>
    <row r="20" spans="1:26" s="23" customFormat="1" hidden="1" outlineLevel="1" x14ac:dyDescent="0.25">
      <c r="A20" s="44"/>
      <c r="B20" s="10" t="str">
        <f>CONCATENATE("          ", "4088", " - ", "TAXABLE SALES-MUSIC")</f>
        <v xml:space="preserve">          4088 - TAXABLE SALES-MUSIC</v>
      </c>
      <c r="C20" s="10"/>
      <c r="D20" s="2">
        <f>0</f>
        <v>0</v>
      </c>
      <c r="E20" s="2"/>
      <c r="F20" s="19"/>
      <c r="G20" s="2"/>
      <c r="H20" s="2">
        <f>--199.99</f>
        <v>199.99</v>
      </c>
      <c r="I20" s="2"/>
      <c r="J20" s="19"/>
      <c r="K20" s="2"/>
      <c r="L20" s="2">
        <f t="shared" si="0"/>
        <v>-199.99</v>
      </c>
      <c r="M20" s="2"/>
      <c r="N20" s="19">
        <f t="shared" si="1"/>
        <v>-1</v>
      </c>
      <c r="O20" s="10"/>
      <c r="P20" s="2">
        <f>0</f>
        <v>0</v>
      </c>
      <c r="Q20" s="2"/>
      <c r="R20" s="19"/>
      <c r="S20" s="2"/>
      <c r="T20" s="2">
        <f>--1294.83</f>
        <v>1294.83</v>
      </c>
      <c r="U20" s="2"/>
      <c r="V20" s="19"/>
      <c r="W20" s="2"/>
      <c r="X20" s="2">
        <f t="shared" si="2"/>
        <v>-1294.83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"4181", " - ", "NON-TAXABLE SALES-ELECTRONICS")</f>
        <v xml:space="preserve">          4181 - NON-TAXABLE SALES-ELECTRONICS</v>
      </c>
      <c r="C21" s="10"/>
      <c r="D21" s="2">
        <f>--285.97</f>
        <v>285.97000000000003</v>
      </c>
      <c r="E21" s="2"/>
      <c r="F21" s="19"/>
      <c r="G21" s="2"/>
      <c r="H21" s="2">
        <f>--13.99</f>
        <v>13.99</v>
      </c>
      <c r="I21" s="2"/>
      <c r="J21" s="19"/>
      <c r="K21" s="2"/>
      <c r="L21" s="2">
        <f t="shared" si="0"/>
        <v>271.98</v>
      </c>
      <c r="M21" s="2"/>
      <c r="N21" s="19">
        <f t="shared" si="1"/>
        <v>19.441029306647607</v>
      </c>
      <c r="O21" s="10"/>
      <c r="P21" s="2">
        <f>--12478.63</f>
        <v>12478.63</v>
      </c>
      <c r="Q21" s="2"/>
      <c r="R21" s="19"/>
      <c r="S21" s="2"/>
      <c r="T21" s="2">
        <f>--2078.37</f>
        <v>2078.37</v>
      </c>
      <c r="U21" s="2"/>
      <c r="V21" s="19"/>
      <c r="W21" s="2"/>
      <c r="X21" s="2">
        <f t="shared" si="2"/>
        <v>10400.259999999998</v>
      </c>
      <c r="Y21" s="2"/>
      <c r="Z21" s="19">
        <f t="shared" si="3"/>
        <v>5.0040464402392253</v>
      </c>
    </row>
    <row r="22" spans="1:26" s="23" customFormat="1" hidden="1" outlineLevel="1" x14ac:dyDescent="0.25">
      <c r="A22" s="44"/>
      <c r="B22" s="10" t="str">
        <f>CONCATENATE("          ", "4182", " - ", "NON-TAXABLE SALES-COMPUTER HAR")</f>
        <v xml:space="preserve">          4182 - NON-TAXABLE SALES-COMPUTER HAR</v>
      </c>
      <c r="C22" s="10"/>
      <c r="D22" s="2">
        <f>--33767.84</f>
        <v>33767.839999999997</v>
      </c>
      <c r="E22" s="2"/>
      <c r="F22" s="19"/>
      <c r="G22" s="2"/>
      <c r="H22" s="2">
        <f>--20132</f>
        <v>20132</v>
      </c>
      <c r="I22" s="2"/>
      <c r="J22" s="19"/>
      <c r="K22" s="2"/>
      <c r="L22" s="2">
        <f t="shared" si="0"/>
        <v>13635.839999999997</v>
      </c>
      <c r="M22" s="2"/>
      <c r="N22" s="19">
        <f t="shared" si="1"/>
        <v>0.67732167693224699</v>
      </c>
      <c r="O22" s="10"/>
      <c r="P22" s="2">
        <f>--253414.83</f>
        <v>253414.83</v>
      </c>
      <c r="Q22" s="2"/>
      <c r="R22" s="19"/>
      <c r="S22" s="2"/>
      <c r="T22" s="2">
        <f>--118010.96</f>
        <v>118010.96</v>
      </c>
      <c r="U22" s="2"/>
      <c r="V22" s="19"/>
      <c r="W22" s="2"/>
      <c r="X22" s="2">
        <f t="shared" si="2"/>
        <v>135403.87</v>
      </c>
      <c r="Y22" s="2"/>
      <c r="Z22" s="19">
        <f t="shared" si="3"/>
        <v>1.1473838531607572</v>
      </c>
    </row>
    <row r="23" spans="1:26" s="23" customFormat="1" hidden="1" outlineLevel="1" x14ac:dyDescent="0.25">
      <c r="A23" s="44"/>
      <c r="B23" s="10" t="str">
        <f>CONCATENATE("          ", "4183", " - ", "NON-TAXABLE SALES-COMPUTER EQU")</f>
        <v xml:space="preserve">          4183 - NON-TAXABLE SALES-COMPUTER EQU</v>
      </c>
      <c r="C23" s="10"/>
      <c r="D23" s="2">
        <f>--2983.61</f>
        <v>2983.61</v>
      </c>
      <c r="E23" s="2"/>
      <c r="F23" s="19"/>
      <c r="G23" s="2"/>
      <c r="H23" s="2">
        <f>--705.91</f>
        <v>705.91</v>
      </c>
      <c r="I23" s="2"/>
      <c r="J23" s="19"/>
      <c r="K23" s="2"/>
      <c r="L23" s="2">
        <f t="shared" si="0"/>
        <v>2277.7000000000003</v>
      </c>
      <c r="M23" s="2"/>
      <c r="N23" s="19">
        <f t="shared" si="1"/>
        <v>3.226615290901107</v>
      </c>
      <c r="O23" s="10"/>
      <c r="P23" s="2">
        <f>--16606.43</f>
        <v>16606.43</v>
      </c>
      <c r="Q23" s="2"/>
      <c r="R23" s="19"/>
      <c r="S23" s="2"/>
      <c r="T23" s="2">
        <f>--6762.22</f>
        <v>6762.22</v>
      </c>
      <c r="U23" s="2"/>
      <c r="V23" s="19"/>
      <c r="W23" s="2"/>
      <c r="X23" s="2">
        <f t="shared" si="2"/>
        <v>9844.2099999999991</v>
      </c>
      <c r="Y23" s="2"/>
      <c r="Z23" s="19">
        <f t="shared" si="3"/>
        <v>1.4557660058383193</v>
      </c>
    </row>
    <row r="24" spans="1:26" s="23" customFormat="1" hidden="1" outlineLevel="1" x14ac:dyDescent="0.25">
      <c r="A24" s="44"/>
      <c r="B24" s="10" t="str">
        <f>CONCATENATE("          ", "4184", " - ", "NON-TAXABLE SALES-SOFTWARE LIC")</f>
        <v xml:space="preserve">          4184 - NON-TAXABLE SALES-SOFTWARE LIC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"4185", " - ", "NON-TAXABLE SALES-SOFTWARE")</f>
        <v xml:space="preserve">          4185 - NON-TAXABLE SALES-SOFTWARE</v>
      </c>
      <c r="C25" s="10"/>
      <c r="D25" s="2">
        <f>--3559.59</f>
        <v>3559.59</v>
      </c>
      <c r="E25" s="2"/>
      <c r="F25" s="19"/>
      <c r="G25" s="2"/>
      <c r="H25" s="2">
        <f>--976.95</f>
        <v>976.95</v>
      </c>
      <c r="I25" s="2"/>
      <c r="J25" s="19"/>
      <c r="K25" s="2"/>
      <c r="L25" s="2">
        <f t="shared" si="0"/>
        <v>2582.6400000000003</v>
      </c>
      <c r="M25" s="2"/>
      <c r="N25" s="19">
        <f t="shared" si="1"/>
        <v>2.6435743896821742</v>
      </c>
      <c r="O25" s="10"/>
      <c r="P25" s="2">
        <f>--38686.78</f>
        <v>38686.78</v>
      </c>
      <c r="Q25" s="2"/>
      <c r="R25" s="19"/>
      <c r="S25" s="2"/>
      <c r="T25" s="2">
        <f>--13122.74</f>
        <v>13122.74</v>
      </c>
      <c r="U25" s="2"/>
      <c r="V25" s="19"/>
      <c r="W25" s="2"/>
      <c r="X25" s="2">
        <f t="shared" si="2"/>
        <v>25564.04</v>
      </c>
      <c r="Y25" s="2"/>
      <c r="Z25" s="19">
        <f t="shared" si="3"/>
        <v>1.9480718203667833</v>
      </c>
    </row>
    <row r="26" spans="1:26" s="23" customFormat="1" hidden="1" outlineLevel="1" x14ac:dyDescent="0.25">
      <c r="A26" s="44"/>
      <c r="B26" s="10" t="str">
        <f>CONCATENATE("          ", "4186", " - ", "NON-TAXABLE SALES-COMPUTER SUP")</f>
        <v xml:space="preserve">          4186 - NON-TAXABLE SALES-COMPUTER SUP</v>
      </c>
      <c r="C26" s="10"/>
      <c r="D26" s="2">
        <f>--424.94</f>
        <v>424.94</v>
      </c>
      <c r="E26" s="2"/>
      <c r="F26" s="19"/>
      <c r="G26" s="2"/>
      <c r="H26" s="2">
        <f>--149.98</f>
        <v>149.97999999999999</v>
      </c>
      <c r="I26" s="2"/>
      <c r="J26" s="19"/>
      <c r="K26" s="2"/>
      <c r="L26" s="2">
        <f t="shared" si="0"/>
        <v>274.96000000000004</v>
      </c>
      <c r="M26" s="2"/>
      <c r="N26" s="19">
        <f t="shared" si="1"/>
        <v>1.8333111081477533</v>
      </c>
      <c r="O26" s="10"/>
      <c r="P26" s="2">
        <f>--3255.2</f>
        <v>3255.2</v>
      </c>
      <c r="Q26" s="2"/>
      <c r="R26" s="19"/>
      <c r="S26" s="2"/>
      <c r="T26" s="2">
        <f>--2650.16</f>
        <v>2650.16</v>
      </c>
      <c r="U26" s="2"/>
      <c r="V26" s="19"/>
      <c r="W26" s="2"/>
      <c r="X26" s="2">
        <f t="shared" si="2"/>
        <v>605.04</v>
      </c>
      <c r="Y26" s="2"/>
      <c r="Z26" s="19">
        <f t="shared" si="3"/>
        <v>0.22830319678811845</v>
      </c>
    </row>
    <row r="27" spans="1:26" s="23" customFormat="1" hidden="1" outlineLevel="1" x14ac:dyDescent="0.25">
      <c r="A27" s="44"/>
      <c r="B27" s="10" t="str">
        <f>CONCATENATE("          ", "4188", " - ", "NON-TAXABLE SALES-MUSIC")</f>
        <v xml:space="preserve">          4188 - NON-TAXABLE SALES-MUSIC</v>
      </c>
      <c r="C27" s="10"/>
      <c r="D27" s="2">
        <f t="shared" ref="D27:D28" si="5"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"4281", " - ", "SALES RETURN TAXABLE-ELECTRONI")</f>
        <v xml:space="preserve">          4281 - SALES RETURN TAXABLE-ELECTRONI</v>
      </c>
      <c r="C28" s="10"/>
      <c r="D28" s="2">
        <f t="shared" si="5"/>
        <v>0</v>
      </c>
      <c r="E28" s="2"/>
      <c r="F28" s="19"/>
      <c r="G28" s="2"/>
      <c r="H28" s="2">
        <f>-213.97</f>
        <v>-213.97</v>
      </c>
      <c r="I28" s="2"/>
      <c r="J28" s="19"/>
      <c r="K28" s="2"/>
      <c r="L28" s="2">
        <f t="shared" si="0"/>
        <v>213.97</v>
      </c>
      <c r="M28" s="2"/>
      <c r="N28" s="19">
        <f t="shared" si="1"/>
        <v>-1</v>
      </c>
      <c r="O28" s="10"/>
      <c r="P28" s="2">
        <f>-14762.14</f>
        <v>-14762.14</v>
      </c>
      <c r="Q28" s="2"/>
      <c r="R28" s="19"/>
      <c r="S28" s="2"/>
      <c r="T28" s="2">
        <f>-7781.7</f>
        <v>-7781.7</v>
      </c>
      <c r="U28" s="2"/>
      <c r="V28" s="19"/>
      <c r="W28" s="2"/>
      <c r="X28" s="2">
        <f t="shared" si="2"/>
        <v>-6980.44</v>
      </c>
      <c r="Y28" s="2"/>
      <c r="Z28" s="19">
        <f t="shared" si="3"/>
        <v>0.8970327820399141</v>
      </c>
    </row>
    <row r="29" spans="1:26" s="23" customFormat="1" hidden="1" outlineLevel="1" x14ac:dyDescent="0.25">
      <c r="A29" s="44"/>
      <c r="B29" s="10" t="str">
        <f>CONCATENATE("          ", "4282", " - ", "SALES RETURN TAXABLE-COMPUTER")</f>
        <v xml:space="preserve">          4282 - SALES RETURN TAXABLE-COMPUTER</v>
      </c>
      <c r="C29" s="10"/>
      <c r="D29" s="2">
        <f>-43137</f>
        <v>-43137</v>
      </c>
      <c r="E29" s="2"/>
      <c r="F29" s="19"/>
      <c r="G29" s="2"/>
      <c r="H29" s="2">
        <f>-6266.02</f>
        <v>-6266.02</v>
      </c>
      <c r="I29" s="2"/>
      <c r="J29" s="19"/>
      <c r="K29" s="2"/>
      <c r="L29" s="2">
        <f t="shared" si="0"/>
        <v>-36870.979999999996</v>
      </c>
      <c r="M29" s="2"/>
      <c r="N29" s="19">
        <f t="shared" si="1"/>
        <v>5.8842742282980254</v>
      </c>
      <c r="O29" s="10"/>
      <c r="P29" s="2">
        <f>-172765.16</f>
        <v>-172765.16</v>
      </c>
      <c r="Q29" s="2"/>
      <c r="R29" s="19"/>
      <c r="S29" s="2"/>
      <c r="T29" s="2">
        <f>-213491.15</f>
        <v>-213491.15</v>
      </c>
      <c r="U29" s="2"/>
      <c r="V29" s="19"/>
      <c r="W29" s="2"/>
      <c r="X29" s="2">
        <f t="shared" si="2"/>
        <v>40725.989999999991</v>
      </c>
      <c r="Y29" s="2"/>
      <c r="Z29" s="19">
        <f t="shared" si="3"/>
        <v>-0.19076195898518505</v>
      </c>
    </row>
    <row r="30" spans="1:26" s="23" customFormat="1" hidden="1" outlineLevel="1" x14ac:dyDescent="0.25">
      <c r="A30" s="44"/>
      <c r="B30" s="10" t="str">
        <f>CONCATENATE("          ", "4283", " - ", "SALES RETURN TAXABLE-COMPUTER")</f>
        <v xml:space="preserve">          4283 - SALES RETURN TAXABLE-COMPUTER</v>
      </c>
      <c r="C30" s="10"/>
      <c r="D30" s="2">
        <f>-389.97</f>
        <v>-389.97</v>
      </c>
      <c r="E30" s="2"/>
      <c r="F30" s="19"/>
      <c r="G30" s="2"/>
      <c r="H30" s="2">
        <f>-627.65</f>
        <v>-627.65</v>
      </c>
      <c r="I30" s="2"/>
      <c r="J30" s="19"/>
      <c r="K30" s="2"/>
      <c r="L30" s="2">
        <f t="shared" si="0"/>
        <v>237.67999999999995</v>
      </c>
      <c r="M30" s="2"/>
      <c r="N30" s="19">
        <f t="shared" si="1"/>
        <v>-0.37868238668047471</v>
      </c>
      <c r="O30" s="10"/>
      <c r="P30" s="2">
        <f>-3749.25</f>
        <v>-3749.25</v>
      </c>
      <c r="Q30" s="2"/>
      <c r="R30" s="19"/>
      <c r="S30" s="2"/>
      <c r="T30" s="2">
        <f>-6453.06</f>
        <v>-6453.06</v>
      </c>
      <c r="U30" s="2"/>
      <c r="V30" s="19"/>
      <c r="W30" s="2"/>
      <c r="X30" s="2">
        <f t="shared" si="2"/>
        <v>2703.8100000000004</v>
      </c>
      <c r="Y30" s="2"/>
      <c r="Z30" s="19">
        <f t="shared" si="3"/>
        <v>-0.41899656906955773</v>
      </c>
    </row>
    <row r="31" spans="1:26" s="23" customFormat="1" hidden="1" outlineLevel="1" x14ac:dyDescent="0.25">
      <c r="A31" s="44"/>
      <c r="B31" s="10" t="str">
        <f>CONCATENATE("          ", "4284", " - ", "SALES RETURN TAXABLE-SOFTWARE")</f>
        <v xml:space="preserve">          4284 - SALES RETURN TAXABLE-SOFTWARE</v>
      </c>
      <c r="C31" s="10"/>
      <c r="D31" s="2">
        <f>0</f>
        <v>0</v>
      </c>
      <c r="E31" s="2"/>
      <c r="F31" s="19"/>
      <c r="G31" s="2"/>
      <c r="H31" s="2">
        <f t="shared" ref="H31:H32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"4285", " - ", "SALES RETURN TAXABLE-SOFTWARE")</f>
        <v xml:space="preserve">          4285 - SALES RETURN TAXABLE-SOFTWARE</v>
      </c>
      <c r="C32" s="10"/>
      <c r="D32" s="2">
        <f>-149.99</f>
        <v>-149.99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-149.99</v>
      </c>
      <c r="M32" s="2"/>
      <c r="N32" s="19">
        <f t="shared" si="1"/>
        <v>0</v>
      </c>
      <c r="O32" s="10"/>
      <c r="P32" s="2">
        <f>-991.96</f>
        <v>-991.96</v>
      </c>
      <c r="Q32" s="2"/>
      <c r="R32" s="19"/>
      <c r="S32" s="2"/>
      <c r="T32" s="2">
        <f>-805.97</f>
        <v>-805.97</v>
      </c>
      <c r="U32" s="2"/>
      <c r="V32" s="19"/>
      <c r="W32" s="2"/>
      <c r="X32" s="2">
        <f t="shared" si="2"/>
        <v>-185.99</v>
      </c>
      <c r="Y32" s="2"/>
      <c r="Z32" s="19">
        <f t="shared" si="3"/>
        <v>0.23076541310470614</v>
      </c>
    </row>
    <row r="33" spans="1:26" s="23" customFormat="1" hidden="1" outlineLevel="1" x14ac:dyDescent="0.25">
      <c r="A33" s="44"/>
      <c r="B33" s="10" t="str">
        <f>CONCATENATE("          ", "4286", " - ", "SALES RETURN TAXABLE-COMPUTER")</f>
        <v xml:space="preserve">          4286 - SALES RETURN TAXABLE-COMPUTER</v>
      </c>
      <c r="C33" s="10"/>
      <c r="D33" s="2">
        <f>-39.98</f>
        <v>-39.979999999999997</v>
      </c>
      <c r="E33" s="2"/>
      <c r="F33" s="19"/>
      <c r="G33" s="2"/>
      <c r="H33" s="2">
        <f>-77.97</f>
        <v>-77.97</v>
      </c>
      <c r="I33" s="2"/>
      <c r="J33" s="19"/>
      <c r="K33" s="2"/>
      <c r="L33" s="2">
        <f t="shared" si="0"/>
        <v>37.99</v>
      </c>
      <c r="M33" s="2"/>
      <c r="N33" s="19">
        <f t="shared" si="1"/>
        <v>-0.4872386815441837</v>
      </c>
      <c r="O33" s="10"/>
      <c r="P33" s="2">
        <f>-4802.29</f>
        <v>-4802.29</v>
      </c>
      <c r="Q33" s="2"/>
      <c r="R33" s="19"/>
      <c r="S33" s="2"/>
      <c r="T33" s="2">
        <f>-3660.86</f>
        <v>-3660.86</v>
      </c>
      <c r="U33" s="2"/>
      <c r="V33" s="19"/>
      <c r="W33" s="2"/>
      <c r="X33" s="2">
        <f t="shared" si="2"/>
        <v>-1141.4299999999998</v>
      </c>
      <c r="Y33" s="2"/>
      <c r="Z33" s="19">
        <f t="shared" si="3"/>
        <v>0.31179285741601692</v>
      </c>
    </row>
    <row r="34" spans="1:26" s="23" customFormat="1" hidden="1" outlineLevel="1" x14ac:dyDescent="0.25">
      <c r="A34" s="44"/>
      <c r="B34" s="10" t="str">
        <f>CONCATENATE("          ", "4288", " - ", "TAXABLE SALES RETURN-MUSIC")</f>
        <v xml:space="preserve">          4288 - TAXABLE SALES RETURN-MUSIC</v>
      </c>
      <c r="C34" s="10"/>
      <c r="D34" s="2">
        <f t="shared" ref="D34:D37" si="7">0</f>
        <v>0</v>
      </c>
      <c r="E34" s="2"/>
      <c r="F34" s="19"/>
      <c r="G34" s="2"/>
      <c r="H34" s="2">
        <f t="shared" ref="H34:H37" si="8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"4381", " - ", "SALES RETURN NON TAXABLE-ELECT")</f>
        <v xml:space="preserve">          4381 - SALES RETURN NON TAXABLE-ELECT</v>
      </c>
      <c r="C35" s="10"/>
      <c r="D35" s="2">
        <f t="shared" si="7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3" customFormat="1" hidden="1" outlineLevel="1" x14ac:dyDescent="0.25">
      <c r="A36" s="44"/>
      <c r="B36" s="10" t="str">
        <f>CONCATENATE("          ", "4383", " - ", "SALES RETURN NON TAXABLE-COMPU")</f>
        <v xml:space="preserve">          4383 - SALES RETURN NON TAXABLE-COMPU</v>
      </c>
      <c r="C36" s="10"/>
      <c r="D36" s="2">
        <f t="shared" si="7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 t="shared" ref="P36:P37" si="9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"4386", " - ", "SALES RETURN NON TAXABLE-COMPU")</f>
        <v xml:space="preserve">          4386 - SALES RETURN NON TAXABLE-COMPU</v>
      </c>
      <c r="C37" s="10"/>
      <c r="D37" s="2">
        <f t="shared" si="7"/>
        <v>0</v>
      </c>
      <c r="E37" s="2"/>
      <c r="F37" s="19"/>
      <c r="G37" s="2"/>
      <c r="H37" s="2">
        <f t="shared" si="8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 t="shared" si="9"/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1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4" customFormat="1" collapsed="1" x14ac:dyDescent="0.25">
      <c r="A39" s="11"/>
      <c r="B39" s="28" t="s">
        <v>256</v>
      </c>
      <c r="C39" s="11"/>
      <c r="D39" s="4">
        <f>SUM(OSRRefD16x_0)</f>
        <v>356026</v>
      </c>
      <c r="E39" s="4"/>
      <c r="F39" s="13">
        <f t="shared" ref="F39:F55" si="10">IF(D$12=0,0,D39/D$12)</f>
        <v>0.82973253380924805</v>
      </c>
      <c r="G39" s="4"/>
      <c r="H39" s="4">
        <f>SUM(OSRRefH16x_0)</f>
        <v>104219.01000000001</v>
      </c>
      <c r="I39" s="4"/>
      <c r="J39" s="13">
        <f t="shared" ref="J39:J55" si="11">IF(H$12=0,0,H39/H$12)</f>
        <v>0.91178744494731367</v>
      </c>
      <c r="K39" s="4"/>
      <c r="L39" s="4">
        <f t="shared" ref="L39:L55" si="12">+D39-H39</f>
        <v>251806.99</v>
      </c>
      <c r="M39" s="4"/>
      <c r="N39" s="13">
        <f t="shared" ref="N39:N55" si="13">IF(H39=0,0,L39/H39)</f>
        <v>2.4161330068286002</v>
      </c>
      <c r="O39" s="11"/>
      <c r="P39" s="4">
        <f>SUM(OSRRefP16x_0)</f>
        <v>1864521.84</v>
      </c>
      <c r="Q39" s="4"/>
      <c r="R39" s="13">
        <f t="shared" ref="R39:R55" si="14">IF(P$12=0,0,P39/P$12)</f>
        <v>0.92323333213472025</v>
      </c>
      <c r="S39" s="4"/>
      <c r="T39" s="4">
        <f>SUM(OSRRefT16x_0)</f>
        <v>1776440.5399999998</v>
      </c>
      <c r="U39" s="4"/>
      <c r="V39" s="13">
        <f t="shared" ref="V39:V55" si="15">IF(T$12=0,0,T39/T$12)</f>
        <v>0.8715157318760911</v>
      </c>
      <c r="W39" s="4"/>
      <c r="X39" s="4">
        <f t="shared" ref="X39:X55" si="16">+P39-T39</f>
        <v>88081.300000000279</v>
      </c>
      <c r="Y39" s="4"/>
      <c r="Z39" s="13">
        <f t="shared" ref="Z39:Z55" si="17">IF(T39=0,0,X39/T39)</f>
        <v>4.9583027417287096E-2</v>
      </c>
    </row>
    <row r="40" spans="1:26" s="23" customFormat="1" hidden="1" outlineLevel="1" x14ac:dyDescent="0.25">
      <c r="A40" s="44"/>
      <c r="B40" s="10" t="str">
        <f>CONCATENATE("          ", "5000", " - ", "PURCHASES @ COST")</f>
        <v xml:space="preserve">          5000 - PURCHASES @ COST</v>
      </c>
      <c r="C40" s="10"/>
      <c r="D40" s="2"/>
      <c r="E40" s="2"/>
      <c r="F40" s="19">
        <f t="shared" si="10"/>
        <v>0</v>
      </c>
      <c r="G40" s="2"/>
      <c r="H40" s="2"/>
      <c r="I40" s="2"/>
      <c r="J40" s="19">
        <f t="shared" si="11"/>
        <v>0</v>
      </c>
      <c r="K40" s="2"/>
      <c r="L40" s="2">
        <f t="shared" si="12"/>
        <v>0</v>
      </c>
      <c r="M40" s="2"/>
      <c r="N40" s="19">
        <f t="shared" si="13"/>
        <v>0</v>
      </c>
      <c r="O40" s="10"/>
      <c r="P40" s="2">
        <v>0</v>
      </c>
      <c r="Q40" s="2"/>
      <c r="R40" s="19">
        <f t="shared" si="14"/>
        <v>0</v>
      </c>
      <c r="S40" s="2"/>
      <c r="T40" s="2"/>
      <c r="U40" s="2"/>
      <c r="V40" s="19">
        <f t="shared" si="15"/>
        <v>0</v>
      </c>
      <c r="W40" s="2"/>
      <c r="X40" s="2">
        <f t="shared" si="16"/>
        <v>0</v>
      </c>
      <c r="Y40" s="2"/>
      <c r="Z40" s="19">
        <f t="shared" si="17"/>
        <v>0</v>
      </c>
    </row>
    <row r="41" spans="1:26" s="23" customFormat="1" hidden="1" outlineLevel="1" x14ac:dyDescent="0.25">
      <c r="A41" s="44"/>
      <c r="B41" s="10" t="str">
        <f>CONCATENATE("          ", "5081", " - ", "PURCHASES @ COST-ELECTRONICS")</f>
        <v xml:space="preserve">          5081 - PURCHASES @ COST-ELECTRONICS</v>
      </c>
      <c r="C41" s="10"/>
      <c r="D41" s="2">
        <v>309.97000000000003</v>
      </c>
      <c r="E41" s="2"/>
      <c r="F41" s="19">
        <f t="shared" si="10"/>
        <v>7.2239722240750013E-4</v>
      </c>
      <c r="G41" s="2"/>
      <c r="H41" s="2">
        <v>35894.339999999997</v>
      </c>
      <c r="I41" s="2"/>
      <c r="J41" s="19">
        <f t="shared" si="11"/>
        <v>0.31403108278106029</v>
      </c>
      <c r="K41" s="2"/>
      <c r="L41" s="2">
        <f t="shared" si="12"/>
        <v>-35584.369999999995</v>
      </c>
      <c r="M41" s="2"/>
      <c r="N41" s="19">
        <f t="shared" si="13"/>
        <v>-0.99136437666774202</v>
      </c>
      <c r="O41" s="10"/>
      <c r="P41" s="2">
        <v>32467.87</v>
      </c>
      <c r="Q41" s="2"/>
      <c r="R41" s="19">
        <f t="shared" si="14"/>
        <v>1.6076733007008872E-2</v>
      </c>
      <c r="S41" s="2"/>
      <c r="T41" s="2">
        <v>263024.61</v>
      </c>
      <c r="U41" s="2"/>
      <c r="V41" s="19">
        <f t="shared" si="15"/>
        <v>0.12903898572680256</v>
      </c>
      <c r="W41" s="2"/>
      <c r="X41" s="2">
        <f t="shared" si="16"/>
        <v>-230556.74</v>
      </c>
      <c r="Y41" s="2"/>
      <c r="Z41" s="19">
        <f t="shared" si="17"/>
        <v>-0.87655957364597936</v>
      </c>
    </row>
    <row r="42" spans="1:26" s="23" customFormat="1" hidden="1" outlineLevel="1" x14ac:dyDescent="0.25">
      <c r="A42" s="44"/>
      <c r="B42" s="10" t="str">
        <f>CONCATENATE("          ", "5082", " - ", "PURCHASES @ COST-COMPUTER HARD")</f>
        <v xml:space="preserve">          5082 - PURCHASES @ COST-COMPUTER HARD</v>
      </c>
      <c r="C42" s="10"/>
      <c r="D42" s="2">
        <v>132715.92000000001</v>
      </c>
      <c r="E42" s="2"/>
      <c r="F42" s="19">
        <f t="shared" si="10"/>
        <v>0.30929964827969159</v>
      </c>
      <c r="G42" s="2"/>
      <c r="H42" s="2">
        <v>169875.81</v>
      </c>
      <c r="I42" s="2"/>
      <c r="J42" s="19">
        <f t="shared" si="11"/>
        <v>1.4862032440939066</v>
      </c>
      <c r="K42" s="2"/>
      <c r="L42" s="2">
        <f t="shared" si="12"/>
        <v>-37159.889999999985</v>
      </c>
      <c r="M42" s="2"/>
      <c r="N42" s="19">
        <f t="shared" si="13"/>
        <v>-0.21874738963717075</v>
      </c>
      <c r="O42" s="10"/>
      <c r="P42" s="2">
        <v>1396293.76</v>
      </c>
      <c r="Q42" s="2"/>
      <c r="R42" s="19">
        <f t="shared" si="14"/>
        <v>0.69138634529682819</v>
      </c>
      <c r="S42" s="2"/>
      <c r="T42" s="2">
        <v>1380824.79</v>
      </c>
      <c r="U42" s="2"/>
      <c r="V42" s="19">
        <f t="shared" si="15"/>
        <v>0.67742798047690356</v>
      </c>
      <c r="W42" s="2"/>
      <c r="X42" s="2">
        <f t="shared" si="16"/>
        <v>15468.969999999972</v>
      </c>
      <c r="Y42" s="2"/>
      <c r="Z42" s="19">
        <f t="shared" si="17"/>
        <v>1.1202702987393478E-2</v>
      </c>
    </row>
    <row r="43" spans="1:26" s="23" customFormat="1" hidden="1" outlineLevel="1" x14ac:dyDescent="0.25">
      <c r="A43" s="44"/>
      <c r="B43" s="10" t="str">
        <f>CONCATENATE("          ", "5083", " - ", "PURCHASES @ COST-COMPUTER EQUI")</f>
        <v xml:space="preserve">          5083 - PURCHASES @ COST-COMPUTER EQUI</v>
      </c>
      <c r="C43" s="10"/>
      <c r="D43" s="2">
        <v>6015.06</v>
      </c>
      <c r="E43" s="2"/>
      <c r="F43" s="19">
        <f t="shared" si="10"/>
        <v>1.4018332860000831E-2</v>
      </c>
      <c r="G43" s="2"/>
      <c r="H43" s="2">
        <v>6360.99</v>
      </c>
      <c r="I43" s="2"/>
      <c r="J43" s="19">
        <f t="shared" si="11"/>
        <v>5.565079556441202E-2</v>
      </c>
      <c r="K43" s="2"/>
      <c r="L43" s="2">
        <f t="shared" si="12"/>
        <v>-345.92999999999938</v>
      </c>
      <c r="M43" s="2"/>
      <c r="N43" s="19">
        <f t="shared" si="13"/>
        <v>-5.4383044148788064E-2</v>
      </c>
      <c r="O43" s="10"/>
      <c r="P43" s="2">
        <v>105203.33</v>
      </c>
      <c r="Q43" s="2"/>
      <c r="R43" s="19">
        <f t="shared" si="14"/>
        <v>5.2092294562539734E-2</v>
      </c>
      <c r="S43" s="2"/>
      <c r="T43" s="2">
        <v>77477.73</v>
      </c>
      <c r="U43" s="2"/>
      <c r="V43" s="19">
        <f t="shared" si="15"/>
        <v>3.8010312782575988E-2</v>
      </c>
      <c r="W43" s="2"/>
      <c r="X43" s="2">
        <f t="shared" si="16"/>
        <v>27725.600000000006</v>
      </c>
      <c r="Y43" s="2"/>
      <c r="Z43" s="19">
        <f t="shared" si="17"/>
        <v>0.35785250806909297</v>
      </c>
    </row>
    <row r="44" spans="1:26" s="23" customFormat="1" hidden="1" outlineLevel="1" x14ac:dyDescent="0.25">
      <c r="A44" s="44"/>
      <c r="B44" s="10" t="str">
        <f>CONCATENATE("          ", "5084", " - ", "PURCHASES @ COST-SOFTWARE LICE")</f>
        <v xml:space="preserve">          5084 - PURCHASES @ COST-SOFTWARE LICE</v>
      </c>
      <c r="C44" s="10"/>
      <c r="D44" s="2"/>
      <c r="E44" s="2"/>
      <c r="F44" s="19">
        <f t="shared" si="10"/>
        <v>0</v>
      </c>
      <c r="G44" s="2"/>
      <c r="H44" s="2"/>
      <c r="I44" s="2"/>
      <c r="J44" s="19">
        <f t="shared" si="11"/>
        <v>0</v>
      </c>
      <c r="K44" s="2"/>
      <c r="L44" s="2">
        <f t="shared" si="12"/>
        <v>0</v>
      </c>
      <c r="M44" s="2"/>
      <c r="N44" s="19">
        <f t="shared" si="13"/>
        <v>0</v>
      </c>
      <c r="O44" s="10"/>
      <c r="P44" s="2"/>
      <c r="Q44" s="2"/>
      <c r="R44" s="19">
        <f t="shared" si="14"/>
        <v>0</v>
      </c>
      <c r="S44" s="2"/>
      <c r="T44" s="2">
        <v>2728</v>
      </c>
      <c r="U44" s="2"/>
      <c r="V44" s="19">
        <f t="shared" si="15"/>
        <v>1.3383475906027099E-3</v>
      </c>
      <c r="W44" s="2"/>
      <c r="X44" s="2">
        <f t="shared" si="16"/>
        <v>-2728</v>
      </c>
      <c r="Y44" s="2"/>
      <c r="Z44" s="19">
        <f t="shared" si="17"/>
        <v>-1</v>
      </c>
    </row>
    <row r="45" spans="1:26" s="23" customFormat="1" hidden="1" outlineLevel="1" x14ac:dyDescent="0.25">
      <c r="A45" s="44"/>
      <c r="B45" s="10" t="str">
        <f>CONCATENATE("          ", "5085", " - ", "PURCHASES @ COST-SOFTWARE")</f>
        <v xml:space="preserve">          5085 - PURCHASES @ COST-SOFTWARE</v>
      </c>
      <c r="C45" s="10"/>
      <c r="D45" s="2">
        <v>3753.26</v>
      </c>
      <c r="E45" s="2"/>
      <c r="F45" s="19">
        <f t="shared" si="10"/>
        <v>8.7471193953388201E-3</v>
      </c>
      <c r="G45" s="2"/>
      <c r="H45" s="2"/>
      <c r="I45" s="2"/>
      <c r="J45" s="19">
        <f t="shared" si="11"/>
        <v>0</v>
      </c>
      <c r="K45" s="2"/>
      <c r="L45" s="2">
        <f t="shared" si="12"/>
        <v>3753.26</v>
      </c>
      <c r="M45" s="2"/>
      <c r="N45" s="19">
        <f t="shared" si="13"/>
        <v>0</v>
      </c>
      <c r="O45" s="10"/>
      <c r="P45" s="2">
        <v>33898.71</v>
      </c>
      <c r="Q45" s="2"/>
      <c r="R45" s="19">
        <f t="shared" si="14"/>
        <v>1.6785225207321015E-2</v>
      </c>
      <c r="S45" s="2"/>
      <c r="T45" s="2">
        <v>9162.39</v>
      </c>
      <c r="U45" s="2"/>
      <c r="V45" s="19">
        <f t="shared" si="15"/>
        <v>4.4950376028820979E-3</v>
      </c>
      <c r="W45" s="2"/>
      <c r="X45" s="2">
        <f t="shared" si="16"/>
        <v>24736.32</v>
      </c>
      <c r="Y45" s="2"/>
      <c r="Z45" s="19">
        <f t="shared" si="17"/>
        <v>2.6997672004793509</v>
      </c>
    </row>
    <row r="46" spans="1:26" s="23" customFormat="1" hidden="1" outlineLevel="1" x14ac:dyDescent="0.25">
      <c r="A46" s="44"/>
      <c r="B46" s="10" t="str">
        <f>CONCATENATE("          ", "5086", " - ", "PURCHASES @ COST-COMPUTER SUPP")</f>
        <v xml:space="preserve">          5086 - PURCHASES @ COST-COMPUTER SUPP</v>
      </c>
      <c r="C46" s="10"/>
      <c r="D46" s="2">
        <v>525.71</v>
      </c>
      <c r="E46" s="2"/>
      <c r="F46" s="19">
        <f t="shared" si="10"/>
        <v>1.2251877400775782E-3</v>
      </c>
      <c r="G46" s="2"/>
      <c r="H46" s="2">
        <v>948.45</v>
      </c>
      <c r="I46" s="2"/>
      <c r="J46" s="19">
        <f t="shared" si="11"/>
        <v>8.2977645072648421E-3</v>
      </c>
      <c r="K46" s="2"/>
      <c r="L46" s="2">
        <f t="shared" si="12"/>
        <v>-422.74</v>
      </c>
      <c r="M46" s="2"/>
      <c r="N46" s="19">
        <f t="shared" si="13"/>
        <v>-0.4457166956613422</v>
      </c>
      <c r="O46" s="10"/>
      <c r="P46" s="2">
        <v>23650.99</v>
      </c>
      <c r="Q46" s="2"/>
      <c r="R46" s="19">
        <f t="shared" si="14"/>
        <v>1.1710982321336041E-2</v>
      </c>
      <c r="S46" s="2"/>
      <c r="T46" s="2">
        <v>29950.55</v>
      </c>
      <c r="U46" s="2"/>
      <c r="V46" s="19">
        <f t="shared" si="15"/>
        <v>1.4693638720574043E-2</v>
      </c>
      <c r="W46" s="2"/>
      <c r="X46" s="2">
        <f t="shared" si="16"/>
        <v>-6299.5599999999977</v>
      </c>
      <c r="Y46" s="2"/>
      <c r="Z46" s="19">
        <f t="shared" si="17"/>
        <v>-0.21033203063048919</v>
      </c>
    </row>
    <row r="47" spans="1:26" s="23" customFormat="1" hidden="1" outlineLevel="1" x14ac:dyDescent="0.25">
      <c r="A47" s="44"/>
      <c r="B47" s="10" t="str">
        <f>CONCATENATE("          ", "5088", " - ", "PURCHASES @ COST-MUSIC")</f>
        <v xml:space="preserve">          5088 - PURCHASES @ COST-MUSIC</v>
      </c>
      <c r="C47" s="10"/>
      <c r="D47" s="2"/>
      <c r="E47" s="2"/>
      <c r="F47" s="19">
        <f t="shared" si="10"/>
        <v>0</v>
      </c>
      <c r="G47" s="2"/>
      <c r="H47" s="2"/>
      <c r="I47" s="2"/>
      <c r="J47" s="19">
        <f t="shared" si="11"/>
        <v>0</v>
      </c>
      <c r="K47" s="2"/>
      <c r="L47" s="2">
        <f t="shared" si="12"/>
        <v>0</v>
      </c>
      <c r="M47" s="2"/>
      <c r="N47" s="19">
        <f t="shared" si="13"/>
        <v>0</v>
      </c>
      <c r="O47" s="10"/>
      <c r="P47" s="2"/>
      <c r="Q47" s="2"/>
      <c r="R47" s="19">
        <f t="shared" si="14"/>
        <v>0</v>
      </c>
      <c r="S47" s="2"/>
      <c r="T47" s="2">
        <v>95.65</v>
      </c>
      <c r="U47" s="2"/>
      <c r="V47" s="19">
        <f t="shared" si="15"/>
        <v>4.6925567097195458E-5</v>
      </c>
      <c r="W47" s="2"/>
      <c r="X47" s="2">
        <f t="shared" si="16"/>
        <v>-95.65</v>
      </c>
      <c r="Y47" s="2"/>
      <c r="Z47" s="19">
        <f t="shared" si="17"/>
        <v>-1</v>
      </c>
    </row>
    <row r="48" spans="1:26" s="23" customFormat="1" hidden="1" outlineLevel="1" x14ac:dyDescent="0.25">
      <c r="A48" s="44"/>
      <c r="B48" s="10" t="str">
        <f>CONCATENATE("          ", "5200", " - ", "PURCHASES OFFSET")</f>
        <v xml:space="preserve">          5200 - PURCHASES OFFSET</v>
      </c>
      <c r="C48" s="10"/>
      <c r="D48" s="2">
        <v>-143329.32999999999</v>
      </c>
      <c r="E48" s="2"/>
      <c r="F48" s="19">
        <f t="shared" si="10"/>
        <v>-0.33403461587098093</v>
      </c>
      <c r="G48" s="2"/>
      <c r="H48" s="2">
        <v>-213259</v>
      </c>
      <c r="I48" s="2"/>
      <c r="J48" s="19">
        <f t="shared" si="11"/>
        <v>-1.8657525025618564</v>
      </c>
      <c r="K48" s="2"/>
      <c r="L48" s="2">
        <f t="shared" si="12"/>
        <v>69929.670000000013</v>
      </c>
      <c r="M48" s="2"/>
      <c r="N48" s="19">
        <f t="shared" si="13"/>
        <v>-0.32790958412071713</v>
      </c>
      <c r="O48" s="10"/>
      <c r="P48" s="2">
        <v>-1588000.81</v>
      </c>
      <c r="Q48" s="2"/>
      <c r="R48" s="19">
        <f t="shared" si="14"/>
        <v>-0.78631166865223456</v>
      </c>
      <c r="S48" s="2"/>
      <c r="T48" s="2">
        <v>-1763880</v>
      </c>
      <c r="U48" s="2"/>
      <c r="V48" s="19">
        <f t="shared" si="15"/>
        <v>-0.86535357335495156</v>
      </c>
      <c r="W48" s="2"/>
      <c r="X48" s="2">
        <f t="shared" si="16"/>
        <v>175879.18999999994</v>
      </c>
      <c r="Y48" s="2"/>
      <c r="Z48" s="19">
        <f t="shared" si="17"/>
        <v>-9.9711539333741495E-2</v>
      </c>
    </row>
    <row r="49" spans="1:26" s="23" customFormat="1" hidden="1" outlineLevel="1" x14ac:dyDescent="0.25">
      <c r="A49" s="44"/>
      <c r="B49" s="10" t="str">
        <f>CONCATENATE("          ", "5300", " - ", "COG$ OFFSET")</f>
        <v xml:space="preserve">          5300 - COG$ OFFSET</v>
      </c>
      <c r="C49" s="10"/>
      <c r="D49" s="2">
        <v>356026</v>
      </c>
      <c r="E49" s="2"/>
      <c r="F49" s="19">
        <f t="shared" si="10"/>
        <v>0.82973253380924805</v>
      </c>
      <c r="G49" s="2"/>
      <c r="H49" s="2">
        <v>104218</v>
      </c>
      <c r="I49" s="2"/>
      <c r="J49" s="19">
        <f t="shared" si="11"/>
        <v>0.91177860869642802</v>
      </c>
      <c r="K49" s="2"/>
      <c r="L49" s="2">
        <f t="shared" si="12"/>
        <v>251808</v>
      </c>
      <c r="M49" s="2"/>
      <c r="N49" s="19">
        <f t="shared" si="13"/>
        <v>2.4161661133393464</v>
      </c>
      <c r="O49" s="10"/>
      <c r="P49" s="2">
        <v>1860576</v>
      </c>
      <c r="Q49" s="2"/>
      <c r="R49" s="19">
        <f t="shared" si="14"/>
        <v>0.92127951698859656</v>
      </c>
      <c r="S49" s="2"/>
      <c r="T49" s="2">
        <v>1776438</v>
      </c>
      <c r="U49" s="2"/>
      <c r="V49" s="19">
        <f t="shared" si="15"/>
        <v>0.87151448576066592</v>
      </c>
      <c r="W49" s="2"/>
      <c r="X49" s="2">
        <f t="shared" si="16"/>
        <v>84138</v>
      </c>
      <c r="Y49" s="2"/>
      <c r="Z49" s="19">
        <f t="shared" si="17"/>
        <v>4.7363319181418097E-2</v>
      </c>
    </row>
    <row r="50" spans="1:26" s="23" customFormat="1" hidden="1" outlineLevel="1" x14ac:dyDescent="0.25">
      <c r="A50" s="44"/>
      <c r="B50" s="10" t="str">
        <f>CONCATENATE("          ", "5500", " - ", "FREIGHT-IN")</f>
        <v xml:space="preserve">          5500 - FREIGHT-IN</v>
      </c>
      <c r="C50" s="10"/>
      <c r="D50" s="2"/>
      <c r="E50" s="2"/>
      <c r="F50" s="19">
        <f t="shared" si="10"/>
        <v>0</v>
      </c>
      <c r="G50" s="2"/>
      <c r="H50" s="2"/>
      <c r="I50" s="2"/>
      <c r="J50" s="19">
        <f t="shared" si="11"/>
        <v>0</v>
      </c>
      <c r="K50" s="2"/>
      <c r="L50" s="2">
        <f t="shared" si="12"/>
        <v>0</v>
      </c>
      <c r="M50" s="2"/>
      <c r="N50" s="19">
        <f t="shared" si="13"/>
        <v>0</v>
      </c>
      <c r="O50" s="10"/>
      <c r="P50" s="2">
        <v>0</v>
      </c>
      <c r="Q50" s="2"/>
      <c r="R50" s="19">
        <f t="shared" si="14"/>
        <v>0</v>
      </c>
      <c r="S50" s="2"/>
      <c r="T50" s="2">
        <v>0</v>
      </c>
      <c r="U50" s="2"/>
      <c r="V50" s="19">
        <f t="shared" si="15"/>
        <v>0</v>
      </c>
      <c r="W50" s="2"/>
      <c r="X50" s="2">
        <f t="shared" si="16"/>
        <v>0</v>
      </c>
      <c r="Y50" s="2"/>
      <c r="Z50" s="19">
        <f t="shared" si="17"/>
        <v>0</v>
      </c>
    </row>
    <row r="51" spans="1:26" s="23" customFormat="1" hidden="1" outlineLevel="1" x14ac:dyDescent="0.25">
      <c r="A51" s="44"/>
      <c r="B51" s="10" t="str">
        <f>CONCATENATE("          ", "5581", " - ", "FREIGHT-IN-ELECTRONICS")</f>
        <v xml:space="preserve">          5581 - FREIGHT-IN-ELECTRONICS</v>
      </c>
      <c r="C51" s="10"/>
      <c r="D51" s="2"/>
      <c r="E51" s="2"/>
      <c r="F51" s="19">
        <f t="shared" si="10"/>
        <v>0</v>
      </c>
      <c r="G51" s="2"/>
      <c r="H51" s="2"/>
      <c r="I51" s="2"/>
      <c r="J51" s="19">
        <f t="shared" si="11"/>
        <v>0</v>
      </c>
      <c r="K51" s="2"/>
      <c r="L51" s="2">
        <f t="shared" si="12"/>
        <v>0</v>
      </c>
      <c r="M51" s="2"/>
      <c r="N51" s="19">
        <f t="shared" si="13"/>
        <v>0</v>
      </c>
      <c r="O51" s="10"/>
      <c r="P51" s="2">
        <v>31</v>
      </c>
      <c r="Q51" s="2"/>
      <c r="R51" s="19">
        <f t="shared" si="14"/>
        <v>1.534990509747868E-5</v>
      </c>
      <c r="S51" s="2"/>
      <c r="T51" s="2">
        <v>105.75</v>
      </c>
      <c r="U51" s="2"/>
      <c r="V51" s="19">
        <f t="shared" si="15"/>
        <v>5.1880593000819853E-5</v>
      </c>
      <c r="W51" s="2"/>
      <c r="X51" s="2">
        <f t="shared" si="16"/>
        <v>-74.75</v>
      </c>
      <c r="Y51" s="2"/>
      <c r="Z51" s="19">
        <f t="shared" si="17"/>
        <v>-0.70685579196217496</v>
      </c>
    </row>
    <row r="52" spans="1:26" s="23" customFormat="1" hidden="1" outlineLevel="1" x14ac:dyDescent="0.25">
      <c r="A52" s="44"/>
      <c r="B52" s="10" t="str">
        <f>CONCATENATE("          ", "5582", " - ", "FREIGHT-IN-COMPUTER HARDWARE")</f>
        <v xml:space="preserve">          5582 - FREIGHT-IN-COMPUTER HARDWARE</v>
      </c>
      <c r="C52" s="10"/>
      <c r="D52" s="2"/>
      <c r="E52" s="2"/>
      <c r="F52" s="19">
        <f t="shared" si="10"/>
        <v>0</v>
      </c>
      <c r="G52" s="2"/>
      <c r="H52" s="2">
        <v>149.46</v>
      </c>
      <c r="I52" s="2"/>
      <c r="J52" s="19">
        <f t="shared" si="11"/>
        <v>1.3075901557866026E-3</v>
      </c>
      <c r="K52" s="2"/>
      <c r="L52" s="2">
        <f t="shared" si="12"/>
        <v>-149.46</v>
      </c>
      <c r="M52" s="2"/>
      <c r="N52" s="19">
        <f t="shared" si="13"/>
        <v>-1</v>
      </c>
      <c r="O52" s="10"/>
      <c r="P52" s="2">
        <v>125</v>
      </c>
      <c r="Q52" s="2"/>
      <c r="R52" s="19">
        <f t="shared" si="14"/>
        <v>6.1894778618865645E-5</v>
      </c>
      <c r="S52" s="2"/>
      <c r="T52" s="2">
        <v>154.30000000000001</v>
      </c>
      <c r="U52" s="2"/>
      <c r="V52" s="19">
        <f t="shared" si="15"/>
        <v>7.569905910190548E-5</v>
      </c>
      <c r="W52" s="2"/>
      <c r="X52" s="2">
        <f t="shared" si="16"/>
        <v>-29.300000000000011</v>
      </c>
      <c r="Y52" s="2"/>
      <c r="Z52" s="19">
        <f t="shared" si="17"/>
        <v>-0.18988982501620227</v>
      </c>
    </row>
    <row r="53" spans="1:26" s="23" customFormat="1" hidden="1" outlineLevel="1" x14ac:dyDescent="0.25">
      <c r="A53" s="44"/>
      <c r="B53" s="10" t="str">
        <f>CONCATENATE("          ", "5583", " - ", "FREIGHT-IN-COMPUTER EQUIPMENT")</f>
        <v xml:space="preserve">          5583 - FREIGHT-IN-COMPUTER EQUIPMENT</v>
      </c>
      <c r="C53" s="10"/>
      <c r="D53" s="2"/>
      <c r="E53" s="2"/>
      <c r="F53" s="19">
        <f t="shared" si="10"/>
        <v>0</v>
      </c>
      <c r="G53" s="2"/>
      <c r="H53" s="2"/>
      <c r="I53" s="2"/>
      <c r="J53" s="19">
        <f t="shared" si="11"/>
        <v>0</v>
      </c>
      <c r="K53" s="2"/>
      <c r="L53" s="2">
        <f t="shared" si="12"/>
        <v>0</v>
      </c>
      <c r="M53" s="2"/>
      <c r="N53" s="19">
        <f t="shared" si="13"/>
        <v>0</v>
      </c>
      <c r="O53" s="10"/>
      <c r="P53" s="2">
        <v>242.46</v>
      </c>
      <c r="Q53" s="2"/>
      <c r="R53" s="19">
        <f t="shared" si="14"/>
        <v>1.2005606419144131E-4</v>
      </c>
      <c r="S53" s="2"/>
      <c r="T53" s="2">
        <v>57.5</v>
      </c>
      <c r="U53" s="2"/>
      <c r="V53" s="19">
        <f t="shared" si="15"/>
        <v>2.8209305886970606E-5</v>
      </c>
      <c r="W53" s="2"/>
      <c r="X53" s="2">
        <f t="shared" si="16"/>
        <v>184.96</v>
      </c>
      <c r="Y53" s="2"/>
      <c r="Z53" s="19">
        <f t="shared" si="17"/>
        <v>3.2166956521739132</v>
      </c>
    </row>
    <row r="54" spans="1:26" s="23" customFormat="1" hidden="1" outlineLevel="1" x14ac:dyDescent="0.25">
      <c r="A54" s="44"/>
      <c r="B54" s="10" t="str">
        <f>CONCATENATE("          ", "5585", " - ", "FREIGHT-IN-SOFTWARE")</f>
        <v xml:space="preserve">          5585 - FREIGHT-IN-SOFTWARE</v>
      </c>
      <c r="C54" s="10"/>
      <c r="D54" s="2">
        <v>9.41</v>
      </c>
      <c r="E54" s="2"/>
      <c r="F54" s="19">
        <f t="shared" si="10"/>
        <v>2.1930373464704893E-5</v>
      </c>
      <c r="G54" s="2"/>
      <c r="H54" s="2"/>
      <c r="I54" s="2"/>
      <c r="J54" s="19">
        <f t="shared" si="11"/>
        <v>0</v>
      </c>
      <c r="K54" s="2"/>
      <c r="L54" s="2">
        <f t="shared" si="12"/>
        <v>9.41</v>
      </c>
      <c r="M54" s="2"/>
      <c r="N54" s="19">
        <f t="shared" si="13"/>
        <v>0</v>
      </c>
      <c r="O54" s="10"/>
      <c r="P54" s="2">
        <v>9.41</v>
      </c>
      <c r="Q54" s="2"/>
      <c r="R54" s="19">
        <f t="shared" si="14"/>
        <v>4.6594389344282054E-6</v>
      </c>
      <c r="S54" s="2"/>
      <c r="T54" s="2"/>
      <c r="U54" s="2"/>
      <c r="V54" s="19">
        <f t="shared" si="15"/>
        <v>0</v>
      </c>
      <c r="W54" s="2"/>
      <c r="X54" s="2">
        <f t="shared" si="16"/>
        <v>9.41</v>
      </c>
      <c r="Y54" s="2"/>
      <c r="Z54" s="19">
        <f t="shared" si="17"/>
        <v>0</v>
      </c>
    </row>
    <row r="55" spans="1:26" s="23" customFormat="1" hidden="1" outlineLevel="1" x14ac:dyDescent="0.25">
      <c r="A55" s="44"/>
      <c r="B55" s="10" t="str">
        <f>CONCATENATE("          ", "5586", " - ", "FREIGHT-IN-COMPUTER SUPPLIES")</f>
        <v xml:space="preserve">          5586 - FREIGHT-IN-COMPUTER SUPPLIES</v>
      </c>
      <c r="C55" s="10"/>
      <c r="D55" s="2"/>
      <c r="E55" s="2"/>
      <c r="F55" s="19">
        <f t="shared" si="10"/>
        <v>0</v>
      </c>
      <c r="G55" s="2"/>
      <c r="H55" s="2">
        <v>30.96</v>
      </c>
      <c r="I55" s="2"/>
      <c r="J55" s="19">
        <f t="shared" si="11"/>
        <v>2.7086171031147609E-4</v>
      </c>
      <c r="K55" s="2"/>
      <c r="L55" s="2">
        <f t="shared" si="12"/>
        <v>-30.96</v>
      </c>
      <c r="M55" s="2"/>
      <c r="N55" s="19">
        <f t="shared" si="13"/>
        <v>-1</v>
      </c>
      <c r="O55" s="10"/>
      <c r="P55" s="2">
        <v>24.12</v>
      </c>
      <c r="Q55" s="2"/>
      <c r="R55" s="19">
        <f t="shared" si="14"/>
        <v>1.1943216482296315E-5</v>
      </c>
      <c r="S55" s="2"/>
      <c r="T55" s="2">
        <v>301.27</v>
      </c>
      <c r="U55" s="2"/>
      <c r="V55" s="19">
        <f t="shared" si="15"/>
        <v>1.4780204494900233E-4</v>
      </c>
      <c r="W55" s="2"/>
      <c r="X55" s="2">
        <f t="shared" si="16"/>
        <v>-277.14999999999998</v>
      </c>
      <c r="Y55" s="2"/>
      <c r="Z55" s="19">
        <f t="shared" si="17"/>
        <v>-0.91993892521658316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x14ac:dyDescent="0.25">
      <c r="A57" s="11"/>
      <c r="B57" s="29" t="s">
        <v>107</v>
      </c>
      <c r="C57" s="29"/>
      <c r="D57" s="22">
        <f>D12-D39</f>
        <v>73059.260000000009</v>
      </c>
      <c r="E57" s="14"/>
      <c r="F57" s="20">
        <f>IF(D$12=0,0,D57/D$12)</f>
        <v>0.17026746619075195</v>
      </c>
      <c r="G57" s="14"/>
      <c r="H57" s="22">
        <f>H12-H39</f>
        <v>10082.86</v>
      </c>
      <c r="I57" s="14"/>
      <c r="J57" s="20">
        <f>IF(H$12=0,0,H57/H$12)</f>
        <v>8.8212555052686367E-2</v>
      </c>
      <c r="K57" s="15"/>
      <c r="L57" s="22">
        <f>+D57-H57</f>
        <v>62976.400000000009</v>
      </c>
      <c r="M57" s="15"/>
      <c r="N57" s="20">
        <f>IF(H57=0,0,L57/H57)</f>
        <v>6.2458865837669082</v>
      </c>
      <c r="O57" s="28"/>
      <c r="P57" s="22">
        <f>P12-P39</f>
        <v>155034.62000000011</v>
      </c>
      <c r="Q57" s="14"/>
      <c r="R57" s="20">
        <f>IF(P$12=0,0,P57/P$12)</f>
        <v>7.6766667865279734E-2</v>
      </c>
      <c r="S57" s="14"/>
      <c r="T57" s="22">
        <f>T12-T39</f>
        <v>261893.91000000038</v>
      </c>
      <c r="U57" s="14"/>
      <c r="V57" s="20">
        <f>IF(T$12=0,0,T57/T$12)</f>
        <v>0.1284842681239089</v>
      </c>
      <c r="W57" s="15"/>
      <c r="X57" s="22">
        <f>+P57-T57</f>
        <v>-106859.29000000027</v>
      </c>
      <c r="Y57" s="15"/>
      <c r="Z57" s="20">
        <f>IF(T57=0,0,X57/T57)</f>
        <v>-0.40802510451655832</v>
      </c>
    </row>
    <row r="58" spans="1:26" x14ac:dyDescent="0.25">
      <c r="A58" s="9"/>
      <c r="B58" s="11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8" t="s">
        <v>294</v>
      </c>
      <c r="C59" s="11"/>
      <c r="D59" s="21">
        <f>SUM(OSRRefD22x_0)</f>
        <v>16950.63</v>
      </c>
      <c r="E59" s="21"/>
      <c r="F59" s="31">
        <f t="shared" ref="F59:F69" si="18">IF(D$12=0,0,D59/D$12)</f>
        <v>3.9504106946018143E-2</v>
      </c>
      <c r="G59" s="21"/>
      <c r="H59" s="21">
        <f>SUM(OSRRefH22x_0)</f>
        <v>14300.55</v>
      </c>
      <c r="I59" s="21"/>
      <c r="J59" s="31">
        <f t="shared" ref="J59:J69" si="19">IF(H$12=0,0,H59/H$12)</f>
        <v>0.12511212633704066</v>
      </c>
      <c r="K59" s="4"/>
      <c r="L59" s="21">
        <f t="shared" ref="L59:L69" si="20">+D59-H59</f>
        <v>2650.0800000000017</v>
      </c>
      <c r="M59" s="4"/>
      <c r="N59" s="31">
        <f t="shared" ref="N59:N69" si="21">IF(H59=0,0,L59/H59)</f>
        <v>0.18531315229134557</v>
      </c>
      <c r="O59" s="11"/>
      <c r="P59" s="21">
        <f>SUM(OSRRefP22x_0)</f>
        <v>124058.65000000001</v>
      </c>
      <c r="Q59" s="21"/>
      <c r="R59" s="31">
        <f t="shared" ref="R59:R69" si="22">IF(P$12=0,0,P59/P$12)</f>
        <v>6.1428661420042698E-2</v>
      </c>
      <c r="S59" s="21"/>
      <c r="T59" s="21">
        <f>SUM(OSRRefT22x_0)</f>
        <v>174800.15000000002</v>
      </c>
      <c r="U59" s="21"/>
      <c r="V59" s="31">
        <f t="shared" ref="V59:V69" si="23">IF(T$12=0,0,T59/T$12)</f>
        <v>8.5756363485884279E-2</v>
      </c>
      <c r="W59" s="4"/>
      <c r="X59" s="21">
        <f t="shared" ref="X59:X69" si="24">+P59-T59</f>
        <v>-50741.500000000015</v>
      </c>
      <c r="Y59" s="4"/>
      <c r="Z59" s="31">
        <f t="shared" ref="Z59:Z69" si="25">IF(T59=0,0,X59/T59)</f>
        <v>-0.2902829316794065</v>
      </c>
    </row>
    <row r="60" spans="1:26" s="26" customFormat="1" outlineLevel="1" collapsed="1" x14ac:dyDescent="0.25">
      <c r="A60" s="27"/>
      <c r="B60" s="12" t="str">
        <f>CONCATENATE("     ","*Benefits                                         ")</f>
        <v xml:space="preserve">     *Benefits                                         </v>
      </c>
      <c r="C60" s="12"/>
      <c r="D60" s="1">
        <f>SUM(OSRRefD22_0x_0)</f>
        <v>2924.3900000000003</v>
      </c>
      <c r="E60" s="1"/>
      <c r="F60" s="5">
        <f t="shared" si="18"/>
        <v>6.8154054045109829E-3</v>
      </c>
      <c r="G60" s="1"/>
      <c r="H60" s="1">
        <f>SUM(OSRRefH22_0x_0)</f>
        <v>-3105.0600000000004</v>
      </c>
      <c r="I60" s="1"/>
      <c r="J60" s="5">
        <f t="shared" si="19"/>
        <v>-2.716543482621938E-2</v>
      </c>
      <c r="K60" s="1"/>
      <c r="L60" s="1">
        <f t="shared" si="20"/>
        <v>6029.4500000000007</v>
      </c>
      <c r="M60" s="1"/>
      <c r="N60" s="5">
        <f t="shared" si="21"/>
        <v>-1.9418143288696514</v>
      </c>
      <c r="O60" s="12"/>
      <c r="P60" s="1">
        <f>SUM(OSRRefP22_0x_0)</f>
        <v>26222.32</v>
      </c>
      <c r="Q60" s="1"/>
      <c r="R60" s="5">
        <f t="shared" si="22"/>
        <v>1.2984197530184424E-2</v>
      </c>
      <c r="S60" s="1"/>
      <c r="T60" s="1">
        <f>SUM(OSRRefT22_0x_0)</f>
        <v>21336.489999999994</v>
      </c>
      <c r="U60" s="1"/>
      <c r="V60" s="5">
        <f t="shared" si="23"/>
        <v>1.0467609964596336E-2</v>
      </c>
      <c r="W60" s="1"/>
      <c r="X60" s="1">
        <f t="shared" si="24"/>
        <v>4885.8300000000054</v>
      </c>
      <c r="Y60" s="1"/>
      <c r="Z60" s="5">
        <f t="shared" si="25"/>
        <v>0.22898939797501869</v>
      </c>
    </row>
    <row r="61" spans="1:26" s="23" customFormat="1" hidden="1" outlineLevel="2" x14ac:dyDescent="0.25">
      <c r="A61" s="25"/>
      <c r="B61" s="10" t="str">
        <f>CONCATENATE("          ", "6111", " - ", "F.I.C.A.")</f>
        <v xml:space="preserve">          6111 - F.I.C.A.</v>
      </c>
      <c r="C61" s="10"/>
      <c r="D61" s="6">
        <v>449.24</v>
      </c>
      <c r="E61" s="2"/>
      <c r="F61" s="7">
        <f t="shared" si="18"/>
        <v>1.0469714107634459E-3</v>
      </c>
      <c r="G61" s="2"/>
      <c r="H61" s="6">
        <v>1205.07</v>
      </c>
      <c r="I61" s="2"/>
      <c r="J61" s="7">
        <f t="shared" si="19"/>
        <v>1.0542872133238063E-2</v>
      </c>
      <c r="K61" s="2"/>
      <c r="L61" s="6">
        <f t="shared" si="20"/>
        <v>-755.82999999999993</v>
      </c>
      <c r="M61" s="2"/>
      <c r="N61" s="7">
        <f t="shared" si="21"/>
        <v>-0.62720837793655138</v>
      </c>
      <c r="O61" s="10"/>
      <c r="P61" s="6">
        <v>4738.08</v>
      </c>
      <c r="Q61" s="2"/>
      <c r="R61" s="7">
        <f t="shared" si="22"/>
        <v>2.3460993014277993E-3</v>
      </c>
      <c r="S61" s="2"/>
      <c r="T61" s="6">
        <v>6680.45</v>
      </c>
      <c r="U61" s="2"/>
      <c r="V61" s="7">
        <f t="shared" si="23"/>
        <v>3.277406217610657E-3</v>
      </c>
      <c r="W61" s="2"/>
      <c r="X61" s="6">
        <f t="shared" si="24"/>
        <v>-1942.37</v>
      </c>
      <c r="Y61" s="2"/>
      <c r="Z61" s="7">
        <f t="shared" si="25"/>
        <v>-0.29075436534963961</v>
      </c>
    </row>
    <row r="62" spans="1:26" s="23" customFormat="1" hidden="1" outlineLevel="2" x14ac:dyDescent="0.25">
      <c r="A62" s="25"/>
      <c r="B62" s="10" t="str">
        <f>CONCATENATE("          ", "6112", " - ", "COMPENSATION INSURANCE")</f>
        <v xml:space="preserve">          6112 - COMPENSATION INSURANCE</v>
      </c>
      <c r="C62" s="10"/>
      <c r="D62" s="6">
        <v>184.54</v>
      </c>
      <c r="E62" s="2"/>
      <c r="F62" s="7">
        <f t="shared" si="18"/>
        <v>4.3007769598051444E-4</v>
      </c>
      <c r="G62" s="2"/>
      <c r="H62" s="6">
        <v>498.29</v>
      </c>
      <c r="I62" s="2"/>
      <c r="J62" s="7">
        <f t="shared" si="19"/>
        <v>4.3594212413147742E-3</v>
      </c>
      <c r="K62" s="2"/>
      <c r="L62" s="6">
        <f t="shared" si="20"/>
        <v>-313.75</v>
      </c>
      <c r="M62" s="2"/>
      <c r="N62" s="7">
        <f t="shared" si="21"/>
        <v>-0.62965341467819946</v>
      </c>
      <c r="O62" s="10"/>
      <c r="P62" s="6">
        <v>1358.75</v>
      </c>
      <c r="Q62" s="2"/>
      <c r="R62" s="7">
        <f t="shared" si="22"/>
        <v>6.727962435870696E-4</v>
      </c>
      <c r="S62" s="2"/>
      <c r="T62" s="6">
        <v>1865.18</v>
      </c>
      <c r="U62" s="2"/>
      <c r="V62" s="7">
        <f t="shared" si="23"/>
        <v>9.15051011378432E-4</v>
      </c>
      <c r="W62" s="2"/>
      <c r="X62" s="6">
        <f t="shared" si="24"/>
        <v>-506.43000000000006</v>
      </c>
      <c r="Y62" s="2"/>
      <c r="Z62" s="7">
        <f t="shared" si="25"/>
        <v>-0.27151803043137929</v>
      </c>
    </row>
    <row r="63" spans="1:26" s="23" customFormat="1" hidden="1" outlineLevel="2" x14ac:dyDescent="0.25">
      <c r="A63" s="25"/>
      <c r="B63" s="10" t="str">
        <f>CONCATENATE("          ", "6113", " - ", "GROUP INSURANCE")</f>
        <v xml:space="preserve">          6113 - GROUP INSURANCE</v>
      </c>
      <c r="C63" s="10"/>
      <c r="D63" s="6">
        <v>1053.8499999999999</v>
      </c>
      <c r="E63" s="2"/>
      <c r="F63" s="7">
        <f t="shared" si="18"/>
        <v>2.4560386903059775E-3</v>
      </c>
      <c r="G63" s="2"/>
      <c r="H63" s="6">
        <v>1331.95</v>
      </c>
      <c r="I63" s="2"/>
      <c r="J63" s="7">
        <f t="shared" si="19"/>
        <v>1.1652915214772951E-2</v>
      </c>
      <c r="K63" s="2"/>
      <c r="L63" s="6">
        <f t="shared" si="20"/>
        <v>-278.10000000000014</v>
      </c>
      <c r="M63" s="2"/>
      <c r="N63" s="7">
        <f t="shared" si="21"/>
        <v>-0.20879162130710621</v>
      </c>
      <c r="O63" s="10"/>
      <c r="P63" s="6">
        <v>9376.33</v>
      </c>
      <c r="Q63" s="2"/>
      <c r="R63" s="7">
        <f t="shared" si="22"/>
        <v>4.6427669568594281E-3</v>
      </c>
      <c r="S63" s="2"/>
      <c r="T63" s="6">
        <v>10520.31</v>
      </c>
      <c r="U63" s="2"/>
      <c r="V63" s="7">
        <f t="shared" si="23"/>
        <v>5.1612285707087957E-3</v>
      </c>
      <c r="W63" s="2"/>
      <c r="X63" s="6">
        <f t="shared" si="24"/>
        <v>-1143.9799999999996</v>
      </c>
      <c r="Y63" s="2"/>
      <c r="Z63" s="7">
        <f t="shared" si="25"/>
        <v>-0.10874014168783996</v>
      </c>
    </row>
    <row r="64" spans="1:26" s="23" customFormat="1" hidden="1" outlineLevel="2" x14ac:dyDescent="0.25">
      <c r="A64" s="25"/>
      <c r="B64" s="10" t="str">
        <f>CONCATENATE("          ", "6114", " - ", "STATE UNEMPLOYMENT INSURANCE")</f>
        <v xml:space="preserve">          6114 - STATE UNEMPLOYMENT INSURANCE</v>
      </c>
      <c r="C64" s="10"/>
      <c r="D64" s="6">
        <v>25.93</v>
      </c>
      <c r="E64" s="2"/>
      <c r="F64" s="7">
        <f t="shared" si="18"/>
        <v>6.0430880333666088E-5</v>
      </c>
      <c r="G64" s="2"/>
      <c r="H64" s="6">
        <v>75.099999999999994</v>
      </c>
      <c r="I64" s="2"/>
      <c r="J64" s="7">
        <f t="shared" si="19"/>
        <v>6.570321202968944E-4</v>
      </c>
      <c r="K64" s="2"/>
      <c r="L64" s="6">
        <f t="shared" si="20"/>
        <v>-49.169999999999995</v>
      </c>
      <c r="M64" s="2"/>
      <c r="N64" s="7">
        <f t="shared" si="21"/>
        <v>-0.65472703062583215</v>
      </c>
      <c r="O64" s="10"/>
      <c r="P64" s="6">
        <v>205.66</v>
      </c>
      <c r="Q64" s="2"/>
      <c r="R64" s="7">
        <f t="shared" si="22"/>
        <v>1.0183424136604727E-4</v>
      </c>
      <c r="S64" s="2"/>
      <c r="T64" s="6">
        <v>290.58999999999997</v>
      </c>
      <c r="U64" s="2"/>
      <c r="V64" s="7">
        <f t="shared" si="23"/>
        <v>1.4256247300338762E-4</v>
      </c>
      <c r="W64" s="2"/>
      <c r="X64" s="6">
        <f t="shared" si="24"/>
        <v>-84.929999999999978</v>
      </c>
      <c r="Y64" s="2"/>
      <c r="Z64" s="7">
        <f t="shared" si="25"/>
        <v>-0.29226745586565261</v>
      </c>
    </row>
    <row r="65" spans="1:26" s="23" customFormat="1" hidden="1" outlineLevel="2" x14ac:dyDescent="0.25">
      <c r="A65" s="25"/>
      <c r="B65" s="10" t="str">
        <f>CONCATENATE("          ", "6115", " - ", "P.E.R.S.")</f>
        <v xml:space="preserve">          6115 - P.E.R.S.</v>
      </c>
      <c r="C65" s="10"/>
      <c r="D65" s="6">
        <v>176.42</v>
      </c>
      <c r="E65" s="2"/>
      <c r="F65" s="7">
        <f t="shared" si="18"/>
        <v>4.1115371802797419E-4</v>
      </c>
      <c r="G65" s="2"/>
      <c r="H65" s="6">
        <v>374.08</v>
      </c>
      <c r="I65" s="2"/>
      <c r="J65" s="7">
        <f t="shared" si="19"/>
        <v>3.2727373576652767E-3</v>
      </c>
      <c r="K65" s="2"/>
      <c r="L65" s="6">
        <f t="shared" si="20"/>
        <v>-197.66</v>
      </c>
      <c r="M65" s="2"/>
      <c r="N65" s="7">
        <f t="shared" si="21"/>
        <v>-0.52838964927288279</v>
      </c>
      <c r="O65" s="10"/>
      <c r="P65" s="6">
        <v>1764.2</v>
      </c>
      <c r="Q65" s="2"/>
      <c r="R65" s="7">
        <f t="shared" si="22"/>
        <v>8.7355814751522212E-4</v>
      </c>
      <c r="S65" s="2"/>
      <c r="T65" s="6">
        <v>2329.44</v>
      </c>
      <c r="U65" s="2"/>
      <c r="V65" s="7">
        <f t="shared" si="23"/>
        <v>1.1428154000929533E-3</v>
      </c>
      <c r="W65" s="2"/>
      <c r="X65" s="6">
        <f t="shared" si="24"/>
        <v>-565.24</v>
      </c>
      <c r="Y65" s="2"/>
      <c r="Z65" s="7">
        <f t="shared" si="25"/>
        <v>-0.2426505941342125</v>
      </c>
    </row>
    <row r="66" spans="1:26" s="23" customFormat="1" hidden="1" outlineLevel="2" x14ac:dyDescent="0.25">
      <c r="A66" s="25"/>
      <c r="B66" s="10" t="str">
        <f>CONCATENATE("          ", "6117", " - ", "RETIREMENT STAFF HOURLY")</f>
        <v xml:space="preserve">          6117 - RETIREMENT STAFF HOURLY</v>
      </c>
      <c r="C66" s="10"/>
      <c r="D66" s="6">
        <v>264</v>
      </c>
      <c r="E66" s="2"/>
      <c r="F66" s="7">
        <f t="shared" si="18"/>
        <v>6.1526233737322971E-4</v>
      </c>
      <c r="G66" s="2"/>
      <c r="H66" s="6">
        <v>101.5</v>
      </c>
      <c r="I66" s="2"/>
      <c r="J66" s="7">
        <f t="shared" si="19"/>
        <v>8.8799947017489727E-4</v>
      </c>
      <c r="K66" s="2"/>
      <c r="L66" s="6">
        <f t="shared" si="20"/>
        <v>162.5</v>
      </c>
      <c r="M66" s="2"/>
      <c r="N66" s="7">
        <f t="shared" si="21"/>
        <v>1.6009852216748768</v>
      </c>
      <c r="O66" s="10"/>
      <c r="P66" s="6">
        <v>1721.04</v>
      </c>
      <c r="Q66" s="2"/>
      <c r="R66" s="7">
        <f t="shared" si="22"/>
        <v>8.5218711835370023E-4</v>
      </c>
      <c r="S66" s="2"/>
      <c r="T66" s="6">
        <v>1391.48</v>
      </c>
      <c r="U66" s="2"/>
      <c r="V66" s="7">
        <f t="shared" si="23"/>
        <v>6.8265539053220629E-4</v>
      </c>
      <c r="W66" s="2"/>
      <c r="X66" s="6">
        <f t="shared" si="24"/>
        <v>329.55999999999995</v>
      </c>
      <c r="Y66" s="2"/>
      <c r="Z66" s="7">
        <f t="shared" si="25"/>
        <v>0.23684134877971652</v>
      </c>
    </row>
    <row r="67" spans="1:26" s="23" customFormat="1" hidden="1" outlineLevel="2" x14ac:dyDescent="0.25">
      <c r="A67" s="25"/>
      <c r="B67" s="10" t="str">
        <f>CONCATENATE("          ", "6118", " - ", "VACATION")</f>
        <v xml:space="preserve">          6118 - VACATION</v>
      </c>
      <c r="C67" s="10"/>
      <c r="D67" s="6">
        <v>267.04000000000002</v>
      </c>
      <c r="E67" s="2"/>
      <c r="F67" s="7">
        <f t="shared" si="18"/>
        <v>6.2234717640964881E-4</v>
      </c>
      <c r="G67" s="2"/>
      <c r="H67" s="6">
        <v>733.78</v>
      </c>
      <c r="I67" s="2"/>
      <c r="J67" s="7">
        <f t="shared" si="19"/>
        <v>6.4196674997530657E-3</v>
      </c>
      <c r="K67" s="2"/>
      <c r="L67" s="6">
        <f t="shared" si="20"/>
        <v>-466.73999999999995</v>
      </c>
      <c r="M67" s="2"/>
      <c r="N67" s="7">
        <f t="shared" si="21"/>
        <v>-0.63607620812777665</v>
      </c>
      <c r="O67" s="10"/>
      <c r="P67" s="6">
        <v>2490.66</v>
      </c>
      <c r="Q67" s="2"/>
      <c r="R67" s="7">
        <f t="shared" si="22"/>
        <v>1.2332707945189112E-3</v>
      </c>
      <c r="S67" s="2"/>
      <c r="T67" s="6">
        <v>2400.85</v>
      </c>
      <c r="U67" s="2"/>
      <c r="V67" s="7">
        <f t="shared" si="23"/>
        <v>1.1778489050214501E-3</v>
      </c>
      <c r="W67" s="2"/>
      <c r="X67" s="6">
        <f t="shared" si="24"/>
        <v>89.809999999999945</v>
      </c>
      <c r="Y67" s="2"/>
      <c r="Z67" s="7">
        <f t="shared" si="25"/>
        <v>3.7407584813711786E-2</v>
      </c>
    </row>
    <row r="68" spans="1:26" s="23" customFormat="1" hidden="1" outlineLevel="2" x14ac:dyDescent="0.25">
      <c r="A68" s="25"/>
      <c r="B68" s="10" t="str">
        <f>CONCATENATE("          ", "6119", " - ", "SICK LEAVE")</f>
        <v xml:space="preserve">          6119 - SICK LEAVE</v>
      </c>
      <c r="C68" s="10"/>
      <c r="D68" s="6">
        <v>267.63</v>
      </c>
      <c r="E68" s="2"/>
      <c r="F68" s="7">
        <f t="shared" si="18"/>
        <v>6.2372219451211166E-4</v>
      </c>
      <c r="G68" s="2"/>
      <c r="H68" s="6">
        <v>-7714.8</v>
      </c>
      <c r="I68" s="2"/>
      <c r="J68" s="7">
        <f t="shared" si="19"/>
        <v>-6.7494958743894565E-2</v>
      </c>
      <c r="K68" s="2"/>
      <c r="L68" s="6">
        <f t="shared" si="20"/>
        <v>7982.43</v>
      </c>
      <c r="M68" s="2"/>
      <c r="N68" s="7">
        <f t="shared" si="21"/>
        <v>-1.0346904650801059</v>
      </c>
      <c r="O68" s="10"/>
      <c r="P68" s="6">
        <v>2487.1799999999998</v>
      </c>
      <c r="Q68" s="2"/>
      <c r="R68" s="7">
        <f t="shared" si="22"/>
        <v>1.2315476438821619E-3</v>
      </c>
      <c r="S68" s="2"/>
      <c r="T68" s="6">
        <v>-5731.56</v>
      </c>
      <c r="U68" s="2"/>
      <c r="V68" s="7">
        <f t="shared" si="23"/>
        <v>-2.8118839869482656E-3</v>
      </c>
      <c r="W68" s="2"/>
      <c r="X68" s="6">
        <f t="shared" si="24"/>
        <v>8218.74</v>
      </c>
      <c r="Y68" s="2"/>
      <c r="Z68" s="7">
        <f t="shared" si="25"/>
        <v>-1.43394468521659</v>
      </c>
    </row>
    <row r="69" spans="1:26" s="23" customFormat="1" hidden="1" outlineLevel="2" x14ac:dyDescent="0.25">
      <c r="A69" s="25"/>
      <c r="B69" s="10" t="str">
        <f>CONCATENATE("          ", "6156", " - ", "EMPLOYEE MEALS")</f>
        <v xml:space="preserve">          6156 - EMPLOYEE MEALS</v>
      </c>
      <c r="C69" s="10"/>
      <c r="D69" s="6">
        <v>235.74</v>
      </c>
      <c r="E69" s="2"/>
      <c r="F69" s="7">
        <f t="shared" si="18"/>
        <v>5.4940130080441353E-4</v>
      </c>
      <c r="G69" s="2"/>
      <c r="H69" s="6">
        <v>289.97000000000003</v>
      </c>
      <c r="I69" s="2"/>
      <c r="J69" s="7">
        <f t="shared" si="19"/>
        <v>2.5368788804592613E-3</v>
      </c>
      <c r="K69" s="2"/>
      <c r="L69" s="6">
        <f t="shared" si="20"/>
        <v>-54.230000000000018</v>
      </c>
      <c r="M69" s="2"/>
      <c r="N69" s="7">
        <f t="shared" si="21"/>
        <v>-0.18701934682898236</v>
      </c>
      <c r="O69" s="10"/>
      <c r="P69" s="6">
        <v>2080.42</v>
      </c>
      <c r="Q69" s="2"/>
      <c r="R69" s="7">
        <f t="shared" si="22"/>
        <v>1.0301370826740837E-3</v>
      </c>
      <c r="S69" s="2"/>
      <c r="T69" s="6">
        <v>1589.75</v>
      </c>
      <c r="U69" s="2"/>
      <c r="V69" s="7">
        <f t="shared" si="23"/>
        <v>7.7992598319672217E-4</v>
      </c>
      <c r="W69" s="2"/>
      <c r="X69" s="6">
        <f t="shared" si="24"/>
        <v>490.67000000000007</v>
      </c>
      <c r="Y69" s="2"/>
      <c r="Z69" s="7">
        <f t="shared" si="25"/>
        <v>0.30864601352413906</v>
      </c>
    </row>
    <row r="70" spans="1:26" s="26" customFormat="1" outlineLevel="1" collapsed="1" x14ac:dyDescent="0.25">
      <c r="A70" s="27"/>
      <c r="B70" s="12" t="str">
        <f>CONCATENATE("     ","*Payroll                                          ")</f>
        <v xml:space="preserve">     *Payroll                                          </v>
      </c>
      <c r="C70" s="12"/>
      <c r="D70" s="1">
        <f>SUM(OSRRefD22_1x_0)</f>
        <v>8405.5</v>
      </c>
      <c r="E70" s="1"/>
      <c r="F70" s="5">
        <f t="shared" ref="F70:F75" si="26">IF(D$12=0,0,D70/D$12)</f>
        <v>1.9589346881782887E-2</v>
      </c>
      <c r="G70" s="1"/>
      <c r="H70" s="1">
        <f>SUM(OSRRefH22_1x_0)</f>
        <v>11282.27</v>
      </c>
      <c r="I70" s="1"/>
      <c r="J70" s="5">
        <f t="shared" ref="J70:J75" si="27">IF(H$12=0,0,H70/H$12)</f>
        <v>9.8705909185912696E-2</v>
      </c>
      <c r="K70" s="1"/>
      <c r="L70" s="1">
        <f t="shared" ref="L70:L75" si="28">+D70-H70</f>
        <v>-2876.7700000000004</v>
      </c>
      <c r="M70" s="1"/>
      <c r="N70" s="5">
        <f t="shared" ref="N70:N75" si="29">IF(H70=0,0,L70/H70)</f>
        <v>-0.25498148865432224</v>
      </c>
      <c r="O70" s="12"/>
      <c r="P70" s="1">
        <f>SUM(OSRRefP22_1x_0)</f>
        <v>73810.960000000006</v>
      </c>
      <c r="Q70" s="1"/>
      <c r="R70" s="5">
        <f t="shared" ref="R70:R75" si="30">IF(P$12=0,0,P70/P$12)</f>
        <v>3.6548104230767584E-2</v>
      </c>
      <c r="S70" s="1"/>
      <c r="T70" s="1">
        <f>SUM(OSRRefT22_1x_0)</f>
        <v>91979.49</v>
      </c>
      <c r="U70" s="1"/>
      <c r="V70" s="5">
        <f t="shared" ref="V70:V75" si="31">IF(T$12=0,0,T70/T$12)</f>
        <v>4.5124827282392248E-2</v>
      </c>
      <c r="W70" s="1"/>
      <c r="X70" s="1">
        <f t="shared" ref="X70:X75" si="32">+P70-T70</f>
        <v>-18168.53</v>
      </c>
      <c r="Y70" s="1"/>
      <c r="Z70" s="5">
        <f t="shared" ref="Z70:Z75" si="33">IF(T70=0,0,X70/T70)</f>
        <v>-0.19752805761371364</v>
      </c>
    </row>
    <row r="71" spans="1:26" s="23" customFormat="1" hidden="1" outlineLevel="2" x14ac:dyDescent="0.25">
      <c r="A71" s="25"/>
      <c r="B71" s="10" t="str">
        <f>CONCATENATE("          ", "6002", " - ", "STAFF SALARIES")</f>
        <v xml:space="preserve">          6002 - STAFF SALARIES</v>
      </c>
      <c r="C71" s="10"/>
      <c r="D71" s="6">
        <v>2357.3000000000002</v>
      </c>
      <c r="E71" s="2"/>
      <c r="F71" s="7">
        <f t="shared" si="26"/>
        <v>5.4937799541284645E-3</v>
      </c>
      <c r="G71" s="2"/>
      <c r="H71" s="6">
        <v>3236.06</v>
      </c>
      <c r="I71" s="2"/>
      <c r="J71" s="7">
        <f t="shared" si="27"/>
        <v>2.8311522812356434E-2</v>
      </c>
      <c r="K71" s="2"/>
      <c r="L71" s="6">
        <f t="shared" si="28"/>
        <v>-878.75999999999976</v>
      </c>
      <c r="M71" s="2"/>
      <c r="N71" s="7">
        <f t="shared" si="29"/>
        <v>-0.2715524434033979</v>
      </c>
      <c r="O71" s="10"/>
      <c r="P71" s="6">
        <v>20880.25</v>
      </c>
      <c r="Q71" s="2"/>
      <c r="R71" s="7">
        <f t="shared" si="30"/>
        <v>1.0339027610052554E-2</v>
      </c>
      <c r="S71" s="2"/>
      <c r="T71" s="6">
        <v>30572.32</v>
      </c>
      <c r="U71" s="2"/>
      <c r="V71" s="7">
        <f t="shared" si="31"/>
        <v>1.4998676983553899E-2</v>
      </c>
      <c r="W71" s="2"/>
      <c r="X71" s="6">
        <f t="shared" si="32"/>
        <v>-9692.07</v>
      </c>
      <c r="Y71" s="2"/>
      <c r="Z71" s="7">
        <f t="shared" si="33"/>
        <v>-0.31702108312355753</v>
      </c>
    </row>
    <row r="72" spans="1:26" s="23" customFormat="1" hidden="1" outlineLevel="2" x14ac:dyDescent="0.25">
      <c r="A72" s="25"/>
      <c r="B72" s="10" t="str">
        <f>CONCATENATE("          ", "6004", " - ", "STAFF HOURLY")</f>
        <v xml:space="preserve">          6004 - STAFF HOURLY</v>
      </c>
      <c r="C72" s="10"/>
      <c r="D72" s="6">
        <v>3520</v>
      </c>
      <c r="E72" s="2"/>
      <c r="F72" s="7">
        <f t="shared" si="26"/>
        <v>8.2034978316430623E-3</v>
      </c>
      <c r="G72" s="2"/>
      <c r="H72" s="6">
        <v>2419.62</v>
      </c>
      <c r="I72" s="2"/>
      <c r="J72" s="7">
        <f t="shared" si="27"/>
        <v>2.1168682542114136E-2</v>
      </c>
      <c r="K72" s="2"/>
      <c r="L72" s="6">
        <f t="shared" si="28"/>
        <v>1100.3800000000001</v>
      </c>
      <c r="M72" s="2"/>
      <c r="N72" s="7">
        <f t="shared" si="29"/>
        <v>0.45477389011497682</v>
      </c>
      <c r="O72" s="10"/>
      <c r="P72" s="6">
        <v>31720.16</v>
      </c>
      <c r="Q72" s="2"/>
      <c r="R72" s="7">
        <f t="shared" si="30"/>
        <v>1.5706498247639977E-2</v>
      </c>
      <c r="S72" s="2"/>
      <c r="T72" s="6">
        <v>2419.62</v>
      </c>
      <c r="U72" s="2"/>
      <c r="V72" s="7">
        <f t="shared" si="31"/>
        <v>1.1870574036562055E-3</v>
      </c>
      <c r="W72" s="2"/>
      <c r="X72" s="6">
        <f t="shared" si="32"/>
        <v>29300.54</v>
      </c>
      <c r="Y72" s="2"/>
      <c r="Z72" s="7">
        <f t="shared" si="33"/>
        <v>12.109562658599286</v>
      </c>
    </row>
    <row r="73" spans="1:26" s="23" customFormat="1" hidden="1" outlineLevel="2" x14ac:dyDescent="0.25">
      <c r="A73" s="25"/>
      <c r="B73" s="10" t="str">
        <f>CONCATENATE("          ", "6005", " - ", "TEMPORARY WAGES-HOURLY")</f>
        <v xml:space="preserve">          6005 - TEMPORARY WAGES-HOURLY</v>
      </c>
      <c r="C73" s="10"/>
      <c r="D73" s="6"/>
      <c r="E73" s="2"/>
      <c r="F73" s="7">
        <f t="shared" si="26"/>
        <v>0</v>
      </c>
      <c r="G73" s="2"/>
      <c r="H73" s="6">
        <v>2659.98</v>
      </c>
      <c r="I73" s="2"/>
      <c r="J73" s="7">
        <f t="shared" si="27"/>
        <v>2.3271535277594319E-2</v>
      </c>
      <c r="K73" s="2"/>
      <c r="L73" s="6">
        <f t="shared" si="28"/>
        <v>-2659.98</v>
      </c>
      <c r="M73" s="2"/>
      <c r="N73" s="7">
        <f t="shared" si="29"/>
        <v>-1</v>
      </c>
      <c r="O73" s="10"/>
      <c r="P73" s="6"/>
      <c r="Q73" s="2"/>
      <c r="R73" s="7">
        <f t="shared" si="30"/>
        <v>0</v>
      </c>
      <c r="S73" s="2"/>
      <c r="T73" s="6">
        <v>29960.57</v>
      </c>
      <c r="U73" s="2"/>
      <c r="V73" s="7">
        <f t="shared" si="31"/>
        <v>1.4698554498747738E-2</v>
      </c>
      <c r="W73" s="2"/>
      <c r="X73" s="6">
        <f t="shared" si="32"/>
        <v>-29960.57</v>
      </c>
      <c r="Y73" s="2"/>
      <c r="Z73" s="7">
        <f t="shared" si="33"/>
        <v>-1</v>
      </c>
    </row>
    <row r="74" spans="1:26" s="23" customFormat="1" hidden="1" outlineLevel="2" x14ac:dyDescent="0.25">
      <c r="A74" s="25"/>
      <c r="B74" s="10" t="str">
        <f>CONCATENATE("          ", "6006", " - ", "TEMPORARY PART TIME")</f>
        <v xml:space="preserve">          6006 - TEMPORARY PART TIME</v>
      </c>
      <c r="C74" s="10"/>
      <c r="D74" s="6"/>
      <c r="E74" s="2"/>
      <c r="F74" s="7">
        <f t="shared" si="26"/>
        <v>0</v>
      </c>
      <c r="G74" s="2"/>
      <c r="H74" s="6"/>
      <c r="I74" s="2"/>
      <c r="J74" s="7">
        <f t="shared" si="27"/>
        <v>0</v>
      </c>
      <c r="K74" s="2"/>
      <c r="L74" s="6">
        <f t="shared" si="28"/>
        <v>0</v>
      </c>
      <c r="M74" s="2"/>
      <c r="N74" s="7">
        <f t="shared" si="29"/>
        <v>0</v>
      </c>
      <c r="O74" s="10"/>
      <c r="P74" s="6"/>
      <c r="Q74" s="2"/>
      <c r="R74" s="7">
        <f t="shared" si="30"/>
        <v>0</v>
      </c>
      <c r="S74" s="2"/>
      <c r="T74" s="6">
        <v>9008.99</v>
      </c>
      <c r="U74" s="2"/>
      <c r="V74" s="7">
        <f t="shared" si="31"/>
        <v>4.4197800807419009E-3</v>
      </c>
      <c r="W74" s="2"/>
      <c r="X74" s="6">
        <f t="shared" si="32"/>
        <v>-9008.99</v>
      </c>
      <c r="Y74" s="2"/>
      <c r="Z74" s="7">
        <f t="shared" si="33"/>
        <v>-1</v>
      </c>
    </row>
    <row r="75" spans="1:26" s="23" customFormat="1" hidden="1" outlineLevel="2" x14ac:dyDescent="0.25">
      <c r="A75" s="25"/>
      <c r="B75" s="10" t="str">
        <f>CONCATENATE("          ", "6007", " - ", "STUDENT HOURLY")</f>
        <v xml:space="preserve">          6007 - STUDENT HOURLY</v>
      </c>
      <c r="C75" s="10"/>
      <c r="D75" s="6">
        <v>2528.1999999999998</v>
      </c>
      <c r="E75" s="2"/>
      <c r="F75" s="7">
        <f t="shared" si="26"/>
        <v>5.892069096011361E-3</v>
      </c>
      <c r="G75" s="2"/>
      <c r="H75" s="6">
        <v>2966.61</v>
      </c>
      <c r="I75" s="2"/>
      <c r="J75" s="7">
        <f t="shared" si="27"/>
        <v>2.5954168553847804E-2</v>
      </c>
      <c r="K75" s="2"/>
      <c r="L75" s="6">
        <f t="shared" si="28"/>
        <v>-438.41000000000031</v>
      </c>
      <c r="M75" s="2"/>
      <c r="N75" s="7">
        <f t="shared" si="29"/>
        <v>-0.14778147447760248</v>
      </c>
      <c r="O75" s="10"/>
      <c r="P75" s="6">
        <v>21210.55</v>
      </c>
      <c r="Q75" s="2"/>
      <c r="R75" s="7">
        <f t="shared" si="30"/>
        <v>1.0502578373075045E-2</v>
      </c>
      <c r="S75" s="2"/>
      <c r="T75" s="6">
        <v>20017.990000000002</v>
      </c>
      <c r="U75" s="2"/>
      <c r="V75" s="7">
        <f t="shared" si="31"/>
        <v>9.8207583156925005E-3</v>
      </c>
      <c r="W75" s="2"/>
      <c r="X75" s="6">
        <f t="shared" si="32"/>
        <v>1192.5599999999977</v>
      </c>
      <c r="Y75" s="2"/>
      <c r="Z75" s="7">
        <f t="shared" si="33"/>
        <v>5.9574412815672183E-2</v>
      </c>
    </row>
    <row r="76" spans="1:26" s="26" customFormat="1" outlineLevel="1" collapsed="1" x14ac:dyDescent="0.25">
      <c r="A76" s="27"/>
      <c r="B76" s="12" t="str">
        <f>CONCATENATE("     ","Advertising/Promo                                 ")</f>
        <v xml:space="preserve">     Advertising/Promo                                 </v>
      </c>
      <c r="C76" s="12"/>
      <c r="D76" s="1">
        <f>SUM(OSRRefD22_2x_0)</f>
        <v>0</v>
      </c>
      <c r="E76" s="1"/>
      <c r="F76" s="5">
        <f t="shared" ref="F76:F84" si="34">IF(D$12=0,0,D76/D$12)</f>
        <v>0</v>
      </c>
      <c r="G76" s="1"/>
      <c r="H76" s="1">
        <f>SUM(OSRRefH22_2x_0)</f>
        <v>24.69</v>
      </c>
      <c r="I76" s="1"/>
      <c r="J76" s="5">
        <f t="shared" ref="J76:J84" si="35">IF(H$12=0,0,H76/H$12)</f>
        <v>2.1600696471545041E-4</v>
      </c>
      <c r="K76" s="1"/>
      <c r="L76" s="1">
        <f t="shared" ref="L76:L84" si="36">+D76-H76</f>
        <v>-24.69</v>
      </c>
      <c r="M76" s="1"/>
      <c r="N76" s="5">
        <f t="shared" ref="N76:N84" si="37">IF(H76=0,0,L76/H76)</f>
        <v>-1</v>
      </c>
      <c r="O76" s="12"/>
      <c r="P76" s="1">
        <f>SUM(OSRRefP22_2x_0)</f>
        <v>598.92999999999995</v>
      </c>
      <c r="Q76" s="1"/>
      <c r="R76" s="5">
        <f t="shared" ref="R76:R84" si="38">IF(P$12=0,0,P76/P$12)</f>
        <v>2.965651180655776E-4</v>
      </c>
      <c r="S76" s="1"/>
      <c r="T76" s="1">
        <f>SUM(OSRRefT22_2x_0)</f>
        <v>1745.92</v>
      </c>
      <c r="U76" s="1"/>
      <c r="V76" s="5">
        <f t="shared" ref="V76:V84" si="39">IF(T$12=0,0,T76/T$12)</f>
        <v>8.5654245798573436E-4</v>
      </c>
      <c r="W76" s="1"/>
      <c r="X76" s="1">
        <f t="shared" ref="X76:X84" si="40">+P76-T76</f>
        <v>-1146.9900000000002</v>
      </c>
      <c r="Y76" s="1"/>
      <c r="Z76" s="5">
        <f t="shared" ref="Z76:Z84" si="41">IF(T76=0,0,X76/T76)</f>
        <v>-0.65695449963343122</v>
      </c>
    </row>
    <row r="77" spans="1:26" s="23" customFormat="1" hidden="1" outlineLevel="2" x14ac:dyDescent="0.25">
      <c r="A77" s="25"/>
      <c r="B77" s="10" t="str">
        <f>CONCATENATE("          ", "6362", " - ", "ADVERTISING EXPENSE")</f>
        <v xml:space="preserve">          6362 - ADVERTISING EXPENSE</v>
      </c>
      <c r="C77" s="10"/>
      <c r="D77" s="6"/>
      <c r="E77" s="2"/>
      <c r="F77" s="7">
        <f t="shared" si="34"/>
        <v>0</v>
      </c>
      <c r="G77" s="2"/>
      <c r="H77" s="6">
        <v>24.69</v>
      </c>
      <c r="I77" s="2"/>
      <c r="J77" s="7">
        <f t="shared" si="35"/>
        <v>2.1600696471545041E-4</v>
      </c>
      <c r="K77" s="2"/>
      <c r="L77" s="6">
        <f t="shared" si="36"/>
        <v>-24.69</v>
      </c>
      <c r="M77" s="2"/>
      <c r="N77" s="7">
        <f t="shared" si="37"/>
        <v>-1</v>
      </c>
      <c r="O77" s="10"/>
      <c r="P77" s="6">
        <v>598.92999999999995</v>
      </c>
      <c r="Q77" s="2"/>
      <c r="R77" s="7">
        <f t="shared" si="38"/>
        <v>2.965651180655776E-4</v>
      </c>
      <c r="S77" s="2"/>
      <c r="T77" s="6">
        <v>1745.92</v>
      </c>
      <c r="U77" s="2"/>
      <c r="V77" s="7">
        <f t="shared" si="39"/>
        <v>8.5654245798573436E-4</v>
      </c>
      <c r="W77" s="2"/>
      <c r="X77" s="6">
        <f t="shared" si="40"/>
        <v>-1146.9900000000002</v>
      </c>
      <c r="Y77" s="2"/>
      <c r="Z77" s="7">
        <f t="shared" si="41"/>
        <v>-0.65695449963343122</v>
      </c>
    </row>
    <row r="78" spans="1:26" s="26" customFormat="1" outlineLevel="1" collapsed="1" x14ac:dyDescent="0.25">
      <c r="A78" s="27"/>
      <c r="B78" s="12" t="str">
        <f>CONCATENATE("     ","Depreciation                                      ")</f>
        <v xml:space="preserve">     Depreciation                                      </v>
      </c>
      <c r="C78" s="12"/>
      <c r="D78" s="1">
        <f>SUM(OSRRefD22_3x_0)</f>
        <v>280.44</v>
      </c>
      <c r="E78" s="1"/>
      <c r="F78" s="5">
        <f t="shared" si="34"/>
        <v>6.5357640110965353E-4</v>
      </c>
      <c r="G78" s="1"/>
      <c r="H78" s="1">
        <f>SUM(OSRRefH22_3x_0)</f>
        <v>280.44</v>
      </c>
      <c r="I78" s="1"/>
      <c r="J78" s="5">
        <f t="shared" si="35"/>
        <v>2.4535031666586028E-3</v>
      </c>
      <c r="K78" s="1"/>
      <c r="L78" s="1">
        <f t="shared" si="36"/>
        <v>0</v>
      </c>
      <c r="M78" s="1"/>
      <c r="N78" s="5">
        <f t="shared" si="37"/>
        <v>0</v>
      </c>
      <c r="O78" s="12"/>
      <c r="P78" s="1">
        <f>SUM(OSRRefP22_3x_0)</f>
        <v>2523.96</v>
      </c>
      <c r="Q78" s="1"/>
      <c r="R78" s="5">
        <f t="shared" si="38"/>
        <v>1.2497595635429771E-3</v>
      </c>
      <c r="S78" s="1"/>
      <c r="T78" s="1">
        <f>SUM(OSRRefT22_3x_0)</f>
        <v>2523.96</v>
      </c>
      <c r="U78" s="1"/>
      <c r="V78" s="5">
        <f t="shared" si="39"/>
        <v>1.2382462554170145E-3</v>
      </c>
      <c r="W78" s="1"/>
      <c r="X78" s="1">
        <f t="shared" si="40"/>
        <v>0</v>
      </c>
      <c r="Y78" s="1"/>
      <c r="Z78" s="5">
        <f t="shared" si="41"/>
        <v>0</v>
      </c>
    </row>
    <row r="79" spans="1:26" s="23" customFormat="1" hidden="1" outlineLevel="2" x14ac:dyDescent="0.25">
      <c r="A79" s="25"/>
      <c r="B79" s="10" t="str">
        <f>CONCATENATE("          ", "6322", " - ", "EQUIPMENT DEPRECIATION EXPENSE")</f>
        <v xml:space="preserve">          6322 - EQUIPMENT DEPRECIATION EXPENSE</v>
      </c>
      <c r="C79" s="10"/>
      <c r="D79" s="6">
        <v>280.44</v>
      </c>
      <c r="E79" s="2"/>
      <c r="F79" s="7">
        <f t="shared" si="34"/>
        <v>6.5357640110965353E-4</v>
      </c>
      <c r="G79" s="2"/>
      <c r="H79" s="6">
        <v>280.44</v>
      </c>
      <c r="I79" s="2"/>
      <c r="J79" s="7">
        <f t="shared" si="35"/>
        <v>2.4535031666586028E-3</v>
      </c>
      <c r="K79" s="2"/>
      <c r="L79" s="6">
        <f t="shared" si="36"/>
        <v>0</v>
      </c>
      <c r="M79" s="2"/>
      <c r="N79" s="7">
        <f t="shared" si="37"/>
        <v>0</v>
      </c>
      <c r="O79" s="10"/>
      <c r="P79" s="6">
        <v>2523.96</v>
      </c>
      <c r="Q79" s="2"/>
      <c r="R79" s="7">
        <f t="shared" si="38"/>
        <v>1.2497595635429771E-3</v>
      </c>
      <c r="S79" s="2"/>
      <c r="T79" s="6">
        <v>2523.96</v>
      </c>
      <c r="U79" s="2"/>
      <c r="V79" s="7">
        <f t="shared" si="39"/>
        <v>1.2382462554170145E-3</v>
      </c>
      <c r="W79" s="2"/>
      <c r="X79" s="6">
        <f t="shared" si="40"/>
        <v>0</v>
      </c>
      <c r="Y79" s="2"/>
      <c r="Z79" s="7">
        <f t="shared" si="41"/>
        <v>0</v>
      </c>
    </row>
    <row r="80" spans="1:26" s="26" customFormat="1" outlineLevel="1" collapsed="1" x14ac:dyDescent="0.25">
      <c r="A80" s="27"/>
      <c r="B80" s="12" t="str">
        <f>CONCATENATE("     ","Discounts and Markdowns                           ")</f>
        <v xml:space="preserve">     Discounts and Markdowns                           </v>
      </c>
      <c r="C80" s="12"/>
      <c r="D80" s="1">
        <f>SUM(OSRRefD22_4x_0)</f>
        <v>0</v>
      </c>
      <c r="E80" s="1"/>
      <c r="F80" s="5">
        <f t="shared" si="34"/>
        <v>0</v>
      </c>
      <c r="G80" s="1"/>
      <c r="H80" s="1">
        <f>SUM(OSRRefH22_4x_0)</f>
        <v>4929.46</v>
      </c>
      <c r="I80" s="1"/>
      <c r="J80" s="5">
        <f t="shared" si="35"/>
        <v>4.3126678504909845E-2</v>
      </c>
      <c r="K80" s="1"/>
      <c r="L80" s="1">
        <f t="shared" si="36"/>
        <v>-4929.46</v>
      </c>
      <c r="M80" s="1"/>
      <c r="N80" s="5">
        <f t="shared" si="37"/>
        <v>-1</v>
      </c>
      <c r="O80" s="12"/>
      <c r="P80" s="1">
        <f>SUM(OSRRefP22_4x_0)</f>
        <v>0</v>
      </c>
      <c r="Q80" s="1"/>
      <c r="R80" s="5">
        <f t="shared" si="38"/>
        <v>0</v>
      </c>
      <c r="S80" s="1"/>
      <c r="T80" s="1">
        <f>SUM(OSRRefT22_4x_0)</f>
        <v>54716.33</v>
      </c>
      <c r="U80" s="1"/>
      <c r="V80" s="5">
        <f t="shared" si="39"/>
        <v>2.6843646782303068E-2</v>
      </c>
      <c r="W80" s="1"/>
      <c r="X80" s="1">
        <f t="shared" si="40"/>
        <v>-54716.33</v>
      </c>
      <c r="Y80" s="1"/>
      <c r="Z80" s="5">
        <f t="shared" si="41"/>
        <v>-1</v>
      </c>
    </row>
    <row r="81" spans="1:26" s="23" customFormat="1" hidden="1" outlineLevel="2" x14ac:dyDescent="0.25">
      <c r="A81" s="25"/>
      <c r="B81" s="10" t="str">
        <f>CONCATENATE("          ", "6382", " - ", "DISCOUNTS/MARK DOWNS")</f>
        <v xml:space="preserve">          6382 - DISCOUNTS/MARK DOWNS</v>
      </c>
      <c r="C81" s="10"/>
      <c r="D81" s="6">
        <v>0</v>
      </c>
      <c r="E81" s="2"/>
      <c r="F81" s="7">
        <f t="shared" si="34"/>
        <v>0</v>
      </c>
      <c r="G81" s="2"/>
      <c r="H81" s="6">
        <v>4929.46</v>
      </c>
      <c r="I81" s="2"/>
      <c r="J81" s="7">
        <f t="shared" si="35"/>
        <v>4.3126678504909845E-2</v>
      </c>
      <c r="K81" s="2"/>
      <c r="L81" s="6">
        <f t="shared" si="36"/>
        <v>-4929.46</v>
      </c>
      <c r="M81" s="2"/>
      <c r="N81" s="7">
        <f t="shared" si="37"/>
        <v>-1</v>
      </c>
      <c r="O81" s="10"/>
      <c r="P81" s="6">
        <v>0</v>
      </c>
      <c r="Q81" s="2"/>
      <c r="R81" s="7">
        <f t="shared" si="38"/>
        <v>0</v>
      </c>
      <c r="S81" s="2"/>
      <c r="T81" s="6">
        <v>54716.33</v>
      </c>
      <c r="U81" s="2"/>
      <c r="V81" s="7">
        <f t="shared" si="39"/>
        <v>2.6843646782303068E-2</v>
      </c>
      <c r="W81" s="2"/>
      <c r="X81" s="6">
        <f t="shared" si="40"/>
        <v>-54716.33</v>
      </c>
      <c r="Y81" s="2"/>
      <c r="Z81" s="7">
        <f t="shared" si="41"/>
        <v>-1</v>
      </c>
    </row>
    <row r="82" spans="1:26" s="26" customFormat="1" outlineLevel="1" collapsed="1" x14ac:dyDescent="0.25">
      <c r="A82" s="27"/>
      <c r="B82" s="12" t="str">
        <f>CONCATENATE("     ","Freight out/Postage                               ")</f>
        <v xml:space="preserve">     Freight out/Postage                               </v>
      </c>
      <c r="C82" s="12"/>
      <c r="D82" s="1">
        <f>SUM(OSRRefD22_5x_0)</f>
        <v>531.96</v>
      </c>
      <c r="E82" s="1"/>
      <c r="F82" s="5">
        <f t="shared" si="34"/>
        <v>1.2397536098070581E-3</v>
      </c>
      <c r="G82" s="1"/>
      <c r="H82" s="1">
        <f>SUM(OSRRefH22_5x_0)</f>
        <v>0</v>
      </c>
      <c r="I82" s="1"/>
      <c r="J82" s="5">
        <f t="shared" si="35"/>
        <v>0</v>
      </c>
      <c r="K82" s="1"/>
      <c r="L82" s="1">
        <f t="shared" si="36"/>
        <v>531.96</v>
      </c>
      <c r="M82" s="1"/>
      <c r="N82" s="5">
        <f t="shared" si="37"/>
        <v>0</v>
      </c>
      <c r="O82" s="12"/>
      <c r="P82" s="1">
        <f>SUM(OSRRefP22_5x_0)</f>
        <v>1614.29</v>
      </c>
      <c r="Q82" s="1"/>
      <c r="R82" s="5">
        <f t="shared" si="38"/>
        <v>7.9932897741318899E-4</v>
      </c>
      <c r="S82" s="1"/>
      <c r="T82" s="1">
        <f>SUM(OSRRefT22_5x_0)</f>
        <v>49.72</v>
      </c>
      <c r="U82" s="1"/>
      <c r="V82" s="5">
        <f t="shared" si="39"/>
        <v>2.4392464151307453E-5</v>
      </c>
      <c r="W82" s="1"/>
      <c r="X82" s="1">
        <f t="shared" si="40"/>
        <v>1564.57</v>
      </c>
      <c r="Y82" s="1"/>
      <c r="Z82" s="5">
        <f t="shared" si="41"/>
        <v>31.467618664521318</v>
      </c>
    </row>
    <row r="83" spans="1:26" s="23" customFormat="1" hidden="1" outlineLevel="2" x14ac:dyDescent="0.25">
      <c r="A83" s="25"/>
      <c r="B83" s="10" t="str">
        <f>CONCATENATE("          ", "6305", " - ", "FREIGHT OUT")</f>
        <v xml:space="preserve">          6305 - FREIGHT OUT</v>
      </c>
      <c r="C83" s="10"/>
      <c r="D83" s="6">
        <v>531.96</v>
      </c>
      <c r="E83" s="2"/>
      <c r="F83" s="7">
        <f t="shared" si="34"/>
        <v>1.2397536098070581E-3</v>
      </c>
      <c r="G83" s="2"/>
      <c r="H83" s="6"/>
      <c r="I83" s="2"/>
      <c r="J83" s="7">
        <f t="shared" si="35"/>
        <v>0</v>
      </c>
      <c r="K83" s="2"/>
      <c r="L83" s="6">
        <f t="shared" si="36"/>
        <v>531.96</v>
      </c>
      <c r="M83" s="2"/>
      <c r="N83" s="7">
        <f t="shared" si="37"/>
        <v>0</v>
      </c>
      <c r="O83" s="10"/>
      <c r="P83" s="6">
        <v>1601.69</v>
      </c>
      <c r="Q83" s="2"/>
      <c r="R83" s="7">
        <f t="shared" si="38"/>
        <v>7.930899837284073E-4</v>
      </c>
      <c r="S83" s="2"/>
      <c r="T83" s="6">
        <v>49.72</v>
      </c>
      <c r="U83" s="2"/>
      <c r="V83" s="7">
        <f t="shared" si="39"/>
        <v>2.4392464151307453E-5</v>
      </c>
      <c r="W83" s="2"/>
      <c r="X83" s="6">
        <f t="shared" si="40"/>
        <v>1551.97</v>
      </c>
      <c r="Y83" s="2"/>
      <c r="Z83" s="7">
        <f t="shared" si="41"/>
        <v>31.214199517296862</v>
      </c>
    </row>
    <row r="84" spans="1:26" s="23" customFormat="1" hidden="1" outlineLevel="2" x14ac:dyDescent="0.25">
      <c r="A84" s="25"/>
      <c r="B84" s="10" t="str">
        <f>CONCATENATE("          ", "6307", " - ", "POSTAGE")</f>
        <v xml:space="preserve">          6307 - POSTAGE</v>
      </c>
      <c r="C84" s="10"/>
      <c r="D84" s="6"/>
      <c r="E84" s="2"/>
      <c r="F84" s="7">
        <f t="shared" si="34"/>
        <v>0</v>
      </c>
      <c r="G84" s="2"/>
      <c r="H84" s="6"/>
      <c r="I84" s="2"/>
      <c r="J84" s="7">
        <f t="shared" si="35"/>
        <v>0</v>
      </c>
      <c r="K84" s="2"/>
      <c r="L84" s="6">
        <f t="shared" si="36"/>
        <v>0</v>
      </c>
      <c r="M84" s="2"/>
      <c r="N84" s="7">
        <f t="shared" si="37"/>
        <v>0</v>
      </c>
      <c r="O84" s="10"/>
      <c r="P84" s="6">
        <v>12.6</v>
      </c>
      <c r="Q84" s="2"/>
      <c r="R84" s="7">
        <f t="shared" si="38"/>
        <v>6.2389936847816567E-6</v>
      </c>
      <c r="S84" s="2"/>
      <c r="T84" s="6"/>
      <c r="U84" s="2"/>
      <c r="V84" s="7">
        <f t="shared" si="39"/>
        <v>0</v>
      </c>
      <c r="W84" s="2"/>
      <c r="X84" s="6">
        <f t="shared" si="40"/>
        <v>12.6</v>
      </c>
      <c r="Y84" s="2"/>
      <c r="Z84" s="7">
        <f t="shared" si="41"/>
        <v>0</v>
      </c>
    </row>
    <row r="85" spans="1:26" s="26" customFormat="1" outlineLevel="1" collapsed="1" x14ac:dyDescent="0.25">
      <c r="A85" s="27"/>
      <c r="B85" s="12" t="str">
        <f>CONCATENATE("     ","General                                           ")</f>
        <v xml:space="preserve">     General                                           </v>
      </c>
      <c r="C85" s="12"/>
      <c r="D85" s="1">
        <f>SUM(OSRRefD22_6x_0)</f>
        <v>0</v>
      </c>
      <c r="E85" s="1"/>
      <c r="F85" s="5">
        <f t="shared" ref="F85:F91" si="42">IF(D$12=0,0,D85/D$12)</f>
        <v>0</v>
      </c>
      <c r="G85" s="1"/>
      <c r="H85" s="1">
        <f>SUM(OSRRefH22_6x_0)</f>
        <v>0</v>
      </c>
      <c r="I85" s="1"/>
      <c r="J85" s="5">
        <f t="shared" ref="J85:J91" si="43">IF(H$12=0,0,H85/H$12)</f>
        <v>0</v>
      </c>
      <c r="K85" s="1"/>
      <c r="L85" s="1">
        <f t="shared" ref="L85:L91" si="44">+D85-H85</f>
        <v>0</v>
      </c>
      <c r="M85" s="1"/>
      <c r="N85" s="5">
        <f t="shared" ref="N85:N91" si="45">IF(H85=0,0,L85/H85)</f>
        <v>0</v>
      </c>
      <c r="O85" s="12"/>
      <c r="P85" s="1">
        <f>SUM(OSRRefP22_6x_0)</f>
        <v>-30.15</v>
      </c>
      <c r="Q85" s="1"/>
      <c r="R85" s="5">
        <f t="shared" ref="R85:R91" si="46">IF(P$12=0,0,P85/P$12)</f>
        <v>-1.4929020602870393E-5</v>
      </c>
      <c r="S85" s="1"/>
      <c r="T85" s="1">
        <f>SUM(OSRRefT22_6x_0)</f>
        <v>0</v>
      </c>
      <c r="U85" s="1"/>
      <c r="V85" s="5">
        <f t="shared" ref="V85:V91" si="47">IF(T$12=0,0,T85/T$12)</f>
        <v>0</v>
      </c>
      <c r="W85" s="1"/>
      <c r="X85" s="1">
        <f t="shared" ref="X85:X91" si="48">+P85-T85</f>
        <v>-30.15</v>
      </c>
      <c r="Y85" s="1"/>
      <c r="Z85" s="5">
        <f t="shared" ref="Z85:Z91" si="49">IF(T85=0,0,X85/T85)</f>
        <v>0</v>
      </c>
    </row>
    <row r="86" spans="1:26" s="23" customFormat="1" hidden="1" outlineLevel="2" x14ac:dyDescent="0.25">
      <c r="A86" s="25"/>
      <c r="B86" s="10" t="str">
        <f>CONCATENATE("          ", "6279", " - ", "GENERAL EXPENSE")</f>
        <v xml:space="preserve">          6279 - GENERAL EXPENSE</v>
      </c>
      <c r="C86" s="10"/>
      <c r="D86" s="6"/>
      <c r="E86" s="2"/>
      <c r="F86" s="7">
        <f t="shared" si="42"/>
        <v>0</v>
      </c>
      <c r="G86" s="2"/>
      <c r="H86" s="6"/>
      <c r="I86" s="2"/>
      <c r="J86" s="7">
        <f t="shared" si="43"/>
        <v>0</v>
      </c>
      <c r="K86" s="2"/>
      <c r="L86" s="6">
        <f t="shared" si="44"/>
        <v>0</v>
      </c>
      <c r="M86" s="2"/>
      <c r="N86" s="7">
        <f t="shared" si="45"/>
        <v>0</v>
      </c>
      <c r="O86" s="10"/>
      <c r="P86" s="6">
        <v>-30.15</v>
      </c>
      <c r="Q86" s="2"/>
      <c r="R86" s="7">
        <f t="shared" si="46"/>
        <v>-1.4929020602870393E-5</v>
      </c>
      <c r="S86" s="2"/>
      <c r="T86" s="6"/>
      <c r="U86" s="2"/>
      <c r="V86" s="7">
        <f t="shared" si="47"/>
        <v>0</v>
      </c>
      <c r="W86" s="2"/>
      <c r="X86" s="6">
        <f t="shared" si="48"/>
        <v>-30.15</v>
      </c>
      <c r="Y86" s="2"/>
      <c r="Z86" s="7">
        <f t="shared" si="49"/>
        <v>0</v>
      </c>
    </row>
    <row r="87" spans="1:26" s="26" customFormat="1" outlineLevel="1" collapsed="1" x14ac:dyDescent="0.25">
      <c r="A87" s="27"/>
      <c r="B87" s="12" t="str">
        <f>CONCATENATE("     ","Inventory Adjustment                              ")</f>
        <v xml:space="preserve">     Inventory Adjustment                              </v>
      </c>
      <c r="C87" s="12"/>
      <c r="D87" s="1">
        <f>SUM(OSRRefD22_7x_0)</f>
        <v>1250</v>
      </c>
      <c r="E87" s="1"/>
      <c r="F87" s="5">
        <f t="shared" si="42"/>
        <v>2.9131739458959742E-3</v>
      </c>
      <c r="G87" s="1"/>
      <c r="H87" s="1">
        <f>SUM(OSRRefH22_7x_0)</f>
        <v>0</v>
      </c>
      <c r="I87" s="1"/>
      <c r="J87" s="5">
        <f t="shared" si="43"/>
        <v>0</v>
      </c>
      <c r="K87" s="1"/>
      <c r="L87" s="1">
        <f t="shared" si="44"/>
        <v>1250</v>
      </c>
      <c r="M87" s="1"/>
      <c r="N87" s="5">
        <f t="shared" si="45"/>
        <v>0</v>
      </c>
      <c r="O87" s="12"/>
      <c r="P87" s="1">
        <f>SUM(OSRRefP22_7x_0)</f>
        <v>11250</v>
      </c>
      <c r="Q87" s="1"/>
      <c r="R87" s="5">
        <f t="shared" si="46"/>
        <v>5.5705300756979078E-3</v>
      </c>
      <c r="S87" s="1"/>
      <c r="T87" s="1">
        <f>SUM(OSRRefT22_7x_0)</f>
        <v>0</v>
      </c>
      <c r="U87" s="1"/>
      <c r="V87" s="5">
        <f t="shared" si="47"/>
        <v>0</v>
      </c>
      <c r="W87" s="1"/>
      <c r="X87" s="1">
        <f t="shared" si="48"/>
        <v>11250</v>
      </c>
      <c r="Y87" s="1"/>
      <c r="Z87" s="5">
        <f t="shared" si="49"/>
        <v>0</v>
      </c>
    </row>
    <row r="88" spans="1:26" s="23" customFormat="1" hidden="1" outlineLevel="2" x14ac:dyDescent="0.25">
      <c r="A88" s="25"/>
      <c r="B88" s="10" t="str">
        <f>CONCATENATE("          ", "6408", " - ", "INVENTORY ADJUSTMENT")</f>
        <v xml:space="preserve">          6408 - INVENTORY ADJUSTMENT</v>
      </c>
      <c r="C88" s="10"/>
      <c r="D88" s="6">
        <v>1250</v>
      </c>
      <c r="E88" s="2"/>
      <c r="F88" s="7">
        <f t="shared" si="42"/>
        <v>2.9131739458959742E-3</v>
      </c>
      <c r="G88" s="2"/>
      <c r="H88" s="6"/>
      <c r="I88" s="2"/>
      <c r="J88" s="7">
        <f t="shared" si="43"/>
        <v>0</v>
      </c>
      <c r="K88" s="2"/>
      <c r="L88" s="6">
        <f t="shared" si="44"/>
        <v>1250</v>
      </c>
      <c r="M88" s="2"/>
      <c r="N88" s="7">
        <f t="shared" si="45"/>
        <v>0</v>
      </c>
      <c r="O88" s="10"/>
      <c r="P88" s="6">
        <v>11250</v>
      </c>
      <c r="Q88" s="2"/>
      <c r="R88" s="7">
        <f t="shared" si="46"/>
        <v>5.5705300756979078E-3</v>
      </c>
      <c r="S88" s="2"/>
      <c r="T88" s="6"/>
      <c r="U88" s="2"/>
      <c r="V88" s="7">
        <f t="shared" si="47"/>
        <v>0</v>
      </c>
      <c r="W88" s="2"/>
      <c r="X88" s="6">
        <f t="shared" si="48"/>
        <v>11250</v>
      </c>
      <c r="Y88" s="2"/>
      <c r="Z88" s="7">
        <f t="shared" si="49"/>
        <v>0</v>
      </c>
    </row>
    <row r="89" spans="1:26" s="26" customFormat="1" outlineLevel="1" collapsed="1" x14ac:dyDescent="0.25">
      <c r="A89" s="27"/>
      <c r="B89" s="12" t="str">
        <f>CONCATENATE("     ","Repair and Maintenance                            ")</f>
        <v xml:space="preserve">     Repair and Maintenance                            </v>
      </c>
      <c r="C89" s="12"/>
      <c r="D89" s="1">
        <f>SUM(OSRRefD22_8x_0)</f>
        <v>1550</v>
      </c>
      <c r="E89" s="1"/>
      <c r="F89" s="5">
        <f t="shared" si="42"/>
        <v>3.612335692911008E-3</v>
      </c>
      <c r="G89" s="1"/>
      <c r="H89" s="1">
        <f>SUM(OSRRefH22_8x_0)</f>
        <v>0</v>
      </c>
      <c r="I89" s="1"/>
      <c r="J89" s="5">
        <f t="shared" si="43"/>
        <v>0</v>
      </c>
      <c r="K89" s="1"/>
      <c r="L89" s="1">
        <f t="shared" si="44"/>
        <v>1550</v>
      </c>
      <c r="M89" s="1"/>
      <c r="N89" s="5">
        <f t="shared" si="45"/>
        <v>0</v>
      </c>
      <c r="O89" s="12"/>
      <c r="P89" s="1">
        <f>SUM(OSRRefP22_8x_0)</f>
        <v>1550</v>
      </c>
      <c r="Q89" s="1"/>
      <c r="R89" s="5">
        <f t="shared" si="46"/>
        <v>7.6749525487393401E-4</v>
      </c>
      <c r="S89" s="1"/>
      <c r="T89" s="1">
        <f>SUM(OSRRefT22_8x_0)</f>
        <v>197.18</v>
      </c>
      <c r="U89" s="1"/>
      <c r="V89" s="5">
        <f t="shared" si="47"/>
        <v>9.6735842344223725E-5</v>
      </c>
      <c r="W89" s="1"/>
      <c r="X89" s="1">
        <f t="shared" si="48"/>
        <v>1352.82</v>
      </c>
      <c r="Y89" s="1"/>
      <c r="Z89" s="5">
        <f t="shared" si="49"/>
        <v>6.8608378131656345</v>
      </c>
    </row>
    <row r="90" spans="1:26" s="23" customFormat="1" hidden="1" outlineLevel="2" x14ac:dyDescent="0.25">
      <c r="A90" s="25"/>
      <c r="B90" s="10" t="str">
        <f>CONCATENATE("          ", "6371", " - ", "COMPUTER SOFTWARE MAINTENANCE")</f>
        <v xml:space="preserve">          6371 - COMPUTER SOFTWARE MAINTENANCE</v>
      </c>
      <c r="C90" s="10"/>
      <c r="D90" s="6">
        <v>1550</v>
      </c>
      <c r="E90" s="2"/>
      <c r="F90" s="7">
        <f t="shared" si="42"/>
        <v>3.612335692911008E-3</v>
      </c>
      <c r="G90" s="2"/>
      <c r="H90" s="6"/>
      <c r="I90" s="2"/>
      <c r="J90" s="7">
        <f t="shared" si="43"/>
        <v>0</v>
      </c>
      <c r="K90" s="2"/>
      <c r="L90" s="6">
        <f t="shared" si="44"/>
        <v>1550</v>
      </c>
      <c r="M90" s="2"/>
      <c r="N90" s="7">
        <f t="shared" si="45"/>
        <v>0</v>
      </c>
      <c r="O90" s="10"/>
      <c r="P90" s="6">
        <v>1550</v>
      </c>
      <c r="Q90" s="2"/>
      <c r="R90" s="7">
        <f t="shared" si="46"/>
        <v>7.6749525487393401E-4</v>
      </c>
      <c r="S90" s="2"/>
      <c r="T90" s="6"/>
      <c r="U90" s="2"/>
      <c r="V90" s="7">
        <f t="shared" si="47"/>
        <v>0</v>
      </c>
      <c r="W90" s="2"/>
      <c r="X90" s="6">
        <f t="shared" si="48"/>
        <v>1550</v>
      </c>
      <c r="Y90" s="2"/>
      <c r="Z90" s="7">
        <f t="shared" si="49"/>
        <v>0</v>
      </c>
    </row>
    <row r="91" spans="1:26" s="23" customFormat="1" hidden="1" outlineLevel="2" x14ac:dyDescent="0.25">
      <c r="A91" s="25"/>
      <c r="B91" s="10" t="str">
        <f>CONCATENATE("          ", "6375", " - ", "OUTSIDE REPAIRS &amp; MAINTENANCE")</f>
        <v xml:space="preserve">          6375 - OUTSIDE REPAIRS &amp; MAINTENANCE</v>
      </c>
      <c r="C91" s="10"/>
      <c r="D91" s="6"/>
      <c r="E91" s="2"/>
      <c r="F91" s="7">
        <f t="shared" si="42"/>
        <v>0</v>
      </c>
      <c r="G91" s="2"/>
      <c r="H91" s="6"/>
      <c r="I91" s="2"/>
      <c r="J91" s="7">
        <f t="shared" si="43"/>
        <v>0</v>
      </c>
      <c r="K91" s="2"/>
      <c r="L91" s="6">
        <f t="shared" si="44"/>
        <v>0</v>
      </c>
      <c r="M91" s="2"/>
      <c r="N91" s="7">
        <f t="shared" si="45"/>
        <v>0</v>
      </c>
      <c r="O91" s="10"/>
      <c r="P91" s="6"/>
      <c r="Q91" s="2"/>
      <c r="R91" s="7">
        <f t="shared" si="46"/>
        <v>0</v>
      </c>
      <c r="S91" s="2"/>
      <c r="T91" s="6">
        <v>197.18</v>
      </c>
      <c r="U91" s="2"/>
      <c r="V91" s="7">
        <f t="shared" si="47"/>
        <v>9.6735842344223725E-5</v>
      </c>
      <c r="W91" s="2"/>
      <c r="X91" s="6">
        <f t="shared" si="48"/>
        <v>-197.18</v>
      </c>
      <c r="Y91" s="2"/>
      <c r="Z91" s="7">
        <f t="shared" si="49"/>
        <v>-1</v>
      </c>
    </row>
    <row r="92" spans="1:26" s="26" customFormat="1" outlineLevel="1" collapsed="1" x14ac:dyDescent="0.25">
      <c r="A92" s="27"/>
      <c r="B92" s="12" t="str">
        <f>CONCATENATE("     ","Subscriptions &amp; Dues                              ")</f>
        <v xml:space="preserve">     Subscriptions &amp; Dues                              </v>
      </c>
      <c r="C92" s="12"/>
      <c r="D92" s="1">
        <f>SUM(OSRRefD22_9x_0)</f>
        <v>0</v>
      </c>
      <c r="E92" s="1"/>
      <c r="F92" s="5">
        <f t="shared" ref="F92:F99" si="50">IF(D$12=0,0,D92/D$12)</f>
        <v>0</v>
      </c>
      <c r="G92" s="1"/>
      <c r="H92" s="1">
        <f>SUM(OSRRefH22_9x_0)</f>
        <v>0</v>
      </c>
      <c r="I92" s="1"/>
      <c r="J92" s="5">
        <f t="shared" ref="J92:J99" si="51">IF(H$12=0,0,H92/H$12)</f>
        <v>0</v>
      </c>
      <c r="K92" s="1"/>
      <c r="L92" s="1">
        <f t="shared" ref="L92:L99" si="52">+D92-H92</f>
        <v>0</v>
      </c>
      <c r="M92" s="1"/>
      <c r="N92" s="5">
        <f t="shared" ref="N92:N99" si="53">IF(H92=0,0,L92/H92)</f>
        <v>0</v>
      </c>
      <c r="O92" s="12"/>
      <c r="P92" s="1">
        <f>SUM(OSRRefP22_9x_0)</f>
        <v>0</v>
      </c>
      <c r="Q92" s="1"/>
      <c r="R92" s="5">
        <f t="shared" ref="R92:R99" si="54">IF(P$12=0,0,P92/P$12)</f>
        <v>0</v>
      </c>
      <c r="S92" s="1"/>
      <c r="T92" s="1">
        <f>SUM(OSRRefT22_9x_0)</f>
        <v>-4886.5</v>
      </c>
      <c r="U92" s="1"/>
      <c r="V92" s="5">
        <f t="shared" ref="V92:V99" si="55">IF(T$12=0,0,T92/T$12)</f>
        <v>-2.3973004037683805E-3</v>
      </c>
      <c r="W92" s="1"/>
      <c r="X92" s="1">
        <f t="shared" ref="X92:X99" si="56">+P92-T92</f>
        <v>4886.5</v>
      </c>
      <c r="Y92" s="1"/>
      <c r="Z92" s="5">
        <f t="shared" ref="Z92:Z99" si="57">IF(T92=0,0,X92/T92)</f>
        <v>-1</v>
      </c>
    </row>
    <row r="93" spans="1:26" s="23" customFormat="1" hidden="1" outlineLevel="2" x14ac:dyDescent="0.25">
      <c r="A93" s="25"/>
      <c r="B93" s="10" t="str">
        <f>CONCATENATE("          ", "6258", " - ", "MEMBERSHIP DUES")</f>
        <v xml:space="preserve">          6258 - MEMBERSHIP DUES</v>
      </c>
      <c r="C93" s="10"/>
      <c r="D93" s="6"/>
      <c r="E93" s="2"/>
      <c r="F93" s="7">
        <f t="shared" si="50"/>
        <v>0</v>
      </c>
      <c r="G93" s="2"/>
      <c r="H93" s="6"/>
      <c r="I93" s="2"/>
      <c r="J93" s="7">
        <f t="shared" si="51"/>
        <v>0</v>
      </c>
      <c r="K93" s="2"/>
      <c r="L93" s="6">
        <f t="shared" si="52"/>
        <v>0</v>
      </c>
      <c r="M93" s="2"/>
      <c r="N93" s="7">
        <f t="shared" si="53"/>
        <v>0</v>
      </c>
      <c r="O93" s="10"/>
      <c r="P93" s="6"/>
      <c r="Q93" s="2"/>
      <c r="R93" s="7">
        <f t="shared" si="54"/>
        <v>0</v>
      </c>
      <c r="S93" s="2"/>
      <c r="T93" s="6">
        <v>-4886.5</v>
      </c>
      <c r="U93" s="2"/>
      <c r="V93" s="7">
        <f t="shared" si="55"/>
        <v>-2.3973004037683805E-3</v>
      </c>
      <c r="W93" s="2"/>
      <c r="X93" s="6">
        <f t="shared" si="56"/>
        <v>4886.5</v>
      </c>
      <c r="Y93" s="2"/>
      <c r="Z93" s="7">
        <f t="shared" si="57"/>
        <v>-1</v>
      </c>
    </row>
    <row r="94" spans="1:26" s="26" customFormat="1" outlineLevel="1" collapsed="1" x14ac:dyDescent="0.25">
      <c r="A94" s="27"/>
      <c r="B94" s="12" t="str">
        <f>CONCATENATE("     ","Supplies                                          ")</f>
        <v xml:space="preserve">     Supplies                                          </v>
      </c>
      <c r="C94" s="12"/>
      <c r="D94" s="1">
        <f>SUM(OSRRefD22_10x_0)</f>
        <v>1733.49</v>
      </c>
      <c r="E94" s="1"/>
      <c r="F94" s="5">
        <f t="shared" si="50"/>
        <v>4.03996632277697E-3</v>
      </c>
      <c r="G94" s="1"/>
      <c r="H94" s="1">
        <f>SUM(OSRRefH22_10x_0)</f>
        <v>58.95</v>
      </c>
      <c r="I94" s="1"/>
      <c r="J94" s="5">
        <f t="shared" si="51"/>
        <v>5.1573959376167685E-4</v>
      </c>
      <c r="K94" s="1"/>
      <c r="L94" s="1">
        <f t="shared" si="52"/>
        <v>1674.54</v>
      </c>
      <c r="M94" s="1"/>
      <c r="N94" s="5">
        <f t="shared" si="53"/>
        <v>28.406106870229006</v>
      </c>
      <c r="O94" s="12"/>
      <c r="P94" s="1">
        <f>SUM(OSRRefP22_10x_0)</f>
        <v>3812.09</v>
      </c>
      <c r="Q94" s="1"/>
      <c r="R94" s="5">
        <f t="shared" si="54"/>
        <v>1.8875877330015323E-3</v>
      </c>
      <c r="S94" s="1"/>
      <c r="T94" s="1">
        <f>SUM(OSRRefT22_10x_0)</f>
        <v>3135.2700000000004</v>
      </c>
      <c r="U94" s="1"/>
      <c r="V94" s="5">
        <f t="shared" si="55"/>
        <v>1.5381528777085626E-3</v>
      </c>
      <c r="W94" s="1"/>
      <c r="X94" s="1">
        <f t="shared" si="56"/>
        <v>676.81999999999971</v>
      </c>
      <c r="Y94" s="1"/>
      <c r="Z94" s="5">
        <f t="shared" si="57"/>
        <v>0.21587295512029256</v>
      </c>
    </row>
    <row r="95" spans="1:26" s="23" customFormat="1" hidden="1" outlineLevel="2" x14ac:dyDescent="0.25">
      <c r="A95" s="25"/>
      <c r="B95" s="10" t="str">
        <f>CONCATENATE("          ", "6234", " - ", "EXPENDABLE SUPPLIES &amp; EQUIPMEN")</f>
        <v xml:space="preserve">          6234 - EXPENDABLE SUPPLIES &amp; EQUIPMEN</v>
      </c>
      <c r="C95" s="10"/>
      <c r="D95" s="6">
        <v>1733.49</v>
      </c>
      <c r="E95" s="2"/>
      <c r="F95" s="7">
        <f t="shared" si="50"/>
        <v>4.03996632277697E-3</v>
      </c>
      <c r="G95" s="2"/>
      <c r="H95" s="6"/>
      <c r="I95" s="2"/>
      <c r="J95" s="7">
        <f t="shared" si="51"/>
        <v>0</v>
      </c>
      <c r="K95" s="2"/>
      <c r="L95" s="6">
        <f t="shared" si="52"/>
        <v>1733.49</v>
      </c>
      <c r="M95" s="2"/>
      <c r="N95" s="7">
        <f t="shared" si="53"/>
        <v>0</v>
      </c>
      <c r="O95" s="10"/>
      <c r="P95" s="6">
        <v>1733.49</v>
      </c>
      <c r="Q95" s="2"/>
      <c r="R95" s="7">
        <f t="shared" si="54"/>
        <v>8.5835183830413925E-4</v>
      </c>
      <c r="S95" s="2"/>
      <c r="T95" s="6"/>
      <c r="U95" s="2"/>
      <c r="V95" s="7">
        <f t="shared" si="55"/>
        <v>0</v>
      </c>
      <c r="W95" s="2"/>
      <c r="X95" s="6">
        <f t="shared" si="56"/>
        <v>1733.49</v>
      </c>
      <c r="Y95" s="2"/>
      <c r="Z95" s="7">
        <f t="shared" si="57"/>
        <v>0</v>
      </c>
    </row>
    <row r="96" spans="1:26" s="23" customFormat="1" hidden="1" outlineLevel="2" x14ac:dyDescent="0.25">
      <c r="A96" s="25"/>
      <c r="B96" s="10" t="str">
        <f>CONCATENATE("          ", "6235", " - ", "COVID-19 EXPENSES")</f>
        <v xml:space="preserve">          6235 - COVID-19 EXPENSES</v>
      </c>
      <c r="C96" s="10"/>
      <c r="D96" s="6"/>
      <c r="E96" s="2"/>
      <c r="F96" s="7">
        <f t="shared" si="50"/>
        <v>0</v>
      </c>
      <c r="G96" s="2"/>
      <c r="H96" s="6"/>
      <c r="I96" s="2"/>
      <c r="J96" s="7">
        <f t="shared" si="51"/>
        <v>0</v>
      </c>
      <c r="K96" s="2"/>
      <c r="L96" s="6">
        <f t="shared" si="52"/>
        <v>0</v>
      </c>
      <c r="M96" s="2"/>
      <c r="N96" s="7">
        <f t="shared" si="53"/>
        <v>0</v>
      </c>
      <c r="O96" s="10"/>
      <c r="P96" s="6">
        <v>668.12</v>
      </c>
      <c r="Q96" s="2"/>
      <c r="R96" s="7">
        <f t="shared" si="54"/>
        <v>3.3082511592669211E-4</v>
      </c>
      <c r="S96" s="2"/>
      <c r="T96" s="6"/>
      <c r="U96" s="2"/>
      <c r="V96" s="7">
        <f t="shared" si="55"/>
        <v>0</v>
      </c>
      <c r="W96" s="2"/>
      <c r="X96" s="6">
        <f t="shared" si="56"/>
        <v>668.12</v>
      </c>
      <c r="Y96" s="2"/>
      <c r="Z96" s="7">
        <f t="shared" si="57"/>
        <v>0</v>
      </c>
    </row>
    <row r="97" spans="1:26" s="23" customFormat="1" hidden="1" outlineLevel="2" x14ac:dyDescent="0.25">
      <c r="A97" s="25"/>
      <c r="B97" s="10" t="str">
        <f>CONCATENATE("          ", "6241", " - ", "OFFICE EXPENSE")</f>
        <v xml:space="preserve">          6241 - OFFICE EXPENSE</v>
      </c>
      <c r="C97" s="10"/>
      <c r="D97" s="6"/>
      <c r="E97" s="2"/>
      <c r="F97" s="7">
        <f t="shared" si="50"/>
        <v>0</v>
      </c>
      <c r="G97" s="2"/>
      <c r="H97" s="6">
        <v>58.95</v>
      </c>
      <c r="I97" s="2"/>
      <c r="J97" s="7">
        <f t="shared" si="51"/>
        <v>5.1573959376167685E-4</v>
      </c>
      <c r="K97" s="2"/>
      <c r="L97" s="6">
        <f t="shared" si="52"/>
        <v>-58.95</v>
      </c>
      <c r="M97" s="2"/>
      <c r="N97" s="7">
        <f t="shared" si="53"/>
        <v>-1</v>
      </c>
      <c r="O97" s="10"/>
      <c r="P97" s="6">
        <v>1410.48</v>
      </c>
      <c r="Q97" s="2"/>
      <c r="R97" s="7">
        <f t="shared" si="54"/>
        <v>6.9841077877070092E-4</v>
      </c>
      <c r="S97" s="2"/>
      <c r="T97" s="6">
        <v>1125.8900000000001</v>
      </c>
      <c r="U97" s="2"/>
      <c r="V97" s="7">
        <f t="shared" si="55"/>
        <v>5.5235783313184938E-4</v>
      </c>
      <c r="W97" s="2"/>
      <c r="X97" s="6">
        <f t="shared" si="56"/>
        <v>284.58999999999992</v>
      </c>
      <c r="Y97" s="2"/>
      <c r="Z97" s="7">
        <f t="shared" si="57"/>
        <v>0.25276892058726863</v>
      </c>
    </row>
    <row r="98" spans="1:26" s="23" customFormat="1" hidden="1" outlineLevel="2" x14ac:dyDescent="0.25">
      <c r="A98" s="25"/>
      <c r="B98" s="10" t="str">
        <f>CONCATENATE("          ", "6245", " - ", "PRINTING")</f>
        <v xml:space="preserve">          6245 - PRINTING</v>
      </c>
      <c r="C98" s="10"/>
      <c r="D98" s="6"/>
      <c r="E98" s="2"/>
      <c r="F98" s="7">
        <f t="shared" si="50"/>
        <v>0</v>
      </c>
      <c r="G98" s="2"/>
      <c r="H98" s="6"/>
      <c r="I98" s="2"/>
      <c r="J98" s="7">
        <f t="shared" si="51"/>
        <v>0</v>
      </c>
      <c r="K98" s="2"/>
      <c r="L98" s="6">
        <f t="shared" si="52"/>
        <v>0</v>
      </c>
      <c r="M98" s="2"/>
      <c r="N98" s="7">
        <f t="shared" si="53"/>
        <v>0</v>
      </c>
      <c r="O98" s="10"/>
      <c r="P98" s="6"/>
      <c r="Q98" s="2"/>
      <c r="R98" s="7">
        <f t="shared" si="54"/>
        <v>0</v>
      </c>
      <c r="S98" s="2"/>
      <c r="T98" s="6">
        <v>0</v>
      </c>
      <c r="U98" s="2"/>
      <c r="V98" s="7">
        <f t="shared" si="55"/>
        <v>0</v>
      </c>
      <c r="W98" s="2"/>
      <c r="X98" s="6">
        <f t="shared" si="56"/>
        <v>0</v>
      </c>
      <c r="Y98" s="2"/>
      <c r="Z98" s="7">
        <f t="shared" si="57"/>
        <v>0</v>
      </c>
    </row>
    <row r="99" spans="1:26" s="23" customFormat="1" hidden="1" outlineLevel="2" x14ac:dyDescent="0.25">
      <c r="A99" s="25"/>
      <c r="B99" s="10" t="str">
        <f>CONCATENATE("          ", "6247", " - ", "STORE SUPPLIES")</f>
        <v xml:space="preserve">          6247 - STORE SUPPLIES</v>
      </c>
      <c r="C99" s="10"/>
      <c r="D99" s="6"/>
      <c r="E99" s="2"/>
      <c r="F99" s="7">
        <f t="shared" si="50"/>
        <v>0</v>
      </c>
      <c r="G99" s="2"/>
      <c r="H99" s="6"/>
      <c r="I99" s="2"/>
      <c r="J99" s="7">
        <f t="shared" si="51"/>
        <v>0</v>
      </c>
      <c r="K99" s="2"/>
      <c r="L99" s="6">
        <f t="shared" si="52"/>
        <v>0</v>
      </c>
      <c r="M99" s="2"/>
      <c r="N99" s="7">
        <f t="shared" si="53"/>
        <v>0</v>
      </c>
      <c r="O99" s="10"/>
      <c r="P99" s="6"/>
      <c r="Q99" s="2"/>
      <c r="R99" s="7">
        <f t="shared" si="54"/>
        <v>0</v>
      </c>
      <c r="S99" s="2"/>
      <c r="T99" s="6">
        <v>2009.38</v>
      </c>
      <c r="U99" s="2"/>
      <c r="V99" s="7">
        <f t="shared" si="55"/>
        <v>9.8579504457671301E-4</v>
      </c>
      <c r="W99" s="2"/>
      <c r="X99" s="6">
        <f t="shared" si="56"/>
        <v>-2009.38</v>
      </c>
      <c r="Y99" s="2"/>
      <c r="Z99" s="7">
        <f t="shared" si="57"/>
        <v>-1</v>
      </c>
    </row>
    <row r="100" spans="1:26" s="26" customFormat="1" outlineLevel="1" collapsed="1" x14ac:dyDescent="0.25">
      <c r="A100" s="27"/>
      <c r="B100" s="12" t="str">
        <f>CONCATENATE("     ","Telephone/Data Lines                              ")</f>
        <v xml:space="preserve">     Telephone/Data Lines                              </v>
      </c>
      <c r="C100" s="12"/>
      <c r="D100" s="1">
        <f>SUM(OSRRefD22_11x_0)</f>
        <v>274.85000000000002</v>
      </c>
      <c r="E100" s="1"/>
      <c r="F100" s="5">
        <f t="shared" ref="F100:F105" si="58">IF(D$12=0,0,D100/D$12)</f>
        <v>6.405486872236068E-4</v>
      </c>
      <c r="G100" s="1"/>
      <c r="H100" s="1">
        <f>SUM(OSRRefH22_11x_0)</f>
        <v>258.75</v>
      </c>
      <c r="I100" s="1"/>
      <c r="J100" s="5">
        <f t="shared" ref="J100:J105" si="59">IF(H$12=0,0,H100/H$12)</f>
        <v>2.2637424917020168E-3</v>
      </c>
      <c r="K100" s="1"/>
      <c r="L100" s="1">
        <f t="shared" ref="L100:L105" si="60">+D100-H100</f>
        <v>16.100000000000023</v>
      </c>
      <c r="M100" s="1"/>
      <c r="N100" s="5">
        <f t="shared" ref="N100:N105" si="61">IF(H100=0,0,L100/H100)</f>
        <v>6.2222222222222311E-2</v>
      </c>
      <c r="O100" s="12"/>
      <c r="P100" s="1">
        <f>SUM(OSRRefP22_11x_0)</f>
        <v>2606.25</v>
      </c>
      <c r="Q100" s="1"/>
      <c r="R100" s="5">
        <f t="shared" ref="R100:R105" si="62">IF(P$12=0,0,P100/P$12)</f>
        <v>1.2905061342033486E-3</v>
      </c>
      <c r="S100" s="1"/>
      <c r="T100" s="1">
        <f>SUM(OSRRefT22_11x_0)</f>
        <v>2304.6</v>
      </c>
      <c r="U100" s="1"/>
      <c r="V100" s="5">
        <f t="shared" ref="V100:V105" si="63">IF(T$12=0,0,T100/T$12)</f>
        <v>1.130628979949782E-3</v>
      </c>
      <c r="W100" s="1"/>
      <c r="X100" s="1">
        <f t="shared" ref="X100:X105" si="64">+P100-T100</f>
        <v>301.65000000000009</v>
      </c>
      <c r="Y100" s="1"/>
      <c r="Z100" s="5">
        <f t="shared" ref="Z100:Z105" si="65">IF(T100=0,0,X100/T100)</f>
        <v>0.13089039312678993</v>
      </c>
    </row>
    <row r="101" spans="1:26" s="23" customFormat="1" hidden="1" outlineLevel="2" x14ac:dyDescent="0.25">
      <c r="A101" s="25"/>
      <c r="B101" s="10" t="str">
        <f>CONCATENATE("          ", "6309", " - ", "TELEPHONE")</f>
        <v xml:space="preserve">          6309 - TELEPHONE</v>
      </c>
      <c r="C101" s="10"/>
      <c r="D101" s="6">
        <v>274.85000000000002</v>
      </c>
      <c r="E101" s="2"/>
      <c r="F101" s="7">
        <f t="shared" si="58"/>
        <v>6.405486872236068E-4</v>
      </c>
      <c r="G101" s="2"/>
      <c r="H101" s="6">
        <v>258.75</v>
      </c>
      <c r="I101" s="2"/>
      <c r="J101" s="7">
        <f t="shared" si="59"/>
        <v>2.2637424917020168E-3</v>
      </c>
      <c r="K101" s="2"/>
      <c r="L101" s="6">
        <f t="shared" si="60"/>
        <v>16.100000000000023</v>
      </c>
      <c r="M101" s="2"/>
      <c r="N101" s="7">
        <f t="shared" si="61"/>
        <v>6.2222222222222311E-2</v>
      </c>
      <c r="O101" s="10"/>
      <c r="P101" s="6">
        <v>2606.25</v>
      </c>
      <c r="Q101" s="2"/>
      <c r="R101" s="7">
        <f t="shared" si="62"/>
        <v>1.2905061342033486E-3</v>
      </c>
      <c r="S101" s="2"/>
      <c r="T101" s="6">
        <v>2304.6</v>
      </c>
      <c r="U101" s="2"/>
      <c r="V101" s="7">
        <f t="shared" si="63"/>
        <v>1.130628979949782E-3</v>
      </c>
      <c r="W101" s="2"/>
      <c r="X101" s="6">
        <f t="shared" si="64"/>
        <v>301.65000000000009</v>
      </c>
      <c r="Y101" s="2"/>
      <c r="Z101" s="7">
        <f t="shared" si="65"/>
        <v>0.13089039312678993</v>
      </c>
    </row>
    <row r="102" spans="1:26" s="26" customFormat="1" outlineLevel="1" collapsed="1" x14ac:dyDescent="0.25">
      <c r="A102" s="27"/>
      <c r="B102" s="12" t="str">
        <f>CONCATENATE("     ","Training                                          ")</f>
        <v xml:space="preserve">     Training                                          </v>
      </c>
      <c r="C102" s="12"/>
      <c r="D102" s="1">
        <f>SUM(OSRRefD22_12x_0)</f>
        <v>0</v>
      </c>
      <c r="E102" s="1"/>
      <c r="F102" s="5">
        <f t="shared" si="58"/>
        <v>0</v>
      </c>
      <c r="G102" s="1"/>
      <c r="H102" s="1">
        <f>SUM(OSRRefH22_12x_0)</f>
        <v>571.04999999999995</v>
      </c>
      <c r="I102" s="1"/>
      <c r="J102" s="5">
        <f t="shared" si="59"/>
        <v>4.9959812555997541E-3</v>
      </c>
      <c r="K102" s="1"/>
      <c r="L102" s="1">
        <f t="shared" si="60"/>
        <v>-571.04999999999995</v>
      </c>
      <c r="M102" s="1"/>
      <c r="N102" s="5">
        <f t="shared" si="61"/>
        <v>-1</v>
      </c>
      <c r="O102" s="12"/>
      <c r="P102" s="1">
        <f>SUM(OSRRefP22_12x_0)</f>
        <v>100</v>
      </c>
      <c r="Q102" s="1"/>
      <c r="R102" s="5">
        <f t="shared" si="62"/>
        <v>4.9515822895092517E-5</v>
      </c>
      <c r="S102" s="1"/>
      <c r="T102" s="1">
        <f>SUM(OSRRefT22_12x_0)</f>
        <v>1875.75</v>
      </c>
      <c r="U102" s="1"/>
      <c r="V102" s="5">
        <f t="shared" si="63"/>
        <v>9.2023661769539337E-4</v>
      </c>
      <c r="W102" s="1"/>
      <c r="X102" s="1">
        <f t="shared" si="64"/>
        <v>-1775.75</v>
      </c>
      <c r="Y102" s="1"/>
      <c r="Z102" s="5">
        <f t="shared" si="65"/>
        <v>-0.94668799147007865</v>
      </c>
    </row>
    <row r="103" spans="1:26" s="23" customFormat="1" hidden="1" outlineLevel="2" x14ac:dyDescent="0.25">
      <c r="A103" s="25"/>
      <c r="B103" s="10" t="str">
        <f>CONCATENATE("          ", "6376", " - ", "TRAINING")</f>
        <v xml:space="preserve">          6376 - TRAINING</v>
      </c>
      <c r="C103" s="10"/>
      <c r="D103" s="6"/>
      <c r="E103" s="2"/>
      <c r="F103" s="7">
        <f t="shared" si="58"/>
        <v>0</v>
      </c>
      <c r="G103" s="2"/>
      <c r="H103" s="6">
        <v>571.04999999999995</v>
      </c>
      <c r="I103" s="2"/>
      <c r="J103" s="7">
        <f t="shared" si="59"/>
        <v>4.9959812555997541E-3</v>
      </c>
      <c r="K103" s="2"/>
      <c r="L103" s="6">
        <f t="shared" si="60"/>
        <v>-571.04999999999995</v>
      </c>
      <c r="M103" s="2"/>
      <c r="N103" s="7">
        <f t="shared" si="61"/>
        <v>-1</v>
      </c>
      <c r="O103" s="10"/>
      <c r="P103" s="6">
        <v>100</v>
      </c>
      <c r="Q103" s="2"/>
      <c r="R103" s="7">
        <f t="shared" si="62"/>
        <v>4.9515822895092517E-5</v>
      </c>
      <c r="S103" s="2"/>
      <c r="T103" s="6">
        <v>1875.75</v>
      </c>
      <c r="U103" s="2"/>
      <c r="V103" s="7">
        <f t="shared" si="63"/>
        <v>9.2023661769539337E-4</v>
      </c>
      <c r="W103" s="2"/>
      <c r="X103" s="6">
        <f t="shared" si="64"/>
        <v>-1775.75</v>
      </c>
      <c r="Y103" s="2"/>
      <c r="Z103" s="7">
        <f t="shared" si="65"/>
        <v>-0.94668799147007865</v>
      </c>
    </row>
    <row r="104" spans="1:26" s="26" customFormat="1" outlineLevel="1" collapsed="1" x14ac:dyDescent="0.25">
      <c r="A104" s="27"/>
      <c r="B104" s="12" t="str">
        <f>CONCATENATE("     ","Travel                                            ")</f>
        <v xml:space="preserve">     Travel                                            </v>
      </c>
      <c r="C104" s="12"/>
      <c r="D104" s="1">
        <f>SUM(OSRRefD22_13x_0)</f>
        <v>0</v>
      </c>
      <c r="E104" s="1"/>
      <c r="F104" s="5">
        <f t="shared" si="58"/>
        <v>0</v>
      </c>
      <c r="G104" s="1"/>
      <c r="H104" s="1">
        <f>SUM(OSRRefH22_13x_0)</f>
        <v>0</v>
      </c>
      <c r="I104" s="1"/>
      <c r="J104" s="5">
        <f t="shared" si="59"/>
        <v>0</v>
      </c>
      <c r="K104" s="1"/>
      <c r="L104" s="1">
        <f t="shared" si="60"/>
        <v>0</v>
      </c>
      <c r="M104" s="1"/>
      <c r="N104" s="5">
        <f t="shared" si="61"/>
        <v>0</v>
      </c>
      <c r="O104" s="12"/>
      <c r="P104" s="1">
        <f>SUM(OSRRefP22_13x_0)</f>
        <v>0</v>
      </c>
      <c r="Q104" s="1"/>
      <c r="R104" s="5">
        <f t="shared" si="62"/>
        <v>0</v>
      </c>
      <c r="S104" s="1"/>
      <c r="T104" s="1">
        <f>SUM(OSRRefT22_13x_0)</f>
        <v>-178.06</v>
      </c>
      <c r="U104" s="1"/>
      <c r="V104" s="5">
        <f t="shared" si="63"/>
        <v>-8.7355634891025854E-5</v>
      </c>
      <c r="W104" s="1"/>
      <c r="X104" s="1">
        <f t="shared" si="64"/>
        <v>178.06</v>
      </c>
      <c r="Y104" s="1"/>
      <c r="Z104" s="5">
        <f t="shared" si="65"/>
        <v>-1</v>
      </c>
    </row>
    <row r="105" spans="1:26" s="23" customFormat="1" hidden="1" outlineLevel="2" x14ac:dyDescent="0.25">
      <c r="A105" s="25"/>
      <c r="B105" s="10" t="str">
        <f>CONCATENATE("          ", "6292", " - ", "TRAVEL/CONFERENCE")</f>
        <v xml:space="preserve">          6292 - TRAVEL/CONFERENCE</v>
      </c>
      <c r="C105" s="10"/>
      <c r="D105" s="6"/>
      <c r="E105" s="2"/>
      <c r="F105" s="7">
        <f t="shared" si="58"/>
        <v>0</v>
      </c>
      <c r="G105" s="2"/>
      <c r="H105" s="6"/>
      <c r="I105" s="2"/>
      <c r="J105" s="7">
        <f t="shared" si="59"/>
        <v>0</v>
      </c>
      <c r="K105" s="2"/>
      <c r="L105" s="6">
        <f t="shared" si="60"/>
        <v>0</v>
      </c>
      <c r="M105" s="2"/>
      <c r="N105" s="7">
        <f t="shared" si="61"/>
        <v>0</v>
      </c>
      <c r="O105" s="10"/>
      <c r="P105" s="6"/>
      <c r="Q105" s="2"/>
      <c r="R105" s="7">
        <f t="shared" si="62"/>
        <v>0</v>
      </c>
      <c r="S105" s="2"/>
      <c r="T105" s="6">
        <v>-178.06</v>
      </c>
      <c r="U105" s="2"/>
      <c r="V105" s="7">
        <f t="shared" si="63"/>
        <v>-8.7355634891025854E-5</v>
      </c>
      <c r="W105" s="2"/>
      <c r="X105" s="6">
        <f t="shared" si="64"/>
        <v>178.06</v>
      </c>
      <c r="Y105" s="2"/>
      <c r="Z105" s="7">
        <f t="shared" si="65"/>
        <v>-1</v>
      </c>
    </row>
    <row r="106" spans="1:26" s="60" customFormat="1" x14ac:dyDescent="0.25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4" customFormat="1" collapsed="1" x14ac:dyDescent="0.25">
      <c r="A107" s="11"/>
      <c r="B107" s="28" t="s">
        <v>292</v>
      </c>
      <c r="C107" s="11"/>
      <c r="D107" s="4">
        <f>SUM(OSRRefD25x_0)</f>
        <v>25561.239999999998</v>
      </c>
      <c r="E107" s="4"/>
      <c r="F107" s="13">
        <f t="shared" ref="F107:F111" si="66">IF(D$12=0,0,D107/D$12)</f>
        <v>5.95714707142352E-2</v>
      </c>
      <c r="G107" s="4"/>
      <c r="H107" s="4">
        <f>SUM(OSRRefH25x_0)</f>
        <v>-923.49</v>
      </c>
      <c r="I107" s="4"/>
      <c r="J107" s="13">
        <f t="shared" ref="J107:J111" si="67">IF(H$12=0,0,H107/H$12)</f>
        <v>-8.0793953764710935E-3</v>
      </c>
      <c r="K107" s="4"/>
      <c r="L107" s="4">
        <f t="shared" ref="L107:L111" si="68">+D107-H107</f>
        <v>26484.73</v>
      </c>
      <c r="M107" s="4"/>
      <c r="N107" s="13">
        <f t="shared" ref="N107:N111" si="69">IF(H107=0,0,L107/H107)</f>
        <v>-28.678957000075798</v>
      </c>
      <c r="O107" s="11"/>
      <c r="P107" s="4">
        <f>SUM(OSRRefP25x_0)</f>
        <v>26839.88</v>
      </c>
      <c r="Q107" s="4"/>
      <c r="R107" s="13">
        <f t="shared" ref="R107:R111" si="70">IF(P$12=0,0,P107/P$12)</f>
        <v>1.3289987446055357E-2</v>
      </c>
      <c r="S107" s="4"/>
      <c r="T107" s="4">
        <f>SUM(OSRRefT25x_0)</f>
        <v>13143.64</v>
      </c>
      <c r="U107" s="4"/>
      <c r="V107" s="13">
        <f t="shared" ref="V107:V111" si="71">IF(T$12=0,0,T107/T$12)</f>
        <v>6.4482254126647359E-3</v>
      </c>
      <c r="W107" s="4"/>
      <c r="X107" s="4">
        <f t="shared" ref="X107:X111" si="72">+P107-T107</f>
        <v>13696.240000000002</v>
      </c>
      <c r="Y107" s="4"/>
      <c r="Z107" s="13">
        <f t="shared" ref="Z107:Z111" si="73">IF(T107=0,0,X107/T107)</f>
        <v>1.0420431478646708</v>
      </c>
    </row>
    <row r="108" spans="1:26" s="23" customFormat="1" hidden="1" outlineLevel="1" x14ac:dyDescent="0.25">
      <c r="A108" s="44"/>
      <c r="B108" s="10" t="str">
        <f>CONCATENATE("          ", "4187", " - ", "NON-TAXABLE SALES-COMPUTER REP")</f>
        <v xml:space="preserve">          4187 - NON-TAXABLE SALES-COMPUTER REP</v>
      </c>
      <c r="C108" s="10"/>
      <c r="D108" s="2">
        <f>--160.46</f>
        <v>160.46</v>
      </c>
      <c r="E108" s="2"/>
      <c r="F108" s="19">
        <f t="shared" si="66"/>
        <v>3.7395831308677442E-4</v>
      </c>
      <c r="G108" s="2"/>
      <c r="H108" s="2">
        <f>-213.35</f>
        <v>-213.35</v>
      </c>
      <c r="I108" s="2"/>
      <c r="J108" s="19">
        <f t="shared" si="67"/>
        <v>-1.8665486400178753E-3</v>
      </c>
      <c r="K108" s="2"/>
      <c r="L108" s="2">
        <f t="shared" si="68"/>
        <v>373.81</v>
      </c>
      <c r="M108" s="2"/>
      <c r="N108" s="19">
        <f t="shared" si="69"/>
        <v>-1.7520974923834076</v>
      </c>
      <c r="O108" s="10"/>
      <c r="P108" s="2">
        <f>--1614.97</f>
        <v>1614.97</v>
      </c>
      <c r="Q108" s="2"/>
      <c r="R108" s="19">
        <f t="shared" si="70"/>
        <v>7.9966568500887555E-4</v>
      </c>
      <c r="S108" s="2"/>
      <c r="T108" s="2">
        <f>--15579.51</f>
        <v>15579.51</v>
      </c>
      <c r="U108" s="2"/>
      <c r="V108" s="19">
        <f t="shared" si="71"/>
        <v>7.6432550114629121E-3</v>
      </c>
      <c r="W108" s="2"/>
      <c r="X108" s="2">
        <f t="shared" si="72"/>
        <v>-13964.54</v>
      </c>
      <c r="Y108" s="2"/>
      <c r="Z108" s="19">
        <f t="shared" si="73"/>
        <v>-0.89634012879737557</v>
      </c>
    </row>
    <row r="109" spans="1:26" s="23" customFormat="1" hidden="1" outlineLevel="1" x14ac:dyDescent="0.25">
      <c r="A109" s="44"/>
      <c r="B109" s="10" t="str">
        <f>CONCATENATE("          ", "4387", " - ", "SALES RETURN NON TAXABLE-COMPU")</f>
        <v xml:space="preserve">          4387 - SALES RETURN NON TAXABLE-COMPU</v>
      </c>
      <c r="C109" s="10"/>
      <c r="D109" s="2">
        <f t="shared" ref="D109:D110" si="74">0</f>
        <v>0</v>
      </c>
      <c r="E109" s="2"/>
      <c r="F109" s="19">
        <f t="shared" si="66"/>
        <v>0</v>
      </c>
      <c r="G109" s="2"/>
      <c r="H109" s="2">
        <f>0</f>
        <v>0</v>
      </c>
      <c r="I109" s="2"/>
      <c r="J109" s="19">
        <f t="shared" si="67"/>
        <v>0</v>
      </c>
      <c r="K109" s="2"/>
      <c r="L109" s="2">
        <f t="shared" si="68"/>
        <v>0</v>
      </c>
      <c r="M109" s="2"/>
      <c r="N109" s="19">
        <f t="shared" si="69"/>
        <v>0</v>
      </c>
      <c r="O109" s="10"/>
      <c r="P109" s="2">
        <f t="shared" ref="P109:P110" si="75">0</f>
        <v>0</v>
      </c>
      <c r="Q109" s="2"/>
      <c r="R109" s="19">
        <f t="shared" si="70"/>
        <v>0</v>
      </c>
      <c r="S109" s="2"/>
      <c r="T109" s="2">
        <f>-7889</f>
        <v>-7889</v>
      </c>
      <c r="U109" s="2"/>
      <c r="V109" s="19">
        <f t="shared" si="71"/>
        <v>-3.8703167676923671E-3</v>
      </c>
      <c r="W109" s="2"/>
      <c r="X109" s="2">
        <f t="shared" si="72"/>
        <v>7889</v>
      </c>
      <c r="Y109" s="2"/>
      <c r="Z109" s="19">
        <f t="shared" si="73"/>
        <v>-1</v>
      </c>
    </row>
    <row r="110" spans="1:26" s="23" customFormat="1" hidden="1" outlineLevel="1" x14ac:dyDescent="0.25">
      <c r="A110" s="44"/>
      <c r="B110" s="10" t="str">
        <f>CONCATENATE("          ", "5087", " - ", "PURCHASES @ COST-COMPUTER REPA")</f>
        <v xml:space="preserve">          5087 - PURCHASES @ COST-COMPUTER REPA</v>
      </c>
      <c r="C110" s="10"/>
      <c r="D110" s="2">
        <f t="shared" si="74"/>
        <v>0</v>
      </c>
      <c r="E110" s="2"/>
      <c r="F110" s="19">
        <f t="shared" si="66"/>
        <v>0</v>
      </c>
      <c r="G110" s="2"/>
      <c r="H110" s="2">
        <f>-48.04</f>
        <v>-48.04</v>
      </c>
      <c r="I110" s="2"/>
      <c r="J110" s="19">
        <f t="shared" si="67"/>
        <v>-4.2029058667194153E-4</v>
      </c>
      <c r="K110" s="2"/>
      <c r="L110" s="2">
        <f t="shared" si="68"/>
        <v>48.04</v>
      </c>
      <c r="M110" s="2"/>
      <c r="N110" s="19">
        <f t="shared" si="69"/>
        <v>-1</v>
      </c>
      <c r="O110" s="10"/>
      <c r="P110" s="2">
        <f t="shared" si="75"/>
        <v>0</v>
      </c>
      <c r="Q110" s="2"/>
      <c r="R110" s="19">
        <f t="shared" si="70"/>
        <v>0</v>
      </c>
      <c r="S110" s="2"/>
      <c r="T110" s="2">
        <f>-104.76</f>
        <v>-104.76</v>
      </c>
      <c r="U110" s="2"/>
      <c r="V110" s="19">
        <f t="shared" si="71"/>
        <v>-5.1394902342939846E-5</v>
      </c>
      <c r="W110" s="2"/>
      <c r="X110" s="2">
        <f t="shared" si="72"/>
        <v>104.76</v>
      </c>
      <c r="Y110" s="2"/>
      <c r="Z110" s="19">
        <f t="shared" si="73"/>
        <v>-1</v>
      </c>
    </row>
    <row r="111" spans="1:26" s="23" customFormat="1" hidden="1" outlineLevel="1" x14ac:dyDescent="0.25">
      <c r="A111" s="44"/>
      <c r="B111" s="10" t="str">
        <f>CONCATENATE("          ", "9150", " - ", "MISC. INCOME")</f>
        <v xml:space="preserve">          9150 - MISC. INCOME</v>
      </c>
      <c r="C111" s="10"/>
      <c r="D111" s="2">
        <f>--25400.78</f>
        <v>25400.78</v>
      </c>
      <c r="E111" s="2"/>
      <c r="F111" s="19">
        <f t="shared" si="66"/>
        <v>5.9197512401148428E-2</v>
      </c>
      <c r="G111" s="2"/>
      <c r="H111" s="2">
        <f>-662.1</f>
        <v>-662.1</v>
      </c>
      <c r="I111" s="2"/>
      <c r="J111" s="19">
        <f t="shared" si="67"/>
        <v>-5.7925561497812758E-3</v>
      </c>
      <c r="K111" s="2"/>
      <c r="L111" s="2">
        <f t="shared" si="68"/>
        <v>26062.879999999997</v>
      </c>
      <c r="M111" s="2"/>
      <c r="N111" s="19">
        <f t="shared" si="69"/>
        <v>-39.363963147560789</v>
      </c>
      <c r="O111" s="10"/>
      <c r="P111" s="2">
        <f>--25224.91</f>
        <v>25224.91</v>
      </c>
      <c r="Q111" s="2"/>
      <c r="R111" s="19">
        <f t="shared" si="70"/>
        <v>1.2490321761046481E-2</v>
      </c>
      <c r="S111" s="2"/>
      <c r="T111" s="2">
        <f>--5557.89</f>
        <v>5557.89</v>
      </c>
      <c r="U111" s="2"/>
      <c r="V111" s="19">
        <f t="shared" si="71"/>
        <v>2.7266820712371319E-3</v>
      </c>
      <c r="W111" s="2"/>
      <c r="X111" s="2">
        <f t="shared" si="72"/>
        <v>19667.02</v>
      </c>
      <c r="Y111" s="2"/>
      <c r="Z111" s="19">
        <f t="shared" si="73"/>
        <v>3.5385766900748306</v>
      </c>
    </row>
    <row r="112" spans="1:26" x14ac:dyDescent="0.25">
      <c r="A112" s="9"/>
      <c r="B112" s="11"/>
      <c r="C112" s="11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1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4" customFormat="1" x14ac:dyDescent="0.25">
      <c r="A113" s="11"/>
      <c r="B113" s="29" t="s">
        <v>276</v>
      </c>
      <c r="C113" s="29"/>
      <c r="D113" s="22">
        <f>+D57-D59+D107</f>
        <v>81669.87</v>
      </c>
      <c r="E113" s="14"/>
      <c r="F113" s="20">
        <f>IF(D$12=0,0,D113/D$12)</f>
        <v>0.19033482995896897</v>
      </c>
      <c r="G113" s="14"/>
      <c r="H113" s="22">
        <f>+H57-H59+H107</f>
        <v>-5141.1799999999985</v>
      </c>
      <c r="I113" s="14"/>
      <c r="J113" s="20">
        <f>IF(H$12=0,0,H113/H$12)</f>
        <v>-4.497896666082539E-2</v>
      </c>
      <c r="K113" s="15"/>
      <c r="L113" s="22">
        <f>+D113-H113</f>
        <v>86811.049999999988</v>
      </c>
      <c r="M113" s="15"/>
      <c r="N113" s="20">
        <f>IF(H113=0,0,L113/H113)</f>
        <v>-16.885432916178779</v>
      </c>
      <c r="O113" s="28"/>
      <c r="P113" s="22">
        <f>+P57-P59+P107</f>
        <v>57815.850000000108</v>
      </c>
      <c r="Q113" s="14"/>
      <c r="R113" s="20">
        <f>IF(P$12=0,0,P113/P$12)</f>
        <v>2.8627993891292398E-2</v>
      </c>
      <c r="S113" s="14"/>
      <c r="T113" s="22">
        <f>+T57-T59+T107</f>
        <v>100237.40000000036</v>
      </c>
      <c r="U113" s="14"/>
      <c r="V113" s="20">
        <f>IF(T$12=0,0,T113/T$12)</f>
        <v>4.9176130050689347E-2</v>
      </c>
      <c r="W113" s="15"/>
      <c r="X113" s="22">
        <f>+P113-T113</f>
        <v>-42421.55000000025</v>
      </c>
      <c r="Y113" s="15"/>
      <c r="Z113" s="20">
        <f>IF(T113=0,0,X113/T113)</f>
        <v>-0.42321079756657792</v>
      </c>
    </row>
    <row r="114" spans="1:26" x14ac:dyDescent="0.25">
      <c r="A114" s="9"/>
      <c r="B114" s="11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4" customFormat="1" x14ac:dyDescent="0.25">
      <c r="A115" s="51"/>
      <c r="B115" s="11" t="s">
        <v>127</v>
      </c>
      <c r="C115" s="11"/>
      <c r="D115" s="4">
        <v>101243.25</v>
      </c>
      <c r="E115" s="4"/>
      <c r="F115" s="13">
        <f>IF(D$12=0,0,D115/D$12)</f>
        <v>0.23595135847826607</v>
      </c>
      <c r="G115" s="4"/>
      <c r="H115" s="4">
        <v>22315.51</v>
      </c>
      <c r="I115" s="4"/>
      <c r="J115" s="13">
        <f>IF(H$12=0,0,H115/H$12)</f>
        <v>0.1952331138589421</v>
      </c>
      <c r="K115" s="4"/>
      <c r="L115" s="4">
        <f>+D115-H115</f>
        <v>78927.740000000005</v>
      </c>
      <c r="M115" s="4"/>
      <c r="N115" s="13">
        <f>IF(H115=0,0,L115/H115)</f>
        <v>3.5369005682594756</v>
      </c>
      <c r="O115" s="11"/>
      <c r="P115" s="4">
        <v>416213.44</v>
      </c>
      <c r="Q115" s="4"/>
      <c r="R115" s="13">
        <f>IF(P$12=0,0,P115/P$12)</f>
        <v>0.20609150981597216</v>
      </c>
      <c r="S115" s="4"/>
      <c r="T115" s="4">
        <v>218412.48</v>
      </c>
      <c r="U115" s="4"/>
      <c r="V115" s="13">
        <f>IF(T$12=0,0,T115/T$12)</f>
        <v>0.10715242535394522</v>
      </c>
      <c r="W115" s="4"/>
      <c r="X115" s="4">
        <f>+P115-T115</f>
        <v>197800.95999999999</v>
      </c>
      <c r="Y115" s="4"/>
      <c r="Z115" s="13">
        <f>IF(T115=0,0,X115/T115)</f>
        <v>0.9056303009791381</v>
      </c>
    </row>
    <row r="116" spans="1:26" x14ac:dyDescent="0.25">
      <c r="A116" s="9"/>
      <c r="B116" s="11"/>
      <c r="C116" s="11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1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4" customFormat="1" ht="15.75" thickBot="1" x14ac:dyDescent="0.3">
      <c r="A117" s="11"/>
      <c r="B117" s="29" t="s">
        <v>125</v>
      </c>
      <c r="C117" s="29"/>
      <c r="D117" s="30">
        <f>+D113-D115</f>
        <v>-19573.380000000005</v>
      </c>
      <c r="E117" s="14"/>
      <c r="F117" s="36">
        <f>IF(D$12=0,0,D117/D$12)</f>
        <v>-4.5616528519297081E-2</v>
      </c>
      <c r="G117" s="14"/>
      <c r="H117" s="30">
        <f>+H113-H115</f>
        <v>-27456.689999999995</v>
      </c>
      <c r="I117" s="14"/>
      <c r="J117" s="36">
        <f>IF(H$12=0,0,H117/H$12)</f>
        <v>-0.24021208051976747</v>
      </c>
      <c r="K117" s="15"/>
      <c r="L117" s="30">
        <f>D117-H117</f>
        <v>7883.3099999999904</v>
      </c>
      <c r="M117" s="15"/>
      <c r="N117" s="36">
        <f>IF(H117=0,0,L117/H117)</f>
        <v>-0.28711800293480355</v>
      </c>
      <c r="O117" s="28"/>
      <c r="P117" s="30">
        <f>+P113-P115</f>
        <v>-358397.58999999991</v>
      </c>
      <c r="Q117" s="14"/>
      <c r="R117" s="36">
        <f>IF(P$12=0,0,P117/P$12)</f>
        <v>-0.17746351592467977</v>
      </c>
      <c r="S117" s="14"/>
      <c r="T117" s="30">
        <f>+T113-T115</f>
        <v>-118175.07999999965</v>
      </c>
      <c r="U117" s="14"/>
      <c r="V117" s="36">
        <f>IF(T$12=0,0,T117/T$12)</f>
        <v>-5.7976295303255869E-2</v>
      </c>
      <c r="W117" s="15"/>
      <c r="X117" s="30">
        <f>P117-T117</f>
        <v>-240222.51000000024</v>
      </c>
      <c r="Y117" s="15"/>
      <c r="Z117" s="36">
        <f>IF(T117=0,0,X117/T117)</f>
        <v>2.032767906736352</v>
      </c>
    </row>
    <row r="118" spans="1:26" ht="15.75" thickTop="1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4" customFormat="1" ht="15.75" thickBot="1" x14ac:dyDescent="0.3">
      <c r="A120" s="11"/>
      <c r="B120" s="29" t="s">
        <v>293</v>
      </c>
      <c r="C120" s="29"/>
      <c r="D120" s="35">
        <f>SUM(D117:D119)</f>
        <v>-19573.380000000005</v>
      </c>
      <c r="E120" s="14"/>
      <c r="F120" s="34">
        <f>IF(D$12=0,0,D120/D$12)</f>
        <v>-4.5616528519297081E-2</v>
      </c>
      <c r="G120" s="14"/>
      <c r="H120" s="35">
        <f>SUM(H117:H119)</f>
        <v>-27456.689999999995</v>
      </c>
      <c r="I120" s="14"/>
      <c r="J120" s="34">
        <f>IF(H$12=0,0,H120/H$12)</f>
        <v>-0.24021208051976747</v>
      </c>
      <c r="K120" s="15"/>
      <c r="L120" s="35">
        <f>+D120-H120</f>
        <v>7883.3099999999904</v>
      </c>
      <c r="M120" s="15"/>
      <c r="N120" s="34">
        <f>IF(H120=0,0,L120/H120)</f>
        <v>-0.28711800293480355</v>
      </c>
      <c r="O120" s="28"/>
      <c r="P120" s="35">
        <f>SUM(P117:P119)</f>
        <v>-358397.58999999991</v>
      </c>
      <c r="Q120" s="14"/>
      <c r="R120" s="34">
        <f>IF(P$12=0,0,P120/P$12)</f>
        <v>-0.17746351592467977</v>
      </c>
      <c r="S120" s="14"/>
      <c r="T120" s="35">
        <f>SUM(T117:T119)</f>
        <v>-118175.07999999965</v>
      </c>
      <c r="U120" s="14"/>
      <c r="V120" s="34">
        <f>IF(T$12=0,0,T120/T$12)</f>
        <v>-5.7976295303255869E-2</v>
      </c>
      <c r="W120" s="15"/>
      <c r="X120" s="35">
        <f>+P120-T120</f>
        <v>-240222.51000000024</v>
      </c>
      <c r="Y120" s="15"/>
      <c r="Z120" s="34">
        <f>IF(T120=0,0,X120/T120)</f>
        <v>2.032767906736352</v>
      </c>
    </row>
    <row r="121" spans="1:26" ht="15.75" thickTop="1" x14ac:dyDescent="0.25">
      <c r="A121" s="9"/>
      <c r="C121" s="9"/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4">
        <v>44295.963222604165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58" t="s">
        <v>56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A124" s="9"/>
      <c r="B124" s="62"/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25"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2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","317", " - ", "Computer Store")</f>
        <v>Department 317 - Computer 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429085.26</v>
      </c>
      <c r="E12" s="4"/>
      <c r="F12" s="13"/>
      <c r="G12" s="4"/>
      <c r="H12" s="4">
        <f>SUM(OSRRefH13x_0)</f>
        <v>114301.87000000001</v>
      </c>
      <c r="I12" s="4"/>
      <c r="J12" s="13"/>
      <c r="K12" s="4"/>
      <c r="L12" s="4">
        <f t="shared" ref="L12:L37" si="0">+D12-H12</f>
        <v>314783.39</v>
      </c>
      <c r="M12" s="4"/>
      <c r="N12" s="13">
        <f t="shared" ref="N12:N37" si="1">IF(H12=0,0,L12/H12)</f>
        <v>2.7539653550724936</v>
      </c>
      <c r="O12" s="11"/>
      <c r="P12" s="4">
        <f>SUM(OSRRefP13x_0)</f>
        <v>2019556.4600000002</v>
      </c>
      <c r="Q12" s="4"/>
      <c r="R12" s="13"/>
      <c r="S12" s="4"/>
      <c r="T12" s="4">
        <f>SUM(OSRRefT13x_0)</f>
        <v>2038334.4500000002</v>
      </c>
      <c r="U12" s="4"/>
      <c r="V12" s="13"/>
      <c r="W12" s="4"/>
      <c r="X12" s="4">
        <f t="shared" ref="X12:X37" si="2">+P12-T12</f>
        <v>-18777.989999999991</v>
      </c>
      <c r="Y12" s="4"/>
      <c r="Z12" s="13">
        <f t="shared" ref="Z12:Z37" si="3">IF(T12=0,0,X12/T12)</f>
        <v>-9.2124185017821731E-3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-36.19</f>
        <v>-36.19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-36.19</v>
      </c>
      <c r="M13" s="2"/>
      <c r="N13" s="19">
        <f t="shared" si="1"/>
        <v>0</v>
      </c>
      <c r="O13" s="10"/>
      <c r="P13" s="2">
        <f>-2733.15</f>
        <v>-2733.15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-2733.15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"4081", " - ", "TAXABLE SALES-ELECTRONICS")</f>
        <v xml:space="preserve">          4081 - TAXABLE SALES-ELECTRONICS</v>
      </c>
      <c r="C14" s="10"/>
      <c r="D14" s="2">
        <f>--1204.4</f>
        <v>1204.4000000000001</v>
      </c>
      <c r="E14" s="2"/>
      <c r="F14" s="19"/>
      <c r="G14" s="2"/>
      <c r="H14" s="2">
        <f>--14974.95</f>
        <v>14974.95</v>
      </c>
      <c r="I14" s="2"/>
      <c r="J14" s="19"/>
      <c r="K14" s="2"/>
      <c r="L14" s="2">
        <f t="shared" si="0"/>
        <v>-13770.550000000001</v>
      </c>
      <c r="M14" s="2"/>
      <c r="N14" s="19">
        <f t="shared" si="1"/>
        <v>-0.91957235249533387</v>
      </c>
      <c r="O14" s="10"/>
      <c r="P14" s="2">
        <f>--60467.25</f>
        <v>60467.25</v>
      </c>
      <c r="Q14" s="2"/>
      <c r="R14" s="19"/>
      <c r="S14" s="2"/>
      <c r="T14" s="2">
        <f>--311197.12</f>
        <v>311197.12</v>
      </c>
      <c r="U14" s="2"/>
      <c r="V14" s="19"/>
      <c r="W14" s="2"/>
      <c r="X14" s="2">
        <f t="shared" si="2"/>
        <v>-250729.87</v>
      </c>
      <c r="Y14" s="2"/>
      <c r="Z14" s="19">
        <f t="shared" si="3"/>
        <v>-0.80569469923114967</v>
      </c>
    </row>
    <row r="15" spans="1:26" s="23" customFormat="1" hidden="1" outlineLevel="1" x14ac:dyDescent="0.25">
      <c r="A15" s="44"/>
      <c r="B15" s="10" t="str">
        <f>CONCATENATE("          ", "4082", " - ", "TAXABLE SALES-COMPUTER HARDWAR")</f>
        <v xml:space="preserve">          4082 - TAXABLE SALES-COMPUTER HARDWAR</v>
      </c>
      <c r="C15" s="10"/>
      <c r="D15" s="2">
        <f>--407027.89</f>
        <v>407027.89</v>
      </c>
      <c r="E15" s="2"/>
      <c r="F15" s="19"/>
      <c r="G15" s="2"/>
      <c r="H15" s="2">
        <f>--77563.48</f>
        <v>77563.48</v>
      </c>
      <c r="I15" s="2"/>
      <c r="J15" s="19"/>
      <c r="K15" s="2"/>
      <c r="L15" s="2">
        <f t="shared" si="0"/>
        <v>329464.41000000003</v>
      </c>
      <c r="M15" s="2"/>
      <c r="N15" s="19">
        <f t="shared" si="1"/>
        <v>4.2476744210032873</v>
      </c>
      <c r="O15" s="10"/>
      <c r="P15" s="2">
        <f>--1657866.36</f>
        <v>1657866.36</v>
      </c>
      <c r="Q15" s="2"/>
      <c r="R15" s="19"/>
      <c r="S15" s="2"/>
      <c r="T15" s="2">
        <f>--1661109.03</f>
        <v>1661109.03</v>
      </c>
      <c r="U15" s="2"/>
      <c r="V15" s="19"/>
      <c r="W15" s="2"/>
      <c r="X15" s="2">
        <f t="shared" si="2"/>
        <v>-3242.6699999999255</v>
      </c>
      <c r="Y15" s="2"/>
      <c r="Z15" s="19">
        <f t="shared" si="3"/>
        <v>-1.952111475789115E-3</v>
      </c>
    </row>
    <row r="16" spans="1:26" s="23" customFormat="1" hidden="1" outlineLevel="1" x14ac:dyDescent="0.25">
      <c r="A16" s="44"/>
      <c r="B16" s="10" t="str">
        <f>CONCATENATE("          ", "4083", " - ", "TAXABLE SALES-COMPUTER EQUIPME")</f>
        <v xml:space="preserve">          4083 - TAXABLE SALES-COMPUTER EQUIPME</v>
      </c>
      <c r="C16" s="10"/>
      <c r="D16" s="2">
        <f>--22860.44</f>
        <v>22860.44</v>
      </c>
      <c r="E16" s="2"/>
      <c r="F16" s="19"/>
      <c r="G16" s="2"/>
      <c r="H16" s="2">
        <f>--4721.24</f>
        <v>4721.24</v>
      </c>
      <c r="I16" s="2"/>
      <c r="J16" s="19"/>
      <c r="K16" s="2"/>
      <c r="L16" s="2">
        <f t="shared" si="0"/>
        <v>18139.199999999997</v>
      </c>
      <c r="M16" s="2"/>
      <c r="N16" s="19">
        <f t="shared" si="1"/>
        <v>3.8420414975726711</v>
      </c>
      <c r="O16" s="10"/>
      <c r="P16" s="2">
        <f>--119659.27</f>
        <v>119659.27</v>
      </c>
      <c r="Q16" s="2"/>
      <c r="R16" s="19"/>
      <c r="S16" s="2"/>
      <c r="T16" s="2">
        <f>--99968.32</f>
        <v>99968.320000000007</v>
      </c>
      <c r="U16" s="2"/>
      <c r="V16" s="19"/>
      <c r="W16" s="2"/>
      <c r="X16" s="2">
        <f t="shared" si="2"/>
        <v>19690.949999999997</v>
      </c>
      <c r="Y16" s="2"/>
      <c r="Z16" s="19">
        <f t="shared" si="3"/>
        <v>0.19697190069814113</v>
      </c>
    </row>
    <row r="17" spans="1:26" s="23" customFormat="1" hidden="1" outlineLevel="1" x14ac:dyDescent="0.25">
      <c r="A17" s="44"/>
      <c r="B17" s="10" t="str">
        <f>CONCATENATE("          ", "4084", " - ", "TAXABLE SALES-SOFTWARE LICENSE")</f>
        <v xml:space="preserve">          4084 - TAXABLE SALES-SOFTWARE LICENSE</v>
      </c>
      <c r="C17" s="10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"4085", " - ", "TAXABLE SALES-SOFTWARE")</f>
        <v xml:space="preserve">          4085 - TAXABLE SALES-SOFTWARE</v>
      </c>
      <c r="C18" s="10"/>
      <c r="D18" s="2">
        <f>--219.98</f>
        <v>219.98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219.98</v>
      </c>
      <c r="M18" s="2"/>
      <c r="N18" s="19">
        <f t="shared" si="1"/>
        <v>0</v>
      </c>
      <c r="O18" s="10"/>
      <c r="P18" s="2">
        <f>--3098.91</f>
        <v>3098.91</v>
      </c>
      <c r="Q18" s="2"/>
      <c r="R18" s="19"/>
      <c r="S18" s="2"/>
      <c r="T18" s="2">
        <f>--4557.93</f>
        <v>4557.93</v>
      </c>
      <c r="U18" s="2"/>
      <c r="V18" s="19"/>
      <c r="W18" s="2"/>
      <c r="X18" s="2">
        <f t="shared" si="2"/>
        <v>-1459.0200000000004</v>
      </c>
      <c r="Y18" s="2"/>
      <c r="Z18" s="19">
        <f t="shared" si="3"/>
        <v>-0.3201058375183472</v>
      </c>
    </row>
    <row r="19" spans="1:26" s="23" customFormat="1" hidden="1" outlineLevel="1" x14ac:dyDescent="0.25">
      <c r="A19" s="44"/>
      <c r="B19" s="10" t="str">
        <f>CONCATENATE("          ", "4086", " - ", "TAXABLE SALES-COMPUTER SUPPLIE")</f>
        <v xml:space="preserve">          4086 - TAXABLE SALES-COMPUTER SUPPLIE</v>
      </c>
      <c r="C19" s="10"/>
      <c r="D19" s="2">
        <f>--503.73</f>
        <v>503.73</v>
      </c>
      <c r="E19" s="2"/>
      <c r="F19" s="19"/>
      <c r="G19" s="2"/>
      <c r="H19" s="2">
        <f>--2048.99</f>
        <v>2048.9899999999998</v>
      </c>
      <c r="I19" s="2"/>
      <c r="J19" s="19"/>
      <c r="K19" s="2"/>
      <c r="L19" s="2">
        <f t="shared" si="0"/>
        <v>-1545.2599999999998</v>
      </c>
      <c r="M19" s="2"/>
      <c r="N19" s="19">
        <f t="shared" si="1"/>
        <v>-0.75415692609529572</v>
      </c>
      <c r="O19" s="10"/>
      <c r="P19" s="2">
        <f>--59450.9</f>
        <v>59450.9</v>
      </c>
      <c r="Q19" s="2"/>
      <c r="R19" s="19"/>
      <c r="S19" s="2"/>
      <c r="T19" s="2">
        <f>--48266.32</f>
        <v>48266.32</v>
      </c>
      <c r="U19" s="2"/>
      <c r="V19" s="19"/>
      <c r="W19" s="2"/>
      <c r="X19" s="2">
        <f t="shared" si="2"/>
        <v>11184.580000000002</v>
      </c>
      <c r="Y19" s="2"/>
      <c r="Z19" s="19">
        <f t="shared" si="3"/>
        <v>0.23172638809008025</v>
      </c>
    </row>
    <row r="20" spans="1:26" s="23" customFormat="1" hidden="1" outlineLevel="1" x14ac:dyDescent="0.25">
      <c r="A20" s="44"/>
      <c r="B20" s="10" t="str">
        <f>CONCATENATE("          ", "4088", " - ", "TAXABLE SALES-MUSIC")</f>
        <v xml:space="preserve">          4088 - TAXABLE SALES-MUSIC</v>
      </c>
      <c r="C20" s="10"/>
      <c r="D20" s="2">
        <f>0</f>
        <v>0</v>
      </c>
      <c r="E20" s="2"/>
      <c r="F20" s="19"/>
      <c r="G20" s="2"/>
      <c r="H20" s="2">
        <f>--199.99</f>
        <v>199.99</v>
      </c>
      <c r="I20" s="2"/>
      <c r="J20" s="19"/>
      <c r="K20" s="2"/>
      <c r="L20" s="2">
        <f t="shared" si="0"/>
        <v>-199.99</v>
      </c>
      <c r="M20" s="2"/>
      <c r="N20" s="19">
        <f t="shared" si="1"/>
        <v>-1</v>
      </c>
      <c r="O20" s="10"/>
      <c r="P20" s="2">
        <f>0</f>
        <v>0</v>
      </c>
      <c r="Q20" s="2"/>
      <c r="R20" s="19"/>
      <c r="S20" s="2"/>
      <c r="T20" s="2">
        <f>--1294.83</f>
        <v>1294.83</v>
      </c>
      <c r="U20" s="2"/>
      <c r="V20" s="19"/>
      <c r="W20" s="2"/>
      <c r="X20" s="2">
        <f t="shared" si="2"/>
        <v>-1294.83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"4181", " - ", "NON-TAXABLE SALES-ELECTRONICS")</f>
        <v xml:space="preserve">          4181 - NON-TAXABLE SALES-ELECTRONICS</v>
      </c>
      <c r="C21" s="10"/>
      <c r="D21" s="2">
        <f>--285.97</f>
        <v>285.97000000000003</v>
      </c>
      <c r="E21" s="2"/>
      <c r="F21" s="19"/>
      <c r="G21" s="2"/>
      <c r="H21" s="2">
        <f>--13.99</f>
        <v>13.99</v>
      </c>
      <c r="I21" s="2"/>
      <c r="J21" s="19"/>
      <c r="K21" s="2"/>
      <c r="L21" s="2">
        <f t="shared" si="0"/>
        <v>271.98</v>
      </c>
      <c r="M21" s="2"/>
      <c r="N21" s="19">
        <f t="shared" si="1"/>
        <v>19.441029306647607</v>
      </c>
      <c r="O21" s="10"/>
      <c r="P21" s="2">
        <f>--12478.63</f>
        <v>12478.63</v>
      </c>
      <c r="Q21" s="2"/>
      <c r="R21" s="19"/>
      <c r="S21" s="2"/>
      <c r="T21" s="2">
        <f>--2078.37</f>
        <v>2078.37</v>
      </c>
      <c r="U21" s="2"/>
      <c r="V21" s="19"/>
      <c r="W21" s="2"/>
      <c r="X21" s="2">
        <f t="shared" si="2"/>
        <v>10400.259999999998</v>
      </c>
      <c r="Y21" s="2"/>
      <c r="Z21" s="19">
        <f t="shared" si="3"/>
        <v>5.0040464402392253</v>
      </c>
    </row>
    <row r="22" spans="1:26" s="23" customFormat="1" hidden="1" outlineLevel="1" x14ac:dyDescent="0.25">
      <c r="A22" s="44"/>
      <c r="B22" s="10" t="str">
        <f>CONCATENATE("          ", "4182", " - ", "NON-TAXABLE SALES-COMPUTER HAR")</f>
        <v xml:space="preserve">          4182 - NON-TAXABLE SALES-COMPUTER HAR</v>
      </c>
      <c r="C22" s="10"/>
      <c r="D22" s="2">
        <f>--33767.84</f>
        <v>33767.839999999997</v>
      </c>
      <c r="E22" s="2"/>
      <c r="F22" s="19"/>
      <c r="G22" s="2"/>
      <c r="H22" s="2">
        <f>--20132</f>
        <v>20132</v>
      </c>
      <c r="I22" s="2"/>
      <c r="J22" s="19"/>
      <c r="K22" s="2"/>
      <c r="L22" s="2">
        <f t="shared" si="0"/>
        <v>13635.839999999997</v>
      </c>
      <c r="M22" s="2"/>
      <c r="N22" s="19">
        <f t="shared" si="1"/>
        <v>0.67732167693224699</v>
      </c>
      <c r="O22" s="10"/>
      <c r="P22" s="2">
        <f>--253414.83</f>
        <v>253414.83</v>
      </c>
      <c r="Q22" s="2"/>
      <c r="R22" s="19"/>
      <c r="S22" s="2"/>
      <c r="T22" s="2">
        <f>--118010.96</f>
        <v>118010.96</v>
      </c>
      <c r="U22" s="2"/>
      <c r="V22" s="19"/>
      <c r="W22" s="2"/>
      <c r="X22" s="2">
        <f t="shared" si="2"/>
        <v>135403.87</v>
      </c>
      <c r="Y22" s="2"/>
      <c r="Z22" s="19">
        <f t="shared" si="3"/>
        <v>1.1473838531607572</v>
      </c>
    </row>
    <row r="23" spans="1:26" s="23" customFormat="1" hidden="1" outlineLevel="1" x14ac:dyDescent="0.25">
      <c r="A23" s="44"/>
      <c r="B23" s="10" t="str">
        <f>CONCATENATE("          ", "4183", " - ", "NON-TAXABLE SALES-COMPUTER EQU")</f>
        <v xml:space="preserve">          4183 - NON-TAXABLE SALES-COMPUTER EQU</v>
      </c>
      <c r="C23" s="10"/>
      <c r="D23" s="2">
        <f>--2983.61</f>
        <v>2983.61</v>
      </c>
      <c r="E23" s="2"/>
      <c r="F23" s="19"/>
      <c r="G23" s="2"/>
      <c r="H23" s="2">
        <f>--705.91</f>
        <v>705.91</v>
      </c>
      <c r="I23" s="2"/>
      <c r="J23" s="19"/>
      <c r="K23" s="2"/>
      <c r="L23" s="2">
        <f t="shared" si="0"/>
        <v>2277.7000000000003</v>
      </c>
      <c r="M23" s="2"/>
      <c r="N23" s="19">
        <f t="shared" si="1"/>
        <v>3.226615290901107</v>
      </c>
      <c r="O23" s="10"/>
      <c r="P23" s="2">
        <f>--16606.43</f>
        <v>16606.43</v>
      </c>
      <c r="Q23" s="2"/>
      <c r="R23" s="19"/>
      <c r="S23" s="2"/>
      <c r="T23" s="2">
        <f>--6762.22</f>
        <v>6762.22</v>
      </c>
      <c r="U23" s="2"/>
      <c r="V23" s="19"/>
      <c r="W23" s="2"/>
      <c r="X23" s="2">
        <f t="shared" si="2"/>
        <v>9844.2099999999991</v>
      </c>
      <c r="Y23" s="2"/>
      <c r="Z23" s="19">
        <f t="shared" si="3"/>
        <v>1.4557660058383193</v>
      </c>
    </row>
    <row r="24" spans="1:26" s="23" customFormat="1" hidden="1" outlineLevel="1" x14ac:dyDescent="0.25">
      <c r="A24" s="44"/>
      <c r="B24" s="10" t="str">
        <f>CONCATENATE("          ", "4184", " - ", "NON-TAXABLE SALES-SOFTWARE LIC")</f>
        <v xml:space="preserve">          4184 - NON-TAXABLE SALES-SOFTWARE LIC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"4185", " - ", "NON-TAXABLE SALES-SOFTWARE")</f>
        <v xml:space="preserve">          4185 - NON-TAXABLE SALES-SOFTWARE</v>
      </c>
      <c r="C25" s="10"/>
      <c r="D25" s="2">
        <f>--3559.59</f>
        <v>3559.59</v>
      </c>
      <c r="E25" s="2"/>
      <c r="F25" s="19"/>
      <c r="G25" s="2"/>
      <c r="H25" s="2">
        <f>--976.95</f>
        <v>976.95</v>
      </c>
      <c r="I25" s="2"/>
      <c r="J25" s="19"/>
      <c r="K25" s="2"/>
      <c r="L25" s="2">
        <f t="shared" si="0"/>
        <v>2582.6400000000003</v>
      </c>
      <c r="M25" s="2"/>
      <c r="N25" s="19">
        <f t="shared" si="1"/>
        <v>2.6435743896821742</v>
      </c>
      <c r="O25" s="10"/>
      <c r="P25" s="2">
        <f>--38686.78</f>
        <v>38686.78</v>
      </c>
      <c r="Q25" s="2"/>
      <c r="R25" s="19"/>
      <c r="S25" s="2"/>
      <c r="T25" s="2">
        <f>--13122.74</f>
        <v>13122.74</v>
      </c>
      <c r="U25" s="2"/>
      <c r="V25" s="19"/>
      <c r="W25" s="2"/>
      <c r="X25" s="2">
        <f t="shared" si="2"/>
        <v>25564.04</v>
      </c>
      <c r="Y25" s="2"/>
      <c r="Z25" s="19">
        <f t="shared" si="3"/>
        <v>1.9480718203667833</v>
      </c>
    </row>
    <row r="26" spans="1:26" s="23" customFormat="1" hidden="1" outlineLevel="1" x14ac:dyDescent="0.25">
      <c r="A26" s="44"/>
      <c r="B26" s="10" t="str">
        <f>CONCATENATE("          ", "4186", " - ", "NON-TAXABLE SALES-COMPUTER SUP")</f>
        <v xml:space="preserve">          4186 - NON-TAXABLE SALES-COMPUTER SUP</v>
      </c>
      <c r="C26" s="10"/>
      <c r="D26" s="2">
        <f>--424.94</f>
        <v>424.94</v>
      </c>
      <c r="E26" s="2"/>
      <c r="F26" s="19"/>
      <c r="G26" s="2"/>
      <c r="H26" s="2">
        <f>--149.98</f>
        <v>149.97999999999999</v>
      </c>
      <c r="I26" s="2"/>
      <c r="J26" s="19"/>
      <c r="K26" s="2"/>
      <c r="L26" s="2">
        <f t="shared" si="0"/>
        <v>274.96000000000004</v>
      </c>
      <c r="M26" s="2"/>
      <c r="N26" s="19">
        <f t="shared" si="1"/>
        <v>1.8333111081477533</v>
      </c>
      <c r="O26" s="10"/>
      <c r="P26" s="2">
        <f>--3255.2</f>
        <v>3255.2</v>
      </c>
      <c r="Q26" s="2"/>
      <c r="R26" s="19"/>
      <c r="S26" s="2"/>
      <c r="T26" s="2">
        <f>--2650.16</f>
        <v>2650.16</v>
      </c>
      <c r="U26" s="2"/>
      <c r="V26" s="19"/>
      <c r="W26" s="2"/>
      <c r="X26" s="2">
        <f t="shared" si="2"/>
        <v>605.04</v>
      </c>
      <c r="Y26" s="2"/>
      <c r="Z26" s="19">
        <f t="shared" si="3"/>
        <v>0.22830319678811845</v>
      </c>
    </row>
    <row r="27" spans="1:26" s="23" customFormat="1" hidden="1" outlineLevel="1" x14ac:dyDescent="0.25">
      <c r="A27" s="44"/>
      <c r="B27" s="10" t="str">
        <f>CONCATENATE("          ", "4188", " - ", "NON-TAXABLE SALES-MUSIC")</f>
        <v xml:space="preserve">          4188 - NON-TAXABLE SALES-MUSIC</v>
      </c>
      <c r="C27" s="10"/>
      <c r="D27" s="2">
        <f t="shared" ref="D27:D28" si="5"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"4281", " - ", "SALES RETURN TAXABLE-ELECTRONI")</f>
        <v xml:space="preserve">          4281 - SALES RETURN TAXABLE-ELECTRONI</v>
      </c>
      <c r="C28" s="10"/>
      <c r="D28" s="2">
        <f t="shared" si="5"/>
        <v>0</v>
      </c>
      <c r="E28" s="2"/>
      <c r="F28" s="19"/>
      <c r="G28" s="2"/>
      <c r="H28" s="2">
        <f>-213.97</f>
        <v>-213.97</v>
      </c>
      <c r="I28" s="2"/>
      <c r="J28" s="19"/>
      <c r="K28" s="2"/>
      <c r="L28" s="2">
        <f t="shared" si="0"/>
        <v>213.97</v>
      </c>
      <c r="M28" s="2"/>
      <c r="N28" s="19">
        <f t="shared" si="1"/>
        <v>-1</v>
      </c>
      <c r="O28" s="10"/>
      <c r="P28" s="2">
        <f>-14762.14</f>
        <v>-14762.14</v>
      </c>
      <c r="Q28" s="2"/>
      <c r="R28" s="19"/>
      <c r="S28" s="2"/>
      <c r="T28" s="2">
        <f>-7781.7</f>
        <v>-7781.7</v>
      </c>
      <c r="U28" s="2"/>
      <c r="V28" s="19"/>
      <c r="W28" s="2"/>
      <c r="X28" s="2">
        <f t="shared" si="2"/>
        <v>-6980.44</v>
      </c>
      <c r="Y28" s="2"/>
      <c r="Z28" s="19">
        <f t="shared" si="3"/>
        <v>0.8970327820399141</v>
      </c>
    </row>
    <row r="29" spans="1:26" s="23" customFormat="1" hidden="1" outlineLevel="1" x14ac:dyDescent="0.25">
      <c r="A29" s="44"/>
      <c r="B29" s="10" t="str">
        <f>CONCATENATE("          ", "4282", " - ", "SALES RETURN TAXABLE-COMPUTER")</f>
        <v xml:space="preserve">          4282 - SALES RETURN TAXABLE-COMPUTER</v>
      </c>
      <c r="C29" s="10"/>
      <c r="D29" s="2">
        <f>-43137</f>
        <v>-43137</v>
      </c>
      <c r="E29" s="2"/>
      <c r="F29" s="19"/>
      <c r="G29" s="2"/>
      <c r="H29" s="2">
        <f>-6266.02</f>
        <v>-6266.02</v>
      </c>
      <c r="I29" s="2"/>
      <c r="J29" s="19"/>
      <c r="K29" s="2"/>
      <c r="L29" s="2">
        <f t="shared" si="0"/>
        <v>-36870.979999999996</v>
      </c>
      <c r="M29" s="2"/>
      <c r="N29" s="19">
        <f t="shared" si="1"/>
        <v>5.8842742282980254</v>
      </c>
      <c r="O29" s="10"/>
      <c r="P29" s="2">
        <f>-172765.16</f>
        <v>-172765.16</v>
      </c>
      <c r="Q29" s="2"/>
      <c r="R29" s="19"/>
      <c r="S29" s="2"/>
      <c r="T29" s="2">
        <f>-213491.15</f>
        <v>-213491.15</v>
      </c>
      <c r="U29" s="2"/>
      <c r="V29" s="19"/>
      <c r="W29" s="2"/>
      <c r="X29" s="2">
        <f t="shared" si="2"/>
        <v>40725.989999999991</v>
      </c>
      <c r="Y29" s="2"/>
      <c r="Z29" s="19">
        <f t="shared" si="3"/>
        <v>-0.19076195898518505</v>
      </c>
    </row>
    <row r="30" spans="1:26" s="23" customFormat="1" hidden="1" outlineLevel="1" x14ac:dyDescent="0.25">
      <c r="A30" s="44"/>
      <c r="B30" s="10" t="str">
        <f>CONCATENATE("          ", "4283", " - ", "SALES RETURN TAXABLE-COMPUTER")</f>
        <v xml:space="preserve">          4283 - SALES RETURN TAXABLE-COMPUTER</v>
      </c>
      <c r="C30" s="10"/>
      <c r="D30" s="2">
        <f>-389.97</f>
        <v>-389.97</v>
      </c>
      <c r="E30" s="2"/>
      <c r="F30" s="19"/>
      <c r="G30" s="2"/>
      <c r="H30" s="2">
        <f>-627.65</f>
        <v>-627.65</v>
      </c>
      <c r="I30" s="2"/>
      <c r="J30" s="19"/>
      <c r="K30" s="2"/>
      <c r="L30" s="2">
        <f t="shared" si="0"/>
        <v>237.67999999999995</v>
      </c>
      <c r="M30" s="2"/>
      <c r="N30" s="19">
        <f t="shared" si="1"/>
        <v>-0.37868238668047471</v>
      </c>
      <c r="O30" s="10"/>
      <c r="P30" s="2">
        <f>-3749.25</f>
        <v>-3749.25</v>
      </c>
      <c r="Q30" s="2"/>
      <c r="R30" s="19"/>
      <c r="S30" s="2"/>
      <c r="T30" s="2">
        <f>-6453.06</f>
        <v>-6453.06</v>
      </c>
      <c r="U30" s="2"/>
      <c r="V30" s="19"/>
      <c r="W30" s="2"/>
      <c r="X30" s="2">
        <f t="shared" si="2"/>
        <v>2703.8100000000004</v>
      </c>
      <c r="Y30" s="2"/>
      <c r="Z30" s="19">
        <f t="shared" si="3"/>
        <v>-0.41899656906955773</v>
      </c>
    </row>
    <row r="31" spans="1:26" s="23" customFormat="1" hidden="1" outlineLevel="1" x14ac:dyDescent="0.25">
      <c r="A31" s="44"/>
      <c r="B31" s="10" t="str">
        <f>CONCATENATE("          ", "4284", " - ", "SALES RETURN TAXABLE-SOFTWARE")</f>
        <v xml:space="preserve">          4284 - SALES RETURN TAXABLE-SOFTWARE</v>
      </c>
      <c r="C31" s="10"/>
      <c r="D31" s="2">
        <f>0</f>
        <v>0</v>
      </c>
      <c r="E31" s="2"/>
      <c r="F31" s="19"/>
      <c r="G31" s="2"/>
      <c r="H31" s="2">
        <f t="shared" ref="H31:H32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"4285", " - ", "SALES RETURN TAXABLE-SOFTWARE")</f>
        <v xml:space="preserve">          4285 - SALES RETURN TAXABLE-SOFTWARE</v>
      </c>
      <c r="C32" s="10"/>
      <c r="D32" s="2">
        <f>-149.99</f>
        <v>-149.99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-149.99</v>
      </c>
      <c r="M32" s="2"/>
      <c r="N32" s="19">
        <f t="shared" si="1"/>
        <v>0</v>
      </c>
      <c r="O32" s="10"/>
      <c r="P32" s="2">
        <f>-991.96</f>
        <v>-991.96</v>
      </c>
      <c r="Q32" s="2"/>
      <c r="R32" s="19"/>
      <c r="S32" s="2"/>
      <c r="T32" s="2">
        <f>-805.97</f>
        <v>-805.97</v>
      </c>
      <c r="U32" s="2"/>
      <c r="V32" s="19"/>
      <c r="W32" s="2"/>
      <c r="X32" s="2">
        <f t="shared" si="2"/>
        <v>-185.99</v>
      </c>
      <c r="Y32" s="2"/>
      <c r="Z32" s="19">
        <f t="shared" si="3"/>
        <v>0.23076541310470614</v>
      </c>
    </row>
    <row r="33" spans="1:26" s="23" customFormat="1" hidden="1" outlineLevel="1" x14ac:dyDescent="0.25">
      <c r="A33" s="44"/>
      <c r="B33" s="10" t="str">
        <f>CONCATENATE("          ", "4286", " - ", "SALES RETURN TAXABLE-COMPUTER")</f>
        <v xml:space="preserve">          4286 - SALES RETURN TAXABLE-COMPUTER</v>
      </c>
      <c r="C33" s="10"/>
      <c r="D33" s="2">
        <f>-39.98</f>
        <v>-39.979999999999997</v>
      </c>
      <c r="E33" s="2"/>
      <c r="F33" s="19"/>
      <c r="G33" s="2"/>
      <c r="H33" s="2">
        <f>-77.97</f>
        <v>-77.97</v>
      </c>
      <c r="I33" s="2"/>
      <c r="J33" s="19"/>
      <c r="K33" s="2"/>
      <c r="L33" s="2">
        <f t="shared" si="0"/>
        <v>37.99</v>
      </c>
      <c r="M33" s="2"/>
      <c r="N33" s="19">
        <f t="shared" si="1"/>
        <v>-0.4872386815441837</v>
      </c>
      <c r="O33" s="10"/>
      <c r="P33" s="2">
        <f>-4802.29</f>
        <v>-4802.29</v>
      </c>
      <c r="Q33" s="2"/>
      <c r="R33" s="19"/>
      <c r="S33" s="2"/>
      <c r="T33" s="2">
        <f>-3660.86</f>
        <v>-3660.86</v>
      </c>
      <c r="U33" s="2"/>
      <c r="V33" s="19"/>
      <c r="W33" s="2"/>
      <c r="X33" s="2">
        <f t="shared" si="2"/>
        <v>-1141.4299999999998</v>
      </c>
      <c r="Y33" s="2"/>
      <c r="Z33" s="19">
        <f t="shared" si="3"/>
        <v>0.31179285741601692</v>
      </c>
    </row>
    <row r="34" spans="1:26" s="23" customFormat="1" hidden="1" outlineLevel="1" x14ac:dyDescent="0.25">
      <c r="A34" s="44"/>
      <c r="B34" s="10" t="str">
        <f>CONCATENATE("          ", "4288", " - ", "TAXABLE SALES RETURN-MUSIC")</f>
        <v xml:space="preserve">          4288 - TAXABLE SALES RETURN-MUSIC</v>
      </c>
      <c r="C34" s="10"/>
      <c r="D34" s="2">
        <f t="shared" ref="D34:D37" si="7">0</f>
        <v>0</v>
      </c>
      <c r="E34" s="2"/>
      <c r="F34" s="19"/>
      <c r="G34" s="2"/>
      <c r="H34" s="2">
        <f t="shared" ref="H34:H37" si="8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"4381", " - ", "SALES RETURN NON TAXABLE-ELECT")</f>
        <v xml:space="preserve">          4381 - SALES RETURN NON TAXABLE-ELECT</v>
      </c>
      <c r="C35" s="10"/>
      <c r="D35" s="2">
        <f t="shared" si="7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3" customFormat="1" hidden="1" outlineLevel="1" x14ac:dyDescent="0.25">
      <c r="A36" s="44"/>
      <c r="B36" s="10" t="str">
        <f>CONCATENATE("          ", "4383", " - ", "SALES RETURN NON TAXABLE-COMPU")</f>
        <v xml:space="preserve">          4383 - SALES RETURN NON TAXABLE-COMPU</v>
      </c>
      <c r="C36" s="10"/>
      <c r="D36" s="2">
        <f t="shared" si="7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 t="shared" ref="P36:P37" si="9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"4386", " - ", "SALES RETURN NON TAXABLE-COMPU")</f>
        <v xml:space="preserve">          4386 - SALES RETURN NON TAXABLE-COMPU</v>
      </c>
      <c r="C37" s="10"/>
      <c r="D37" s="2">
        <f t="shared" si="7"/>
        <v>0</v>
      </c>
      <c r="E37" s="2"/>
      <c r="F37" s="19"/>
      <c r="G37" s="2"/>
      <c r="H37" s="2">
        <f t="shared" si="8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 t="shared" si="9"/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1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4" customFormat="1" collapsed="1" x14ac:dyDescent="0.25">
      <c r="A39" s="11"/>
      <c r="B39" s="28" t="s">
        <v>256</v>
      </c>
      <c r="C39" s="11"/>
      <c r="D39" s="4">
        <f>SUM(OSRRefD16x_0)</f>
        <v>356026</v>
      </c>
      <c r="E39" s="4"/>
      <c r="F39" s="13">
        <f t="shared" ref="F39:F55" si="10">IF(D$12=0,0,D39/D$12)</f>
        <v>0.82973253380924805</v>
      </c>
      <c r="G39" s="4"/>
      <c r="H39" s="4">
        <f>SUM(OSRRefH16x_0)</f>
        <v>104219.01000000001</v>
      </c>
      <c r="I39" s="4"/>
      <c r="J39" s="13">
        <f t="shared" ref="J39:J55" si="11">IF(H$12=0,0,H39/H$12)</f>
        <v>0.91178744494731367</v>
      </c>
      <c r="K39" s="4"/>
      <c r="L39" s="4">
        <f t="shared" ref="L39:L55" si="12">+D39-H39</f>
        <v>251806.99</v>
      </c>
      <c r="M39" s="4"/>
      <c r="N39" s="13">
        <f t="shared" ref="N39:N55" si="13">IF(H39=0,0,L39/H39)</f>
        <v>2.4161330068286002</v>
      </c>
      <c r="O39" s="11"/>
      <c r="P39" s="4">
        <f>SUM(OSRRefP16x_0)</f>
        <v>1864521.84</v>
      </c>
      <c r="Q39" s="4"/>
      <c r="R39" s="13">
        <f t="shared" ref="R39:R55" si="14">IF(P$12=0,0,P39/P$12)</f>
        <v>0.92323333213472025</v>
      </c>
      <c r="S39" s="4"/>
      <c r="T39" s="4">
        <f>SUM(OSRRefT16x_0)</f>
        <v>1776440.5399999998</v>
      </c>
      <c r="U39" s="4"/>
      <c r="V39" s="13">
        <f t="shared" ref="V39:V55" si="15">IF(T$12=0,0,T39/T$12)</f>
        <v>0.8715157318760911</v>
      </c>
      <c r="W39" s="4"/>
      <c r="X39" s="4">
        <f t="shared" ref="X39:X55" si="16">+P39-T39</f>
        <v>88081.300000000279</v>
      </c>
      <c r="Y39" s="4"/>
      <c r="Z39" s="13">
        <f t="shared" ref="Z39:Z55" si="17">IF(T39=0,0,X39/T39)</f>
        <v>4.9583027417287096E-2</v>
      </c>
    </row>
    <row r="40" spans="1:26" s="23" customFormat="1" hidden="1" outlineLevel="1" x14ac:dyDescent="0.25">
      <c r="A40" s="44"/>
      <c r="B40" s="10" t="str">
        <f>CONCATENATE("          ", "5000", " - ", "PURCHASES @ COST")</f>
        <v xml:space="preserve">          5000 - PURCHASES @ COST</v>
      </c>
      <c r="C40" s="10"/>
      <c r="D40" s="2"/>
      <c r="E40" s="2"/>
      <c r="F40" s="19">
        <f t="shared" si="10"/>
        <v>0</v>
      </c>
      <c r="G40" s="2"/>
      <c r="H40" s="2"/>
      <c r="I40" s="2"/>
      <c r="J40" s="19">
        <f t="shared" si="11"/>
        <v>0</v>
      </c>
      <c r="K40" s="2"/>
      <c r="L40" s="2">
        <f t="shared" si="12"/>
        <v>0</v>
      </c>
      <c r="M40" s="2"/>
      <c r="N40" s="19">
        <f t="shared" si="13"/>
        <v>0</v>
      </c>
      <c r="O40" s="10"/>
      <c r="P40" s="2">
        <v>0</v>
      </c>
      <c r="Q40" s="2"/>
      <c r="R40" s="19">
        <f t="shared" si="14"/>
        <v>0</v>
      </c>
      <c r="S40" s="2"/>
      <c r="T40" s="2"/>
      <c r="U40" s="2"/>
      <c r="V40" s="19">
        <f t="shared" si="15"/>
        <v>0</v>
      </c>
      <c r="W40" s="2"/>
      <c r="X40" s="2">
        <f t="shared" si="16"/>
        <v>0</v>
      </c>
      <c r="Y40" s="2"/>
      <c r="Z40" s="19">
        <f t="shared" si="17"/>
        <v>0</v>
      </c>
    </row>
    <row r="41" spans="1:26" s="23" customFormat="1" hidden="1" outlineLevel="1" x14ac:dyDescent="0.25">
      <c r="A41" s="44"/>
      <c r="B41" s="10" t="str">
        <f>CONCATENATE("          ", "5081", " - ", "PURCHASES @ COST-ELECTRONICS")</f>
        <v xml:space="preserve">          5081 - PURCHASES @ COST-ELECTRONICS</v>
      </c>
      <c r="C41" s="10"/>
      <c r="D41" s="2">
        <v>309.97000000000003</v>
      </c>
      <c r="E41" s="2"/>
      <c r="F41" s="19">
        <f t="shared" si="10"/>
        <v>7.2239722240750013E-4</v>
      </c>
      <c r="G41" s="2"/>
      <c r="H41" s="2">
        <v>35894.339999999997</v>
      </c>
      <c r="I41" s="2"/>
      <c r="J41" s="19">
        <f t="shared" si="11"/>
        <v>0.31403108278106029</v>
      </c>
      <c r="K41" s="2"/>
      <c r="L41" s="2">
        <f t="shared" si="12"/>
        <v>-35584.369999999995</v>
      </c>
      <c r="M41" s="2"/>
      <c r="N41" s="19">
        <f t="shared" si="13"/>
        <v>-0.99136437666774202</v>
      </c>
      <c r="O41" s="10"/>
      <c r="P41" s="2">
        <v>32467.87</v>
      </c>
      <c r="Q41" s="2"/>
      <c r="R41" s="19">
        <f t="shared" si="14"/>
        <v>1.6076733007008872E-2</v>
      </c>
      <c r="S41" s="2"/>
      <c r="T41" s="2">
        <v>263024.61</v>
      </c>
      <c r="U41" s="2"/>
      <c r="V41" s="19">
        <f t="shared" si="15"/>
        <v>0.12903898572680256</v>
      </c>
      <c r="W41" s="2"/>
      <c r="X41" s="2">
        <f t="shared" si="16"/>
        <v>-230556.74</v>
      </c>
      <c r="Y41" s="2"/>
      <c r="Z41" s="19">
        <f t="shared" si="17"/>
        <v>-0.87655957364597936</v>
      </c>
    </row>
    <row r="42" spans="1:26" s="23" customFormat="1" hidden="1" outlineLevel="1" x14ac:dyDescent="0.25">
      <c r="A42" s="44"/>
      <c r="B42" s="10" t="str">
        <f>CONCATENATE("          ", "5082", " - ", "PURCHASES @ COST-COMPUTER HARD")</f>
        <v xml:space="preserve">          5082 - PURCHASES @ COST-COMPUTER HARD</v>
      </c>
      <c r="C42" s="10"/>
      <c r="D42" s="2">
        <v>132715.92000000001</v>
      </c>
      <c r="E42" s="2"/>
      <c r="F42" s="19">
        <f t="shared" si="10"/>
        <v>0.30929964827969159</v>
      </c>
      <c r="G42" s="2"/>
      <c r="H42" s="2">
        <v>169875.81</v>
      </c>
      <c r="I42" s="2"/>
      <c r="J42" s="19">
        <f t="shared" si="11"/>
        <v>1.4862032440939066</v>
      </c>
      <c r="K42" s="2"/>
      <c r="L42" s="2">
        <f t="shared" si="12"/>
        <v>-37159.889999999985</v>
      </c>
      <c r="M42" s="2"/>
      <c r="N42" s="19">
        <f t="shared" si="13"/>
        <v>-0.21874738963717075</v>
      </c>
      <c r="O42" s="10"/>
      <c r="P42" s="2">
        <v>1396293.76</v>
      </c>
      <c r="Q42" s="2"/>
      <c r="R42" s="19">
        <f t="shared" si="14"/>
        <v>0.69138634529682819</v>
      </c>
      <c r="S42" s="2"/>
      <c r="T42" s="2">
        <v>1380824.79</v>
      </c>
      <c r="U42" s="2"/>
      <c r="V42" s="19">
        <f t="shared" si="15"/>
        <v>0.67742798047690356</v>
      </c>
      <c r="W42" s="2"/>
      <c r="X42" s="2">
        <f t="shared" si="16"/>
        <v>15468.969999999972</v>
      </c>
      <c r="Y42" s="2"/>
      <c r="Z42" s="19">
        <f t="shared" si="17"/>
        <v>1.1202702987393478E-2</v>
      </c>
    </row>
    <row r="43" spans="1:26" s="23" customFormat="1" hidden="1" outlineLevel="1" x14ac:dyDescent="0.25">
      <c r="A43" s="44"/>
      <c r="B43" s="10" t="str">
        <f>CONCATENATE("          ", "5083", " - ", "PURCHASES @ COST-COMPUTER EQUI")</f>
        <v xml:space="preserve">          5083 - PURCHASES @ COST-COMPUTER EQUI</v>
      </c>
      <c r="C43" s="10"/>
      <c r="D43" s="2">
        <v>6015.06</v>
      </c>
      <c r="E43" s="2"/>
      <c r="F43" s="19">
        <f t="shared" si="10"/>
        <v>1.4018332860000831E-2</v>
      </c>
      <c r="G43" s="2"/>
      <c r="H43" s="2">
        <v>6360.99</v>
      </c>
      <c r="I43" s="2"/>
      <c r="J43" s="19">
        <f t="shared" si="11"/>
        <v>5.565079556441202E-2</v>
      </c>
      <c r="K43" s="2"/>
      <c r="L43" s="2">
        <f t="shared" si="12"/>
        <v>-345.92999999999938</v>
      </c>
      <c r="M43" s="2"/>
      <c r="N43" s="19">
        <f t="shared" si="13"/>
        <v>-5.4383044148788064E-2</v>
      </c>
      <c r="O43" s="10"/>
      <c r="P43" s="2">
        <v>105203.33</v>
      </c>
      <c r="Q43" s="2"/>
      <c r="R43" s="19">
        <f t="shared" si="14"/>
        <v>5.2092294562539734E-2</v>
      </c>
      <c r="S43" s="2"/>
      <c r="T43" s="2">
        <v>77477.73</v>
      </c>
      <c r="U43" s="2"/>
      <c r="V43" s="19">
        <f t="shared" si="15"/>
        <v>3.8010312782575988E-2</v>
      </c>
      <c r="W43" s="2"/>
      <c r="X43" s="2">
        <f t="shared" si="16"/>
        <v>27725.600000000006</v>
      </c>
      <c r="Y43" s="2"/>
      <c r="Z43" s="19">
        <f t="shared" si="17"/>
        <v>0.35785250806909297</v>
      </c>
    </row>
    <row r="44" spans="1:26" s="23" customFormat="1" hidden="1" outlineLevel="1" x14ac:dyDescent="0.25">
      <c r="A44" s="44"/>
      <c r="B44" s="10" t="str">
        <f>CONCATENATE("          ", "5084", " - ", "PURCHASES @ COST-SOFTWARE LICE")</f>
        <v xml:space="preserve">          5084 - PURCHASES @ COST-SOFTWARE LICE</v>
      </c>
      <c r="C44" s="10"/>
      <c r="D44" s="2"/>
      <c r="E44" s="2"/>
      <c r="F44" s="19">
        <f t="shared" si="10"/>
        <v>0</v>
      </c>
      <c r="G44" s="2"/>
      <c r="H44" s="2"/>
      <c r="I44" s="2"/>
      <c r="J44" s="19">
        <f t="shared" si="11"/>
        <v>0</v>
      </c>
      <c r="K44" s="2"/>
      <c r="L44" s="2">
        <f t="shared" si="12"/>
        <v>0</v>
      </c>
      <c r="M44" s="2"/>
      <c r="N44" s="19">
        <f t="shared" si="13"/>
        <v>0</v>
      </c>
      <c r="O44" s="10"/>
      <c r="P44" s="2"/>
      <c r="Q44" s="2"/>
      <c r="R44" s="19">
        <f t="shared" si="14"/>
        <v>0</v>
      </c>
      <c r="S44" s="2"/>
      <c r="T44" s="2">
        <v>2728</v>
      </c>
      <c r="U44" s="2"/>
      <c r="V44" s="19">
        <f t="shared" si="15"/>
        <v>1.3383475906027099E-3</v>
      </c>
      <c r="W44" s="2"/>
      <c r="X44" s="2">
        <f t="shared" si="16"/>
        <v>-2728</v>
      </c>
      <c r="Y44" s="2"/>
      <c r="Z44" s="19">
        <f t="shared" si="17"/>
        <v>-1</v>
      </c>
    </row>
    <row r="45" spans="1:26" s="23" customFormat="1" hidden="1" outlineLevel="1" x14ac:dyDescent="0.25">
      <c r="A45" s="44"/>
      <c r="B45" s="10" t="str">
        <f>CONCATENATE("          ", "5085", " - ", "PURCHASES @ COST-SOFTWARE")</f>
        <v xml:space="preserve">          5085 - PURCHASES @ COST-SOFTWARE</v>
      </c>
      <c r="C45" s="10"/>
      <c r="D45" s="2">
        <v>3753.26</v>
      </c>
      <c r="E45" s="2"/>
      <c r="F45" s="19">
        <f t="shared" si="10"/>
        <v>8.7471193953388201E-3</v>
      </c>
      <c r="G45" s="2"/>
      <c r="H45" s="2"/>
      <c r="I45" s="2"/>
      <c r="J45" s="19">
        <f t="shared" si="11"/>
        <v>0</v>
      </c>
      <c r="K45" s="2"/>
      <c r="L45" s="2">
        <f t="shared" si="12"/>
        <v>3753.26</v>
      </c>
      <c r="M45" s="2"/>
      <c r="N45" s="19">
        <f t="shared" si="13"/>
        <v>0</v>
      </c>
      <c r="O45" s="10"/>
      <c r="P45" s="2">
        <v>33898.71</v>
      </c>
      <c r="Q45" s="2"/>
      <c r="R45" s="19">
        <f t="shared" si="14"/>
        <v>1.6785225207321015E-2</v>
      </c>
      <c r="S45" s="2"/>
      <c r="T45" s="2">
        <v>9162.39</v>
      </c>
      <c r="U45" s="2"/>
      <c r="V45" s="19">
        <f t="shared" si="15"/>
        <v>4.4950376028820979E-3</v>
      </c>
      <c r="W45" s="2"/>
      <c r="X45" s="2">
        <f t="shared" si="16"/>
        <v>24736.32</v>
      </c>
      <c r="Y45" s="2"/>
      <c r="Z45" s="19">
        <f t="shared" si="17"/>
        <v>2.6997672004793509</v>
      </c>
    </row>
    <row r="46" spans="1:26" s="23" customFormat="1" hidden="1" outlineLevel="1" x14ac:dyDescent="0.25">
      <c r="A46" s="44"/>
      <c r="B46" s="10" t="str">
        <f>CONCATENATE("          ", "5086", " - ", "PURCHASES @ COST-COMPUTER SUPP")</f>
        <v xml:space="preserve">          5086 - PURCHASES @ COST-COMPUTER SUPP</v>
      </c>
      <c r="C46" s="10"/>
      <c r="D46" s="2">
        <v>525.71</v>
      </c>
      <c r="E46" s="2"/>
      <c r="F46" s="19">
        <f t="shared" si="10"/>
        <v>1.2251877400775782E-3</v>
      </c>
      <c r="G46" s="2"/>
      <c r="H46" s="2">
        <v>948.45</v>
      </c>
      <c r="I46" s="2"/>
      <c r="J46" s="19">
        <f t="shared" si="11"/>
        <v>8.2977645072648421E-3</v>
      </c>
      <c r="K46" s="2"/>
      <c r="L46" s="2">
        <f t="shared" si="12"/>
        <v>-422.74</v>
      </c>
      <c r="M46" s="2"/>
      <c r="N46" s="19">
        <f t="shared" si="13"/>
        <v>-0.4457166956613422</v>
      </c>
      <c r="O46" s="10"/>
      <c r="P46" s="2">
        <v>23650.99</v>
      </c>
      <c r="Q46" s="2"/>
      <c r="R46" s="19">
        <f t="shared" si="14"/>
        <v>1.1710982321336041E-2</v>
      </c>
      <c r="S46" s="2"/>
      <c r="T46" s="2">
        <v>29950.55</v>
      </c>
      <c r="U46" s="2"/>
      <c r="V46" s="19">
        <f t="shared" si="15"/>
        <v>1.4693638720574043E-2</v>
      </c>
      <c r="W46" s="2"/>
      <c r="X46" s="2">
        <f t="shared" si="16"/>
        <v>-6299.5599999999977</v>
      </c>
      <c r="Y46" s="2"/>
      <c r="Z46" s="19">
        <f t="shared" si="17"/>
        <v>-0.21033203063048919</v>
      </c>
    </row>
    <row r="47" spans="1:26" s="23" customFormat="1" hidden="1" outlineLevel="1" x14ac:dyDescent="0.25">
      <c r="A47" s="44"/>
      <c r="B47" s="10" t="str">
        <f>CONCATENATE("          ", "5088", " - ", "PURCHASES @ COST-MUSIC")</f>
        <v xml:space="preserve">          5088 - PURCHASES @ COST-MUSIC</v>
      </c>
      <c r="C47" s="10"/>
      <c r="D47" s="2"/>
      <c r="E47" s="2"/>
      <c r="F47" s="19">
        <f t="shared" si="10"/>
        <v>0</v>
      </c>
      <c r="G47" s="2"/>
      <c r="H47" s="2"/>
      <c r="I47" s="2"/>
      <c r="J47" s="19">
        <f t="shared" si="11"/>
        <v>0</v>
      </c>
      <c r="K47" s="2"/>
      <c r="L47" s="2">
        <f t="shared" si="12"/>
        <v>0</v>
      </c>
      <c r="M47" s="2"/>
      <c r="N47" s="19">
        <f t="shared" si="13"/>
        <v>0</v>
      </c>
      <c r="O47" s="10"/>
      <c r="P47" s="2"/>
      <c r="Q47" s="2"/>
      <c r="R47" s="19">
        <f t="shared" si="14"/>
        <v>0</v>
      </c>
      <c r="S47" s="2"/>
      <c r="T47" s="2">
        <v>95.65</v>
      </c>
      <c r="U47" s="2"/>
      <c r="V47" s="19">
        <f t="shared" si="15"/>
        <v>4.6925567097195458E-5</v>
      </c>
      <c r="W47" s="2"/>
      <c r="X47" s="2">
        <f t="shared" si="16"/>
        <v>-95.65</v>
      </c>
      <c r="Y47" s="2"/>
      <c r="Z47" s="19">
        <f t="shared" si="17"/>
        <v>-1</v>
      </c>
    </row>
    <row r="48" spans="1:26" s="23" customFormat="1" hidden="1" outlineLevel="1" x14ac:dyDescent="0.25">
      <c r="A48" s="44"/>
      <c r="B48" s="10" t="str">
        <f>CONCATENATE("          ", "5200", " - ", "PURCHASES OFFSET")</f>
        <v xml:space="preserve">          5200 - PURCHASES OFFSET</v>
      </c>
      <c r="C48" s="10"/>
      <c r="D48" s="2">
        <v>-143329.32999999999</v>
      </c>
      <c r="E48" s="2"/>
      <c r="F48" s="19">
        <f t="shared" si="10"/>
        <v>-0.33403461587098093</v>
      </c>
      <c r="G48" s="2"/>
      <c r="H48" s="2">
        <v>-213259</v>
      </c>
      <c r="I48" s="2"/>
      <c r="J48" s="19">
        <f t="shared" si="11"/>
        <v>-1.8657525025618564</v>
      </c>
      <c r="K48" s="2"/>
      <c r="L48" s="2">
        <f t="shared" si="12"/>
        <v>69929.670000000013</v>
      </c>
      <c r="M48" s="2"/>
      <c r="N48" s="19">
        <f t="shared" si="13"/>
        <v>-0.32790958412071713</v>
      </c>
      <c r="O48" s="10"/>
      <c r="P48" s="2">
        <v>-1588000.81</v>
      </c>
      <c r="Q48" s="2"/>
      <c r="R48" s="19">
        <f t="shared" si="14"/>
        <v>-0.78631166865223456</v>
      </c>
      <c r="S48" s="2"/>
      <c r="T48" s="2">
        <v>-1763880</v>
      </c>
      <c r="U48" s="2"/>
      <c r="V48" s="19">
        <f t="shared" si="15"/>
        <v>-0.86535357335495156</v>
      </c>
      <c r="W48" s="2"/>
      <c r="X48" s="2">
        <f t="shared" si="16"/>
        <v>175879.18999999994</v>
      </c>
      <c r="Y48" s="2"/>
      <c r="Z48" s="19">
        <f t="shared" si="17"/>
        <v>-9.9711539333741495E-2</v>
      </c>
    </row>
    <row r="49" spans="1:26" s="23" customFormat="1" hidden="1" outlineLevel="1" x14ac:dyDescent="0.25">
      <c r="A49" s="44"/>
      <c r="B49" s="10" t="str">
        <f>CONCATENATE("          ", "5300", " - ", "COG$ OFFSET")</f>
        <v xml:space="preserve">          5300 - COG$ OFFSET</v>
      </c>
      <c r="C49" s="10"/>
      <c r="D49" s="2">
        <v>356026</v>
      </c>
      <c r="E49" s="2"/>
      <c r="F49" s="19">
        <f t="shared" si="10"/>
        <v>0.82973253380924805</v>
      </c>
      <c r="G49" s="2"/>
      <c r="H49" s="2">
        <v>104218</v>
      </c>
      <c r="I49" s="2"/>
      <c r="J49" s="19">
        <f t="shared" si="11"/>
        <v>0.91177860869642802</v>
      </c>
      <c r="K49" s="2"/>
      <c r="L49" s="2">
        <f t="shared" si="12"/>
        <v>251808</v>
      </c>
      <c r="M49" s="2"/>
      <c r="N49" s="19">
        <f t="shared" si="13"/>
        <v>2.4161661133393464</v>
      </c>
      <c r="O49" s="10"/>
      <c r="P49" s="2">
        <v>1860576</v>
      </c>
      <c r="Q49" s="2"/>
      <c r="R49" s="19">
        <f t="shared" si="14"/>
        <v>0.92127951698859656</v>
      </c>
      <c r="S49" s="2"/>
      <c r="T49" s="2">
        <v>1776438</v>
      </c>
      <c r="U49" s="2"/>
      <c r="V49" s="19">
        <f t="shared" si="15"/>
        <v>0.87151448576066592</v>
      </c>
      <c r="W49" s="2"/>
      <c r="X49" s="2">
        <f t="shared" si="16"/>
        <v>84138</v>
      </c>
      <c r="Y49" s="2"/>
      <c r="Z49" s="19">
        <f t="shared" si="17"/>
        <v>4.7363319181418097E-2</v>
      </c>
    </row>
    <row r="50" spans="1:26" s="23" customFormat="1" hidden="1" outlineLevel="1" x14ac:dyDescent="0.25">
      <c r="A50" s="44"/>
      <c r="B50" s="10" t="str">
        <f>CONCATENATE("          ", "5500", " - ", "FREIGHT-IN")</f>
        <v xml:space="preserve">          5500 - FREIGHT-IN</v>
      </c>
      <c r="C50" s="10"/>
      <c r="D50" s="2"/>
      <c r="E50" s="2"/>
      <c r="F50" s="19">
        <f t="shared" si="10"/>
        <v>0</v>
      </c>
      <c r="G50" s="2"/>
      <c r="H50" s="2"/>
      <c r="I50" s="2"/>
      <c r="J50" s="19">
        <f t="shared" si="11"/>
        <v>0</v>
      </c>
      <c r="K50" s="2"/>
      <c r="L50" s="2">
        <f t="shared" si="12"/>
        <v>0</v>
      </c>
      <c r="M50" s="2"/>
      <c r="N50" s="19">
        <f t="shared" si="13"/>
        <v>0</v>
      </c>
      <c r="O50" s="10"/>
      <c r="P50" s="2">
        <v>0</v>
      </c>
      <c r="Q50" s="2"/>
      <c r="R50" s="19">
        <f t="shared" si="14"/>
        <v>0</v>
      </c>
      <c r="S50" s="2"/>
      <c r="T50" s="2">
        <v>0</v>
      </c>
      <c r="U50" s="2"/>
      <c r="V50" s="19">
        <f t="shared" si="15"/>
        <v>0</v>
      </c>
      <c r="W50" s="2"/>
      <c r="X50" s="2">
        <f t="shared" si="16"/>
        <v>0</v>
      </c>
      <c r="Y50" s="2"/>
      <c r="Z50" s="19">
        <f t="shared" si="17"/>
        <v>0</v>
      </c>
    </row>
    <row r="51" spans="1:26" s="23" customFormat="1" hidden="1" outlineLevel="1" x14ac:dyDescent="0.25">
      <c r="A51" s="44"/>
      <c r="B51" s="10" t="str">
        <f>CONCATENATE("          ", "5581", " - ", "FREIGHT-IN-ELECTRONICS")</f>
        <v xml:space="preserve">          5581 - FREIGHT-IN-ELECTRONICS</v>
      </c>
      <c r="C51" s="10"/>
      <c r="D51" s="2"/>
      <c r="E51" s="2"/>
      <c r="F51" s="19">
        <f t="shared" si="10"/>
        <v>0</v>
      </c>
      <c r="G51" s="2"/>
      <c r="H51" s="2"/>
      <c r="I51" s="2"/>
      <c r="J51" s="19">
        <f t="shared" si="11"/>
        <v>0</v>
      </c>
      <c r="K51" s="2"/>
      <c r="L51" s="2">
        <f t="shared" si="12"/>
        <v>0</v>
      </c>
      <c r="M51" s="2"/>
      <c r="N51" s="19">
        <f t="shared" si="13"/>
        <v>0</v>
      </c>
      <c r="O51" s="10"/>
      <c r="P51" s="2">
        <v>31</v>
      </c>
      <c r="Q51" s="2"/>
      <c r="R51" s="19">
        <f t="shared" si="14"/>
        <v>1.534990509747868E-5</v>
      </c>
      <c r="S51" s="2"/>
      <c r="T51" s="2">
        <v>105.75</v>
      </c>
      <c r="U51" s="2"/>
      <c r="V51" s="19">
        <f t="shared" si="15"/>
        <v>5.1880593000819853E-5</v>
      </c>
      <c r="W51" s="2"/>
      <c r="X51" s="2">
        <f t="shared" si="16"/>
        <v>-74.75</v>
      </c>
      <c r="Y51" s="2"/>
      <c r="Z51" s="19">
        <f t="shared" si="17"/>
        <v>-0.70685579196217496</v>
      </c>
    </row>
    <row r="52" spans="1:26" s="23" customFormat="1" hidden="1" outlineLevel="1" x14ac:dyDescent="0.25">
      <c r="A52" s="44"/>
      <c r="B52" s="10" t="str">
        <f>CONCATENATE("          ", "5582", " - ", "FREIGHT-IN-COMPUTER HARDWARE")</f>
        <v xml:space="preserve">          5582 - FREIGHT-IN-COMPUTER HARDWARE</v>
      </c>
      <c r="C52" s="10"/>
      <c r="D52" s="2"/>
      <c r="E52" s="2"/>
      <c r="F52" s="19">
        <f t="shared" si="10"/>
        <v>0</v>
      </c>
      <c r="G52" s="2"/>
      <c r="H52" s="2">
        <v>149.46</v>
      </c>
      <c r="I52" s="2"/>
      <c r="J52" s="19">
        <f t="shared" si="11"/>
        <v>1.3075901557866026E-3</v>
      </c>
      <c r="K52" s="2"/>
      <c r="L52" s="2">
        <f t="shared" si="12"/>
        <v>-149.46</v>
      </c>
      <c r="M52" s="2"/>
      <c r="N52" s="19">
        <f t="shared" si="13"/>
        <v>-1</v>
      </c>
      <c r="O52" s="10"/>
      <c r="P52" s="2">
        <v>125</v>
      </c>
      <c r="Q52" s="2"/>
      <c r="R52" s="19">
        <f t="shared" si="14"/>
        <v>6.1894778618865645E-5</v>
      </c>
      <c r="S52" s="2"/>
      <c r="T52" s="2">
        <v>154.30000000000001</v>
      </c>
      <c r="U52" s="2"/>
      <c r="V52" s="19">
        <f t="shared" si="15"/>
        <v>7.569905910190548E-5</v>
      </c>
      <c r="W52" s="2"/>
      <c r="X52" s="2">
        <f t="shared" si="16"/>
        <v>-29.300000000000011</v>
      </c>
      <c r="Y52" s="2"/>
      <c r="Z52" s="19">
        <f t="shared" si="17"/>
        <v>-0.18988982501620227</v>
      </c>
    </row>
    <row r="53" spans="1:26" s="23" customFormat="1" hidden="1" outlineLevel="1" x14ac:dyDescent="0.25">
      <c r="A53" s="44"/>
      <c r="B53" s="10" t="str">
        <f>CONCATENATE("          ", "5583", " - ", "FREIGHT-IN-COMPUTER EQUIPMENT")</f>
        <v xml:space="preserve">          5583 - FREIGHT-IN-COMPUTER EQUIPMENT</v>
      </c>
      <c r="C53" s="10"/>
      <c r="D53" s="2"/>
      <c r="E53" s="2"/>
      <c r="F53" s="19">
        <f t="shared" si="10"/>
        <v>0</v>
      </c>
      <c r="G53" s="2"/>
      <c r="H53" s="2"/>
      <c r="I53" s="2"/>
      <c r="J53" s="19">
        <f t="shared" si="11"/>
        <v>0</v>
      </c>
      <c r="K53" s="2"/>
      <c r="L53" s="2">
        <f t="shared" si="12"/>
        <v>0</v>
      </c>
      <c r="M53" s="2"/>
      <c r="N53" s="19">
        <f t="shared" si="13"/>
        <v>0</v>
      </c>
      <c r="O53" s="10"/>
      <c r="P53" s="2">
        <v>242.46</v>
      </c>
      <c r="Q53" s="2"/>
      <c r="R53" s="19">
        <f t="shared" si="14"/>
        <v>1.2005606419144131E-4</v>
      </c>
      <c r="S53" s="2"/>
      <c r="T53" s="2">
        <v>57.5</v>
      </c>
      <c r="U53" s="2"/>
      <c r="V53" s="19">
        <f t="shared" si="15"/>
        <v>2.8209305886970606E-5</v>
      </c>
      <c r="W53" s="2"/>
      <c r="X53" s="2">
        <f t="shared" si="16"/>
        <v>184.96</v>
      </c>
      <c r="Y53" s="2"/>
      <c r="Z53" s="19">
        <f t="shared" si="17"/>
        <v>3.2166956521739132</v>
      </c>
    </row>
    <row r="54" spans="1:26" s="23" customFormat="1" hidden="1" outlineLevel="1" x14ac:dyDescent="0.25">
      <c r="A54" s="44"/>
      <c r="B54" s="10" t="str">
        <f>CONCATENATE("          ", "5585", " - ", "FREIGHT-IN-SOFTWARE")</f>
        <v xml:space="preserve">          5585 - FREIGHT-IN-SOFTWARE</v>
      </c>
      <c r="C54" s="10"/>
      <c r="D54" s="2">
        <v>9.41</v>
      </c>
      <c r="E54" s="2"/>
      <c r="F54" s="19">
        <f t="shared" si="10"/>
        <v>2.1930373464704893E-5</v>
      </c>
      <c r="G54" s="2"/>
      <c r="H54" s="2"/>
      <c r="I54" s="2"/>
      <c r="J54" s="19">
        <f t="shared" si="11"/>
        <v>0</v>
      </c>
      <c r="K54" s="2"/>
      <c r="L54" s="2">
        <f t="shared" si="12"/>
        <v>9.41</v>
      </c>
      <c r="M54" s="2"/>
      <c r="N54" s="19">
        <f t="shared" si="13"/>
        <v>0</v>
      </c>
      <c r="O54" s="10"/>
      <c r="P54" s="2">
        <v>9.41</v>
      </c>
      <c r="Q54" s="2"/>
      <c r="R54" s="19">
        <f t="shared" si="14"/>
        <v>4.6594389344282054E-6</v>
      </c>
      <c r="S54" s="2"/>
      <c r="T54" s="2"/>
      <c r="U54" s="2"/>
      <c r="V54" s="19">
        <f t="shared" si="15"/>
        <v>0</v>
      </c>
      <c r="W54" s="2"/>
      <c r="X54" s="2">
        <f t="shared" si="16"/>
        <v>9.41</v>
      </c>
      <c r="Y54" s="2"/>
      <c r="Z54" s="19">
        <f t="shared" si="17"/>
        <v>0</v>
      </c>
    </row>
    <row r="55" spans="1:26" s="23" customFormat="1" hidden="1" outlineLevel="1" x14ac:dyDescent="0.25">
      <c r="A55" s="44"/>
      <c r="B55" s="10" t="str">
        <f>CONCATENATE("          ", "5586", " - ", "FREIGHT-IN-COMPUTER SUPPLIES")</f>
        <v xml:space="preserve">          5586 - FREIGHT-IN-COMPUTER SUPPLIES</v>
      </c>
      <c r="C55" s="10"/>
      <c r="D55" s="2"/>
      <c r="E55" s="2"/>
      <c r="F55" s="19">
        <f t="shared" si="10"/>
        <v>0</v>
      </c>
      <c r="G55" s="2"/>
      <c r="H55" s="2">
        <v>30.96</v>
      </c>
      <c r="I55" s="2"/>
      <c r="J55" s="19">
        <f t="shared" si="11"/>
        <v>2.7086171031147609E-4</v>
      </c>
      <c r="K55" s="2"/>
      <c r="L55" s="2">
        <f t="shared" si="12"/>
        <v>-30.96</v>
      </c>
      <c r="M55" s="2"/>
      <c r="N55" s="19">
        <f t="shared" si="13"/>
        <v>-1</v>
      </c>
      <c r="O55" s="10"/>
      <c r="P55" s="2">
        <v>24.12</v>
      </c>
      <c r="Q55" s="2"/>
      <c r="R55" s="19">
        <f t="shared" si="14"/>
        <v>1.1943216482296315E-5</v>
      </c>
      <c r="S55" s="2"/>
      <c r="T55" s="2">
        <v>301.27</v>
      </c>
      <c r="U55" s="2"/>
      <c r="V55" s="19">
        <f t="shared" si="15"/>
        <v>1.4780204494900233E-4</v>
      </c>
      <c r="W55" s="2"/>
      <c r="X55" s="2">
        <f t="shared" si="16"/>
        <v>-277.14999999999998</v>
      </c>
      <c r="Y55" s="2"/>
      <c r="Z55" s="19">
        <f t="shared" si="17"/>
        <v>-0.91993892521658316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x14ac:dyDescent="0.25">
      <c r="A57" s="11"/>
      <c r="B57" s="29" t="s">
        <v>107</v>
      </c>
      <c r="C57" s="29"/>
      <c r="D57" s="22">
        <f>D12-D39</f>
        <v>73059.260000000009</v>
      </c>
      <c r="E57" s="14"/>
      <c r="F57" s="20">
        <f>IF(D$12=0,0,D57/D$12)</f>
        <v>0.17026746619075195</v>
      </c>
      <c r="G57" s="14"/>
      <c r="H57" s="22">
        <f>H12-H39</f>
        <v>10082.86</v>
      </c>
      <c r="I57" s="14"/>
      <c r="J57" s="20">
        <f>IF(H$12=0,0,H57/H$12)</f>
        <v>8.8212555052686367E-2</v>
      </c>
      <c r="K57" s="15"/>
      <c r="L57" s="22">
        <f>+D57-H57</f>
        <v>62976.400000000009</v>
      </c>
      <c r="M57" s="15"/>
      <c r="N57" s="20">
        <f>IF(H57=0,0,L57/H57)</f>
        <v>6.2458865837669082</v>
      </c>
      <c r="O57" s="28"/>
      <c r="P57" s="22">
        <f>P12-P39</f>
        <v>155034.62000000011</v>
      </c>
      <c r="Q57" s="14"/>
      <c r="R57" s="20">
        <f>IF(P$12=0,0,P57/P$12)</f>
        <v>7.6766667865279734E-2</v>
      </c>
      <c r="S57" s="14"/>
      <c r="T57" s="22">
        <f>T12-T39</f>
        <v>261893.91000000038</v>
      </c>
      <c r="U57" s="14"/>
      <c r="V57" s="20">
        <f>IF(T$12=0,0,T57/T$12)</f>
        <v>0.1284842681239089</v>
      </c>
      <c r="W57" s="15"/>
      <c r="X57" s="22">
        <f>+P57-T57</f>
        <v>-106859.29000000027</v>
      </c>
      <c r="Y57" s="15"/>
      <c r="Z57" s="20">
        <f>IF(T57=0,0,X57/T57)</f>
        <v>-0.40802510451655832</v>
      </c>
    </row>
    <row r="58" spans="1:26" x14ac:dyDescent="0.25">
      <c r="A58" s="9"/>
      <c r="B58" s="11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8" t="s">
        <v>294</v>
      </c>
      <c r="C59" s="11"/>
      <c r="D59" s="21">
        <f>SUM(OSRRefD22x_0)</f>
        <v>16950.63</v>
      </c>
      <c r="E59" s="21"/>
      <c r="F59" s="31">
        <f t="shared" ref="F59:F69" si="18">IF(D$12=0,0,D59/D$12)</f>
        <v>3.9504106946018143E-2</v>
      </c>
      <c r="G59" s="21"/>
      <c r="H59" s="21">
        <f>SUM(OSRRefH22x_0)</f>
        <v>14300.55</v>
      </c>
      <c r="I59" s="21"/>
      <c r="J59" s="31">
        <f t="shared" ref="J59:J69" si="19">IF(H$12=0,0,H59/H$12)</f>
        <v>0.12511212633704066</v>
      </c>
      <c r="K59" s="4"/>
      <c r="L59" s="21">
        <f t="shared" ref="L59:L69" si="20">+D59-H59</f>
        <v>2650.0800000000017</v>
      </c>
      <c r="M59" s="4"/>
      <c r="N59" s="31">
        <f t="shared" ref="N59:N69" si="21">IF(H59=0,0,L59/H59)</f>
        <v>0.18531315229134557</v>
      </c>
      <c r="O59" s="11"/>
      <c r="P59" s="21">
        <f>SUM(OSRRefP22x_0)</f>
        <v>124058.65000000001</v>
      </c>
      <c r="Q59" s="21"/>
      <c r="R59" s="31">
        <f t="shared" ref="R59:R69" si="22">IF(P$12=0,0,P59/P$12)</f>
        <v>6.1428661420042698E-2</v>
      </c>
      <c r="S59" s="21"/>
      <c r="T59" s="21">
        <f>SUM(OSRRefT22x_0)</f>
        <v>174800.15000000002</v>
      </c>
      <c r="U59" s="21"/>
      <c r="V59" s="31">
        <f t="shared" ref="V59:V69" si="23">IF(T$12=0,0,T59/T$12)</f>
        <v>8.5756363485884279E-2</v>
      </c>
      <c r="W59" s="4"/>
      <c r="X59" s="21">
        <f t="shared" ref="X59:X69" si="24">+P59-T59</f>
        <v>-50741.500000000015</v>
      </c>
      <c r="Y59" s="4"/>
      <c r="Z59" s="31">
        <f t="shared" ref="Z59:Z69" si="25">IF(T59=0,0,X59/T59)</f>
        <v>-0.2902829316794065</v>
      </c>
    </row>
    <row r="60" spans="1:26" s="26" customFormat="1" outlineLevel="1" collapsed="1" x14ac:dyDescent="0.25">
      <c r="A60" s="27"/>
      <c r="B60" s="12" t="str">
        <f>CONCATENATE("     ","*Benefits                                         ")</f>
        <v xml:space="preserve">     *Benefits                                         </v>
      </c>
      <c r="C60" s="12"/>
      <c r="D60" s="1">
        <f>SUM(OSRRefD22_0x_0)</f>
        <v>2924.3900000000003</v>
      </c>
      <c r="E60" s="1"/>
      <c r="F60" s="5">
        <f t="shared" si="18"/>
        <v>6.8154054045109829E-3</v>
      </c>
      <c r="G60" s="1"/>
      <c r="H60" s="1">
        <f>SUM(OSRRefH22_0x_0)</f>
        <v>-3105.0600000000004</v>
      </c>
      <c r="I60" s="1"/>
      <c r="J60" s="5">
        <f t="shared" si="19"/>
        <v>-2.716543482621938E-2</v>
      </c>
      <c r="K60" s="1"/>
      <c r="L60" s="1">
        <f t="shared" si="20"/>
        <v>6029.4500000000007</v>
      </c>
      <c r="M60" s="1"/>
      <c r="N60" s="5">
        <f t="shared" si="21"/>
        <v>-1.9418143288696514</v>
      </c>
      <c r="O60" s="12"/>
      <c r="P60" s="1">
        <f>SUM(OSRRefP22_0x_0)</f>
        <v>26222.32</v>
      </c>
      <c r="Q60" s="1"/>
      <c r="R60" s="5">
        <f t="shared" si="22"/>
        <v>1.2984197530184424E-2</v>
      </c>
      <c r="S60" s="1"/>
      <c r="T60" s="1">
        <f>SUM(OSRRefT22_0x_0)</f>
        <v>21336.489999999994</v>
      </c>
      <c r="U60" s="1"/>
      <c r="V60" s="5">
        <f t="shared" si="23"/>
        <v>1.0467609964596336E-2</v>
      </c>
      <c r="W60" s="1"/>
      <c r="X60" s="1">
        <f t="shared" si="24"/>
        <v>4885.8300000000054</v>
      </c>
      <c r="Y60" s="1"/>
      <c r="Z60" s="5">
        <f t="shared" si="25"/>
        <v>0.22898939797501869</v>
      </c>
    </row>
    <row r="61" spans="1:26" s="23" customFormat="1" hidden="1" outlineLevel="2" x14ac:dyDescent="0.25">
      <c r="A61" s="25"/>
      <c r="B61" s="10" t="str">
        <f>CONCATENATE("          ", "6111", " - ", "F.I.C.A.")</f>
        <v xml:space="preserve">          6111 - F.I.C.A.</v>
      </c>
      <c r="C61" s="10"/>
      <c r="D61" s="6">
        <v>449.24</v>
      </c>
      <c r="E61" s="2"/>
      <c r="F61" s="7">
        <f t="shared" si="18"/>
        <v>1.0469714107634459E-3</v>
      </c>
      <c r="G61" s="2"/>
      <c r="H61" s="6">
        <v>1205.07</v>
      </c>
      <c r="I61" s="2"/>
      <c r="J61" s="7">
        <f t="shared" si="19"/>
        <v>1.0542872133238063E-2</v>
      </c>
      <c r="K61" s="2"/>
      <c r="L61" s="6">
        <f t="shared" si="20"/>
        <v>-755.82999999999993</v>
      </c>
      <c r="M61" s="2"/>
      <c r="N61" s="7">
        <f t="shared" si="21"/>
        <v>-0.62720837793655138</v>
      </c>
      <c r="O61" s="10"/>
      <c r="P61" s="6">
        <v>4738.08</v>
      </c>
      <c r="Q61" s="2"/>
      <c r="R61" s="7">
        <f t="shared" si="22"/>
        <v>2.3460993014277993E-3</v>
      </c>
      <c r="S61" s="2"/>
      <c r="T61" s="6">
        <v>6680.45</v>
      </c>
      <c r="U61" s="2"/>
      <c r="V61" s="7">
        <f t="shared" si="23"/>
        <v>3.277406217610657E-3</v>
      </c>
      <c r="W61" s="2"/>
      <c r="X61" s="6">
        <f t="shared" si="24"/>
        <v>-1942.37</v>
      </c>
      <c r="Y61" s="2"/>
      <c r="Z61" s="7">
        <f t="shared" si="25"/>
        <v>-0.29075436534963961</v>
      </c>
    </row>
    <row r="62" spans="1:26" s="23" customFormat="1" hidden="1" outlineLevel="2" x14ac:dyDescent="0.25">
      <c r="A62" s="25"/>
      <c r="B62" s="10" t="str">
        <f>CONCATENATE("          ", "6112", " - ", "COMPENSATION INSURANCE")</f>
        <v xml:space="preserve">          6112 - COMPENSATION INSURANCE</v>
      </c>
      <c r="C62" s="10"/>
      <c r="D62" s="6">
        <v>184.54</v>
      </c>
      <c r="E62" s="2"/>
      <c r="F62" s="7">
        <f t="shared" si="18"/>
        <v>4.3007769598051444E-4</v>
      </c>
      <c r="G62" s="2"/>
      <c r="H62" s="6">
        <v>498.29</v>
      </c>
      <c r="I62" s="2"/>
      <c r="J62" s="7">
        <f t="shared" si="19"/>
        <v>4.3594212413147742E-3</v>
      </c>
      <c r="K62" s="2"/>
      <c r="L62" s="6">
        <f t="shared" si="20"/>
        <v>-313.75</v>
      </c>
      <c r="M62" s="2"/>
      <c r="N62" s="7">
        <f t="shared" si="21"/>
        <v>-0.62965341467819946</v>
      </c>
      <c r="O62" s="10"/>
      <c r="P62" s="6">
        <v>1358.75</v>
      </c>
      <c r="Q62" s="2"/>
      <c r="R62" s="7">
        <f t="shared" si="22"/>
        <v>6.727962435870696E-4</v>
      </c>
      <c r="S62" s="2"/>
      <c r="T62" s="6">
        <v>1865.18</v>
      </c>
      <c r="U62" s="2"/>
      <c r="V62" s="7">
        <f t="shared" si="23"/>
        <v>9.15051011378432E-4</v>
      </c>
      <c r="W62" s="2"/>
      <c r="X62" s="6">
        <f t="shared" si="24"/>
        <v>-506.43000000000006</v>
      </c>
      <c r="Y62" s="2"/>
      <c r="Z62" s="7">
        <f t="shared" si="25"/>
        <v>-0.27151803043137929</v>
      </c>
    </row>
    <row r="63" spans="1:26" s="23" customFormat="1" hidden="1" outlineLevel="2" x14ac:dyDescent="0.25">
      <c r="A63" s="25"/>
      <c r="B63" s="10" t="str">
        <f>CONCATENATE("          ", "6113", " - ", "GROUP INSURANCE")</f>
        <v xml:space="preserve">          6113 - GROUP INSURANCE</v>
      </c>
      <c r="C63" s="10"/>
      <c r="D63" s="6">
        <v>1053.8499999999999</v>
      </c>
      <c r="E63" s="2"/>
      <c r="F63" s="7">
        <f t="shared" si="18"/>
        <v>2.4560386903059775E-3</v>
      </c>
      <c r="G63" s="2"/>
      <c r="H63" s="6">
        <v>1331.95</v>
      </c>
      <c r="I63" s="2"/>
      <c r="J63" s="7">
        <f t="shared" si="19"/>
        <v>1.1652915214772951E-2</v>
      </c>
      <c r="K63" s="2"/>
      <c r="L63" s="6">
        <f t="shared" si="20"/>
        <v>-278.10000000000014</v>
      </c>
      <c r="M63" s="2"/>
      <c r="N63" s="7">
        <f t="shared" si="21"/>
        <v>-0.20879162130710621</v>
      </c>
      <c r="O63" s="10"/>
      <c r="P63" s="6">
        <v>9376.33</v>
      </c>
      <c r="Q63" s="2"/>
      <c r="R63" s="7">
        <f t="shared" si="22"/>
        <v>4.6427669568594281E-3</v>
      </c>
      <c r="S63" s="2"/>
      <c r="T63" s="6">
        <v>10520.31</v>
      </c>
      <c r="U63" s="2"/>
      <c r="V63" s="7">
        <f t="shared" si="23"/>
        <v>5.1612285707087957E-3</v>
      </c>
      <c r="W63" s="2"/>
      <c r="X63" s="6">
        <f t="shared" si="24"/>
        <v>-1143.9799999999996</v>
      </c>
      <c r="Y63" s="2"/>
      <c r="Z63" s="7">
        <f t="shared" si="25"/>
        <v>-0.10874014168783996</v>
      </c>
    </row>
    <row r="64" spans="1:26" s="23" customFormat="1" hidden="1" outlineLevel="2" x14ac:dyDescent="0.25">
      <c r="A64" s="25"/>
      <c r="B64" s="10" t="str">
        <f>CONCATENATE("          ", "6114", " - ", "STATE UNEMPLOYMENT INSURANCE")</f>
        <v xml:space="preserve">          6114 - STATE UNEMPLOYMENT INSURANCE</v>
      </c>
      <c r="C64" s="10"/>
      <c r="D64" s="6">
        <v>25.93</v>
      </c>
      <c r="E64" s="2"/>
      <c r="F64" s="7">
        <f t="shared" si="18"/>
        <v>6.0430880333666088E-5</v>
      </c>
      <c r="G64" s="2"/>
      <c r="H64" s="6">
        <v>75.099999999999994</v>
      </c>
      <c r="I64" s="2"/>
      <c r="J64" s="7">
        <f t="shared" si="19"/>
        <v>6.570321202968944E-4</v>
      </c>
      <c r="K64" s="2"/>
      <c r="L64" s="6">
        <f t="shared" si="20"/>
        <v>-49.169999999999995</v>
      </c>
      <c r="M64" s="2"/>
      <c r="N64" s="7">
        <f t="shared" si="21"/>
        <v>-0.65472703062583215</v>
      </c>
      <c r="O64" s="10"/>
      <c r="P64" s="6">
        <v>205.66</v>
      </c>
      <c r="Q64" s="2"/>
      <c r="R64" s="7">
        <f t="shared" si="22"/>
        <v>1.0183424136604727E-4</v>
      </c>
      <c r="S64" s="2"/>
      <c r="T64" s="6">
        <v>290.58999999999997</v>
      </c>
      <c r="U64" s="2"/>
      <c r="V64" s="7">
        <f t="shared" si="23"/>
        <v>1.4256247300338762E-4</v>
      </c>
      <c r="W64" s="2"/>
      <c r="X64" s="6">
        <f t="shared" si="24"/>
        <v>-84.929999999999978</v>
      </c>
      <c r="Y64" s="2"/>
      <c r="Z64" s="7">
        <f t="shared" si="25"/>
        <v>-0.29226745586565261</v>
      </c>
    </row>
    <row r="65" spans="1:26" s="23" customFormat="1" hidden="1" outlineLevel="2" x14ac:dyDescent="0.25">
      <c r="A65" s="25"/>
      <c r="B65" s="10" t="str">
        <f>CONCATENATE("          ", "6115", " - ", "P.E.R.S.")</f>
        <v xml:space="preserve">          6115 - P.E.R.S.</v>
      </c>
      <c r="C65" s="10"/>
      <c r="D65" s="6">
        <v>176.42</v>
      </c>
      <c r="E65" s="2"/>
      <c r="F65" s="7">
        <f t="shared" si="18"/>
        <v>4.1115371802797419E-4</v>
      </c>
      <c r="G65" s="2"/>
      <c r="H65" s="6">
        <v>374.08</v>
      </c>
      <c r="I65" s="2"/>
      <c r="J65" s="7">
        <f t="shared" si="19"/>
        <v>3.2727373576652767E-3</v>
      </c>
      <c r="K65" s="2"/>
      <c r="L65" s="6">
        <f t="shared" si="20"/>
        <v>-197.66</v>
      </c>
      <c r="M65" s="2"/>
      <c r="N65" s="7">
        <f t="shared" si="21"/>
        <v>-0.52838964927288279</v>
      </c>
      <c r="O65" s="10"/>
      <c r="P65" s="6">
        <v>1764.2</v>
      </c>
      <c r="Q65" s="2"/>
      <c r="R65" s="7">
        <f t="shared" si="22"/>
        <v>8.7355814751522212E-4</v>
      </c>
      <c r="S65" s="2"/>
      <c r="T65" s="6">
        <v>2329.44</v>
      </c>
      <c r="U65" s="2"/>
      <c r="V65" s="7">
        <f t="shared" si="23"/>
        <v>1.1428154000929533E-3</v>
      </c>
      <c r="W65" s="2"/>
      <c r="X65" s="6">
        <f t="shared" si="24"/>
        <v>-565.24</v>
      </c>
      <c r="Y65" s="2"/>
      <c r="Z65" s="7">
        <f t="shared" si="25"/>
        <v>-0.2426505941342125</v>
      </c>
    </row>
    <row r="66" spans="1:26" s="23" customFormat="1" hidden="1" outlineLevel="2" x14ac:dyDescent="0.25">
      <c r="A66" s="25"/>
      <c r="B66" s="10" t="str">
        <f>CONCATENATE("          ", "6117", " - ", "RETIREMENT STAFF HOURLY")</f>
        <v xml:space="preserve">          6117 - RETIREMENT STAFF HOURLY</v>
      </c>
      <c r="C66" s="10"/>
      <c r="D66" s="6">
        <v>264</v>
      </c>
      <c r="E66" s="2"/>
      <c r="F66" s="7">
        <f t="shared" si="18"/>
        <v>6.1526233737322971E-4</v>
      </c>
      <c r="G66" s="2"/>
      <c r="H66" s="6">
        <v>101.5</v>
      </c>
      <c r="I66" s="2"/>
      <c r="J66" s="7">
        <f t="shared" si="19"/>
        <v>8.8799947017489727E-4</v>
      </c>
      <c r="K66" s="2"/>
      <c r="L66" s="6">
        <f t="shared" si="20"/>
        <v>162.5</v>
      </c>
      <c r="M66" s="2"/>
      <c r="N66" s="7">
        <f t="shared" si="21"/>
        <v>1.6009852216748768</v>
      </c>
      <c r="O66" s="10"/>
      <c r="P66" s="6">
        <v>1721.04</v>
      </c>
      <c r="Q66" s="2"/>
      <c r="R66" s="7">
        <f t="shared" si="22"/>
        <v>8.5218711835370023E-4</v>
      </c>
      <c r="S66" s="2"/>
      <c r="T66" s="6">
        <v>1391.48</v>
      </c>
      <c r="U66" s="2"/>
      <c r="V66" s="7">
        <f t="shared" si="23"/>
        <v>6.8265539053220629E-4</v>
      </c>
      <c r="W66" s="2"/>
      <c r="X66" s="6">
        <f t="shared" si="24"/>
        <v>329.55999999999995</v>
      </c>
      <c r="Y66" s="2"/>
      <c r="Z66" s="7">
        <f t="shared" si="25"/>
        <v>0.23684134877971652</v>
      </c>
    </row>
    <row r="67" spans="1:26" s="23" customFormat="1" hidden="1" outlineLevel="2" x14ac:dyDescent="0.25">
      <c r="A67" s="25"/>
      <c r="B67" s="10" t="str">
        <f>CONCATENATE("          ", "6118", " - ", "VACATION")</f>
        <v xml:space="preserve">          6118 - VACATION</v>
      </c>
      <c r="C67" s="10"/>
      <c r="D67" s="6">
        <v>267.04000000000002</v>
      </c>
      <c r="E67" s="2"/>
      <c r="F67" s="7">
        <f t="shared" si="18"/>
        <v>6.2234717640964881E-4</v>
      </c>
      <c r="G67" s="2"/>
      <c r="H67" s="6">
        <v>733.78</v>
      </c>
      <c r="I67" s="2"/>
      <c r="J67" s="7">
        <f t="shared" si="19"/>
        <v>6.4196674997530657E-3</v>
      </c>
      <c r="K67" s="2"/>
      <c r="L67" s="6">
        <f t="shared" si="20"/>
        <v>-466.73999999999995</v>
      </c>
      <c r="M67" s="2"/>
      <c r="N67" s="7">
        <f t="shared" si="21"/>
        <v>-0.63607620812777665</v>
      </c>
      <c r="O67" s="10"/>
      <c r="P67" s="6">
        <v>2490.66</v>
      </c>
      <c r="Q67" s="2"/>
      <c r="R67" s="7">
        <f t="shared" si="22"/>
        <v>1.2332707945189112E-3</v>
      </c>
      <c r="S67" s="2"/>
      <c r="T67" s="6">
        <v>2400.85</v>
      </c>
      <c r="U67" s="2"/>
      <c r="V67" s="7">
        <f t="shared" si="23"/>
        <v>1.1778489050214501E-3</v>
      </c>
      <c r="W67" s="2"/>
      <c r="X67" s="6">
        <f t="shared" si="24"/>
        <v>89.809999999999945</v>
      </c>
      <c r="Y67" s="2"/>
      <c r="Z67" s="7">
        <f t="shared" si="25"/>
        <v>3.7407584813711786E-2</v>
      </c>
    </row>
    <row r="68" spans="1:26" s="23" customFormat="1" hidden="1" outlineLevel="2" x14ac:dyDescent="0.25">
      <c r="A68" s="25"/>
      <c r="B68" s="10" t="str">
        <f>CONCATENATE("          ", "6119", " - ", "SICK LEAVE")</f>
        <v xml:space="preserve">          6119 - SICK LEAVE</v>
      </c>
      <c r="C68" s="10"/>
      <c r="D68" s="6">
        <v>267.63</v>
      </c>
      <c r="E68" s="2"/>
      <c r="F68" s="7">
        <f t="shared" si="18"/>
        <v>6.2372219451211166E-4</v>
      </c>
      <c r="G68" s="2"/>
      <c r="H68" s="6">
        <v>-7714.8</v>
      </c>
      <c r="I68" s="2"/>
      <c r="J68" s="7">
        <f t="shared" si="19"/>
        <v>-6.7494958743894565E-2</v>
      </c>
      <c r="K68" s="2"/>
      <c r="L68" s="6">
        <f t="shared" si="20"/>
        <v>7982.43</v>
      </c>
      <c r="M68" s="2"/>
      <c r="N68" s="7">
        <f t="shared" si="21"/>
        <v>-1.0346904650801059</v>
      </c>
      <c r="O68" s="10"/>
      <c r="P68" s="6">
        <v>2487.1799999999998</v>
      </c>
      <c r="Q68" s="2"/>
      <c r="R68" s="7">
        <f t="shared" si="22"/>
        <v>1.2315476438821619E-3</v>
      </c>
      <c r="S68" s="2"/>
      <c r="T68" s="6">
        <v>-5731.56</v>
      </c>
      <c r="U68" s="2"/>
      <c r="V68" s="7">
        <f t="shared" si="23"/>
        <v>-2.8118839869482656E-3</v>
      </c>
      <c r="W68" s="2"/>
      <c r="X68" s="6">
        <f t="shared" si="24"/>
        <v>8218.74</v>
      </c>
      <c r="Y68" s="2"/>
      <c r="Z68" s="7">
        <f t="shared" si="25"/>
        <v>-1.43394468521659</v>
      </c>
    </row>
    <row r="69" spans="1:26" s="23" customFormat="1" hidden="1" outlineLevel="2" x14ac:dyDescent="0.25">
      <c r="A69" s="25"/>
      <c r="B69" s="10" t="str">
        <f>CONCATENATE("          ", "6156", " - ", "EMPLOYEE MEALS")</f>
        <v xml:space="preserve">          6156 - EMPLOYEE MEALS</v>
      </c>
      <c r="C69" s="10"/>
      <c r="D69" s="6">
        <v>235.74</v>
      </c>
      <c r="E69" s="2"/>
      <c r="F69" s="7">
        <f t="shared" si="18"/>
        <v>5.4940130080441353E-4</v>
      </c>
      <c r="G69" s="2"/>
      <c r="H69" s="6">
        <v>289.97000000000003</v>
      </c>
      <c r="I69" s="2"/>
      <c r="J69" s="7">
        <f t="shared" si="19"/>
        <v>2.5368788804592613E-3</v>
      </c>
      <c r="K69" s="2"/>
      <c r="L69" s="6">
        <f t="shared" si="20"/>
        <v>-54.230000000000018</v>
      </c>
      <c r="M69" s="2"/>
      <c r="N69" s="7">
        <f t="shared" si="21"/>
        <v>-0.18701934682898236</v>
      </c>
      <c r="O69" s="10"/>
      <c r="P69" s="6">
        <v>2080.42</v>
      </c>
      <c r="Q69" s="2"/>
      <c r="R69" s="7">
        <f t="shared" si="22"/>
        <v>1.0301370826740837E-3</v>
      </c>
      <c r="S69" s="2"/>
      <c r="T69" s="6">
        <v>1589.75</v>
      </c>
      <c r="U69" s="2"/>
      <c r="V69" s="7">
        <f t="shared" si="23"/>
        <v>7.7992598319672217E-4</v>
      </c>
      <c r="W69" s="2"/>
      <c r="X69" s="6">
        <f t="shared" si="24"/>
        <v>490.67000000000007</v>
      </c>
      <c r="Y69" s="2"/>
      <c r="Z69" s="7">
        <f t="shared" si="25"/>
        <v>0.30864601352413906</v>
      </c>
    </row>
    <row r="70" spans="1:26" s="26" customFormat="1" outlineLevel="1" collapsed="1" x14ac:dyDescent="0.25">
      <c r="A70" s="27"/>
      <c r="B70" s="12" t="str">
        <f>CONCATENATE("     ","*Payroll                                          ")</f>
        <v xml:space="preserve">     *Payroll                                          </v>
      </c>
      <c r="C70" s="12"/>
      <c r="D70" s="1">
        <f>SUM(OSRRefD22_1x_0)</f>
        <v>8405.5</v>
      </c>
      <c r="E70" s="1"/>
      <c r="F70" s="5">
        <f t="shared" ref="F70:F75" si="26">IF(D$12=0,0,D70/D$12)</f>
        <v>1.9589346881782887E-2</v>
      </c>
      <c r="G70" s="1"/>
      <c r="H70" s="1">
        <f>SUM(OSRRefH22_1x_0)</f>
        <v>11282.27</v>
      </c>
      <c r="I70" s="1"/>
      <c r="J70" s="5">
        <f t="shared" ref="J70:J75" si="27">IF(H$12=0,0,H70/H$12)</f>
        <v>9.8705909185912696E-2</v>
      </c>
      <c r="K70" s="1"/>
      <c r="L70" s="1">
        <f t="shared" ref="L70:L75" si="28">+D70-H70</f>
        <v>-2876.7700000000004</v>
      </c>
      <c r="M70" s="1"/>
      <c r="N70" s="5">
        <f t="shared" ref="N70:N75" si="29">IF(H70=0,0,L70/H70)</f>
        <v>-0.25498148865432224</v>
      </c>
      <c r="O70" s="12"/>
      <c r="P70" s="1">
        <f>SUM(OSRRefP22_1x_0)</f>
        <v>73810.960000000006</v>
      </c>
      <c r="Q70" s="1"/>
      <c r="R70" s="5">
        <f t="shared" ref="R70:R75" si="30">IF(P$12=0,0,P70/P$12)</f>
        <v>3.6548104230767584E-2</v>
      </c>
      <c r="S70" s="1"/>
      <c r="T70" s="1">
        <f>SUM(OSRRefT22_1x_0)</f>
        <v>91979.49</v>
      </c>
      <c r="U70" s="1"/>
      <c r="V70" s="5">
        <f t="shared" ref="V70:V75" si="31">IF(T$12=0,0,T70/T$12)</f>
        <v>4.5124827282392248E-2</v>
      </c>
      <c r="W70" s="1"/>
      <c r="X70" s="1">
        <f t="shared" ref="X70:X75" si="32">+P70-T70</f>
        <v>-18168.53</v>
      </c>
      <c r="Y70" s="1"/>
      <c r="Z70" s="5">
        <f t="shared" ref="Z70:Z75" si="33">IF(T70=0,0,X70/T70)</f>
        <v>-0.19752805761371364</v>
      </c>
    </row>
    <row r="71" spans="1:26" s="23" customFormat="1" hidden="1" outlineLevel="2" x14ac:dyDescent="0.25">
      <c r="A71" s="25"/>
      <c r="B71" s="10" t="str">
        <f>CONCATENATE("          ", "6002", " - ", "STAFF SALARIES")</f>
        <v xml:space="preserve">          6002 - STAFF SALARIES</v>
      </c>
      <c r="C71" s="10"/>
      <c r="D71" s="6">
        <v>2357.3000000000002</v>
      </c>
      <c r="E71" s="2"/>
      <c r="F71" s="7">
        <f t="shared" si="26"/>
        <v>5.4937799541284645E-3</v>
      </c>
      <c r="G71" s="2"/>
      <c r="H71" s="6">
        <v>3236.06</v>
      </c>
      <c r="I71" s="2"/>
      <c r="J71" s="7">
        <f t="shared" si="27"/>
        <v>2.8311522812356434E-2</v>
      </c>
      <c r="K71" s="2"/>
      <c r="L71" s="6">
        <f t="shared" si="28"/>
        <v>-878.75999999999976</v>
      </c>
      <c r="M71" s="2"/>
      <c r="N71" s="7">
        <f t="shared" si="29"/>
        <v>-0.2715524434033979</v>
      </c>
      <c r="O71" s="10"/>
      <c r="P71" s="6">
        <v>20880.25</v>
      </c>
      <c r="Q71" s="2"/>
      <c r="R71" s="7">
        <f t="shared" si="30"/>
        <v>1.0339027610052554E-2</v>
      </c>
      <c r="S71" s="2"/>
      <c r="T71" s="6">
        <v>30572.32</v>
      </c>
      <c r="U71" s="2"/>
      <c r="V71" s="7">
        <f t="shared" si="31"/>
        <v>1.4998676983553899E-2</v>
      </c>
      <c r="W71" s="2"/>
      <c r="X71" s="6">
        <f t="shared" si="32"/>
        <v>-9692.07</v>
      </c>
      <c r="Y71" s="2"/>
      <c r="Z71" s="7">
        <f t="shared" si="33"/>
        <v>-0.31702108312355753</v>
      </c>
    </row>
    <row r="72" spans="1:26" s="23" customFormat="1" hidden="1" outlineLevel="2" x14ac:dyDescent="0.25">
      <c r="A72" s="25"/>
      <c r="B72" s="10" t="str">
        <f>CONCATENATE("          ", "6004", " - ", "STAFF HOURLY")</f>
        <v xml:space="preserve">          6004 - STAFF HOURLY</v>
      </c>
      <c r="C72" s="10"/>
      <c r="D72" s="6">
        <v>3520</v>
      </c>
      <c r="E72" s="2"/>
      <c r="F72" s="7">
        <f t="shared" si="26"/>
        <v>8.2034978316430623E-3</v>
      </c>
      <c r="G72" s="2"/>
      <c r="H72" s="6">
        <v>2419.62</v>
      </c>
      <c r="I72" s="2"/>
      <c r="J72" s="7">
        <f t="shared" si="27"/>
        <v>2.1168682542114136E-2</v>
      </c>
      <c r="K72" s="2"/>
      <c r="L72" s="6">
        <f t="shared" si="28"/>
        <v>1100.3800000000001</v>
      </c>
      <c r="M72" s="2"/>
      <c r="N72" s="7">
        <f t="shared" si="29"/>
        <v>0.45477389011497682</v>
      </c>
      <c r="O72" s="10"/>
      <c r="P72" s="6">
        <v>31720.16</v>
      </c>
      <c r="Q72" s="2"/>
      <c r="R72" s="7">
        <f t="shared" si="30"/>
        <v>1.5706498247639977E-2</v>
      </c>
      <c r="S72" s="2"/>
      <c r="T72" s="6">
        <v>2419.62</v>
      </c>
      <c r="U72" s="2"/>
      <c r="V72" s="7">
        <f t="shared" si="31"/>
        <v>1.1870574036562055E-3</v>
      </c>
      <c r="W72" s="2"/>
      <c r="X72" s="6">
        <f t="shared" si="32"/>
        <v>29300.54</v>
      </c>
      <c r="Y72" s="2"/>
      <c r="Z72" s="7">
        <f t="shared" si="33"/>
        <v>12.109562658599286</v>
      </c>
    </row>
    <row r="73" spans="1:26" s="23" customFormat="1" hidden="1" outlineLevel="2" x14ac:dyDescent="0.25">
      <c r="A73" s="25"/>
      <c r="B73" s="10" t="str">
        <f>CONCATENATE("          ", "6005", " - ", "TEMPORARY WAGES-HOURLY")</f>
        <v xml:space="preserve">          6005 - TEMPORARY WAGES-HOURLY</v>
      </c>
      <c r="C73" s="10"/>
      <c r="D73" s="6"/>
      <c r="E73" s="2"/>
      <c r="F73" s="7">
        <f t="shared" si="26"/>
        <v>0</v>
      </c>
      <c r="G73" s="2"/>
      <c r="H73" s="6">
        <v>2659.98</v>
      </c>
      <c r="I73" s="2"/>
      <c r="J73" s="7">
        <f t="shared" si="27"/>
        <v>2.3271535277594319E-2</v>
      </c>
      <c r="K73" s="2"/>
      <c r="L73" s="6">
        <f t="shared" si="28"/>
        <v>-2659.98</v>
      </c>
      <c r="M73" s="2"/>
      <c r="N73" s="7">
        <f t="shared" si="29"/>
        <v>-1</v>
      </c>
      <c r="O73" s="10"/>
      <c r="P73" s="6"/>
      <c r="Q73" s="2"/>
      <c r="R73" s="7">
        <f t="shared" si="30"/>
        <v>0</v>
      </c>
      <c r="S73" s="2"/>
      <c r="T73" s="6">
        <v>29960.57</v>
      </c>
      <c r="U73" s="2"/>
      <c r="V73" s="7">
        <f t="shared" si="31"/>
        <v>1.4698554498747738E-2</v>
      </c>
      <c r="W73" s="2"/>
      <c r="X73" s="6">
        <f t="shared" si="32"/>
        <v>-29960.57</v>
      </c>
      <c r="Y73" s="2"/>
      <c r="Z73" s="7">
        <f t="shared" si="33"/>
        <v>-1</v>
      </c>
    </row>
    <row r="74" spans="1:26" s="23" customFormat="1" hidden="1" outlineLevel="2" x14ac:dyDescent="0.25">
      <c r="A74" s="25"/>
      <c r="B74" s="10" t="str">
        <f>CONCATENATE("          ", "6006", " - ", "TEMPORARY PART TIME")</f>
        <v xml:space="preserve">          6006 - TEMPORARY PART TIME</v>
      </c>
      <c r="C74" s="10"/>
      <c r="D74" s="6"/>
      <c r="E74" s="2"/>
      <c r="F74" s="7">
        <f t="shared" si="26"/>
        <v>0</v>
      </c>
      <c r="G74" s="2"/>
      <c r="H74" s="6"/>
      <c r="I74" s="2"/>
      <c r="J74" s="7">
        <f t="shared" si="27"/>
        <v>0</v>
      </c>
      <c r="K74" s="2"/>
      <c r="L74" s="6">
        <f t="shared" si="28"/>
        <v>0</v>
      </c>
      <c r="M74" s="2"/>
      <c r="N74" s="7">
        <f t="shared" si="29"/>
        <v>0</v>
      </c>
      <c r="O74" s="10"/>
      <c r="P74" s="6"/>
      <c r="Q74" s="2"/>
      <c r="R74" s="7">
        <f t="shared" si="30"/>
        <v>0</v>
      </c>
      <c r="S74" s="2"/>
      <c r="T74" s="6">
        <v>9008.99</v>
      </c>
      <c r="U74" s="2"/>
      <c r="V74" s="7">
        <f t="shared" si="31"/>
        <v>4.4197800807419009E-3</v>
      </c>
      <c r="W74" s="2"/>
      <c r="X74" s="6">
        <f t="shared" si="32"/>
        <v>-9008.99</v>
      </c>
      <c r="Y74" s="2"/>
      <c r="Z74" s="7">
        <f t="shared" si="33"/>
        <v>-1</v>
      </c>
    </row>
    <row r="75" spans="1:26" s="23" customFormat="1" hidden="1" outlineLevel="2" x14ac:dyDescent="0.25">
      <c r="A75" s="25"/>
      <c r="B75" s="10" t="str">
        <f>CONCATENATE("          ", "6007", " - ", "STUDENT HOURLY")</f>
        <v xml:space="preserve">          6007 - STUDENT HOURLY</v>
      </c>
      <c r="C75" s="10"/>
      <c r="D75" s="6">
        <v>2528.1999999999998</v>
      </c>
      <c r="E75" s="2"/>
      <c r="F75" s="7">
        <f t="shared" si="26"/>
        <v>5.892069096011361E-3</v>
      </c>
      <c r="G75" s="2"/>
      <c r="H75" s="6">
        <v>2966.61</v>
      </c>
      <c r="I75" s="2"/>
      <c r="J75" s="7">
        <f t="shared" si="27"/>
        <v>2.5954168553847804E-2</v>
      </c>
      <c r="K75" s="2"/>
      <c r="L75" s="6">
        <f t="shared" si="28"/>
        <v>-438.41000000000031</v>
      </c>
      <c r="M75" s="2"/>
      <c r="N75" s="7">
        <f t="shared" si="29"/>
        <v>-0.14778147447760248</v>
      </c>
      <c r="O75" s="10"/>
      <c r="P75" s="6">
        <v>21210.55</v>
      </c>
      <c r="Q75" s="2"/>
      <c r="R75" s="7">
        <f t="shared" si="30"/>
        <v>1.0502578373075045E-2</v>
      </c>
      <c r="S75" s="2"/>
      <c r="T75" s="6">
        <v>20017.990000000002</v>
      </c>
      <c r="U75" s="2"/>
      <c r="V75" s="7">
        <f t="shared" si="31"/>
        <v>9.8207583156925005E-3</v>
      </c>
      <c r="W75" s="2"/>
      <c r="X75" s="6">
        <f t="shared" si="32"/>
        <v>1192.5599999999977</v>
      </c>
      <c r="Y75" s="2"/>
      <c r="Z75" s="7">
        <f t="shared" si="33"/>
        <v>5.9574412815672183E-2</v>
      </c>
    </row>
    <row r="76" spans="1:26" s="26" customFormat="1" outlineLevel="1" collapsed="1" x14ac:dyDescent="0.25">
      <c r="A76" s="27"/>
      <c r="B76" s="12" t="str">
        <f>CONCATENATE("     ","Advertising/Promo                                 ")</f>
        <v xml:space="preserve">     Advertising/Promo                                 </v>
      </c>
      <c r="C76" s="12"/>
      <c r="D76" s="1">
        <f>SUM(OSRRefD22_2x_0)</f>
        <v>0</v>
      </c>
      <c r="E76" s="1"/>
      <c r="F76" s="5">
        <f t="shared" ref="F76:F84" si="34">IF(D$12=0,0,D76/D$12)</f>
        <v>0</v>
      </c>
      <c r="G76" s="1"/>
      <c r="H76" s="1">
        <f>SUM(OSRRefH22_2x_0)</f>
        <v>24.69</v>
      </c>
      <c r="I76" s="1"/>
      <c r="J76" s="5">
        <f t="shared" ref="J76:J84" si="35">IF(H$12=0,0,H76/H$12)</f>
        <v>2.1600696471545041E-4</v>
      </c>
      <c r="K76" s="1"/>
      <c r="L76" s="1">
        <f t="shared" ref="L76:L84" si="36">+D76-H76</f>
        <v>-24.69</v>
      </c>
      <c r="M76" s="1"/>
      <c r="N76" s="5">
        <f t="shared" ref="N76:N84" si="37">IF(H76=0,0,L76/H76)</f>
        <v>-1</v>
      </c>
      <c r="O76" s="12"/>
      <c r="P76" s="1">
        <f>SUM(OSRRefP22_2x_0)</f>
        <v>598.92999999999995</v>
      </c>
      <c r="Q76" s="1"/>
      <c r="R76" s="5">
        <f t="shared" ref="R76:R84" si="38">IF(P$12=0,0,P76/P$12)</f>
        <v>2.965651180655776E-4</v>
      </c>
      <c r="S76" s="1"/>
      <c r="T76" s="1">
        <f>SUM(OSRRefT22_2x_0)</f>
        <v>1745.92</v>
      </c>
      <c r="U76" s="1"/>
      <c r="V76" s="5">
        <f t="shared" ref="V76:V84" si="39">IF(T$12=0,0,T76/T$12)</f>
        <v>8.5654245798573436E-4</v>
      </c>
      <c r="W76" s="1"/>
      <c r="X76" s="1">
        <f t="shared" ref="X76:X84" si="40">+P76-T76</f>
        <v>-1146.9900000000002</v>
      </c>
      <c r="Y76" s="1"/>
      <c r="Z76" s="5">
        <f t="shared" ref="Z76:Z84" si="41">IF(T76=0,0,X76/T76)</f>
        <v>-0.65695449963343122</v>
      </c>
    </row>
    <row r="77" spans="1:26" s="23" customFormat="1" hidden="1" outlineLevel="2" x14ac:dyDescent="0.25">
      <c r="A77" s="25"/>
      <c r="B77" s="10" t="str">
        <f>CONCATENATE("          ", "6362", " - ", "ADVERTISING EXPENSE")</f>
        <v xml:space="preserve">          6362 - ADVERTISING EXPENSE</v>
      </c>
      <c r="C77" s="10"/>
      <c r="D77" s="6"/>
      <c r="E77" s="2"/>
      <c r="F77" s="7">
        <f t="shared" si="34"/>
        <v>0</v>
      </c>
      <c r="G77" s="2"/>
      <c r="H77" s="6">
        <v>24.69</v>
      </c>
      <c r="I77" s="2"/>
      <c r="J77" s="7">
        <f t="shared" si="35"/>
        <v>2.1600696471545041E-4</v>
      </c>
      <c r="K77" s="2"/>
      <c r="L77" s="6">
        <f t="shared" si="36"/>
        <v>-24.69</v>
      </c>
      <c r="M77" s="2"/>
      <c r="N77" s="7">
        <f t="shared" si="37"/>
        <v>-1</v>
      </c>
      <c r="O77" s="10"/>
      <c r="P77" s="6">
        <v>598.92999999999995</v>
      </c>
      <c r="Q77" s="2"/>
      <c r="R77" s="7">
        <f t="shared" si="38"/>
        <v>2.965651180655776E-4</v>
      </c>
      <c r="S77" s="2"/>
      <c r="T77" s="6">
        <v>1745.92</v>
      </c>
      <c r="U77" s="2"/>
      <c r="V77" s="7">
        <f t="shared" si="39"/>
        <v>8.5654245798573436E-4</v>
      </c>
      <c r="W77" s="2"/>
      <c r="X77" s="6">
        <f t="shared" si="40"/>
        <v>-1146.9900000000002</v>
      </c>
      <c r="Y77" s="2"/>
      <c r="Z77" s="7">
        <f t="shared" si="41"/>
        <v>-0.65695449963343122</v>
      </c>
    </row>
    <row r="78" spans="1:26" s="26" customFormat="1" outlineLevel="1" collapsed="1" x14ac:dyDescent="0.25">
      <c r="A78" s="27"/>
      <c r="B78" s="12" t="str">
        <f>CONCATENATE("     ","Depreciation                                      ")</f>
        <v xml:space="preserve">     Depreciation                                      </v>
      </c>
      <c r="C78" s="12"/>
      <c r="D78" s="1">
        <f>SUM(OSRRefD22_3x_0)</f>
        <v>280.44</v>
      </c>
      <c r="E78" s="1"/>
      <c r="F78" s="5">
        <f t="shared" si="34"/>
        <v>6.5357640110965353E-4</v>
      </c>
      <c r="G78" s="1"/>
      <c r="H78" s="1">
        <f>SUM(OSRRefH22_3x_0)</f>
        <v>280.44</v>
      </c>
      <c r="I78" s="1"/>
      <c r="J78" s="5">
        <f t="shared" si="35"/>
        <v>2.4535031666586028E-3</v>
      </c>
      <c r="K78" s="1"/>
      <c r="L78" s="1">
        <f t="shared" si="36"/>
        <v>0</v>
      </c>
      <c r="M78" s="1"/>
      <c r="N78" s="5">
        <f t="shared" si="37"/>
        <v>0</v>
      </c>
      <c r="O78" s="12"/>
      <c r="P78" s="1">
        <f>SUM(OSRRefP22_3x_0)</f>
        <v>2523.96</v>
      </c>
      <c r="Q78" s="1"/>
      <c r="R78" s="5">
        <f t="shared" si="38"/>
        <v>1.2497595635429771E-3</v>
      </c>
      <c r="S78" s="1"/>
      <c r="T78" s="1">
        <f>SUM(OSRRefT22_3x_0)</f>
        <v>2523.96</v>
      </c>
      <c r="U78" s="1"/>
      <c r="V78" s="5">
        <f t="shared" si="39"/>
        <v>1.2382462554170145E-3</v>
      </c>
      <c r="W78" s="1"/>
      <c r="X78" s="1">
        <f t="shared" si="40"/>
        <v>0</v>
      </c>
      <c r="Y78" s="1"/>
      <c r="Z78" s="5">
        <f t="shared" si="41"/>
        <v>0</v>
      </c>
    </row>
    <row r="79" spans="1:26" s="23" customFormat="1" hidden="1" outlineLevel="2" x14ac:dyDescent="0.25">
      <c r="A79" s="25"/>
      <c r="B79" s="10" t="str">
        <f>CONCATENATE("          ", "6322", " - ", "EQUIPMENT DEPRECIATION EXPENSE")</f>
        <v xml:space="preserve">          6322 - EQUIPMENT DEPRECIATION EXPENSE</v>
      </c>
      <c r="C79" s="10"/>
      <c r="D79" s="6">
        <v>280.44</v>
      </c>
      <c r="E79" s="2"/>
      <c r="F79" s="7">
        <f t="shared" si="34"/>
        <v>6.5357640110965353E-4</v>
      </c>
      <c r="G79" s="2"/>
      <c r="H79" s="6">
        <v>280.44</v>
      </c>
      <c r="I79" s="2"/>
      <c r="J79" s="7">
        <f t="shared" si="35"/>
        <v>2.4535031666586028E-3</v>
      </c>
      <c r="K79" s="2"/>
      <c r="L79" s="6">
        <f t="shared" si="36"/>
        <v>0</v>
      </c>
      <c r="M79" s="2"/>
      <c r="N79" s="7">
        <f t="shared" si="37"/>
        <v>0</v>
      </c>
      <c r="O79" s="10"/>
      <c r="P79" s="6">
        <v>2523.96</v>
      </c>
      <c r="Q79" s="2"/>
      <c r="R79" s="7">
        <f t="shared" si="38"/>
        <v>1.2497595635429771E-3</v>
      </c>
      <c r="S79" s="2"/>
      <c r="T79" s="6">
        <v>2523.96</v>
      </c>
      <c r="U79" s="2"/>
      <c r="V79" s="7">
        <f t="shared" si="39"/>
        <v>1.2382462554170145E-3</v>
      </c>
      <c r="W79" s="2"/>
      <c r="X79" s="6">
        <f t="shared" si="40"/>
        <v>0</v>
      </c>
      <c r="Y79" s="2"/>
      <c r="Z79" s="7">
        <f t="shared" si="41"/>
        <v>0</v>
      </c>
    </row>
    <row r="80" spans="1:26" s="26" customFormat="1" outlineLevel="1" collapsed="1" x14ac:dyDescent="0.25">
      <c r="A80" s="27"/>
      <c r="B80" s="12" t="str">
        <f>CONCATENATE("     ","Discounts and Markdowns                           ")</f>
        <v xml:space="preserve">     Discounts and Markdowns                           </v>
      </c>
      <c r="C80" s="12"/>
      <c r="D80" s="1">
        <f>SUM(OSRRefD22_4x_0)</f>
        <v>0</v>
      </c>
      <c r="E80" s="1"/>
      <c r="F80" s="5">
        <f t="shared" si="34"/>
        <v>0</v>
      </c>
      <c r="G80" s="1"/>
      <c r="H80" s="1">
        <f>SUM(OSRRefH22_4x_0)</f>
        <v>4929.46</v>
      </c>
      <c r="I80" s="1"/>
      <c r="J80" s="5">
        <f t="shared" si="35"/>
        <v>4.3126678504909845E-2</v>
      </c>
      <c r="K80" s="1"/>
      <c r="L80" s="1">
        <f t="shared" si="36"/>
        <v>-4929.46</v>
      </c>
      <c r="M80" s="1"/>
      <c r="N80" s="5">
        <f t="shared" si="37"/>
        <v>-1</v>
      </c>
      <c r="O80" s="12"/>
      <c r="P80" s="1">
        <f>SUM(OSRRefP22_4x_0)</f>
        <v>0</v>
      </c>
      <c r="Q80" s="1"/>
      <c r="R80" s="5">
        <f t="shared" si="38"/>
        <v>0</v>
      </c>
      <c r="S80" s="1"/>
      <c r="T80" s="1">
        <f>SUM(OSRRefT22_4x_0)</f>
        <v>54716.33</v>
      </c>
      <c r="U80" s="1"/>
      <c r="V80" s="5">
        <f t="shared" si="39"/>
        <v>2.6843646782303068E-2</v>
      </c>
      <c r="W80" s="1"/>
      <c r="X80" s="1">
        <f t="shared" si="40"/>
        <v>-54716.33</v>
      </c>
      <c r="Y80" s="1"/>
      <c r="Z80" s="5">
        <f t="shared" si="41"/>
        <v>-1</v>
      </c>
    </row>
    <row r="81" spans="1:26" s="23" customFormat="1" hidden="1" outlineLevel="2" x14ac:dyDescent="0.25">
      <c r="A81" s="25"/>
      <c r="B81" s="10" t="str">
        <f>CONCATENATE("          ", "6382", " - ", "DISCOUNTS/MARK DOWNS")</f>
        <v xml:space="preserve">          6382 - DISCOUNTS/MARK DOWNS</v>
      </c>
      <c r="C81" s="10"/>
      <c r="D81" s="6">
        <v>0</v>
      </c>
      <c r="E81" s="2"/>
      <c r="F81" s="7">
        <f t="shared" si="34"/>
        <v>0</v>
      </c>
      <c r="G81" s="2"/>
      <c r="H81" s="6">
        <v>4929.46</v>
      </c>
      <c r="I81" s="2"/>
      <c r="J81" s="7">
        <f t="shared" si="35"/>
        <v>4.3126678504909845E-2</v>
      </c>
      <c r="K81" s="2"/>
      <c r="L81" s="6">
        <f t="shared" si="36"/>
        <v>-4929.46</v>
      </c>
      <c r="M81" s="2"/>
      <c r="N81" s="7">
        <f t="shared" si="37"/>
        <v>-1</v>
      </c>
      <c r="O81" s="10"/>
      <c r="P81" s="6">
        <v>0</v>
      </c>
      <c r="Q81" s="2"/>
      <c r="R81" s="7">
        <f t="shared" si="38"/>
        <v>0</v>
      </c>
      <c r="S81" s="2"/>
      <c r="T81" s="6">
        <v>54716.33</v>
      </c>
      <c r="U81" s="2"/>
      <c r="V81" s="7">
        <f t="shared" si="39"/>
        <v>2.6843646782303068E-2</v>
      </c>
      <c r="W81" s="2"/>
      <c r="X81" s="6">
        <f t="shared" si="40"/>
        <v>-54716.33</v>
      </c>
      <c r="Y81" s="2"/>
      <c r="Z81" s="7">
        <f t="shared" si="41"/>
        <v>-1</v>
      </c>
    </row>
    <row r="82" spans="1:26" s="26" customFormat="1" outlineLevel="1" collapsed="1" x14ac:dyDescent="0.25">
      <c r="A82" s="27"/>
      <c r="B82" s="12" t="str">
        <f>CONCATENATE("     ","Freight out/Postage                               ")</f>
        <v xml:space="preserve">     Freight out/Postage                               </v>
      </c>
      <c r="C82" s="12"/>
      <c r="D82" s="1">
        <f>SUM(OSRRefD22_5x_0)</f>
        <v>531.96</v>
      </c>
      <c r="E82" s="1"/>
      <c r="F82" s="5">
        <f t="shared" si="34"/>
        <v>1.2397536098070581E-3</v>
      </c>
      <c r="G82" s="1"/>
      <c r="H82" s="1">
        <f>SUM(OSRRefH22_5x_0)</f>
        <v>0</v>
      </c>
      <c r="I82" s="1"/>
      <c r="J82" s="5">
        <f t="shared" si="35"/>
        <v>0</v>
      </c>
      <c r="K82" s="1"/>
      <c r="L82" s="1">
        <f t="shared" si="36"/>
        <v>531.96</v>
      </c>
      <c r="M82" s="1"/>
      <c r="N82" s="5">
        <f t="shared" si="37"/>
        <v>0</v>
      </c>
      <c r="O82" s="12"/>
      <c r="P82" s="1">
        <f>SUM(OSRRefP22_5x_0)</f>
        <v>1614.29</v>
      </c>
      <c r="Q82" s="1"/>
      <c r="R82" s="5">
        <f t="shared" si="38"/>
        <v>7.9932897741318899E-4</v>
      </c>
      <c r="S82" s="1"/>
      <c r="T82" s="1">
        <f>SUM(OSRRefT22_5x_0)</f>
        <v>49.72</v>
      </c>
      <c r="U82" s="1"/>
      <c r="V82" s="5">
        <f t="shared" si="39"/>
        <v>2.4392464151307453E-5</v>
      </c>
      <c r="W82" s="1"/>
      <c r="X82" s="1">
        <f t="shared" si="40"/>
        <v>1564.57</v>
      </c>
      <c r="Y82" s="1"/>
      <c r="Z82" s="5">
        <f t="shared" si="41"/>
        <v>31.467618664521318</v>
      </c>
    </row>
    <row r="83" spans="1:26" s="23" customFormat="1" hidden="1" outlineLevel="2" x14ac:dyDescent="0.25">
      <c r="A83" s="25"/>
      <c r="B83" s="10" t="str">
        <f>CONCATENATE("          ", "6305", " - ", "FREIGHT OUT")</f>
        <v xml:space="preserve">          6305 - FREIGHT OUT</v>
      </c>
      <c r="C83" s="10"/>
      <c r="D83" s="6">
        <v>531.96</v>
      </c>
      <c r="E83" s="2"/>
      <c r="F83" s="7">
        <f t="shared" si="34"/>
        <v>1.2397536098070581E-3</v>
      </c>
      <c r="G83" s="2"/>
      <c r="H83" s="6"/>
      <c r="I83" s="2"/>
      <c r="J83" s="7">
        <f t="shared" si="35"/>
        <v>0</v>
      </c>
      <c r="K83" s="2"/>
      <c r="L83" s="6">
        <f t="shared" si="36"/>
        <v>531.96</v>
      </c>
      <c r="M83" s="2"/>
      <c r="N83" s="7">
        <f t="shared" si="37"/>
        <v>0</v>
      </c>
      <c r="O83" s="10"/>
      <c r="P83" s="6">
        <v>1601.69</v>
      </c>
      <c r="Q83" s="2"/>
      <c r="R83" s="7">
        <f t="shared" si="38"/>
        <v>7.930899837284073E-4</v>
      </c>
      <c r="S83" s="2"/>
      <c r="T83" s="6">
        <v>49.72</v>
      </c>
      <c r="U83" s="2"/>
      <c r="V83" s="7">
        <f t="shared" si="39"/>
        <v>2.4392464151307453E-5</v>
      </c>
      <c r="W83" s="2"/>
      <c r="X83" s="6">
        <f t="shared" si="40"/>
        <v>1551.97</v>
      </c>
      <c r="Y83" s="2"/>
      <c r="Z83" s="7">
        <f t="shared" si="41"/>
        <v>31.214199517296862</v>
      </c>
    </row>
    <row r="84" spans="1:26" s="23" customFormat="1" hidden="1" outlineLevel="2" x14ac:dyDescent="0.25">
      <c r="A84" s="25"/>
      <c r="B84" s="10" t="str">
        <f>CONCATENATE("          ", "6307", " - ", "POSTAGE")</f>
        <v xml:space="preserve">          6307 - POSTAGE</v>
      </c>
      <c r="C84" s="10"/>
      <c r="D84" s="6"/>
      <c r="E84" s="2"/>
      <c r="F84" s="7">
        <f t="shared" si="34"/>
        <v>0</v>
      </c>
      <c r="G84" s="2"/>
      <c r="H84" s="6"/>
      <c r="I84" s="2"/>
      <c r="J84" s="7">
        <f t="shared" si="35"/>
        <v>0</v>
      </c>
      <c r="K84" s="2"/>
      <c r="L84" s="6">
        <f t="shared" si="36"/>
        <v>0</v>
      </c>
      <c r="M84" s="2"/>
      <c r="N84" s="7">
        <f t="shared" si="37"/>
        <v>0</v>
      </c>
      <c r="O84" s="10"/>
      <c r="P84" s="6">
        <v>12.6</v>
      </c>
      <c r="Q84" s="2"/>
      <c r="R84" s="7">
        <f t="shared" si="38"/>
        <v>6.2389936847816567E-6</v>
      </c>
      <c r="S84" s="2"/>
      <c r="T84" s="6"/>
      <c r="U84" s="2"/>
      <c r="V84" s="7">
        <f t="shared" si="39"/>
        <v>0</v>
      </c>
      <c r="W84" s="2"/>
      <c r="X84" s="6">
        <f t="shared" si="40"/>
        <v>12.6</v>
      </c>
      <c r="Y84" s="2"/>
      <c r="Z84" s="7">
        <f t="shared" si="41"/>
        <v>0</v>
      </c>
    </row>
    <row r="85" spans="1:26" s="26" customFormat="1" outlineLevel="1" collapsed="1" x14ac:dyDescent="0.25">
      <c r="A85" s="27"/>
      <c r="B85" s="12" t="str">
        <f>CONCATENATE("     ","General                                           ")</f>
        <v xml:space="preserve">     General                                           </v>
      </c>
      <c r="C85" s="12"/>
      <c r="D85" s="1">
        <f>SUM(OSRRefD22_6x_0)</f>
        <v>0</v>
      </c>
      <c r="E85" s="1"/>
      <c r="F85" s="5">
        <f t="shared" ref="F85:F91" si="42">IF(D$12=0,0,D85/D$12)</f>
        <v>0</v>
      </c>
      <c r="G85" s="1"/>
      <c r="H85" s="1">
        <f>SUM(OSRRefH22_6x_0)</f>
        <v>0</v>
      </c>
      <c r="I85" s="1"/>
      <c r="J85" s="5">
        <f t="shared" ref="J85:J91" si="43">IF(H$12=0,0,H85/H$12)</f>
        <v>0</v>
      </c>
      <c r="K85" s="1"/>
      <c r="L85" s="1">
        <f t="shared" ref="L85:L91" si="44">+D85-H85</f>
        <v>0</v>
      </c>
      <c r="M85" s="1"/>
      <c r="N85" s="5">
        <f t="shared" ref="N85:N91" si="45">IF(H85=0,0,L85/H85)</f>
        <v>0</v>
      </c>
      <c r="O85" s="12"/>
      <c r="P85" s="1">
        <f>SUM(OSRRefP22_6x_0)</f>
        <v>-30.15</v>
      </c>
      <c r="Q85" s="1"/>
      <c r="R85" s="5">
        <f t="shared" ref="R85:R91" si="46">IF(P$12=0,0,P85/P$12)</f>
        <v>-1.4929020602870393E-5</v>
      </c>
      <c r="S85" s="1"/>
      <c r="T85" s="1">
        <f>SUM(OSRRefT22_6x_0)</f>
        <v>0</v>
      </c>
      <c r="U85" s="1"/>
      <c r="V85" s="5">
        <f t="shared" ref="V85:V91" si="47">IF(T$12=0,0,T85/T$12)</f>
        <v>0</v>
      </c>
      <c r="W85" s="1"/>
      <c r="X85" s="1">
        <f t="shared" ref="X85:X91" si="48">+P85-T85</f>
        <v>-30.15</v>
      </c>
      <c r="Y85" s="1"/>
      <c r="Z85" s="5">
        <f t="shared" ref="Z85:Z91" si="49">IF(T85=0,0,X85/T85)</f>
        <v>0</v>
      </c>
    </row>
    <row r="86" spans="1:26" s="23" customFormat="1" hidden="1" outlineLevel="2" x14ac:dyDescent="0.25">
      <c r="A86" s="25"/>
      <c r="B86" s="10" t="str">
        <f>CONCATENATE("          ", "6279", " - ", "GENERAL EXPENSE")</f>
        <v xml:space="preserve">          6279 - GENERAL EXPENSE</v>
      </c>
      <c r="C86" s="10"/>
      <c r="D86" s="6"/>
      <c r="E86" s="2"/>
      <c r="F86" s="7">
        <f t="shared" si="42"/>
        <v>0</v>
      </c>
      <c r="G86" s="2"/>
      <c r="H86" s="6"/>
      <c r="I86" s="2"/>
      <c r="J86" s="7">
        <f t="shared" si="43"/>
        <v>0</v>
      </c>
      <c r="K86" s="2"/>
      <c r="L86" s="6">
        <f t="shared" si="44"/>
        <v>0</v>
      </c>
      <c r="M86" s="2"/>
      <c r="N86" s="7">
        <f t="shared" si="45"/>
        <v>0</v>
      </c>
      <c r="O86" s="10"/>
      <c r="P86" s="6">
        <v>-30.15</v>
      </c>
      <c r="Q86" s="2"/>
      <c r="R86" s="7">
        <f t="shared" si="46"/>
        <v>-1.4929020602870393E-5</v>
      </c>
      <c r="S86" s="2"/>
      <c r="T86" s="6"/>
      <c r="U86" s="2"/>
      <c r="V86" s="7">
        <f t="shared" si="47"/>
        <v>0</v>
      </c>
      <c r="W86" s="2"/>
      <c r="X86" s="6">
        <f t="shared" si="48"/>
        <v>-30.15</v>
      </c>
      <c r="Y86" s="2"/>
      <c r="Z86" s="7">
        <f t="shared" si="49"/>
        <v>0</v>
      </c>
    </row>
    <row r="87" spans="1:26" s="26" customFormat="1" outlineLevel="1" collapsed="1" x14ac:dyDescent="0.25">
      <c r="A87" s="27"/>
      <c r="B87" s="12" t="str">
        <f>CONCATENATE("     ","Inventory Adjustment                              ")</f>
        <v xml:space="preserve">     Inventory Adjustment                              </v>
      </c>
      <c r="C87" s="12"/>
      <c r="D87" s="1">
        <f>SUM(OSRRefD22_7x_0)</f>
        <v>1250</v>
      </c>
      <c r="E87" s="1"/>
      <c r="F87" s="5">
        <f t="shared" si="42"/>
        <v>2.9131739458959742E-3</v>
      </c>
      <c r="G87" s="1"/>
      <c r="H87" s="1">
        <f>SUM(OSRRefH22_7x_0)</f>
        <v>0</v>
      </c>
      <c r="I87" s="1"/>
      <c r="J87" s="5">
        <f t="shared" si="43"/>
        <v>0</v>
      </c>
      <c r="K87" s="1"/>
      <c r="L87" s="1">
        <f t="shared" si="44"/>
        <v>1250</v>
      </c>
      <c r="M87" s="1"/>
      <c r="N87" s="5">
        <f t="shared" si="45"/>
        <v>0</v>
      </c>
      <c r="O87" s="12"/>
      <c r="P87" s="1">
        <f>SUM(OSRRefP22_7x_0)</f>
        <v>11250</v>
      </c>
      <c r="Q87" s="1"/>
      <c r="R87" s="5">
        <f t="shared" si="46"/>
        <v>5.5705300756979078E-3</v>
      </c>
      <c r="S87" s="1"/>
      <c r="T87" s="1">
        <f>SUM(OSRRefT22_7x_0)</f>
        <v>0</v>
      </c>
      <c r="U87" s="1"/>
      <c r="V87" s="5">
        <f t="shared" si="47"/>
        <v>0</v>
      </c>
      <c r="W87" s="1"/>
      <c r="X87" s="1">
        <f t="shared" si="48"/>
        <v>11250</v>
      </c>
      <c r="Y87" s="1"/>
      <c r="Z87" s="5">
        <f t="shared" si="49"/>
        <v>0</v>
      </c>
    </row>
    <row r="88" spans="1:26" s="23" customFormat="1" hidden="1" outlineLevel="2" x14ac:dyDescent="0.25">
      <c r="A88" s="25"/>
      <c r="B88" s="10" t="str">
        <f>CONCATENATE("          ", "6408", " - ", "INVENTORY ADJUSTMENT")</f>
        <v xml:space="preserve">          6408 - INVENTORY ADJUSTMENT</v>
      </c>
      <c r="C88" s="10"/>
      <c r="D88" s="6">
        <v>1250</v>
      </c>
      <c r="E88" s="2"/>
      <c r="F88" s="7">
        <f t="shared" si="42"/>
        <v>2.9131739458959742E-3</v>
      </c>
      <c r="G88" s="2"/>
      <c r="H88" s="6"/>
      <c r="I88" s="2"/>
      <c r="J88" s="7">
        <f t="shared" si="43"/>
        <v>0</v>
      </c>
      <c r="K88" s="2"/>
      <c r="L88" s="6">
        <f t="shared" si="44"/>
        <v>1250</v>
      </c>
      <c r="M88" s="2"/>
      <c r="N88" s="7">
        <f t="shared" si="45"/>
        <v>0</v>
      </c>
      <c r="O88" s="10"/>
      <c r="P88" s="6">
        <v>11250</v>
      </c>
      <c r="Q88" s="2"/>
      <c r="R88" s="7">
        <f t="shared" si="46"/>
        <v>5.5705300756979078E-3</v>
      </c>
      <c r="S88" s="2"/>
      <c r="T88" s="6"/>
      <c r="U88" s="2"/>
      <c r="V88" s="7">
        <f t="shared" si="47"/>
        <v>0</v>
      </c>
      <c r="W88" s="2"/>
      <c r="X88" s="6">
        <f t="shared" si="48"/>
        <v>11250</v>
      </c>
      <c r="Y88" s="2"/>
      <c r="Z88" s="7">
        <f t="shared" si="49"/>
        <v>0</v>
      </c>
    </row>
    <row r="89" spans="1:26" s="26" customFormat="1" outlineLevel="1" collapsed="1" x14ac:dyDescent="0.25">
      <c r="A89" s="27"/>
      <c r="B89" s="12" t="str">
        <f>CONCATENATE("     ","Repair and Maintenance                            ")</f>
        <v xml:space="preserve">     Repair and Maintenance                            </v>
      </c>
      <c r="C89" s="12"/>
      <c r="D89" s="1">
        <f>SUM(OSRRefD22_8x_0)</f>
        <v>1550</v>
      </c>
      <c r="E89" s="1"/>
      <c r="F89" s="5">
        <f t="shared" si="42"/>
        <v>3.612335692911008E-3</v>
      </c>
      <c r="G89" s="1"/>
      <c r="H89" s="1">
        <f>SUM(OSRRefH22_8x_0)</f>
        <v>0</v>
      </c>
      <c r="I89" s="1"/>
      <c r="J89" s="5">
        <f t="shared" si="43"/>
        <v>0</v>
      </c>
      <c r="K89" s="1"/>
      <c r="L89" s="1">
        <f t="shared" si="44"/>
        <v>1550</v>
      </c>
      <c r="M89" s="1"/>
      <c r="N89" s="5">
        <f t="shared" si="45"/>
        <v>0</v>
      </c>
      <c r="O89" s="12"/>
      <c r="P89" s="1">
        <f>SUM(OSRRefP22_8x_0)</f>
        <v>1550</v>
      </c>
      <c r="Q89" s="1"/>
      <c r="R89" s="5">
        <f t="shared" si="46"/>
        <v>7.6749525487393401E-4</v>
      </c>
      <c r="S89" s="1"/>
      <c r="T89" s="1">
        <f>SUM(OSRRefT22_8x_0)</f>
        <v>197.18</v>
      </c>
      <c r="U89" s="1"/>
      <c r="V89" s="5">
        <f t="shared" si="47"/>
        <v>9.6735842344223725E-5</v>
      </c>
      <c r="W89" s="1"/>
      <c r="X89" s="1">
        <f t="shared" si="48"/>
        <v>1352.82</v>
      </c>
      <c r="Y89" s="1"/>
      <c r="Z89" s="5">
        <f t="shared" si="49"/>
        <v>6.8608378131656345</v>
      </c>
    </row>
    <row r="90" spans="1:26" s="23" customFormat="1" hidden="1" outlineLevel="2" x14ac:dyDescent="0.25">
      <c r="A90" s="25"/>
      <c r="B90" s="10" t="str">
        <f>CONCATENATE("          ", "6371", " - ", "COMPUTER SOFTWARE MAINTENANCE")</f>
        <v xml:space="preserve">          6371 - COMPUTER SOFTWARE MAINTENANCE</v>
      </c>
      <c r="C90" s="10"/>
      <c r="D90" s="6">
        <v>1550</v>
      </c>
      <c r="E90" s="2"/>
      <c r="F90" s="7">
        <f t="shared" si="42"/>
        <v>3.612335692911008E-3</v>
      </c>
      <c r="G90" s="2"/>
      <c r="H90" s="6"/>
      <c r="I90" s="2"/>
      <c r="J90" s="7">
        <f t="shared" si="43"/>
        <v>0</v>
      </c>
      <c r="K90" s="2"/>
      <c r="L90" s="6">
        <f t="shared" si="44"/>
        <v>1550</v>
      </c>
      <c r="M90" s="2"/>
      <c r="N90" s="7">
        <f t="shared" si="45"/>
        <v>0</v>
      </c>
      <c r="O90" s="10"/>
      <c r="P90" s="6">
        <v>1550</v>
      </c>
      <c r="Q90" s="2"/>
      <c r="R90" s="7">
        <f t="shared" si="46"/>
        <v>7.6749525487393401E-4</v>
      </c>
      <c r="S90" s="2"/>
      <c r="T90" s="6"/>
      <c r="U90" s="2"/>
      <c r="V90" s="7">
        <f t="shared" si="47"/>
        <v>0</v>
      </c>
      <c r="W90" s="2"/>
      <c r="X90" s="6">
        <f t="shared" si="48"/>
        <v>1550</v>
      </c>
      <c r="Y90" s="2"/>
      <c r="Z90" s="7">
        <f t="shared" si="49"/>
        <v>0</v>
      </c>
    </row>
    <row r="91" spans="1:26" s="23" customFormat="1" hidden="1" outlineLevel="2" x14ac:dyDescent="0.25">
      <c r="A91" s="25"/>
      <c r="B91" s="10" t="str">
        <f>CONCATENATE("          ", "6375", " - ", "OUTSIDE REPAIRS &amp; MAINTENANCE")</f>
        <v xml:space="preserve">          6375 - OUTSIDE REPAIRS &amp; MAINTENANCE</v>
      </c>
      <c r="C91" s="10"/>
      <c r="D91" s="6"/>
      <c r="E91" s="2"/>
      <c r="F91" s="7">
        <f t="shared" si="42"/>
        <v>0</v>
      </c>
      <c r="G91" s="2"/>
      <c r="H91" s="6"/>
      <c r="I91" s="2"/>
      <c r="J91" s="7">
        <f t="shared" si="43"/>
        <v>0</v>
      </c>
      <c r="K91" s="2"/>
      <c r="L91" s="6">
        <f t="shared" si="44"/>
        <v>0</v>
      </c>
      <c r="M91" s="2"/>
      <c r="N91" s="7">
        <f t="shared" si="45"/>
        <v>0</v>
      </c>
      <c r="O91" s="10"/>
      <c r="P91" s="6"/>
      <c r="Q91" s="2"/>
      <c r="R91" s="7">
        <f t="shared" si="46"/>
        <v>0</v>
      </c>
      <c r="S91" s="2"/>
      <c r="T91" s="6">
        <v>197.18</v>
      </c>
      <c r="U91" s="2"/>
      <c r="V91" s="7">
        <f t="shared" si="47"/>
        <v>9.6735842344223725E-5</v>
      </c>
      <c r="W91" s="2"/>
      <c r="X91" s="6">
        <f t="shared" si="48"/>
        <v>-197.18</v>
      </c>
      <c r="Y91" s="2"/>
      <c r="Z91" s="7">
        <f t="shared" si="49"/>
        <v>-1</v>
      </c>
    </row>
    <row r="92" spans="1:26" s="26" customFormat="1" outlineLevel="1" collapsed="1" x14ac:dyDescent="0.25">
      <c r="A92" s="27"/>
      <c r="B92" s="12" t="str">
        <f>CONCATENATE("     ","Subscriptions &amp; Dues                              ")</f>
        <v xml:space="preserve">     Subscriptions &amp; Dues                              </v>
      </c>
      <c r="C92" s="12"/>
      <c r="D92" s="1">
        <f>SUM(OSRRefD22_9x_0)</f>
        <v>0</v>
      </c>
      <c r="E92" s="1"/>
      <c r="F92" s="5">
        <f t="shared" ref="F92:F99" si="50">IF(D$12=0,0,D92/D$12)</f>
        <v>0</v>
      </c>
      <c r="G92" s="1"/>
      <c r="H92" s="1">
        <f>SUM(OSRRefH22_9x_0)</f>
        <v>0</v>
      </c>
      <c r="I92" s="1"/>
      <c r="J92" s="5">
        <f t="shared" ref="J92:J99" si="51">IF(H$12=0,0,H92/H$12)</f>
        <v>0</v>
      </c>
      <c r="K92" s="1"/>
      <c r="L92" s="1">
        <f t="shared" ref="L92:L99" si="52">+D92-H92</f>
        <v>0</v>
      </c>
      <c r="M92" s="1"/>
      <c r="N92" s="5">
        <f t="shared" ref="N92:N99" si="53">IF(H92=0,0,L92/H92)</f>
        <v>0</v>
      </c>
      <c r="O92" s="12"/>
      <c r="P92" s="1">
        <f>SUM(OSRRefP22_9x_0)</f>
        <v>0</v>
      </c>
      <c r="Q92" s="1"/>
      <c r="R92" s="5">
        <f t="shared" ref="R92:R99" si="54">IF(P$12=0,0,P92/P$12)</f>
        <v>0</v>
      </c>
      <c r="S92" s="1"/>
      <c r="T92" s="1">
        <f>SUM(OSRRefT22_9x_0)</f>
        <v>-4886.5</v>
      </c>
      <c r="U92" s="1"/>
      <c r="V92" s="5">
        <f t="shared" ref="V92:V99" si="55">IF(T$12=0,0,T92/T$12)</f>
        <v>-2.3973004037683805E-3</v>
      </c>
      <c r="W92" s="1"/>
      <c r="X92" s="1">
        <f t="shared" ref="X92:X99" si="56">+P92-T92</f>
        <v>4886.5</v>
      </c>
      <c r="Y92" s="1"/>
      <c r="Z92" s="5">
        <f t="shared" ref="Z92:Z99" si="57">IF(T92=0,0,X92/T92)</f>
        <v>-1</v>
      </c>
    </row>
    <row r="93" spans="1:26" s="23" customFormat="1" hidden="1" outlineLevel="2" x14ac:dyDescent="0.25">
      <c r="A93" s="25"/>
      <c r="B93" s="10" t="str">
        <f>CONCATENATE("          ", "6258", " - ", "MEMBERSHIP DUES")</f>
        <v xml:space="preserve">          6258 - MEMBERSHIP DUES</v>
      </c>
      <c r="C93" s="10"/>
      <c r="D93" s="6"/>
      <c r="E93" s="2"/>
      <c r="F93" s="7">
        <f t="shared" si="50"/>
        <v>0</v>
      </c>
      <c r="G93" s="2"/>
      <c r="H93" s="6"/>
      <c r="I93" s="2"/>
      <c r="J93" s="7">
        <f t="shared" si="51"/>
        <v>0</v>
      </c>
      <c r="K93" s="2"/>
      <c r="L93" s="6">
        <f t="shared" si="52"/>
        <v>0</v>
      </c>
      <c r="M93" s="2"/>
      <c r="N93" s="7">
        <f t="shared" si="53"/>
        <v>0</v>
      </c>
      <c r="O93" s="10"/>
      <c r="P93" s="6"/>
      <c r="Q93" s="2"/>
      <c r="R93" s="7">
        <f t="shared" si="54"/>
        <v>0</v>
      </c>
      <c r="S93" s="2"/>
      <c r="T93" s="6">
        <v>-4886.5</v>
      </c>
      <c r="U93" s="2"/>
      <c r="V93" s="7">
        <f t="shared" si="55"/>
        <v>-2.3973004037683805E-3</v>
      </c>
      <c r="W93" s="2"/>
      <c r="X93" s="6">
        <f t="shared" si="56"/>
        <v>4886.5</v>
      </c>
      <c r="Y93" s="2"/>
      <c r="Z93" s="7">
        <f t="shared" si="57"/>
        <v>-1</v>
      </c>
    </row>
    <row r="94" spans="1:26" s="26" customFormat="1" outlineLevel="1" collapsed="1" x14ac:dyDescent="0.25">
      <c r="A94" s="27"/>
      <c r="B94" s="12" t="str">
        <f>CONCATENATE("     ","Supplies                                          ")</f>
        <v xml:space="preserve">     Supplies                                          </v>
      </c>
      <c r="C94" s="12"/>
      <c r="D94" s="1">
        <f>SUM(OSRRefD22_10x_0)</f>
        <v>1733.49</v>
      </c>
      <c r="E94" s="1"/>
      <c r="F94" s="5">
        <f t="shared" si="50"/>
        <v>4.03996632277697E-3</v>
      </c>
      <c r="G94" s="1"/>
      <c r="H94" s="1">
        <f>SUM(OSRRefH22_10x_0)</f>
        <v>58.95</v>
      </c>
      <c r="I94" s="1"/>
      <c r="J94" s="5">
        <f t="shared" si="51"/>
        <v>5.1573959376167685E-4</v>
      </c>
      <c r="K94" s="1"/>
      <c r="L94" s="1">
        <f t="shared" si="52"/>
        <v>1674.54</v>
      </c>
      <c r="M94" s="1"/>
      <c r="N94" s="5">
        <f t="shared" si="53"/>
        <v>28.406106870229006</v>
      </c>
      <c r="O94" s="12"/>
      <c r="P94" s="1">
        <f>SUM(OSRRefP22_10x_0)</f>
        <v>3812.09</v>
      </c>
      <c r="Q94" s="1"/>
      <c r="R94" s="5">
        <f t="shared" si="54"/>
        <v>1.8875877330015323E-3</v>
      </c>
      <c r="S94" s="1"/>
      <c r="T94" s="1">
        <f>SUM(OSRRefT22_10x_0)</f>
        <v>3135.2700000000004</v>
      </c>
      <c r="U94" s="1"/>
      <c r="V94" s="5">
        <f t="shared" si="55"/>
        <v>1.5381528777085626E-3</v>
      </c>
      <c r="W94" s="1"/>
      <c r="X94" s="1">
        <f t="shared" si="56"/>
        <v>676.81999999999971</v>
      </c>
      <c r="Y94" s="1"/>
      <c r="Z94" s="5">
        <f t="shared" si="57"/>
        <v>0.21587295512029256</v>
      </c>
    </row>
    <row r="95" spans="1:26" s="23" customFormat="1" hidden="1" outlineLevel="2" x14ac:dyDescent="0.25">
      <c r="A95" s="25"/>
      <c r="B95" s="10" t="str">
        <f>CONCATENATE("          ", "6234", " - ", "EXPENDABLE SUPPLIES &amp; EQUIPMEN")</f>
        <v xml:space="preserve">          6234 - EXPENDABLE SUPPLIES &amp; EQUIPMEN</v>
      </c>
      <c r="C95" s="10"/>
      <c r="D95" s="6">
        <v>1733.49</v>
      </c>
      <c r="E95" s="2"/>
      <c r="F95" s="7">
        <f t="shared" si="50"/>
        <v>4.03996632277697E-3</v>
      </c>
      <c r="G95" s="2"/>
      <c r="H95" s="6"/>
      <c r="I95" s="2"/>
      <c r="J95" s="7">
        <f t="shared" si="51"/>
        <v>0</v>
      </c>
      <c r="K95" s="2"/>
      <c r="L95" s="6">
        <f t="shared" si="52"/>
        <v>1733.49</v>
      </c>
      <c r="M95" s="2"/>
      <c r="N95" s="7">
        <f t="shared" si="53"/>
        <v>0</v>
      </c>
      <c r="O95" s="10"/>
      <c r="P95" s="6">
        <v>1733.49</v>
      </c>
      <c r="Q95" s="2"/>
      <c r="R95" s="7">
        <f t="shared" si="54"/>
        <v>8.5835183830413925E-4</v>
      </c>
      <c r="S95" s="2"/>
      <c r="T95" s="6"/>
      <c r="U95" s="2"/>
      <c r="V95" s="7">
        <f t="shared" si="55"/>
        <v>0</v>
      </c>
      <c r="W95" s="2"/>
      <c r="X95" s="6">
        <f t="shared" si="56"/>
        <v>1733.49</v>
      </c>
      <c r="Y95" s="2"/>
      <c r="Z95" s="7">
        <f t="shared" si="57"/>
        <v>0</v>
      </c>
    </row>
    <row r="96" spans="1:26" s="23" customFormat="1" hidden="1" outlineLevel="2" x14ac:dyDescent="0.25">
      <c r="A96" s="25"/>
      <c r="B96" s="10" t="str">
        <f>CONCATENATE("          ", "6235", " - ", "COVID-19 EXPENSES")</f>
        <v xml:space="preserve">          6235 - COVID-19 EXPENSES</v>
      </c>
      <c r="C96" s="10"/>
      <c r="D96" s="6"/>
      <c r="E96" s="2"/>
      <c r="F96" s="7">
        <f t="shared" si="50"/>
        <v>0</v>
      </c>
      <c r="G96" s="2"/>
      <c r="H96" s="6"/>
      <c r="I96" s="2"/>
      <c r="J96" s="7">
        <f t="shared" si="51"/>
        <v>0</v>
      </c>
      <c r="K96" s="2"/>
      <c r="L96" s="6">
        <f t="shared" si="52"/>
        <v>0</v>
      </c>
      <c r="M96" s="2"/>
      <c r="N96" s="7">
        <f t="shared" si="53"/>
        <v>0</v>
      </c>
      <c r="O96" s="10"/>
      <c r="P96" s="6">
        <v>668.12</v>
      </c>
      <c r="Q96" s="2"/>
      <c r="R96" s="7">
        <f t="shared" si="54"/>
        <v>3.3082511592669211E-4</v>
      </c>
      <c r="S96" s="2"/>
      <c r="T96" s="6"/>
      <c r="U96" s="2"/>
      <c r="V96" s="7">
        <f t="shared" si="55"/>
        <v>0</v>
      </c>
      <c r="W96" s="2"/>
      <c r="X96" s="6">
        <f t="shared" si="56"/>
        <v>668.12</v>
      </c>
      <c r="Y96" s="2"/>
      <c r="Z96" s="7">
        <f t="shared" si="57"/>
        <v>0</v>
      </c>
    </row>
    <row r="97" spans="1:26" s="23" customFormat="1" hidden="1" outlineLevel="2" x14ac:dyDescent="0.25">
      <c r="A97" s="25"/>
      <c r="B97" s="10" t="str">
        <f>CONCATENATE("          ", "6241", " - ", "OFFICE EXPENSE")</f>
        <v xml:space="preserve">          6241 - OFFICE EXPENSE</v>
      </c>
      <c r="C97" s="10"/>
      <c r="D97" s="6"/>
      <c r="E97" s="2"/>
      <c r="F97" s="7">
        <f t="shared" si="50"/>
        <v>0</v>
      </c>
      <c r="G97" s="2"/>
      <c r="H97" s="6">
        <v>58.95</v>
      </c>
      <c r="I97" s="2"/>
      <c r="J97" s="7">
        <f t="shared" si="51"/>
        <v>5.1573959376167685E-4</v>
      </c>
      <c r="K97" s="2"/>
      <c r="L97" s="6">
        <f t="shared" si="52"/>
        <v>-58.95</v>
      </c>
      <c r="M97" s="2"/>
      <c r="N97" s="7">
        <f t="shared" si="53"/>
        <v>-1</v>
      </c>
      <c r="O97" s="10"/>
      <c r="P97" s="6">
        <v>1410.48</v>
      </c>
      <c r="Q97" s="2"/>
      <c r="R97" s="7">
        <f t="shared" si="54"/>
        <v>6.9841077877070092E-4</v>
      </c>
      <c r="S97" s="2"/>
      <c r="T97" s="6">
        <v>1125.8900000000001</v>
      </c>
      <c r="U97" s="2"/>
      <c r="V97" s="7">
        <f t="shared" si="55"/>
        <v>5.5235783313184938E-4</v>
      </c>
      <c r="W97" s="2"/>
      <c r="X97" s="6">
        <f t="shared" si="56"/>
        <v>284.58999999999992</v>
      </c>
      <c r="Y97" s="2"/>
      <c r="Z97" s="7">
        <f t="shared" si="57"/>
        <v>0.25276892058726863</v>
      </c>
    </row>
    <row r="98" spans="1:26" s="23" customFormat="1" hidden="1" outlineLevel="2" x14ac:dyDescent="0.25">
      <c r="A98" s="25"/>
      <c r="B98" s="10" t="str">
        <f>CONCATENATE("          ", "6245", " - ", "PRINTING")</f>
        <v xml:space="preserve">          6245 - PRINTING</v>
      </c>
      <c r="C98" s="10"/>
      <c r="D98" s="6"/>
      <c r="E98" s="2"/>
      <c r="F98" s="7">
        <f t="shared" si="50"/>
        <v>0</v>
      </c>
      <c r="G98" s="2"/>
      <c r="H98" s="6"/>
      <c r="I98" s="2"/>
      <c r="J98" s="7">
        <f t="shared" si="51"/>
        <v>0</v>
      </c>
      <c r="K98" s="2"/>
      <c r="L98" s="6">
        <f t="shared" si="52"/>
        <v>0</v>
      </c>
      <c r="M98" s="2"/>
      <c r="N98" s="7">
        <f t="shared" si="53"/>
        <v>0</v>
      </c>
      <c r="O98" s="10"/>
      <c r="P98" s="6"/>
      <c r="Q98" s="2"/>
      <c r="R98" s="7">
        <f t="shared" si="54"/>
        <v>0</v>
      </c>
      <c r="S98" s="2"/>
      <c r="T98" s="6">
        <v>0</v>
      </c>
      <c r="U98" s="2"/>
      <c r="V98" s="7">
        <f t="shared" si="55"/>
        <v>0</v>
      </c>
      <c r="W98" s="2"/>
      <c r="X98" s="6">
        <f t="shared" si="56"/>
        <v>0</v>
      </c>
      <c r="Y98" s="2"/>
      <c r="Z98" s="7">
        <f t="shared" si="57"/>
        <v>0</v>
      </c>
    </row>
    <row r="99" spans="1:26" s="23" customFormat="1" hidden="1" outlineLevel="2" x14ac:dyDescent="0.25">
      <c r="A99" s="25"/>
      <c r="B99" s="10" t="str">
        <f>CONCATENATE("          ", "6247", " - ", "STORE SUPPLIES")</f>
        <v xml:space="preserve">          6247 - STORE SUPPLIES</v>
      </c>
      <c r="C99" s="10"/>
      <c r="D99" s="6"/>
      <c r="E99" s="2"/>
      <c r="F99" s="7">
        <f t="shared" si="50"/>
        <v>0</v>
      </c>
      <c r="G99" s="2"/>
      <c r="H99" s="6"/>
      <c r="I99" s="2"/>
      <c r="J99" s="7">
        <f t="shared" si="51"/>
        <v>0</v>
      </c>
      <c r="K99" s="2"/>
      <c r="L99" s="6">
        <f t="shared" si="52"/>
        <v>0</v>
      </c>
      <c r="M99" s="2"/>
      <c r="N99" s="7">
        <f t="shared" si="53"/>
        <v>0</v>
      </c>
      <c r="O99" s="10"/>
      <c r="P99" s="6"/>
      <c r="Q99" s="2"/>
      <c r="R99" s="7">
        <f t="shared" si="54"/>
        <v>0</v>
      </c>
      <c r="S99" s="2"/>
      <c r="T99" s="6">
        <v>2009.38</v>
      </c>
      <c r="U99" s="2"/>
      <c r="V99" s="7">
        <f t="shared" si="55"/>
        <v>9.8579504457671301E-4</v>
      </c>
      <c r="W99" s="2"/>
      <c r="X99" s="6">
        <f t="shared" si="56"/>
        <v>-2009.38</v>
      </c>
      <c r="Y99" s="2"/>
      <c r="Z99" s="7">
        <f t="shared" si="57"/>
        <v>-1</v>
      </c>
    </row>
    <row r="100" spans="1:26" s="26" customFormat="1" outlineLevel="1" collapsed="1" x14ac:dyDescent="0.25">
      <c r="A100" s="27"/>
      <c r="B100" s="12" t="str">
        <f>CONCATENATE("     ","Telephone/Data Lines                              ")</f>
        <v xml:space="preserve">     Telephone/Data Lines                              </v>
      </c>
      <c r="C100" s="12"/>
      <c r="D100" s="1">
        <f>SUM(OSRRefD22_11x_0)</f>
        <v>274.85000000000002</v>
      </c>
      <c r="E100" s="1"/>
      <c r="F100" s="5">
        <f t="shared" ref="F100:F105" si="58">IF(D$12=0,0,D100/D$12)</f>
        <v>6.405486872236068E-4</v>
      </c>
      <c r="G100" s="1"/>
      <c r="H100" s="1">
        <f>SUM(OSRRefH22_11x_0)</f>
        <v>258.75</v>
      </c>
      <c r="I100" s="1"/>
      <c r="J100" s="5">
        <f t="shared" ref="J100:J105" si="59">IF(H$12=0,0,H100/H$12)</f>
        <v>2.2637424917020168E-3</v>
      </c>
      <c r="K100" s="1"/>
      <c r="L100" s="1">
        <f t="shared" ref="L100:L105" si="60">+D100-H100</f>
        <v>16.100000000000023</v>
      </c>
      <c r="M100" s="1"/>
      <c r="N100" s="5">
        <f t="shared" ref="N100:N105" si="61">IF(H100=0,0,L100/H100)</f>
        <v>6.2222222222222311E-2</v>
      </c>
      <c r="O100" s="12"/>
      <c r="P100" s="1">
        <f>SUM(OSRRefP22_11x_0)</f>
        <v>2606.25</v>
      </c>
      <c r="Q100" s="1"/>
      <c r="R100" s="5">
        <f t="shared" ref="R100:R105" si="62">IF(P$12=0,0,P100/P$12)</f>
        <v>1.2905061342033486E-3</v>
      </c>
      <c r="S100" s="1"/>
      <c r="T100" s="1">
        <f>SUM(OSRRefT22_11x_0)</f>
        <v>2304.6</v>
      </c>
      <c r="U100" s="1"/>
      <c r="V100" s="5">
        <f t="shared" ref="V100:V105" si="63">IF(T$12=0,0,T100/T$12)</f>
        <v>1.130628979949782E-3</v>
      </c>
      <c r="W100" s="1"/>
      <c r="X100" s="1">
        <f t="shared" ref="X100:X105" si="64">+P100-T100</f>
        <v>301.65000000000009</v>
      </c>
      <c r="Y100" s="1"/>
      <c r="Z100" s="5">
        <f t="shared" ref="Z100:Z105" si="65">IF(T100=0,0,X100/T100)</f>
        <v>0.13089039312678993</v>
      </c>
    </row>
    <row r="101" spans="1:26" s="23" customFormat="1" hidden="1" outlineLevel="2" x14ac:dyDescent="0.25">
      <c r="A101" s="25"/>
      <c r="B101" s="10" t="str">
        <f>CONCATENATE("          ", "6309", " - ", "TELEPHONE")</f>
        <v xml:space="preserve">          6309 - TELEPHONE</v>
      </c>
      <c r="C101" s="10"/>
      <c r="D101" s="6">
        <v>274.85000000000002</v>
      </c>
      <c r="E101" s="2"/>
      <c r="F101" s="7">
        <f t="shared" si="58"/>
        <v>6.405486872236068E-4</v>
      </c>
      <c r="G101" s="2"/>
      <c r="H101" s="6">
        <v>258.75</v>
      </c>
      <c r="I101" s="2"/>
      <c r="J101" s="7">
        <f t="shared" si="59"/>
        <v>2.2637424917020168E-3</v>
      </c>
      <c r="K101" s="2"/>
      <c r="L101" s="6">
        <f t="shared" si="60"/>
        <v>16.100000000000023</v>
      </c>
      <c r="M101" s="2"/>
      <c r="N101" s="7">
        <f t="shared" si="61"/>
        <v>6.2222222222222311E-2</v>
      </c>
      <c r="O101" s="10"/>
      <c r="P101" s="6">
        <v>2606.25</v>
      </c>
      <c r="Q101" s="2"/>
      <c r="R101" s="7">
        <f t="shared" si="62"/>
        <v>1.2905061342033486E-3</v>
      </c>
      <c r="S101" s="2"/>
      <c r="T101" s="6">
        <v>2304.6</v>
      </c>
      <c r="U101" s="2"/>
      <c r="V101" s="7">
        <f t="shared" si="63"/>
        <v>1.130628979949782E-3</v>
      </c>
      <c r="W101" s="2"/>
      <c r="X101" s="6">
        <f t="shared" si="64"/>
        <v>301.65000000000009</v>
      </c>
      <c r="Y101" s="2"/>
      <c r="Z101" s="7">
        <f t="shared" si="65"/>
        <v>0.13089039312678993</v>
      </c>
    </row>
    <row r="102" spans="1:26" s="26" customFormat="1" outlineLevel="1" collapsed="1" x14ac:dyDescent="0.25">
      <c r="A102" s="27"/>
      <c r="B102" s="12" t="str">
        <f>CONCATENATE("     ","Training                                          ")</f>
        <v xml:space="preserve">     Training                                          </v>
      </c>
      <c r="C102" s="12"/>
      <c r="D102" s="1">
        <f>SUM(OSRRefD22_12x_0)</f>
        <v>0</v>
      </c>
      <c r="E102" s="1"/>
      <c r="F102" s="5">
        <f t="shared" si="58"/>
        <v>0</v>
      </c>
      <c r="G102" s="1"/>
      <c r="H102" s="1">
        <f>SUM(OSRRefH22_12x_0)</f>
        <v>571.04999999999995</v>
      </c>
      <c r="I102" s="1"/>
      <c r="J102" s="5">
        <f t="shared" si="59"/>
        <v>4.9959812555997541E-3</v>
      </c>
      <c r="K102" s="1"/>
      <c r="L102" s="1">
        <f t="shared" si="60"/>
        <v>-571.04999999999995</v>
      </c>
      <c r="M102" s="1"/>
      <c r="N102" s="5">
        <f t="shared" si="61"/>
        <v>-1</v>
      </c>
      <c r="O102" s="12"/>
      <c r="P102" s="1">
        <f>SUM(OSRRefP22_12x_0)</f>
        <v>100</v>
      </c>
      <c r="Q102" s="1"/>
      <c r="R102" s="5">
        <f t="shared" si="62"/>
        <v>4.9515822895092517E-5</v>
      </c>
      <c r="S102" s="1"/>
      <c r="T102" s="1">
        <f>SUM(OSRRefT22_12x_0)</f>
        <v>1875.75</v>
      </c>
      <c r="U102" s="1"/>
      <c r="V102" s="5">
        <f t="shared" si="63"/>
        <v>9.2023661769539337E-4</v>
      </c>
      <c r="W102" s="1"/>
      <c r="X102" s="1">
        <f t="shared" si="64"/>
        <v>-1775.75</v>
      </c>
      <c r="Y102" s="1"/>
      <c r="Z102" s="5">
        <f t="shared" si="65"/>
        <v>-0.94668799147007865</v>
      </c>
    </row>
    <row r="103" spans="1:26" s="23" customFormat="1" hidden="1" outlineLevel="2" x14ac:dyDescent="0.25">
      <c r="A103" s="25"/>
      <c r="B103" s="10" t="str">
        <f>CONCATENATE("          ", "6376", " - ", "TRAINING")</f>
        <v xml:space="preserve">          6376 - TRAINING</v>
      </c>
      <c r="C103" s="10"/>
      <c r="D103" s="6"/>
      <c r="E103" s="2"/>
      <c r="F103" s="7">
        <f t="shared" si="58"/>
        <v>0</v>
      </c>
      <c r="G103" s="2"/>
      <c r="H103" s="6">
        <v>571.04999999999995</v>
      </c>
      <c r="I103" s="2"/>
      <c r="J103" s="7">
        <f t="shared" si="59"/>
        <v>4.9959812555997541E-3</v>
      </c>
      <c r="K103" s="2"/>
      <c r="L103" s="6">
        <f t="shared" si="60"/>
        <v>-571.04999999999995</v>
      </c>
      <c r="M103" s="2"/>
      <c r="N103" s="7">
        <f t="shared" si="61"/>
        <v>-1</v>
      </c>
      <c r="O103" s="10"/>
      <c r="P103" s="6">
        <v>100</v>
      </c>
      <c r="Q103" s="2"/>
      <c r="R103" s="7">
        <f t="shared" si="62"/>
        <v>4.9515822895092517E-5</v>
      </c>
      <c r="S103" s="2"/>
      <c r="T103" s="6">
        <v>1875.75</v>
      </c>
      <c r="U103" s="2"/>
      <c r="V103" s="7">
        <f t="shared" si="63"/>
        <v>9.2023661769539337E-4</v>
      </c>
      <c r="W103" s="2"/>
      <c r="X103" s="6">
        <f t="shared" si="64"/>
        <v>-1775.75</v>
      </c>
      <c r="Y103" s="2"/>
      <c r="Z103" s="7">
        <f t="shared" si="65"/>
        <v>-0.94668799147007865</v>
      </c>
    </row>
    <row r="104" spans="1:26" s="26" customFormat="1" outlineLevel="1" collapsed="1" x14ac:dyDescent="0.25">
      <c r="A104" s="27"/>
      <c r="B104" s="12" t="str">
        <f>CONCATENATE("     ","Travel                                            ")</f>
        <v xml:space="preserve">     Travel                                            </v>
      </c>
      <c r="C104" s="12"/>
      <c r="D104" s="1">
        <f>SUM(OSRRefD22_13x_0)</f>
        <v>0</v>
      </c>
      <c r="E104" s="1"/>
      <c r="F104" s="5">
        <f t="shared" si="58"/>
        <v>0</v>
      </c>
      <c r="G104" s="1"/>
      <c r="H104" s="1">
        <f>SUM(OSRRefH22_13x_0)</f>
        <v>0</v>
      </c>
      <c r="I104" s="1"/>
      <c r="J104" s="5">
        <f t="shared" si="59"/>
        <v>0</v>
      </c>
      <c r="K104" s="1"/>
      <c r="L104" s="1">
        <f t="shared" si="60"/>
        <v>0</v>
      </c>
      <c r="M104" s="1"/>
      <c r="N104" s="5">
        <f t="shared" si="61"/>
        <v>0</v>
      </c>
      <c r="O104" s="12"/>
      <c r="P104" s="1">
        <f>SUM(OSRRefP22_13x_0)</f>
        <v>0</v>
      </c>
      <c r="Q104" s="1"/>
      <c r="R104" s="5">
        <f t="shared" si="62"/>
        <v>0</v>
      </c>
      <c r="S104" s="1"/>
      <c r="T104" s="1">
        <f>SUM(OSRRefT22_13x_0)</f>
        <v>-178.06</v>
      </c>
      <c r="U104" s="1"/>
      <c r="V104" s="5">
        <f t="shared" si="63"/>
        <v>-8.7355634891025854E-5</v>
      </c>
      <c r="W104" s="1"/>
      <c r="X104" s="1">
        <f t="shared" si="64"/>
        <v>178.06</v>
      </c>
      <c r="Y104" s="1"/>
      <c r="Z104" s="5">
        <f t="shared" si="65"/>
        <v>-1</v>
      </c>
    </row>
    <row r="105" spans="1:26" s="23" customFormat="1" hidden="1" outlineLevel="2" x14ac:dyDescent="0.25">
      <c r="A105" s="25"/>
      <c r="B105" s="10" t="str">
        <f>CONCATENATE("          ", "6292", " - ", "TRAVEL/CONFERENCE")</f>
        <v xml:space="preserve">          6292 - TRAVEL/CONFERENCE</v>
      </c>
      <c r="C105" s="10"/>
      <c r="D105" s="6"/>
      <c r="E105" s="2"/>
      <c r="F105" s="7">
        <f t="shared" si="58"/>
        <v>0</v>
      </c>
      <c r="G105" s="2"/>
      <c r="H105" s="6"/>
      <c r="I105" s="2"/>
      <c r="J105" s="7">
        <f t="shared" si="59"/>
        <v>0</v>
      </c>
      <c r="K105" s="2"/>
      <c r="L105" s="6">
        <f t="shared" si="60"/>
        <v>0</v>
      </c>
      <c r="M105" s="2"/>
      <c r="N105" s="7">
        <f t="shared" si="61"/>
        <v>0</v>
      </c>
      <c r="O105" s="10"/>
      <c r="P105" s="6"/>
      <c r="Q105" s="2"/>
      <c r="R105" s="7">
        <f t="shared" si="62"/>
        <v>0</v>
      </c>
      <c r="S105" s="2"/>
      <c r="T105" s="6">
        <v>-178.06</v>
      </c>
      <c r="U105" s="2"/>
      <c r="V105" s="7">
        <f t="shared" si="63"/>
        <v>-8.7355634891025854E-5</v>
      </c>
      <c r="W105" s="2"/>
      <c r="X105" s="6">
        <f t="shared" si="64"/>
        <v>178.06</v>
      </c>
      <c r="Y105" s="2"/>
      <c r="Z105" s="7">
        <f t="shared" si="65"/>
        <v>-1</v>
      </c>
    </row>
    <row r="106" spans="1:26" s="60" customFormat="1" x14ac:dyDescent="0.25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4" customFormat="1" collapsed="1" x14ac:dyDescent="0.25">
      <c r="A107" s="11"/>
      <c r="B107" s="28" t="s">
        <v>292</v>
      </c>
      <c r="C107" s="11"/>
      <c r="D107" s="4">
        <f>SUM(OSRRefD25x_0)</f>
        <v>25561.239999999998</v>
      </c>
      <c r="E107" s="4"/>
      <c r="F107" s="13">
        <f t="shared" ref="F107:F111" si="66">IF(D$12=0,0,D107/D$12)</f>
        <v>5.95714707142352E-2</v>
      </c>
      <c r="G107" s="4"/>
      <c r="H107" s="4">
        <f>SUM(OSRRefH25x_0)</f>
        <v>-923.49</v>
      </c>
      <c r="I107" s="4"/>
      <c r="J107" s="13">
        <f t="shared" ref="J107:J111" si="67">IF(H$12=0,0,H107/H$12)</f>
        <v>-8.0793953764710935E-3</v>
      </c>
      <c r="K107" s="4"/>
      <c r="L107" s="4">
        <f t="shared" ref="L107:L111" si="68">+D107-H107</f>
        <v>26484.73</v>
      </c>
      <c r="M107" s="4"/>
      <c r="N107" s="13">
        <f t="shared" ref="N107:N111" si="69">IF(H107=0,0,L107/H107)</f>
        <v>-28.678957000075798</v>
      </c>
      <c r="O107" s="11"/>
      <c r="P107" s="4">
        <f>SUM(OSRRefP25x_0)</f>
        <v>26839.88</v>
      </c>
      <c r="Q107" s="4"/>
      <c r="R107" s="13">
        <f t="shared" ref="R107:R111" si="70">IF(P$12=0,0,P107/P$12)</f>
        <v>1.3289987446055357E-2</v>
      </c>
      <c r="S107" s="4"/>
      <c r="T107" s="4">
        <f>SUM(OSRRefT25x_0)</f>
        <v>13143.64</v>
      </c>
      <c r="U107" s="4"/>
      <c r="V107" s="13">
        <f t="shared" ref="V107:V111" si="71">IF(T$12=0,0,T107/T$12)</f>
        <v>6.4482254126647359E-3</v>
      </c>
      <c r="W107" s="4"/>
      <c r="X107" s="4">
        <f t="shared" ref="X107:X111" si="72">+P107-T107</f>
        <v>13696.240000000002</v>
      </c>
      <c r="Y107" s="4"/>
      <c r="Z107" s="13">
        <f t="shared" ref="Z107:Z111" si="73">IF(T107=0,0,X107/T107)</f>
        <v>1.0420431478646708</v>
      </c>
    </row>
    <row r="108" spans="1:26" s="23" customFormat="1" hidden="1" outlineLevel="1" x14ac:dyDescent="0.25">
      <c r="A108" s="44"/>
      <c r="B108" s="10" t="str">
        <f>CONCATENATE("          ", "4187", " - ", "NON-TAXABLE SALES-COMPUTER REP")</f>
        <v xml:space="preserve">          4187 - NON-TAXABLE SALES-COMPUTER REP</v>
      </c>
      <c r="C108" s="10"/>
      <c r="D108" s="2">
        <f>--160.46</f>
        <v>160.46</v>
      </c>
      <c r="E108" s="2"/>
      <c r="F108" s="19">
        <f t="shared" si="66"/>
        <v>3.7395831308677442E-4</v>
      </c>
      <c r="G108" s="2"/>
      <c r="H108" s="2">
        <f>-213.35</f>
        <v>-213.35</v>
      </c>
      <c r="I108" s="2"/>
      <c r="J108" s="19">
        <f t="shared" si="67"/>
        <v>-1.8665486400178753E-3</v>
      </c>
      <c r="K108" s="2"/>
      <c r="L108" s="2">
        <f t="shared" si="68"/>
        <v>373.81</v>
      </c>
      <c r="M108" s="2"/>
      <c r="N108" s="19">
        <f t="shared" si="69"/>
        <v>-1.7520974923834076</v>
      </c>
      <c r="O108" s="10"/>
      <c r="P108" s="2">
        <f>--1614.97</f>
        <v>1614.97</v>
      </c>
      <c r="Q108" s="2"/>
      <c r="R108" s="19">
        <f t="shared" si="70"/>
        <v>7.9966568500887555E-4</v>
      </c>
      <c r="S108" s="2"/>
      <c r="T108" s="2">
        <f>--15579.51</f>
        <v>15579.51</v>
      </c>
      <c r="U108" s="2"/>
      <c r="V108" s="19">
        <f t="shared" si="71"/>
        <v>7.6432550114629121E-3</v>
      </c>
      <c r="W108" s="2"/>
      <c r="X108" s="2">
        <f t="shared" si="72"/>
        <v>-13964.54</v>
      </c>
      <c r="Y108" s="2"/>
      <c r="Z108" s="19">
        <f t="shared" si="73"/>
        <v>-0.89634012879737557</v>
      </c>
    </row>
    <row r="109" spans="1:26" s="23" customFormat="1" hidden="1" outlineLevel="1" x14ac:dyDescent="0.25">
      <c r="A109" s="44"/>
      <c r="B109" s="10" t="str">
        <f>CONCATENATE("          ", "4387", " - ", "SALES RETURN NON TAXABLE-COMPU")</f>
        <v xml:space="preserve">          4387 - SALES RETURN NON TAXABLE-COMPU</v>
      </c>
      <c r="C109" s="10"/>
      <c r="D109" s="2">
        <f t="shared" ref="D109:D110" si="74">0</f>
        <v>0</v>
      </c>
      <c r="E109" s="2"/>
      <c r="F109" s="19">
        <f t="shared" si="66"/>
        <v>0</v>
      </c>
      <c r="G109" s="2"/>
      <c r="H109" s="2">
        <f>0</f>
        <v>0</v>
      </c>
      <c r="I109" s="2"/>
      <c r="J109" s="19">
        <f t="shared" si="67"/>
        <v>0</v>
      </c>
      <c r="K109" s="2"/>
      <c r="L109" s="2">
        <f t="shared" si="68"/>
        <v>0</v>
      </c>
      <c r="M109" s="2"/>
      <c r="N109" s="19">
        <f t="shared" si="69"/>
        <v>0</v>
      </c>
      <c r="O109" s="10"/>
      <c r="P109" s="2">
        <f t="shared" ref="P109:P110" si="75">0</f>
        <v>0</v>
      </c>
      <c r="Q109" s="2"/>
      <c r="R109" s="19">
        <f t="shared" si="70"/>
        <v>0</v>
      </c>
      <c r="S109" s="2"/>
      <c r="T109" s="2">
        <f>-7889</f>
        <v>-7889</v>
      </c>
      <c r="U109" s="2"/>
      <c r="V109" s="19">
        <f t="shared" si="71"/>
        <v>-3.8703167676923671E-3</v>
      </c>
      <c r="W109" s="2"/>
      <c r="X109" s="2">
        <f t="shared" si="72"/>
        <v>7889</v>
      </c>
      <c r="Y109" s="2"/>
      <c r="Z109" s="19">
        <f t="shared" si="73"/>
        <v>-1</v>
      </c>
    </row>
    <row r="110" spans="1:26" s="23" customFormat="1" hidden="1" outlineLevel="1" x14ac:dyDescent="0.25">
      <c r="A110" s="44"/>
      <c r="B110" s="10" t="str">
        <f>CONCATENATE("          ", "5087", " - ", "PURCHASES @ COST-COMPUTER REPA")</f>
        <v xml:space="preserve">          5087 - PURCHASES @ COST-COMPUTER REPA</v>
      </c>
      <c r="C110" s="10"/>
      <c r="D110" s="2">
        <f t="shared" si="74"/>
        <v>0</v>
      </c>
      <c r="E110" s="2"/>
      <c r="F110" s="19">
        <f t="shared" si="66"/>
        <v>0</v>
      </c>
      <c r="G110" s="2"/>
      <c r="H110" s="2">
        <f>-48.04</f>
        <v>-48.04</v>
      </c>
      <c r="I110" s="2"/>
      <c r="J110" s="19">
        <f t="shared" si="67"/>
        <v>-4.2029058667194153E-4</v>
      </c>
      <c r="K110" s="2"/>
      <c r="L110" s="2">
        <f t="shared" si="68"/>
        <v>48.04</v>
      </c>
      <c r="M110" s="2"/>
      <c r="N110" s="19">
        <f t="shared" si="69"/>
        <v>-1</v>
      </c>
      <c r="O110" s="10"/>
      <c r="P110" s="2">
        <f t="shared" si="75"/>
        <v>0</v>
      </c>
      <c r="Q110" s="2"/>
      <c r="R110" s="19">
        <f t="shared" si="70"/>
        <v>0</v>
      </c>
      <c r="S110" s="2"/>
      <c r="T110" s="2">
        <f>-104.76</f>
        <v>-104.76</v>
      </c>
      <c r="U110" s="2"/>
      <c r="V110" s="19">
        <f t="shared" si="71"/>
        <v>-5.1394902342939846E-5</v>
      </c>
      <c r="W110" s="2"/>
      <c r="X110" s="2">
        <f t="shared" si="72"/>
        <v>104.76</v>
      </c>
      <c r="Y110" s="2"/>
      <c r="Z110" s="19">
        <f t="shared" si="73"/>
        <v>-1</v>
      </c>
    </row>
    <row r="111" spans="1:26" s="23" customFormat="1" hidden="1" outlineLevel="1" x14ac:dyDescent="0.25">
      <c r="A111" s="44"/>
      <c r="B111" s="10" t="str">
        <f>CONCATENATE("          ", "9150", " - ", "MISC. INCOME")</f>
        <v xml:space="preserve">          9150 - MISC. INCOME</v>
      </c>
      <c r="C111" s="10"/>
      <c r="D111" s="2">
        <f>--25400.78</f>
        <v>25400.78</v>
      </c>
      <c r="E111" s="2"/>
      <c r="F111" s="19">
        <f t="shared" si="66"/>
        <v>5.9197512401148428E-2</v>
      </c>
      <c r="G111" s="2"/>
      <c r="H111" s="2">
        <f>-662.1</f>
        <v>-662.1</v>
      </c>
      <c r="I111" s="2"/>
      <c r="J111" s="19">
        <f t="shared" si="67"/>
        <v>-5.7925561497812758E-3</v>
      </c>
      <c r="K111" s="2"/>
      <c r="L111" s="2">
        <f t="shared" si="68"/>
        <v>26062.879999999997</v>
      </c>
      <c r="M111" s="2"/>
      <c r="N111" s="19">
        <f t="shared" si="69"/>
        <v>-39.363963147560789</v>
      </c>
      <c r="O111" s="10"/>
      <c r="P111" s="2">
        <f>--25224.91</f>
        <v>25224.91</v>
      </c>
      <c r="Q111" s="2"/>
      <c r="R111" s="19">
        <f t="shared" si="70"/>
        <v>1.2490321761046481E-2</v>
      </c>
      <c r="S111" s="2"/>
      <c r="T111" s="2">
        <f>--5557.89</f>
        <v>5557.89</v>
      </c>
      <c r="U111" s="2"/>
      <c r="V111" s="19">
        <f t="shared" si="71"/>
        <v>2.7266820712371319E-3</v>
      </c>
      <c r="W111" s="2"/>
      <c r="X111" s="2">
        <f t="shared" si="72"/>
        <v>19667.02</v>
      </c>
      <c r="Y111" s="2"/>
      <c r="Z111" s="19">
        <f t="shared" si="73"/>
        <v>3.5385766900748306</v>
      </c>
    </row>
    <row r="112" spans="1:26" x14ac:dyDescent="0.25">
      <c r="A112" s="9"/>
      <c r="B112" s="11"/>
      <c r="C112" s="11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1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4" customFormat="1" x14ac:dyDescent="0.25">
      <c r="A113" s="11"/>
      <c r="B113" s="29" t="s">
        <v>276</v>
      </c>
      <c r="C113" s="29"/>
      <c r="D113" s="22">
        <f>+D57-D59+D107</f>
        <v>81669.87</v>
      </c>
      <c r="E113" s="14"/>
      <c r="F113" s="20">
        <f>IF(D$12=0,0,D113/D$12)</f>
        <v>0.19033482995896897</v>
      </c>
      <c r="G113" s="14"/>
      <c r="H113" s="22">
        <f>+H57-H59+H107</f>
        <v>-5141.1799999999985</v>
      </c>
      <c r="I113" s="14"/>
      <c r="J113" s="20">
        <f>IF(H$12=0,0,H113/H$12)</f>
        <v>-4.497896666082539E-2</v>
      </c>
      <c r="K113" s="15"/>
      <c r="L113" s="22">
        <f>+D113-H113</f>
        <v>86811.049999999988</v>
      </c>
      <c r="M113" s="15"/>
      <c r="N113" s="20">
        <f>IF(H113=0,0,L113/H113)</f>
        <v>-16.885432916178779</v>
      </c>
      <c r="O113" s="28"/>
      <c r="P113" s="22">
        <f>+P57-P59+P107</f>
        <v>57815.850000000108</v>
      </c>
      <c r="Q113" s="14"/>
      <c r="R113" s="20">
        <f>IF(P$12=0,0,P113/P$12)</f>
        <v>2.8627993891292398E-2</v>
      </c>
      <c r="S113" s="14"/>
      <c r="T113" s="22">
        <f>+T57-T59+T107</f>
        <v>100237.40000000036</v>
      </c>
      <c r="U113" s="14"/>
      <c r="V113" s="20">
        <f>IF(T$12=0,0,T113/T$12)</f>
        <v>4.9176130050689347E-2</v>
      </c>
      <c r="W113" s="15"/>
      <c r="X113" s="22">
        <f>+P113-T113</f>
        <v>-42421.55000000025</v>
      </c>
      <c r="Y113" s="15"/>
      <c r="Z113" s="20">
        <f>IF(T113=0,0,X113/T113)</f>
        <v>-0.42321079756657792</v>
      </c>
    </row>
    <row r="114" spans="1:26" x14ac:dyDescent="0.25">
      <c r="A114" s="9"/>
      <c r="B114" s="11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4" customFormat="1" x14ac:dyDescent="0.25">
      <c r="A115" s="51"/>
      <c r="B115" s="11" t="s">
        <v>127</v>
      </c>
      <c r="C115" s="11"/>
      <c r="D115" s="4">
        <v>101243.25</v>
      </c>
      <c r="E115" s="4"/>
      <c r="F115" s="13">
        <f>IF(D$12=0,0,D115/D$12)</f>
        <v>0.23595135847826607</v>
      </c>
      <c r="G115" s="4"/>
      <c r="H115" s="4">
        <v>22315.51</v>
      </c>
      <c r="I115" s="4"/>
      <c r="J115" s="13">
        <f>IF(H$12=0,0,H115/H$12)</f>
        <v>0.1952331138589421</v>
      </c>
      <c r="K115" s="4"/>
      <c r="L115" s="4">
        <f>+D115-H115</f>
        <v>78927.740000000005</v>
      </c>
      <c r="M115" s="4"/>
      <c r="N115" s="13">
        <f>IF(H115=0,0,L115/H115)</f>
        <v>3.5369005682594756</v>
      </c>
      <c r="O115" s="11"/>
      <c r="P115" s="4">
        <v>416213.44</v>
      </c>
      <c r="Q115" s="4"/>
      <c r="R115" s="13">
        <f>IF(P$12=0,0,P115/P$12)</f>
        <v>0.20609150981597216</v>
      </c>
      <c r="S115" s="4"/>
      <c r="T115" s="4">
        <v>218412.48</v>
      </c>
      <c r="U115" s="4"/>
      <c r="V115" s="13">
        <f>IF(T$12=0,0,T115/T$12)</f>
        <v>0.10715242535394522</v>
      </c>
      <c r="W115" s="4"/>
      <c r="X115" s="4">
        <f>+P115-T115</f>
        <v>197800.95999999999</v>
      </c>
      <c r="Y115" s="4"/>
      <c r="Z115" s="13">
        <f>IF(T115=0,0,X115/T115)</f>
        <v>0.9056303009791381</v>
      </c>
    </row>
    <row r="116" spans="1:26" x14ac:dyDescent="0.25">
      <c r="A116" s="9"/>
      <c r="B116" s="11"/>
      <c r="C116" s="11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1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4" customFormat="1" ht="15.75" thickBot="1" x14ac:dyDescent="0.3">
      <c r="A117" s="11"/>
      <c r="B117" s="29" t="s">
        <v>125</v>
      </c>
      <c r="C117" s="29"/>
      <c r="D117" s="30">
        <f>+D113-D115</f>
        <v>-19573.380000000005</v>
      </c>
      <c r="E117" s="14"/>
      <c r="F117" s="36">
        <f>IF(D$12=0,0,D117/D$12)</f>
        <v>-4.5616528519297081E-2</v>
      </c>
      <c r="G117" s="14"/>
      <c r="H117" s="30">
        <f>+H113-H115</f>
        <v>-27456.689999999995</v>
      </c>
      <c r="I117" s="14"/>
      <c r="J117" s="36">
        <f>IF(H$12=0,0,H117/H$12)</f>
        <v>-0.24021208051976747</v>
      </c>
      <c r="K117" s="15"/>
      <c r="L117" s="30">
        <f>D117-H117</f>
        <v>7883.3099999999904</v>
      </c>
      <c r="M117" s="15"/>
      <c r="N117" s="36">
        <f>IF(H117=0,0,L117/H117)</f>
        <v>-0.28711800293480355</v>
      </c>
      <c r="O117" s="28"/>
      <c r="P117" s="30">
        <f>+P113-P115</f>
        <v>-358397.58999999991</v>
      </c>
      <c r="Q117" s="14"/>
      <c r="R117" s="36">
        <f>IF(P$12=0,0,P117/P$12)</f>
        <v>-0.17746351592467977</v>
      </c>
      <c r="S117" s="14"/>
      <c r="T117" s="30">
        <f>+T113-T115</f>
        <v>-118175.07999999965</v>
      </c>
      <c r="U117" s="14"/>
      <c r="V117" s="36">
        <f>IF(T$12=0,0,T117/T$12)</f>
        <v>-5.7976295303255869E-2</v>
      </c>
      <c r="W117" s="15"/>
      <c r="X117" s="30">
        <f>P117-T117</f>
        <v>-240222.51000000024</v>
      </c>
      <c r="Y117" s="15"/>
      <c r="Z117" s="36">
        <f>IF(T117=0,0,X117/T117)</f>
        <v>2.032767906736352</v>
      </c>
    </row>
    <row r="118" spans="1:26" ht="15.75" thickTop="1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4" customFormat="1" ht="15.75" thickBot="1" x14ac:dyDescent="0.3">
      <c r="A120" s="11"/>
      <c r="B120" s="29" t="s">
        <v>293</v>
      </c>
      <c r="C120" s="29"/>
      <c r="D120" s="35">
        <f>SUM(D117:D119)</f>
        <v>-19573.380000000005</v>
      </c>
      <c r="E120" s="14"/>
      <c r="F120" s="34">
        <f>IF(D$12=0,0,D120/D$12)</f>
        <v>-4.5616528519297081E-2</v>
      </c>
      <c r="G120" s="14"/>
      <c r="H120" s="35">
        <f>SUM(H117:H119)</f>
        <v>-27456.689999999995</v>
      </c>
      <c r="I120" s="14"/>
      <c r="J120" s="34">
        <f>IF(H$12=0,0,H120/H$12)</f>
        <v>-0.24021208051976747</v>
      </c>
      <c r="K120" s="15"/>
      <c r="L120" s="35">
        <f>+D120-H120</f>
        <v>7883.3099999999904</v>
      </c>
      <c r="M120" s="15"/>
      <c r="N120" s="34">
        <f>IF(H120=0,0,L120/H120)</f>
        <v>-0.28711800293480355</v>
      </c>
      <c r="O120" s="28"/>
      <c r="P120" s="35">
        <f>SUM(P117:P119)</f>
        <v>-358397.58999999991</v>
      </c>
      <c r="Q120" s="14"/>
      <c r="R120" s="34">
        <f>IF(P$12=0,0,P120/P$12)</f>
        <v>-0.17746351592467977</v>
      </c>
      <c r="S120" s="14"/>
      <c r="T120" s="35">
        <f>SUM(T117:T119)</f>
        <v>-118175.07999999965</v>
      </c>
      <c r="U120" s="14"/>
      <c r="V120" s="34">
        <f>IF(T$12=0,0,T120/T$12)</f>
        <v>-5.7976295303255869E-2</v>
      </c>
      <c r="W120" s="15"/>
      <c r="X120" s="35">
        <f>+P120-T120</f>
        <v>-240222.51000000024</v>
      </c>
      <c r="Y120" s="15"/>
      <c r="Z120" s="34">
        <f>IF(T120=0,0,X120/T120)</f>
        <v>2.032767906736352</v>
      </c>
    </row>
    <row r="121" spans="1:26" ht="15.75" thickTop="1" x14ac:dyDescent="0.25">
      <c r="A121" s="9"/>
      <c r="C121" s="9"/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4">
        <v>44295.963243634258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58" t="s">
        <v>56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A124" s="9"/>
      <c r="B124" s="62"/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25"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198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100.55</v>
      </c>
      <c r="E12" s="4"/>
      <c r="F12" s="13"/>
      <c r="G12" s="4"/>
      <c r="H12" s="4">
        <f>SUM(OSRRefH13x_0)</f>
        <v>162475.56999999998</v>
      </c>
      <c r="I12" s="4"/>
      <c r="J12" s="13"/>
      <c r="K12" s="4"/>
      <c r="L12" s="4">
        <f t="shared" ref="L12:L21" si="0">+D12-H12</f>
        <v>-162375.01999999999</v>
      </c>
      <c r="M12" s="4"/>
      <c r="N12" s="13">
        <f t="shared" ref="N12:N21" si="1">IF(H12=0,0,L12/H12)</f>
        <v>-0.99938113773042936</v>
      </c>
      <c r="O12" s="11"/>
      <c r="P12" s="4">
        <f>SUM(OSRRefP13x_0)</f>
        <v>2821.0200000000004</v>
      </c>
      <c r="Q12" s="4"/>
      <c r="R12" s="13"/>
      <c r="S12" s="4"/>
      <c r="T12" s="4">
        <f>SUM(OSRRefT13x_0)</f>
        <v>2364535.58</v>
      </c>
      <c r="U12" s="4"/>
      <c r="V12" s="13"/>
      <c r="W12" s="4"/>
      <c r="X12" s="4">
        <f t="shared" ref="X12:X21" si="2">+P12-T12</f>
        <v>-2361714.56</v>
      </c>
      <c r="Y12" s="4"/>
      <c r="Z12" s="13">
        <f t="shared" ref="Z12:Z21" si="3">IF(T12=0,0,X12/T12)</f>
        <v>-0.99880694542139226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20" si="4">0</f>
        <v>0</v>
      </c>
      <c r="E13" s="2"/>
      <c r="F13" s="19"/>
      <c r="G13" s="2"/>
      <c r="H13" s="2">
        <f>--18941.74</f>
        <v>18941.740000000002</v>
      </c>
      <c r="I13" s="2"/>
      <c r="J13" s="19"/>
      <c r="K13" s="2"/>
      <c r="L13" s="2">
        <f t="shared" si="0"/>
        <v>-18941.740000000002</v>
      </c>
      <c r="M13" s="2"/>
      <c r="N13" s="19">
        <f t="shared" si="1"/>
        <v>-1</v>
      </c>
      <c r="O13" s="10"/>
      <c r="P13" s="2">
        <f>--444.59</f>
        <v>444.59</v>
      </c>
      <c r="Q13" s="2"/>
      <c r="R13" s="19"/>
      <c r="S13" s="2"/>
      <c r="T13" s="2">
        <f>--275748.11</f>
        <v>275748.11</v>
      </c>
      <c r="U13" s="2"/>
      <c r="V13" s="19"/>
      <c r="W13" s="2"/>
      <c r="X13" s="2">
        <f t="shared" si="2"/>
        <v>-275303.51999999996</v>
      </c>
      <c r="Y13" s="2"/>
      <c r="Z13" s="19">
        <f t="shared" si="3"/>
        <v>-0.99838769520487369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>--158.53</f>
        <v>158.53</v>
      </c>
      <c r="I14" s="2"/>
      <c r="J14" s="19"/>
      <c r="K14" s="2"/>
      <c r="L14" s="2">
        <f t="shared" si="0"/>
        <v>-158.53</v>
      </c>
      <c r="M14" s="2"/>
      <c r="N14" s="19">
        <f t="shared" si="1"/>
        <v>-1</v>
      </c>
      <c r="O14" s="10"/>
      <c r="P14" s="2">
        <f t="shared" ref="P14:P15" si="5">0</f>
        <v>0</v>
      </c>
      <c r="Q14" s="2"/>
      <c r="R14" s="19"/>
      <c r="S14" s="2"/>
      <c r="T14" s="2">
        <f>--3118.55</f>
        <v>3118.55</v>
      </c>
      <c r="U14" s="2"/>
      <c r="V14" s="19"/>
      <c r="W14" s="2"/>
      <c r="X14" s="2">
        <f t="shared" si="2"/>
        <v>-3118.55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"4051", " - ", "TAXABLE SALES-FOOD")</f>
        <v xml:space="preserve">          4051 - TAXABLE SALES-FOOD</v>
      </c>
      <c r="C15" s="10"/>
      <c r="D15" s="2">
        <f t="shared" si="4"/>
        <v>0</v>
      </c>
      <c r="E15" s="2"/>
      <c r="F15" s="19"/>
      <c r="G15" s="2"/>
      <c r="H15" s="2">
        <f>--8490.18</f>
        <v>8490.18</v>
      </c>
      <c r="I15" s="2"/>
      <c r="J15" s="19"/>
      <c r="K15" s="2"/>
      <c r="L15" s="2">
        <f t="shared" si="0"/>
        <v>-8490.18</v>
      </c>
      <c r="M15" s="2"/>
      <c r="N15" s="19">
        <f t="shared" si="1"/>
        <v>-1</v>
      </c>
      <c r="O15" s="10"/>
      <c r="P15" s="2">
        <f t="shared" si="5"/>
        <v>0</v>
      </c>
      <c r="Q15" s="2"/>
      <c r="R15" s="19"/>
      <c r="S15" s="2"/>
      <c r="T15" s="2">
        <f>--149404.53</f>
        <v>149404.53</v>
      </c>
      <c r="U15" s="2"/>
      <c r="V15" s="19"/>
      <c r="W15" s="2"/>
      <c r="X15" s="2">
        <f t="shared" si="2"/>
        <v>-149404.53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"4132", " - ", "NON-TAXABLE SALES-JUICE")</f>
        <v xml:space="preserve">          4132 - NON-TAXABLE SALES-JUICE</v>
      </c>
      <c r="C16" s="10"/>
      <c r="D16" s="2">
        <f t="shared" si="4"/>
        <v>0</v>
      </c>
      <c r="E16" s="2"/>
      <c r="F16" s="19"/>
      <c r="G16" s="2"/>
      <c r="H16" s="2">
        <f>--78169.44</f>
        <v>78169.440000000002</v>
      </c>
      <c r="I16" s="2"/>
      <c r="J16" s="19"/>
      <c r="K16" s="2"/>
      <c r="L16" s="2">
        <f t="shared" si="0"/>
        <v>-78169.440000000002</v>
      </c>
      <c r="M16" s="2"/>
      <c r="N16" s="19">
        <f t="shared" si="1"/>
        <v>-1</v>
      </c>
      <c r="O16" s="10"/>
      <c r="P16" s="2">
        <f>--2031.88</f>
        <v>2031.88</v>
      </c>
      <c r="Q16" s="2"/>
      <c r="R16" s="19"/>
      <c r="S16" s="2"/>
      <c r="T16" s="2">
        <f>--1093778.1</f>
        <v>1093778.1000000001</v>
      </c>
      <c r="U16" s="2"/>
      <c r="V16" s="19"/>
      <c r="W16" s="2"/>
      <c r="X16" s="2">
        <f t="shared" si="2"/>
        <v>-1091746.2200000002</v>
      </c>
      <c r="Y16" s="2"/>
      <c r="Z16" s="19">
        <f t="shared" si="3"/>
        <v>-0.99814232886908238</v>
      </c>
    </row>
    <row r="17" spans="1:26" s="23" customFormat="1" hidden="1" outlineLevel="1" x14ac:dyDescent="0.25">
      <c r="A17" s="44"/>
      <c r="B17" s="10" t="str">
        <f>CONCATENATE("          ", "4133", " - ", "NON-TAXABLE SALES-CANDY")</f>
        <v xml:space="preserve">          4133 - NON-TAXABLE SALES-CANDY</v>
      </c>
      <c r="C17" s="10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20" si="6">0</f>
        <v>0</v>
      </c>
      <c r="Q17" s="2"/>
      <c r="R17" s="19"/>
      <c r="S17" s="2"/>
      <c r="T17" s="2">
        <f>--1.59</f>
        <v>1.59</v>
      </c>
      <c r="U17" s="2"/>
      <c r="V17" s="19"/>
      <c r="W17" s="2"/>
      <c r="X17" s="2">
        <f t="shared" si="2"/>
        <v>-1.59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"4134", " - ", "NON-TAXABLE SALES-SODA")</f>
        <v xml:space="preserve">          4134 - NON-TAXABLE SALES-SODA</v>
      </c>
      <c r="C18" s="10"/>
      <c r="D18" s="2">
        <f t="shared" si="4"/>
        <v>0</v>
      </c>
      <c r="E18" s="2"/>
      <c r="F18" s="19"/>
      <c r="G18" s="2"/>
      <c r="H18" s="2">
        <f>--26.93</f>
        <v>26.93</v>
      </c>
      <c r="I18" s="2"/>
      <c r="J18" s="19"/>
      <c r="K18" s="2"/>
      <c r="L18" s="2">
        <f t="shared" si="0"/>
        <v>-26.93</v>
      </c>
      <c r="M18" s="2"/>
      <c r="N18" s="19">
        <f t="shared" si="1"/>
        <v>-1</v>
      </c>
      <c r="O18" s="10"/>
      <c r="P18" s="2">
        <f t="shared" si="6"/>
        <v>0</v>
      </c>
      <c r="Q18" s="2"/>
      <c r="R18" s="19"/>
      <c r="S18" s="2"/>
      <c r="T18" s="2">
        <f>--35.34</f>
        <v>35.340000000000003</v>
      </c>
      <c r="U18" s="2"/>
      <c r="V18" s="19"/>
      <c r="W18" s="2"/>
      <c r="X18" s="2">
        <f t="shared" si="2"/>
        <v>-35.340000000000003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"4137", " - ", "NON-TAXABLE SALES-WATER")</f>
        <v xml:space="preserve">          4137 - NON-TAXABLE SALES-WATER</v>
      </c>
      <c r="C19" s="10"/>
      <c r="D19" s="2">
        <f t="shared" si="4"/>
        <v>0</v>
      </c>
      <c r="E19" s="2"/>
      <c r="F19" s="19"/>
      <c r="G19" s="2"/>
      <c r="H19" s="2">
        <f>--96.9</f>
        <v>96.9</v>
      </c>
      <c r="I19" s="2"/>
      <c r="J19" s="19"/>
      <c r="K19" s="2"/>
      <c r="L19" s="2">
        <f t="shared" si="0"/>
        <v>-96.9</v>
      </c>
      <c r="M19" s="2"/>
      <c r="N19" s="19">
        <f t="shared" si="1"/>
        <v>-1</v>
      </c>
      <c r="O19" s="10"/>
      <c r="P19" s="2">
        <f t="shared" si="6"/>
        <v>0</v>
      </c>
      <c r="Q19" s="2"/>
      <c r="R19" s="19"/>
      <c r="S19" s="2"/>
      <c r="T19" s="2">
        <f>--1568.79</f>
        <v>1568.79</v>
      </c>
      <c r="U19" s="2"/>
      <c r="V19" s="19"/>
      <c r="W19" s="2"/>
      <c r="X19" s="2">
        <f t="shared" si="2"/>
        <v>-1568.79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"4151", " - ", "NON-TAXABLE SALES-FOOD")</f>
        <v xml:space="preserve">          4151 - NON-TAXABLE SALES-FOOD</v>
      </c>
      <c r="C20" s="10"/>
      <c r="D20" s="2">
        <f t="shared" si="4"/>
        <v>0</v>
      </c>
      <c r="E20" s="2"/>
      <c r="F20" s="19"/>
      <c r="G20" s="2"/>
      <c r="H20" s="2">
        <f>--56591.85</f>
        <v>56591.85</v>
      </c>
      <c r="I20" s="2"/>
      <c r="J20" s="19"/>
      <c r="K20" s="2"/>
      <c r="L20" s="2">
        <f t="shared" si="0"/>
        <v>-56591.85</v>
      </c>
      <c r="M20" s="2"/>
      <c r="N20" s="19">
        <f t="shared" si="1"/>
        <v>-1</v>
      </c>
      <c r="O20" s="10"/>
      <c r="P20" s="2">
        <f t="shared" si="6"/>
        <v>0</v>
      </c>
      <c r="Q20" s="2"/>
      <c r="R20" s="19"/>
      <c r="S20" s="2"/>
      <c r="T20" s="2">
        <f>--828068.07</f>
        <v>828068.07</v>
      </c>
      <c r="U20" s="2"/>
      <c r="V20" s="19"/>
      <c r="W20" s="2"/>
      <c r="X20" s="2">
        <f t="shared" si="2"/>
        <v>-828068.07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"4153", " - ", "NON-TAXABLE SALES-FOOD")</f>
        <v xml:space="preserve">          4153 - NON-TAXABLE SALES-FOOD</v>
      </c>
      <c r="C21" s="10"/>
      <c r="D21" s="2">
        <f>--100.55</f>
        <v>100.55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100.55</v>
      </c>
      <c r="M21" s="2"/>
      <c r="N21" s="19">
        <f t="shared" si="1"/>
        <v>0</v>
      </c>
      <c r="O21" s="10"/>
      <c r="P21" s="2">
        <f>--344.55</f>
        <v>344.55</v>
      </c>
      <c r="Q21" s="2"/>
      <c r="R21" s="19"/>
      <c r="S21" s="2"/>
      <c r="T21" s="2">
        <f>--12812.5</f>
        <v>12812.5</v>
      </c>
      <c r="U21" s="2"/>
      <c r="V21" s="19"/>
      <c r="W21" s="2"/>
      <c r="X21" s="2">
        <f t="shared" si="2"/>
        <v>-12467.95</v>
      </c>
      <c r="Y21" s="2"/>
      <c r="Z21" s="19">
        <f t="shared" si="3"/>
        <v>-0.97310829268292687</v>
      </c>
    </row>
    <row r="22" spans="1:26" x14ac:dyDescent="0.25">
      <c r="A22" s="9"/>
      <c r="B22" s="11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4" customFormat="1" collapsed="1" x14ac:dyDescent="0.25">
      <c r="A23" s="11"/>
      <c r="B23" s="28" t="s">
        <v>256</v>
      </c>
      <c r="C23" s="11"/>
      <c r="D23" s="4">
        <f>SUM(OSRRefD16x_0)</f>
        <v>195.4</v>
      </c>
      <c r="E23" s="4"/>
      <c r="F23" s="13">
        <f t="shared" ref="F23:F25" si="7">IF(D$12=0,0,D23/D$12)</f>
        <v>1.9433117851815018</v>
      </c>
      <c r="G23" s="4"/>
      <c r="H23" s="4">
        <f>SUM(OSRRefH16x_0)</f>
        <v>78189.600000000006</v>
      </c>
      <c r="I23" s="4"/>
      <c r="J23" s="13">
        <f t="shared" ref="J23:J25" si="8">IF(H$12=0,0,H23/H$12)</f>
        <v>0.4812391179793985</v>
      </c>
      <c r="K23" s="4"/>
      <c r="L23" s="4">
        <f t="shared" ref="L23:L25" si="9">+D23-H23</f>
        <v>-77994.200000000012</v>
      </c>
      <c r="M23" s="4"/>
      <c r="N23" s="13">
        <f t="shared" ref="N23:N25" si="10">IF(H23=0,0,L23/H23)</f>
        <v>-0.99750094641742648</v>
      </c>
      <c r="O23" s="11"/>
      <c r="P23" s="4">
        <f>SUM(OSRRefP16x_0)</f>
        <v>28219.360000000001</v>
      </c>
      <c r="Q23" s="4"/>
      <c r="R23" s="13">
        <f t="shared" ref="R23:R25" si="11">IF(P$12=0,0,P23/P$12)</f>
        <v>10.003247052484561</v>
      </c>
      <c r="S23" s="4"/>
      <c r="T23" s="4">
        <f>SUM(OSRRefT16x_0)</f>
        <v>1130261.6400000001</v>
      </c>
      <c r="U23" s="4"/>
      <c r="V23" s="13">
        <f t="shared" ref="V23:V25" si="12">IF(T$12=0,0,T23/T$12)</f>
        <v>0.47800576551273555</v>
      </c>
      <c r="W23" s="4"/>
      <c r="X23" s="4">
        <f t="shared" ref="X23:X25" si="13">+P23-T23</f>
        <v>-1102042.28</v>
      </c>
      <c r="Y23" s="4"/>
      <c r="Z23" s="13">
        <f t="shared" ref="Z23:Z25" si="14">IF(T23=0,0,X23/T23)</f>
        <v>-0.97503289592310671</v>
      </c>
    </row>
    <row r="24" spans="1:26" s="23" customFormat="1" hidden="1" outlineLevel="1" x14ac:dyDescent="0.25">
      <c r="A24" s="44"/>
      <c r="B24" s="10" t="str">
        <f>CONCATENATE("          ", "5053", " - ", "PURCHASES @ COST-FOOD")</f>
        <v xml:space="preserve">          5053 - PURCHASES @ COST-FOOD</v>
      </c>
      <c r="C24" s="10"/>
      <c r="D24" s="2">
        <v>176.4</v>
      </c>
      <c r="E24" s="2"/>
      <c r="F24" s="19">
        <f t="shared" si="7"/>
        <v>1.754351069119841</v>
      </c>
      <c r="G24" s="2"/>
      <c r="H24" s="2">
        <v>76475.820000000007</v>
      </c>
      <c r="I24" s="2"/>
      <c r="J24" s="19">
        <f t="shared" si="8"/>
        <v>0.47069119375916035</v>
      </c>
      <c r="K24" s="2"/>
      <c r="L24" s="2">
        <f t="shared" si="9"/>
        <v>-76299.420000000013</v>
      </c>
      <c r="M24" s="2"/>
      <c r="N24" s="19">
        <f t="shared" si="10"/>
        <v>-0.99769338857693857</v>
      </c>
      <c r="O24" s="10"/>
      <c r="P24" s="2">
        <v>-2646.55</v>
      </c>
      <c r="Q24" s="2"/>
      <c r="R24" s="19">
        <f t="shared" si="11"/>
        <v>-0.93815357565703172</v>
      </c>
      <c r="S24" s="2"/>
      <c r="T24" s="2">
        <v>1162005.79</v>
      </c>
      <c r="U24" s="2"/>
      <c r="V24" s="19">
        <f t="shared" si="12"/>
        <v>0.49143087540260233</v>
      </c>
      <c r="W24" s="2"/>
      <c r="X24" s="2">
        <f t="shared" si="13"/>
        <v>-1164652.3400000001</v>
      </c>
      <c r="Y24" s="2"/>
      <c r="Z24" s="19">
        <f t="shared" si="14"/>
        <v>-1.0022775704069427</v>
      </c>
    </row>
    <row r="25" spans="1:26" s="23" customFormat="1" hidden="1" outlineLevel="1" x14ac:dyDescent="0.25">
      <c r="A25" s="44"/>
      <c r="B25" s="10" t="str">
        <f>CONCATENATE("          ", "5059", " - ", "PURCHASES @ COST-FOOD")</f>
        <v xml:space="preserve">          5059 - PURCHASES @ COST-FOOD</v>
      </c>
      <c r="C25" s="10"/>
      <c r="D25" s="2">
        <v>19</v>
      </c>
      <c r="E25" s="2"/>
      <c r="F25" s="19">
        <f t="shared" si="7"/>
        <v>0.18896071606166087</v>
      </c>
      <c r="G25" s="2"/>
      <c r="H25" s="2">
        <v>1713.78</v>
      </c>
      <c r="I25" s="2"/>
      <c r="J25" s="19">
        <f t="shared" si="8"/>
        <v>1.0547924220238158E-2</v>
      </c>
      <c r="K25" s="2"/>
      <c r="L25" s="2">
        <f t="shared" si="9"/>
        <v>-1694.78</v>
      </c>
      <c r="M25" s="2"/>
      <c r="N25" s="19">
        <f t="shared" si="10"/>
        <v>-0.98891339611852158</v>
      </c>
      <c r="O25" s="10"/>
      <c r="P25" s="2">
        <v>30865.91</v>
      </c>
      <c r="Q25" s="2"/>
      <c r="R25" s="19">
        <f t="shared" si="11"/>
        <v>10.941400628141592</v>
      </c>
      <c r="S25" s="2"/>
      <c r="T25" s="2">
        <v>-31744.15</v>
      </c>
      <c r="U25" s="2"/>
      <c r="V25" s="19">
        <f t="shared" si="12"/>
        <v>-1.3425109889866831E-2</v>
      </c>
      <c r="W25" s="2"/>
      <c r="X25" s="2">
        <f t="shared" si="13"/>
        <v>62610.06</v>
      </c>
      <c r="Y25" s="2"/>
      <c r="Z25" s="19">
        <f t="shared" si="14"/>
        <v>-1.972333800086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107</v>
      </c>
      <c r="C27" s="29"/>
      <c r="D27" s="22">
        <f>D12-D23</f>
        <v>-94.850000000000009</v>
      </c>
      <c r="E27" s="14"/>
      <c r="F27" s="20">
        <f>IF(D$12=0,0,D27/D$12)</f>
        <v>-0.94331178518150183</v>
      </c>
      <c r="G27" s="14"/>
      <c r="H27" s="22">
        <f>H12-H23</f>
        <v>84285.969999999972</v>
      </c>
      <c r="I27" s="14"/>
      <c r="J27" s="20">
        <f>IF(H$12=0,0,H27/H$12)</f>
        <v>0.51876088202060155</v>
      </c>
      <c r="K27" s="15"/>
      <c r="L27" s="22">
        <f>+D27-H27</f>
        <v>-84380.819999999978</v>
      </c>
      <c r="M27" s="15"/>
      <c r="N27" s="20">
        <f>IF(H27=0,0,L27/H27)</f>
        <v>-1.0011253355688972</v>
      </c>
      <c r="O27" s="28"/>
      <c r="P27" s="22">
        <f>P12-P23</f>
        <v>-25398.34</v>
      </c>
      <c r="Q27" s="14"/>
      <c r="R27" s="20">
        <f>IF(P$12=0,0,P27/P$12)</f>
        <v>-9.0032470524845607</v>
      </c>
      <c r="S27" s="14"/>
      <c r="T27" s="22">
        <f>T12-T23</f>
        <v>1234273.94</v>
      </c>
      <c r="U27" s="14"/>
      <c r="V27" s="20">
        <f>IF(T$12=0,0,T27/T$12)</f>
        <v>0.52199423448726445</v>
      </c>
      <c r="W27" s="15"/>
      <c r="X27" s="22">
        <f>+P27-T27</f>
        <v>-1259672.28</v>
      </c>
      <c r="Y27" s="15"/>
      <c r="Z27" s="20">
        <f>IF(T27=0,0,X27/T27)</f>
        <v>-1.0205775550928347</v>
      </c>
    </row>
    <row r="28" spans="1:26" x14ac:dyDescent="0.25">
      <c r="A28" s="9"/>
      <c r="B28" s="11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4" customFormat="1" x14ac:dyDescent="0.25">
      <c r="A29" s="11"/>
      <c r="B29" s="28" t="s">
        <v>294</v>
      </c>
      <c r="C29" s="11"/>
      <c r="D29" s="21">
        <f>SUM(OSRRefD22x_0)</f>
        <v>13938.990000000003</v>
      </c>
      <c r="E29" s="21"/>
      <c r="F29" s="31">
        <f t="shared" ref="F29:F38" si="15">IF(D$12=0,0,D29/D$12)</f>
        <v>138.6274490303332</v>
      </c>
      <c r="G29" s="21"/>
      <c r="H29" s="21">
        <f>SUM(OSRRefH22x_0)</f>
        <v>113798.47000000002</v>
      </c>
      <c r="I29" s="21"/>
      <c r="J29" s="31">
        <f t="shared" ref="J29:J38" si="16">IF(H$12=0,0,H29/H$12)</f>
        <v>0.70040357451892632</v>
      </c>
      <c r="K29" s="4"/>
      <c r="L29" s="21">
        <f t="shared" ref="L29:L38" si="17">+D29-H29</f>
        <v>-99859.48000000001</v>
      </c>
      <c r="M29" s="4"/>
      <c r="N29" s="31">
        <f t="shared" ref="N29:N38" si="18">IF(H29=0,0,L29/H29)</f>
        <v>-0.87751162208068345</v>
      </c>
      <c r="O29" s="11"/>
      <c r="P29" s="21">
        <f>SUM(OSRRefP22x_0)</f>
        <v>217530.89999999997</v>
      </c>
      <c r="Q29" s="21"/>
      <c r="R29" s="31">
        <f t="shared" ref="R29:R38" si="19">IF(P$12=0,0,P29/P$12)</f>
        <v>77.110725907650405</v>
      </c>
      <c r="S29" s="21"/>
      <c r="T29" s="21">
        <f>SUM(OSRRefT22x_0)</f>
        <v>961647.66999999981</v>
      </c>
      <c r="U29" s="21"/>
      <c r="V29" s="31">
        <f t="shared" ref="V29:V38" si="20">IF(T$12=0,0,T29/T$12)</f>
        <v>0.40669621473828693</v>
      </c>
      <c r="W29" s="4"/>
      <c r="X29" s="21">
        <f t="shared" ref="X29:X38" si="21">+P29-T29</f>
        <v>-744116.76999999979</v>
      </c>
      <c r="Y29" s="4"/>
      <c r="Z29" s="31">
        <f t="shared" ref="Z29:Z38" si="22">IF(T29=0,0,X29/T29)</f>
        <v>-0.77379355580407105</v>
      </c>
    </row>
    <row r="30" spans="1:26" s="26" customFormat="1" outlineLevel="1" collapsed="1" x14ac:dyDescent="0.25">
      <c r="A30" s="27"/>
      <c r="B30" s="12" t="str">
        <f>CONCATENATE("     ","*Benefits                                         ")</f>
        <v xml:space="preserve">     *Benefits                                         </v>
      </c>
      <c r="C30" s="12"/>
      <c r="D30" s="1">
        <f>SUM(OSRRefD22_0x_0)</f>
        <v>0</v>
      </c>
      <c r="E30" s="1"/>
      <c r="F30" s="5">
        <f t="shared" si="15"/>
        <v>0</v>
      </c>
      <c r="G30" s="1"/>
      <c r="H30" s="1">
        <f>SUM(OSRRefH22_0x_0)</f>
        <v>11732.269999999999</v>
      </c>
      <c r="I30" s="1"/>
      <c r="J30" s="5">
        <f t="shared" si="16"/>
        <v>7.2209440471573669E-2</v>
      </c>
      <c r="K30" s="1"/>
      <c r="L30" s="1">
        <f t="shared" si="17"/>
        <v>-11732.269999999999</v>
      </c>
      <c r="M30" s="1"/>
      <c r="N30" s="5">
        <f t="shared" si="18"/>
        <v>-1</v>
      </c>
      <c r="O30" s="12"/>
      <c r="P30" s="1">
        <f>SUM(OSRRefP22_0x_0)</f>
        <v>35025.26</v>
      </c>
      <c r="Q30" s="1"/>
      <c r="R30" s="5">
        <f t="shared" si="19"/>
        <v>12.415814138148612</v>
      </c>
      <c r="S30" s="1"/>
      <c r="T30" s="1">
        <f>SUM(OSRRefT22_0x_0)</f>
        <v>118335.94</v>
      </c>
      <c r="U30" s="1"/>
      <c r="V30" s="5">
        <f t="shared" si="20"/>
        <v>5.0046165936737566E-2</v>
      </c>
      <c r="W30" s="1"/>
      <c r="X30" s="1">
        <f t="shared" si="21"/>
        <v>-83310.679999999993</v>
      </c>
      <c r="Y30" s="1"/>
      <c r="Z30" s="5">
        <f t="shared" si="22"/>
        <v>-0.70401840725649356</v>
      </c>
    </row>
    <row r="31" spans="1:26" s="23" customFormat="1" hidden="1" outlineLevel="2" x14ac:dyDescent="0.25">
      <c r="A31" s="25"/>
      <c r="B31" s="10" t="str">
        <f>CONCATENATE("          ", "6111", " - ", "F.I.C.A.")</f>
        <v xml:space="preserve">          6111 - F.I.C.A.</v>
      </c>
      <c r="C31" s="10"/>
      <c r="D31" s="6"/>
      <c r="E31" s="2"/>
      <c r="F31" s="7">
        <f t="shared" si="15"/>
        <v>0</v>
      </c>
      <c r="G31" s="2"/>
      <c r="H31" s="6">
        <v>2387.5100000000002</v>
      </c>
      <c r="I31" s="2"/>
      <c r="J31" s="7">
        <f t="shared" si="16"/>
        <v>1.4694578391077505E-2</v>
      </c>
      <c r="K31" s="2"/>
      <c r="L31" s="6">
        <f t="shared" si="17"/>
        <v>-2387.5100000000002</v>
      </c>
      <c r="M31" s="2"/>
      <c r="N31" s="7">
        <f t="shared" si="18"/>
        <v>-1</v>
      </c>
      <c r="O31" s="10"/>
      <c r="P31" s="6">
        <v>3909.68</v>
      </c>
      <c r="Q31" s="2"/>
      <c r="R31" s="7">
        <f t="shared" si="19"/>
        <v>1.3859100608999579</v>
      </c>
      <c r="S31" s="2"/>
      <c r="T31" s="6">
        <v>20565.48</v>
      </c>
      <c r="U31" s="2"/>
      <c r="V31" s="7">
        <f t="shared" si="20"/>
        <v>8.6974711541452036E-3</v>
      </c>
      <c r="W31" s="2"/>
      <c r="X31" s="6">
        <f t="shared" si="21"/>
        <v>-16655.8</v>
      </c>
      <c r="Y31" s="2"/>
      <c r="Z31" s="7">
        <f t="shared" si="22"/>
        <v>-0.80989113796517265</v>
      </c>
    </row>
    <row r="32" spans="1:26" s="23" customFormat="1" hidden="1" outlineLevel="2" x14ac:dyDescent="0.25">
      <c r="A32" s="25"/>
      <c r="B32" s="10" t="str">
        <f>CONCATENATE("          ", "6112", " - ", "COMPENSATION INSURANCE")</f>
        <v xml:space="preserve">          6112 - COMPENSATION INSURANCE</v>
      </c>
      <c r="C32" s="10"/>
      <c r="D32" s="6"/>
      <c r="E32" s="2"/>
      <c r="F32" s="7">
        <f t="shared" si="15"/>
        <v>0</v>
      </c>
      <c r="G32" s="2"/>
      <c r="H32" s="6">
        <v>1406.5</v>
      </c>
      <c r="I32" s="2"/>
      <c r="J32" s="7">
        <f t="shared" si="16"/>
        <v>8.6566860482471322E-3</v>
      </c>
      <c r="K32" s="2"/>
      <c r="L32" s="6">
        <f t="shared" si="17"/>
        <v>-1406.5</v>
      </c>
      <c r="M32" s="2"/>
      <c r="N32" s="7">
        <f t="shared" si="18"/>
        <v>-1</v>
      </c>
      <c r="O32" s="10"/>
      <c r="P32" s="6">
        <v>830.67</v>
      </c>
      <c r="Q32" s="2"/>
      <c r="R32" s="7">
        <f t="shared" si="19"/>
        <v>0.29445732394665752</v>
      </c>
      <c r="S32" s="2"/>
      <c r="T32" s="6">
        <v>8652</v>
      </c>
      <c r="U32" s="2"/>
      <c r="V32" s="7">
        <f t="shared" si="20"/>
        <v>3.6590694905085756E-3</v>
      </c>
      <c r="W32" s="2"/>
      <c r="X32" s="6">
        <f t="shared" si="21"/>
        <v>-7821.33</v>
      </c>
      <c r="Y32" s="2"/>
      <c r="Z32" s="7">
        <f t="shared" si="22"/>
        <v>-0.90399098474341189</v>
      </c>
    </row>
    <row r="33" spans="1:26" s="23" customFormat="1" hidden="1" outlineLevel="2" x14ac:dyDescent="0.25">
      <c r="A33" s="25"/>
      <c r="B33" s="10" t="str">
        <f>CONCATENATE("          ", "6113", " - ", "GROUP INSURANCE")</f>
        <v xml:space="preserve">          6113 - GROUP INSURANCE</v>
      </c>
      <c r="C33" s="10"/>
      <c r="D33" s="6"/>
      <c r="E33" s="2"/>
      <c r="F33" s="7">
        <f t="shared" si="15"/>
        <v>0</v>
      </c>
      <c r="G33" s="2"/>
      <c r="H33" s="6">
        <v>4620.57</v>
      </c>
      <c r="I33" s="2"/>
      <c r="J33" s="7">
        <f t="shared" si="16"/>
        <v>2.8438552331282792E-2</v>
      </c>
      <c r="K33" s="2"/>
      <c r="L33" s="6">
        <f t="shared" si="17"/>
        <v>-4620.57</v>
      </c>
      <c r="M33" s="2"/>
      <c r="N33" s="7">
        <f t="shared" si="18"/>
        <v>-1</v>
      </c>
      <c r="O33" s="10"/>
      <c r="P33" s="6">
        <v>18067.72</v>
      </c>
      <c r="Q33" s="2"/>
      <c r="R33" s="7">
        <f t="shared" si="19"/>
        <v>6.4046763227485091</v>
      </c>
      <c r="S33" s="2"/>
      <c r="T33" s="6">
        <v>50697.14</v>
      </c>
      <c r="U33" s="2"/>
      <c r="V33" s="7">
        <f t="shared" si="20"/>
        <v>2.1440633174993288E-2</v>
      </c>
      <c r="W33" s="2"/>
      <c r="X33" s="6">
        <f t="shared" si="21"/>
        <v>-32629.42</v>
      </c>
      <c r="Y33" s="2"/>
      <c r="Z33" s="7">
        <f t="shared" si="22"/>
        <v>-0.64361461021272592</v>
      </c>
    </row>
    <row r="34" spans="1:26" s="23" customFormat="1" hidden="1" outlineLevel="2" x14ac:dyDescent="0.25">
      <c r="A34" s="25"/>
      <c r="B34" s="10" t="str">
        <f>CONCATENATE("          ", "6114", " - ", "STATE UNEMPLOYMENT INSURANCE")</f>
        <v xml:space="preserve">          6114 - STATE UNEMPLOYMENT INSURANCE</v>
      </c>
      <c r="C34" s="10"/>
      <c r="D34" s="6"/>
      <c r="E34" s="2"/>
      <c r="F34" s="7">
        <f t="shared" si="15"/>
        <v>0</v>
      </c>
      <c r="G34" s="2"/>
      <c r="H34" s="6">
        <v>192.47</v>
      </c>
      <c r="I34" s="2"/>
      <c r="J34" s="7">
        <f t="shared" si="16"/>
        <v>1.1846088615045328E-3</v>
      </c>
      <c r="K34" s="2"/>
      <c r="L34" s="6">
        <f t="shared" si="17"/>
        <v>-192.47</v>
      </c>
      <c r="M34" s="2"/>
      <c r="N34" s="7">
        <f t="shared" si="18"/>
        <v>-1</v>
      </c>
      <c r="O34" s="10"/>
      <c r="P34" s="6">
        <v>132.15</v>
      </c>
      <c r="Q34" s="2"/>
      <c r="R34" s="7">
        <f t="shared" si="19"/>
        <v>4.6844758278920387E-2</v>
      </c>
      <c r="S34" s="2"/>
      <c r="T34" s="6">
        <v>1317.21</v>
      </c>
      <c r="U34" s="2"/>
      <c r="V34" s="7">
        <f t="shared" si="20"/>
        <v>5.5706922371622761E-4</v>
      </c>
      <c r="W34" s="2"/>
      <c r="X34" s="6">
        <f t="shared" si="21"/>
        <v>-1185.06</v>
      </c>
      <c r="Y34" s="2"/>
      <c r="Z34" s="7">
        <f t="shared" si="22"/>
        <v>-0.89967431161318234</v>
      </c>
    </row>
    <row r="35" spans="1:26" s="23" customFormat="1" hidden="1" outlineLevel="2" x14ac:dyDescent="0.25">
      <c r="A35" s="25"/>
      <c r="B35" s="10" t="str">
        <f>CONCATENATE("          ", "6115", " - ", "P.E.R.S.")</f>
        <v xml:space="preserve">          6115 - P.E.R.S.</v>
      </c>
      <c r="C35" s="10"/>
      <c r="D35" s="6"/>
      <c r="E35" s="2"/>
      <c r="F35" s="7">
        <f t="shared" si="15"/>
        <v>0</v>
      </c>
      <c r="G35" s="2"/>
      <c r="H35" s="6">
        <v>1284.74</v>
      </c>
      <c r="I35" s="2"/>
      <c r="J35" s="7">
        <f t="shared" si="16"/>
        <v>7.9072810761642524E-3</v>
      </c>
      <c r="K35" s="2"/>
      <c r="L35" s="6">
        <f t="shared" si="17"/>
        <v>-1284.74</v>
      </c>
      <c r="M35" s="2"/>
      <c r="N35" s="7">
        <f t="shared" si="18"/>
        <v>-1</v>
      </c>
      <c r="O35" s="10"/>
      <c r="P35" s="6">
        <v>5525.49</v>
      </c>
      <c r="Q35" s="2"/>
      <c r="R35" s="7">
        <f t="shared" si="19"/>
        <v>1.9586851564327792</v>
      </c>
      <c r="S35" s="2"/>
      <c r="T35" s="6">
        <v>14120.73</v>
      </c>
      <c r="U35" s="2"/>
      <c r="V35" s="7">
        <f t="shared" si="20"/>
        <v>5.9718830705858946E-3</v>
      </c>
      <c r="W35" s="2"/>
      <c r="X35" s="6">
        <f t="shared" si="21"/>
        <v>-8595.24</v>
      </c>
      <c r="Y35" s="2"/>
      <c r="Z35" s="7">
        <f t="shared" si="22"/>
        <v>-0.60869657588524106</v>
      </c>
    </row>
    <row r="36" spans="1:26" s="23" customFormat="1" hidden="1" outlineLevel="2" x14ac:dyDescent="0.25">
      <c r="A36" s="25"/>
      <c r="B36" s="10" t="str">
        <f>CONCATENATE("          ", "6118", " - ", "VACATION")</f>
        <v xml:space="preserve">          6118 - VACATION</v>
      </c>
      <c r="C36" s="10"/>
      <c r="D36" s="6"/>
      <c r="E36" s="2"/>
      <c r="F36" s="7">
        <f t="shared" si="15"/>
        <v>0</v>
      </c>
      <c r="G36" s="2"/>
      <c r="H36" s="6">
        <v>950.98</v>
      </c>
      <c r="I36" s="2"/>
      <c r="J36" s="7">
        <f t="shared" si="16"/>
        <v>5.8530645561052667E-3</v>
      </c>
      <c r="K36" s="2"/>
      <c r="L36" s="6">
        <f t="shared" si="17"/>
        <v>-950.98</v>
      </c>
      <c r="M36" s="2"/>
      <c r="N36" s="7">
        <f t="shared" si="18"/>
        <v>-1</v>
      </c>
      <c r="O36" s="10"/>
      <c r="P36" s="6">
        <v>3386</v>
      </c>
      <c r="Q36" s="2"/>
      <c r="R36" s="7">
        <f t="shared" si="19"/>
        <v>1.2002750778087357</v>
      </c>
      <c r="S36" s="2"/>
      <c r="T36" s="6">
        <v>10650.52</v>
      </c>
      <c r="U36" s="2"/>
      <c r="V36" s="7">
        <f t="shared" si="20"/>
        <v>4.5042756345413078E-3</v>
      </c>
      <c r="W36" s="2"/>
      <c r="X36" s="6">
        <f t="shared" si="21"/>
        <v>-7264.52</v>
      </c>
      <c r="Y36" s="2"/>
      <c r="Z36" s="7">
        <f t="shared" si="22"/>
        <v>-0.68208125049293367</v>
      </c>
    </row>
    <row r="37" spans="1:26" s="23" customFormat="1" hidden="1" outlineLevel="2" x14ac:dyDescent="0.25">
      <c r="A37" s="25"/>
      <c r="B37" s="10" t="str">
        <f>CONCATENATE("          ", "6119", " - ", "SICK LEAVE")</f>
        <v xml:space="preserve">          6119 - SICK LEAVE</v>
      </c>
      <c r="C37" s="10"/>
      <c r="D37" s="6"/>
      <c r="E37" s="2"/>
      <c r="F37" s="7">
        <f t="shared" si="15"/>
        <v>0</v>
      </c>
      <c r="G37" s="2"/>
      <c r="H37" s="6">
        <v>640.52</v>
      </c>
      <c r="I37" s="2"/>
      <c r="J37" s="7">
        <f t="shared" si="16"/>
        <v>3.9422542108945987E-3</v>
      </c>
      <c r="K37" s="2"/>
      <c r="L37" s="6">
        <f t="shared" si="17"/>
        <v>-640.52</v>
      </c>
      <c r="M37" s="2"/>
      <c r="N37" s="7">
        <f t="shared" si="18"/>
        <v>-1</v>
      </c>
      <c r="O37" s="10"/>
      <c r="P37" s="6">
        <v>2447.1799999999998</v>
      </c>
      <c r="Q37" s="2"/>
      <c r="R37" s="7">
        <f t="shared" si="19"/>
        <v>0.86748055667808077</v>
      </c>
      <c r="S37" s="2"/>
      <c r="T37" s="6">
        <v>7271.64</v>
      </c>
      <c r="U37" s="2"/>
      <c r="V37" s="7">
        <f t="shared" si="20"/>
        <v>3.0752931195055224E-3</v>
      </c>
      <c r="W37" s="2"/>
      <c r="X37" s="6">
        <f t="shared" si="21"/>
        <v>-4824.4600000000009</v>
      </c>
      <c r="Y37" s="2"/>
      <c r="Z37" s="7">
        <f t="shared" si="22"/>
        <v>-0.66346243763442647</v>
      </c>
    </row>
    <row r="38" spans="1:26" s="23" customFormat="1" hidden="1" outlineLevel="2" x14ac:dyDescent="0.25">
      <c r="A38" s="25"/>
      <c r="B38" s="10" t="str">
        <f>CONCATENATE("          ", "6156", " - ", "EMPLOYEE MEALS")</f>
        <v xml:space="preserve">          6156 - EMPLOYEE MEALS</v>
      </c>
      <c r="C38" s="10"/>
      <c r="D38" s="6"/>
      <c r="E38" s="2"/>
      <c r="F38" s="7">
        <f t="shared" si="15"/>
        <v>0</v>
      </c>
      <c r="G38" s="2"/>
      <c r="H38" s="6">
        <v>248.98</v>
      </c>
      <c r="I38" s="2"/>
      <c r="J38" s="7">
        <f t="shared" si="16"/>
        <v>1.5324149962975973E-3</v>
      </c>
      <c r="K38" s="2"/>
      <c r="L38" s="6">
        <f t="shared" si="17"/>
        <v>-248.98</v>
      </c>
      <c r="M38" s="2"/>
      <c r="N38" s="7">
        <f t="shared" si="18"/>
        <v>-1</v>
      </c>
      <c r="O38" s="10"/>
      <c r="P38" s="6">
        <v>726.37</v>
      </c>
      <c r="Q38" s="2"/>
      <c r="R38" s="7">
        <f t="shared" si="19"/>
        <v>0.25748488135497088</v>
      </c>
      <c r="S38" s="2"/>
      <c r="T38" s="6">
        <v>5061.22</v>
      </c>
      <c r="U38" s="2"/>
      <c r="V38" s="7">
        <f t="shared" si="20"/>
        <v>2.1404710687415412E-3</v>
      </c>
      <c r="W38" s="2"/>
      <c r="X38" s="6">
        <f t="shared" si="21"/>
        <v>-4334.8500000000004</v>
      </c>
      <c r="Y38" s="2"/>
      <c r="Z38" s="7">
        <f t="shared" si="22"/>
        <v>-0.85648321946092054</v>
      </c>
    </row>
    <row r="39" spans="1:26" s="26" customFormat="1" outlineLevel="1" collapsed="1" x14ac:dyDescent="0.25">
      <c r="A39" s="27"/>
      <c r="B39" s="12" t="str">
        <f>CONCATENATE("     ","*Payroll                                          ")</f>
        <v xml:space="preserve">     *Payroll                                          </v>
      </c>
      <c r="C39" s="12"/>
      <c r="D39" s="1">
        <f>SUM(OSRRefD22_1x_0)</f>
        <v>0</v>
      </c>
      <c r="E39" s="1"/>
      <c r="F39" s="5">
        <f t="shared" ref="F39:F45" si="23">IF(D$12=0,0,D39/D$12)</f>
        <v>0</v>
      </c>
      <c r="G39" s="1"/>
      <c r="H39" s="1">
        <f>SUM(OSRRefH22_1x_0)</f>
        <v>64482.329999999994</v>
      </c>
      <c r="I39" s="1"/>
      <c r="J39" s="5">
        <f t="shared" ref="J39:J45" si="24">IF(H$12=0,0,H39/H$12)</f>
        <v>0.39687400388870769</v>
      </c>
      <c r="K39" s="1"/>
      <c r="L39" s="1">
        <f t="shared" ref="L39:L45" si="25">+D39-H39</f>
        <v>-64482.329999999994</v>
      </c>
      <c r="M39" s="1"/>
      <c r="N39" s="5">
        <f t="shared" ref="N39:N45" si="26">IF(H39=0,0,L39/H39)</f>
        <v>-1</v>
      </c>
      <c r="O39" s="12"/>
      <c r="P39" s="1">
        <f>SUM(OSRRefP22_1x_0)</f>
        <v>41960.38</v>
      </c>
      <c r="Q39" s="1"/>
      <c r="R39" s="5">
        <f t="shared" ref="R39:R45" si="27">IF(P$12=0,0,P39/P$12)</f>
        <v>14.874187350674575</v>
      </c>
      <c r="S39" s="1"/>
      <c r="T39" s="1">
        <f>SUM(OSRRefT22_1x_0)</f>
        <v>491155.52</v>
      </c>
      <c r="U39" s="1"/>
      <c r="V39" s="5">
        <f t="shared" ref="V39:V45" si="28">IF(T$12=0,0,T39/T$12)</f>
        <v>0.20771754257129851</v>
      </c>
      <c r="W39" s="1"/>
      <c r="X39" s="1">
        <f t="shared" ref="X39:X45" si="29">+P39-T39</f>
        <v>-449195.14</v>
      </c>
      <c r="Y39" s="1"/>
      <c r="Z39" s="5">
        <f t="shared" ref="Z39:Z45" si="30">IF(T39=0,0,X39/T39)</f>
        <v>-0.91456803743140258</v>
      </c>
    </row>
    <row r="40" spans="1:26" s="23" customFormat="1" hidden="1" outlineLevel="2" x14ac:dyDescent="0.25">
      <c r="A40" s="25"/>
      <c r="B40" s="10" t="str">
        <f>CONCATENATE("          ", "6002", " - ", "STAFF SALARIES")</f>
        <v xml:space="preserve">          6002 - STAFF SALARIES</v>
      </c>
      <c r="C40" s="10"/>
      <c r="D40" s="6"/>
      <c r="E40" s="2"/>
      <c r="F40" s="7">
        <f t="shared" si="23"/>
        <v>0</v>
      </c>
      <c r="G40" s="2"/>
      <c r="H40" s="6">
        <v>13470.66</v>
      </c>
      <c r="I40" s="2"/>
      <c r="J40" s="7">
        <f t="shared" si="24"/>
        <v>8.2908833617263214E-2</v>
      </c>
      <c r="K40" s="2"/>
      <c r="L40" s="6">
        <f t="shared" si="25"/>
        <v>-13470.66</v>
      </c>
      <c r="M40" s="2"/>
      <c r="N40" s="7">
        <f t="shared" si="26"/>
        <v>-1</v>
      </c>
      <c r="O40" s="10"/>
      <c r="P40" s="6">
        <v>39828.42</v>
      </c>
      <c r="Q40" s="2"/>
      <c r="R40" s="7">
        <f t="shared" si="27"/>
        <v>14.118446519344063</v>
      </c>
      <c r="S40" s="2"/>
      <c r="T40" s="6">
        <v>140941.10999999999</v>
      </c>
      <c r="U40" s="2"/>
      <c r="V40" s="7">
        <f t="shared" si="28"/>
        <v>5.9606254687865588E-2</v>
      </c>
      <c r="W40" s="2"/>
      <c r="X40" s="6">
        <f t="shared" si="29"/>
        <v>-101112.68999999999</v>
      </c>
      <c r="Y40" s="2"/>
      <c r="Z40" s="7">
        <f t="shared" si="30"/>
        <v>-0.71741091013118885</v>
      </c>
    </row>
    <row r="41" spans="1:26" s="23" customFormat="1" hidden="1" outlineLevel="2" x14ac:dyDescent="0.25">
      <c r="A41" s="25"/>
      <c r="B41" s="10" t="str">
        <f>CONCATENATE("          ", "6004", " - ", "STAFF HOURLY")</f>
        <v xml:space="preserve">          6004 - STAFF HOURLY</v>
      </c>
      <c r="C41" s="10"/>
      <c r="D41" s="6"/>
      <c r="E41" s="2"/>
      <c r="F41" s="7">
        <f t="shared" si="23"/>
        <v>0</v>
      </c>
      <c r="G41" s="2"/>
      <c r="H41" s="6"/>
      <c r="I41" s="2"/>
      <c r="J41" s="7">
        <f t="shared" si="24"/>
        <v>0</v>
      </c>
      <c r="K41" s="2"/>
      <c r="L41" s="6">
        <f t="shared" si="25"/>
        <v>0</v>
      </c>
      <c r="M41" s="2"/>
      <c r="N41" s="7">
        <f t="shared" si="26"/>
        <v>0</v>
      </c>
      <c r="O41" s="10"/>
      <c r="P41" s="6"/>
      <c r="Q41" s="2"/>
      <c r="R41" s="7">
        <f t="shared" si="27"/>
        <v>0</v>
      </c>
      <c r="S41" s="2"/>
      <c r="T41" s="6">
        <v>254.64</v>
      </c>
      <c r="U41" s="2"/>
      <c r="V41" s="7">
        <f t="shared" si="28"/>
        <v>1.0769133784825516E-4</v>
      </c>
      <c r="W41" s="2"/>
      <c r="X41" s="6">
        <f t="shared" si="29"/>
        <v>-254.64</v>
      </c>
      <c r="Y41" s="2"/>
      <c r="Z41" s="7">
        <f t="shared" si="30"/>
        <v>-1</v>
      </c>
    </row>
    <row r="42" spans="1:26" s="23" customFormat="1" hidden="1" outlineLevel="2" x14ac:dyDescent="0.25">
      <c r="A42" s="25"/>
      <c r="B42" s="10" t="str">
        <f>CONCATENATE("          ", "6005", " - ", "TEMPORARY WAGES-HOURLY")</f>
        <v xml:space="preserve">          6005 - TEMPORARY WAGES-HOURLY</v>
      </c>
      <c r="C42" s="10"/>
      <c r="D42" s="6"/>
      <c r="E42" s="2"/>
      <c r="F42" s="7">
        <f t="shared" si="23"/>
        <v>0</v>
      </c>
      <c r="G42" s="2"/>
      <c r="H42" s="6">
        <v>10468.76</v>
      </c>
      <c r="I42" s="2"/>
      <c r="J42" s="7">
        <f t="shared" si="24"/>
        <v>6.4432825193350612E-2</v>
      </c>
      <c r="K42" s="2"/>
      <c r="L42" s="6">
        <f t="shared" si="25"/>
        <v>-10468.76</v>
      </c>
      <c r="M42" s="2"/>
      <c r="N42" s="7">
        <f t="shared" si="26"/>
        <v>-1</v>
      </c>
      <c r="O42" s="10"/>
      <c r="P42" s="6">
        <v>2131.96</v>
      </c>
      <c r="Q42" s="2"/>
      <c r="R42" s="7">
        <f t="shared" si="27"/>
        <v>0.75574083133051151</v>
      </c>
      <c r="S42" s="2"/>
      <c r="T42" s="6">
        <v>67287.22</v>
      </c>
      <c r="U42" s="2"/>
      <c r="V42" s="7">
        <f t="shared" si="28"/>
        <v>2.84568439439596E-2</v>
      </c>
      <c r="W42" s="2"/>
      <c r="X42" s="6">
        <f t="shared" si="29"/>
        <v>-65155.26</v>
      </c>
      <c r="Y42" s="2"/>
      <c r="Z42" s="7">
        <f t="shared" si="30"/>
        <v>-0.96831552856545422</v>
      </c>
    </row>
    <row r="43" spans="1:26" s="23" customFormat="1" hidden="1" outlineLevel="2" x14ac:dyDescent="0.25">
      <c r="A43" s="25"/>
      <c r="B43" s="10" t="str">
        <f>CONCATENATE("          ", "6006", " - ", "TEMPORARY PART TIME")</f>
        <v xml:space="preserve">          6006 - TEMPORARY PART TIME</v>
      </c>
      <c r="C43" s="10"/>
      <c r="D43" s="6"/>
      <c r="E43" s="2"/>
      <c r="F43" s="7">
        <f t="shared" si="23"/>
        <v>0</v>
      </c>
      <c r="G43" s="2"/>
      <c r="H43" s="6">
        <v>7744.91</v>
      </c>
      <c r="I43" s="2"/>
      <c r="J43" s="7">
        <f t="shared" si="24"/>
        <v>4.7668150971866115E-2</v>
      </c>
      <c r="K43" s="2"/>
      <c r="L43" s="6">
        <f t="shared" si="25"/>
        <v>-7744.91</v>
      </c>
      <c r="M43" s="2"/>
      <c r="N43" s="7">
        <f t="shared" si="26"/>
        <v>-1</v>
      </c>
      <c r="O43" s="10"/>
      <c r="P43" s="6"/>
      <c r="Q43" s="2"/>
      <c r="R43" s="7">
        <f t="shared" si="27"/>
        <v>0</v>
      </c>
      <c r="S43" s="2"/>
      <c r="T43" s="6">
        <v>21785.59</v>
      </c>
      <c r="U43" s="2"/>
      <c r="V43" s="7">
        <f t="shared" si="28"/>
        <v>9.2134752313602318E-3</v>
      </c>
      <c r="W43" s="2"/>
      <c r="X43" s="6">
        <f t="shared" si="29"/>
        <v>-21785.59</v>
      </c>
      <c r="Y43" s="2"/>
      <c r="Z43" s="7">
        <f t="shared" si="30"/>
        <v>-1</v>
      </c>
    </row>
    <row r="44" spans="1:26" s="23" customFormat="1" hidden="1" outlineLevel="2" x14ac:dyDescent="0.25">
      <c r="A44" s="25"/>
      <c r="B44" s="10" t="str">
        <f>CONCATENATE("          ", "6007", " - ", "STUDENT HOURLY")</f>
        <v xml:space="preserve">          6007 - STUDENT HOURLY</v>
      </c>
      <c r="C44" s="10"/>
      <c r="D44" s="6"/>
      <c r="E44" s="2"/>
      <c r="F44" s="7">
        <f t="shared" si="23"/>
        <v>0</v>
      </c>
      <c r="G44" s="2"/>
      <c r="H44" s="6">
        <v>31790.04</v>
      </c>
      <c r="I44" s="2"/>
      <c r="J44" s="7">
        <f t="shared" si="24"/>
        <v>0.19566043067274672</v>
      </c>
      <c r="K44" s="2"/>
      <c r="L44" s="6">
        <f t="shared" si="25"/>
        <v>-31790.04</v>
      </c>
      <c r="M44" s="2"/>
      <c r="N44" s="7">
        <f t="shared" si="26"/>
        <v>-1</v>
      </c>
      <c r="O44" s="10"/>
      <c r="P44" s="6">
        <v>0</v>
      </c>
      <c r="Q44" s="2"/>
      <c r="R44" s="7">
        <f t="shared" si="27"/>
        <v>0</v>
      </c>
      <c r="S44" s="2"/>
      <c r="T44" s="6">
        <v>250050.07</v>
      </c>
      <c r="U44" s="2"/>
      <c r="V44" s="7">
        <f t="shared" si="28"/>
        <v>0.10575018287523506</v>
      </c>
      <c r="W44" s="2"/>
      <c r="X44" s="6">
        <f t="shared" si="29"/>
        <v>-250050.07</v>
      </c>
      <c r="Y44" s="2"/>
      <c r="Z44" s="7">
        <f t="shared" si="30"/>
        <v>-1</v>
      </c>
    </row>
    <row r="45" spans="1:26" s="23" customFormat="1" hidden="1" outlineLevel="2" x14ac:dyDescent="0.25">
      <c r="A45" s="25"/>
      <c r="B45" s="10" t="str">
        <f>CONCATENATE("          ", "6008", " - ", "STUDENT HOURLY-FICA EXEMPT")</f>
        <v xml:space="preserve">          6008 - STUDENT HOURLY-FICA EXEMPT</v>
      </c>
      <c r="C45" s="10"/>
      <c r="D45" s="6"/>
      <c r="E45" s="2"/>
      <c r="F45" s="7">
        <f t="shared" si="23"/>
        <v>0</v>
      </c>
      <c r="G45" s="2"/>
      <c r="H45" s="6">
        <v>1007.96</v>
      </c>
      <c r="I45" s="2"/>
      <c r="J45" s="7">
        <f t="shared" si="24"/>
        <v>6.2037634334811088E-3</v>
      </c>
      <c r="K45" s="2"/>
      <c r="L45" s="6">
        <f t="shared" si="25"/>
        <v>-1007.96</v>
      </c>
      <c r="M45" s="2"/>
      <c r="N45" s="7">
        <f t="shared" si="26"/>
        <v>-1</v>
      </c>
      <c r="O45" s="10"/>
      <c r="P45" s="6"/>
      <c r="Q45" s="2"/>
      <c r="R45" s="7">
        <f t="shared" si="27"/>
        <v>0</v>
      </c>
      <c r="S45" s="2"/>
      <c r="T45" s="6">
        <v>10836.89</v>
      </c>
      <c r="U45" s="2"/>
      <c r="V45" s="7">
        <f t="shared" si="28"/>
        <v>4.5830944950297596E-3</v>
      </c>
      <c r="W45" s="2"/>
      <c r="X45" s="6">
        <f t="shared" si="29"/>
        <v>-10836.89</v>
      </c>
      <c r="Y45" s="2"/>
      <c r="Z45" s="7">
        <f t="shared" si="30"/>
        <v>-1</v>
      </c>
    </row>
    <row r="46" spans="1:26" s="26" customFormat="1" outlineLevel="1" collapsed="1" x14ac:dyDescent="0.25">
      <c r="A46" s="27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54" si="31">IF(D$12=0,0,D46/D$12)</f>
        <v>0</v>
      </c>
      <c r="G46" s="1"/>
      <c r="H46" s="1">
        <f>SUM(OSRRefH22_2x_0)</f>
        <v>80.89</v>
      </c>
      <c r="I46" s="1"/>
      <c r="J46" s="5">
        <f t="shared" ref="J46:J54" si="32">IF(H$12=0,0,H46/H$12)</f>
        <v>4.9785946281031667E-4</v>
      </c>
      <c r="K46" s="1"/>
      <c r="L46" s="1">
        <f t="shared" ref="L46:L54" si="33">+D46-H46</f>
        <v>-80.89</v>
      </c>
      <c r="M46" s="1"/>
      <c r="N46" s="5">
        <f t="shared" ref="N46:N54" si="34">IF(H46=0,0,L46/H46)</f>
        <v>-1</v>
      </c>
      <c r="O46" s="12"/>
      <c r="P46" s="1">
        <f>SUM(OSRRefP22_2x_0)</f>
        <v>0</v>
      </c>
      <c r="Q46" s="1"/>
      <c r="R46" s="5">
        <f t="shared" ref="R46:R54" si="35">IF(P$12=0,0,P46/P$12)</f>
        <v>0</v>
      </c>
      <c r="S46" s="1"/>
      <c r="T46" s="1">
        <f>SUM(OSRRefT22_2x_0)</f>
        <v>3607.19</v>
      </c>
      <c r="U46" s="1"/>
      <c r="V46" s="5">
        <f t="shared" ref="V46:V54" si="36">IF(T$12=0,0,T46/T$12)</f>
        <v>1.5255384738173405E-3</v>
      </c>
      <c r="W46" s="1"/>
      <c r="X46" s="1">
        <f t="shared" ref="X46:X54" si="37">+P46-T46</f>
        <v>-3607.19</v>
      </c>
      <c r="Y46" s="1"/>
      <c r="Z46" s="5">
        <f t="shared" ref="Z46:Z54" si="38">IF(T46=0,0,X46/T46)</f>
        <v>-1</v>
      </c>
    </row>
    <row r="47" spans="1:26" s="23" customFormat="1" hidden="1" outlineLevel="2" x14ac:dyDescent="0.25">
      <c r="A47" s="25"/>
      <c r="B47" s="10" t="str">
        <f>CONCATENATE("          ", "6362", " - ", "ADVERTISING EXPENSE")</f>
        <v xml:space="preserve">          6362 - ADVERTISING EXPENSE</v>
      </c>
      <c r="C47" s="10"/>
      <c r="D47" s="6"/>
      <c r="E47" s="2"/>
      <c r="F47" s="7">
        <f t="shared" si="31"/>
        <v>0</v>
      </c>
      <c r="G47" s="2"/>
      <c r="H47" s="6">
        <v>80.89</v>
      </c>
      <c r="I47" s="2"/>
      <c r="J47" s="7">
        <f t="shared" si="32"/>
        <v>4.9785946281031667E-4</v>
      </c>
      <c r="K47" s="2"/>
      <c r="L47" s="6">
        <f t="shared" si="33"/>
        <v>-80.89</v>
      </c>
      <c r="M47" s="2"/>
      <c r="N47" s="7">
        <f t="shared" si="34"/>
        <v>-1</v>
      </c>
      <c r="O47" s="10"/>
      <c r="P47" s="6"/>
      <c r="Q47" s="2"/>
      <c r="R47" s="7">
        <f t="shared" si="35"/>
        <v>0</v>
      </c>
      <c r="S47" s="2"/>
      <c r="T47" s="6">
        <v>3607.19</v>
      </c>
      <c r="U47" s="2"/>
      <c r="V47" s="7">
        <f t="shared" si="36"/>
        <v>1.5255384738173405E-3</v>
      </c>
      <c r="W47" s="2"/>
      <c r="X47" s="6">
        <f t="shared" si="37"/>
        <v>-3607.19</v>
      </c>
      <c r="Y47" s="2"/>
      <c r="Z47" s="7">
        <f t="shared" si="38"/>
        <v>-1</v>
      </c>
    </row>
    <row r="48" spans="1:26" s="26" customFormat="1" outlineLevel="1" collapsed="1" x14ac:dyDescent="0.25">
      <c r="A48" s="27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31"/>
        <v>0</v>
      </c>
      <c r="G48" s="1"/>
      <c r="H48" s="1">
        <f>SUM(OSRRefH22_3x_0)</f>
        <v>-41.85</v>
      </c>
      <c r="I48" s="1"/>
      <c r="J48" s="5">
        <f t="shared" si="32"/>
        <v>-2.5757718529622643E-4</v>
      </c>
      <c r="K48" s="1"/>
      <c r="L48" s="1">
        <f t="shared" si="33"/>
        <v>41.85</v>
      </c>
      <c r="M48" s="1"/>
      <c r="N48" s="5">
        <f t="shared" si="34"/>
        <v>-1</v>
      </c>
      <c r="O48" s="12"/>
      <c r="P48" s="1">
        <f>SUM(OSRRefP22_3x_0)</f>
        <v>3.31</v>
      </c>
      <c r="Q48" s="1"/>
      <c r="R48" s="5">
        <f t="shared" si="35"/>
        <v>1.1733344676748126E-3</v>
      </c>
      <c r="S48" s="1"/>
      <c r="T48" s="1">
        <f>SUM(OSRRefT22_3x_0)</f>
        <v>-428.92</v>
      </c>
      <c r="U48" s="1"/>
      <c r="V48" s="5">
        <f t="shared" si="36"/>
        <v>-1.8139714353547601E-4</v>
      </c>
      <c r="W48" s="1"/>
      <c r="X48" s="1">
        <f t="shared" si="37"/>
        <v>432.23</v>
      </c>
      <c r="Y48" s="1"/>
      <c r="Z48" s="5">
        <f t="shared" si="38"/>
        <v>-1.0077170567938076</v>
      </c>
    </row>
    <row r="49" spans="1:26" s="23" customFormat="1" hidden="1" outlineLevel="2" x14ac:dyDescent="0.25">
      <c r="A49" s="25"/>
      <c r="B49" s="10" t="str">
        <f>CONCATENATE("          ", "6272", " - ", "CASH (OVER/SHORT)")</f>
        <v xml:space="preserve">          6272 - CASH (OVER/SHORT)</v>
      </c>
      <c r="C49" s="10"/>
      <c r="D49" s="6"/>
      <c r="E49" s="2"/>
      <c r="F49" s="7">
        <f t="shared" si="31"/>
        <v>0</v>
      </c>
      <c r="G49" s="2"/>
      <c r="H49" s="6">
        <v>-41.85</v>
      </c>
      <c r="I49" s="2"/>
      <c r="J49" s="7">
        <f t="shared" si="32"/>
        <v>-2.5757718529622643E-4</v>
      </c>
      <c r="K49" s="2"/>
      <c r="L49" s="6">
        <f t="shared" si="33"/>
        <v>41.85</v>
      </c>
      <c r="M49" s="2"/>
      <c r="N49" s="7">
        <f t="shared" si="34"/>
        <v>-1</v>
      </c>
      <c r="O49" s="10"/>
      <c r="P49" s="6">
        <v>3.31</v>
      </c>
      <c r="Q49" s="2"/>
      <c r="R49" s="7">
        <f t="shared" si="35"/>
        <v>1.1733344676748126E-3</v>
      </c>
      <c r="S49" s="2"/>
      <c r="T49" s="6">
        <v>-428.92</v>
      </c>
      <c r="U49" s="2"/>
      <c r="V49" s="7">
        <f t="shared" si="36"/>
        <v>-1.8139714353547601E-4</v>
      </c>
      <c r="W49" s="2"/>
      <c r="X49" s="6">
        <f t="shared" si="37"/>
        <v>432.23</v>
      </c>
      <c r="Y49" s="2"/>
      <c r="Z49" s="7">
        <f t="shared" si="38"/>
        <v>-1.0077170567938076</v>
      </c>
    </row>
    <row r="50" spans="1:26" s="26" customFormat="1" outlineLevel="1" collapsed="1" x14ac:dyDescent="0.25">
      <c r="A50" s="27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224.95</v>
      </c>
      <c r="E50" s="1"/>
      <c r="F50" s="5">
        <f t="shared" si="31"/>
        <v>2.2371954251616111</v>
      </c>
      <c r="G50" s="1"/>
      <c r="H50" s="1">
        <f>SUM(OSRRefH22_4x_0)</f>
        <v>8581.09</v>
      </c>
      <c r="I50" s="1"/>
      <c r="J50" s="5">
        <f t="shared" si="32"/>
        <v>5.2814647765199417E-2</v>
      </c>
      <c r="K50" s="1"/>
      <c r="L50" s="1">
        <f t="shared" si="33"/>
        <v>-8356.14</v>
      </c>
      <c r="M50" s="1"/>
      <c r="N50" s="5">
        <f t="shared" si="34"/>
        <v>-0.97378538157739858</v>
      </c>
      <c r="O50" s="12"/>
      <c r="P50" s="1">
        <f>SUM(OSRRefP22_4x_0)</f>
        <v>1588.18</v>
      </c>
      <c r="Q50" s="1"/>
      <c r="R50" s="5">
        <f t="shared" si="35"/>
        <v>0.56298076582229117</v>
      </c>
      <c r="S50" s="1"/>
      <c r="T50" s="1">
        <f>SUM(OSRRefT22_4x_0)</f>
        <v>89100.63</v>
      </c>
      <c r="U50" s="1"/>
      <c r="V50" s="5">
        <f t="shared" si="36"/>
        <v>3.7682084699271048E-2</v>
      </c>
      <c r="W50" s="1"/>
      <c r="X50" s="1">
        <f t="shared" si="37"/>
        <v>-87512.450000000012</v>
      </c>
      <c r="Y50" s="1"/>
      <c r="Z50" s="5">
        <f t="shared" si="38"/>
        <v>-0.9821754346742555</v>
      </c>
    </row>
    <row r="51" spans="1:26" s="23" customFormat="1" hidden="1" outlineLevel="2" x14ac:dyDescent="0.25">
      <c r="A51" s="25"/>
      <c r="B51" s="10" t="str">
        <f>CONCATENATE("          ", "6381", " - ", "BANK/CREDIT CARD FEES")</f>
        <v xml:space="preserve">          6381 - BANK/CREDIT CARD FEES</v>
      </c>
      <c r="C51" s="10"/>
      <c r="D51" s="6">
        <v>224.95</v>
      </c>
      <c r="E51" s="2"/>
      <c r="F51" s="7">
        <f t="shared" si="31"/>
        <v>2.2371954251616111</v>
      </c>
      <c r="G51" s="2"/>
      <c r="H51" s="6">
        <v>8581.09</v>
      </c>
      <c r="I51" s="2"/>
      <c r="J51" s="7">
        <f t="shared" si="32"/>
        <v>5.2814647765199417E-2</v>
      </c>
      <c r="K51" s="2"/>
      <c r="L51" s="6">
        <f t="shared" si="33"/>
        <v>-8356.14</v>
      </c>
      <c r="M51" s="2"/>
      <c r="N51" s="7">
        <f t="shared" si="34"/>
        <v>-0.97378538157739858</v>
      </c>
      <c r="O51" s="10"/>
      <c r="P51" s="6">
        <v>1588.18</v>
      </c>
      <c r="Q51" s="2"/>
      <c r="R51" s="7">
        <f t="shared" si="35"/>
        <v>0.56298076582229117</v>
      </c>
      <c r="S51" s="2"/>
      <c r="T51" s="6">
        <v>89100.63</v>
      </c>
      <c r="U51" s="2"/>
      <c r="V51" s="7">
        <f t="shared" si="36"/>
        <v>3.7682084699271048E-2</v>
      </c>
      <c r="W51" s="2"/>
      <c r="X51" s="6">
        <f t="shared" si="37"/>
        <v>-87512.450000000012</v>
      </c>
      <c r="Y51" s="2"/>
      <c r="Z51" s="7">
        <f t="shared" si="38"/>
        <v>-0.9821754346742555</v>
      </c>
    </row>
    <row r="52" spans="1:26" s="26" customFormat="1" outlineLevel="1" collapsed="1" x14ac:dyDescent="0.25">
      <c r="A52" s="27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9152.09</v>
      </c>
      <c r="E52" s="1"/>
      <c r="F52" s="5">
        <f t="shared" si="31"/>
        <v>91.020288413724515</v>
      </c>
      <c r="G52" s="1"/>
      <c r="H52" s="1">
        <f>SUM(OSRRefH22_5x_0)</f>
        <v>9079.4</v>
      </c>
      <c r="I52" s="1"/>
      <c r="J52" s="5">
        <f t="shared" si="32"/>
        <v>5.5881631927803058E-2</v>
      </c>
      <c r="K52" s="1"/>
      <c r="L52" s="1">
        <f t="shared" si="33"/>
        <v>72.690000000000509</v>
      </c>
      <c r="M52" s="1"/>
      <c r="N52" s="5">
        <f t="shared" si="34"/>
        <v>8.0060356411217164E-3</v>
      </c>
      <c r="O52" s="12"/>
      <c r="P52" s="1">
        <f>SUM(OSRRefP22_5x_0)</f>
        <v>82550.09</v>
      </c>
      <c r="Q52" s="1"/>
      <c r="R52" s="5">
        <f t="shared" si="35"/>
        <v>29.262497252766725</v>
      </c>
      <c r="S52" s="1"/>
      <c r="T52" s="1">
        <f>SUM(OSRRefT22_5x_0)</f>
        <v>76737.5</v>
      </c>
      <c r="U52" s="1"/>
      <c r="V52" s="5">
        <f t="shared" si="36"/>
        <v>3.2453518842799567E-2</v>
      </c>
      <c r="W52" s="1"/>
      <c r="X52" s="1">
        <f t="shared" si="37"/>
        <v>5812.5899999999965</v>
      </c>
      <c r="Y52" s="1"/>
      <c r="Z52" s="5">
        <f t="shared" si="38"/>
        <v>7.5746408209806118E-2</v>
      </c>
    </row>
    <row r="53" spans="1:26" s="23" customFormat="1" hidden="1" outlineLevel="2" x14ac:dyDescent="0.25">
      <c r="A53" s="25"/>
      <c r="B53" s="10" t="str">
        <f>CONCATENATE("          ", "6321", " - ", "BUILDING DEPRECIATION")</f>
        <v xml:space="preserve">          6321 - BUILDING DEPRECIATION</v>
      </c>
      <c r="C53" s="10"/>
      <c r="D53" s="6">
        <v>5080.51</v>
      </c>
      <c r="E53" s="2"/>
      <c r="F53" s="7">
        <f t="shared" si="31"/>
        <v>50.527200397812038</v>
      </c>
      <c r="G53" s="2"/>
      <c r="H53" s="6">
        <v>5080.51</v>
      </c>
      <c r="I53" s="2"/>
      <c r="J53" s="7">
        <f t="shared" si="32"/>
        <v>3.1269377913245668E-2</v>
      </c>
      <c r="K53" s="2"/>
      <c r="L53" s="6">
        <f t="shared" si="33"/>
        <v>0</v>
      </c>
      <c r="M53" s="2"/>
      <c r="N53" s="7">
        <f t="shared" si="34"/>
        <v>0</v>
      </c>
      <c r="O53" s="10"/>
      <c r="P53" s="6">
        <v>45724.59</v>
      </c>
      <c r="Q53" s="2"/>
      <c r="R53" s="7">
        <f t="shared" si="35"/>
        <v>16.20853095688793</v>
      </c>
      <c r="S53" s="2"/>
      <c r="T53" s="6">
        <v>45724.59</v>
      </c>
      <c r="U53" s="2"/>
      <c r="V53" s="7">
        <f t="shared" si="36"/>
        <v>1.933766207062107E-2</v>
      </c>
      <c r="W53" s="2"/>
      <c r="X53" s="6">
        <f t="shared" si="37"/>
        <v>0</v>
      </c>
      <c r="Y53" s="2"/>
      <c r="Z53" s="7">
        <f t="shared" si="38"/>
        <v>0</v>
      </c>
    </row>
    <row r="54" spans="1:26" s="23" customFormat="1" hidden="1" outlineLevel="2" x14ac:dyDescent="0.25">
      <c r="A54" s="25"/>
      <c r="B54" s="10" t="str">
        <f>CONCATENATE("          ", "6322", " - ", "EQUIPMENT DEPRECIATION EXPENSE")</f>
        <v xml:space="preserve">          6322 - EQUIPMENT DEPRECIATION EXPENSE</v>
      </c>
      <c r="C54" s="10"/>
      <c r="D54" s="6">
        <v>4071.58</v>
      </c>
      <c r="E54" s="2"/>
      <c r="F54" s="7">
        <f t="shared" si="31"/>
        <v>40.493088015912484</v>
      </c>
      <c r="G54" s="2"/>
      <c r="H54" s="6">
        <v>3998.89</v>
      </c>
      <c r="I54" s="2"/>
      <c r="J54" s="7">
        <f t="shared" si="32"/>
        <v>2.461225401455739E-2</v>
      </c>
      <c r="K54" s="2"/>
      <c r="L54" s="6">
        <f t="shared" si="33"/>
        <v>72.690000000000055</v>
      </c>
      <c r="M54" s="2"/>
      <c r="N54" s="7">
        <f t="shared" si="34"/>
        <v>1.8177544268534532E-2</v>
      </c>
      <c r="O54" s="10"/>
      <c r="P54" s="6">
        <v>36825.5</v>
      </c>
      <c r="Q54" s="2"/>
      <c r="R54" s="7">
        <f t="shared" si="35"/>
        <v>13.053966295878794</v>
      </c>
      <c r="S54" s="2"/>
      <c r="T54" s="6">
        <v>31012.91</v>
      </c>
      <c r="U54" s="2"/>
      <c r="V54" s="7">
        <f t="shared" si="36"/>
        <v>1.3115856772178492E-2</v>
      </c>
      <c r="W54" s="2"/>
      <c r="X54" s="6">
        <f t="shared" si="37"/>
        <v>5812.59</v>
      </c>
      <c r="Y54" s="2"/>
      <c r="Z54" s="7">
        <f t="shared" si="38"/>
        <v>0.18742484984479044</v>
      </c>
    </row>
    <row r="55" spans="1:26" s="26" customFormat="1" outlineLevel="1" collapsed="1" x14ac:dyDescent="0.25">
      <c r="A55" s="27"/>
      <c r="B55" s="12" t="str">
        <f>CONCATENATE("     ","Discounts and Markdowns                           ")</f>
        <v xml:space="preserve">     Discounts and Markdowns                           </v>
      </c>
      <c r="C55" s="12"/>
      <c r="D55" s="1">
        <f>SUM(OSRRefD22_6x_0)</f>
        <v>0</v>
      </c>
      <c r="E55" s="1"/>
      <c r="F55" s="5">
        <f t="shared" ref="F55:F74" si="39">IF(D$12=0,0,D55/D$12)</f>
        <v>0</v>
      </c>
      <c r="G55" s="1"/>
      <c r="H55" s="1">
        <f>SUM(OSRRefH22_6x_0)</f>
        <v>5.91</v>
      </c>
      <c r="I55" s="1"/>
      <c r="J55" s="5">
        <f t="shared" ref="J55:J74" si="40">IF(H$12=0,0,H55/H$12)</f>
        <v>3.6374699285560292E-5</v>
      </c>
      <c r="K55" s="1"/>
      <c r="L55" s="1">
        <f t="shared" ref="L55:L74" si="41">+D55-H55</f>
        <v>-5.91</v>
      </c>
      <c r="M55" s="1"/>
      <c r="N55" s="5">
        <f t="shared" ref="N55:N74" si="42">IF(H55=0,0,L55/H55)</f>
        <v>-1</v>
      </c>
      <c r="O55" s="12"/>
      <c r="P55" s="1">
        <f>SUM(OSRRefP22_6x_0)</f>
        <v>0</v>
      </c>
      <c r="Q55" s="1"/>
      <c r="R55" s="5">
        <f t="shared" ref="R55:R74" si="43">IF(P$12=0,0,P55/P$12)</f>
        <v>0</v>
      </c>
      <c r="S55" s="1"/>
      <c r="T55" s="1">
        <f>SUM(OSRRefT22_6x_0)</f>
        <v>125.87</v>
      </c>
      <c r="U55" s="1"/>
      <c r="V55" s="5">
        <f t="shared" ref="V55:V74" si="44">IF(T$12=0,0,T55/T$12)</f>
        <v>5.32324406808038E-5</v>
      </c>
      <c r="W55" s="1"/>
      <c r="X55" s="1">
        <f t="shared" ref="X55:X74" si="45">+P55-T55</f>
        <v>-125.87</v>
      </c>
      <c r="Y55" s="1"/>
      <c r="Z55" s="5">
        <f t="shared" ref="Z55:Z74" si="46">IF(T55=0,0,X55/T55)</f>
        <v>-1</v>
      </c>
    </row>
    <row r="56" spans="1:26" s="23" customFormat="1" hidden="1" outlineLevel="2" x14ac:dyDescent="0.25">
      <c r="A56" s="25"/>
      <c r="B56" s="10" t="str">
        <f>CONCATENATE("          ", "6382", " - ", "DISCOUNTS/MARK DOWNS")</f>
        <v xml:space="preserve">          6382 - DISCOUNTS/MARK DOWNS</v>
      </c>
      <c r="C56" s="10"/>
      <c r="D56" s="6"/>
      <c r="E56" s="2"/>
      <c r="F56" s="7">
        <f t="shared" si="39"/>
        <v>0</v>
      </c>
      <c r="G56" s="2"/>
      <c r="H56" s="6">
        <v>5.91</v>
      </c>
      <c r="I56" s="2"/>
      <c r="J56" s="7">
        <f t="shared" si="40"/>
        <v>3.6374699285560292E-5</v>
      </c>
      <c r="K56" s="2"/>
      <c r="L56" s="6">
        <f t="shared" si="41"/>
        <v>-5.91</v>
      </c>
      <c r="M56" s="2"/>
      <c r="N56" s="7">
        <f t="shared" si="42"/>
        <v>-1</v>
      </c>
      <c r="O56" s="10"/>
      <c r="P56" s="6"/>
      <c r="Q56" s="2"/>
      <c r="R56" s="7">
        <f t="shared" si="43"/>
        <v>0</v>
      </c>
      <c r="S56" s="2"/>
      <c r="T56" s="6">
        <v>125.87</v>
      </c>
      <c r="U56" s="2"/>
      <c r="V56" s="7">
        <f t="shared" si="44"/>
        <v>5.32324406808038E-5</v>
      </c>
      <c r="W56" s="2"/>
      <c r="X56" s="6">
        <f t="shared" si="45"/>
        <v>-125.87</v>
      </c>
      <c r="Y56" s="2"/>
      <c r="Z56" s="7">
        <f t="shared" si="46"/>
        <v>-1</v>
      </c>
    </row>
    <row r="57" spans="1:26" s="26" customFormat="1" outlineLevel="1" collapsed="1" x14ac:dyDescent="0.25">
      <c r="A57" s="27"/>
      <c r="B57" s="12" t="str">
        <f>CONCATENATE("     ","Employees' Appreciation                           ")</f>
        <v xml:space="preserve">     Employees' Appreciation                           </v>
      </c>
      <c r="C57" s="12"/>
      <c r="D57" s="1">
        <f>SUM(OSRRefD22_7x_0)</f>
        <v>0</v>
      </c>
      <c r="E57" s="1"/>
      <c r="F57" s="5">
        <f t="shared" si="39"/>
        <v>0</v>
      </c>
      <c r="G57" s="1"/>
      <c r="H57" s="1">
        <f>SUM(OSRRefH22_7x_0)</f>
        <v>27.01</v>
      </c>
      <c r="I57" s="1"/>
      <c r="J57" s="5">
        <f t="shared" si="40"/>
        <v>1.6624037693789906E-4</v>
      </c>
      <c r="K57" s="1"/>
      <c r="L57" s="1">
        <f t="shared" si="41"/>
        <v>-27.01</v>
      </c>
      <c r="M57" s="1"/>
      <c r="N57" s="5">
        <f t="shared" si="42"/>
        <v>-1</v>
      </c>
      <c r="O57" s="12"/>
      <c r="P57" s="1">
        <f>SUM(OSRRefP22_7x_0)</f>
        <v>0</v>
      </c>
      <c r="Q57" s="1"/>
      <c r="R57" s="5">
        <f t="shared" si="43"/>
        <v>0</v>
      </c>
      <c r="S57" s="1"/>
      <c r="T57" s="1">
        <f>SUM(OSRRefT22_7x_0)</f>
        <v>163.84</v>
      </c>
      <c r="U57" s="1"/>
      <c r="V57" s="5">
        <f t="shared" si="44"/>
        <v>6.9290562335289535E-5</v>
      </c>
      <c r="W57" s="1"/>
      <c r="X57" s="1">
        <f t="shared" si="45"/>
        <v>-163.84</v>
      </c>
      <c r="Y57" s="1"/>
      <c r="Z57" s="5">
        <f t="shared" si="46"/>
        <v>-1</v>
      </c>
    </row>
    <row r="58" spans="1:26" s="23" customFormat="1" hidden="1" outlineLevel="2" x14ac:dyDescent="0.25">
      <c r="A58" s="25"/>
      <c r="B58" s="10" t="str">
        <f>CONCATENATE("          ", "6277", " - ", "EMPLOYEE APPRECIATION")</f>
        <v xml:space="preserve">          6277 - EMPLOYEE APPRECIATION</v>
      </c>
      <c r="C58" s="10"/>
      <c r="D58" s="6"/>
      <c r="E58" s="2"/>
      <c r="F58" s="7">
        <f t="shared" si="39"/>
        <v>0</v>
      </c>
      <c r="G58" s="2"/>
      <c r="H58" s="6">
        <v>27.01</v>
      </c>
      <c r="I58" s="2"/>
      <c r="J58" s="7">
        <f t="shared" si="40"/>
        <v>1.6624037693789906E-4</v>
      </c>
      <c r="K58" s="2"/>
      <c r="L58" s="6">
        <f t="shared" si="41"/>
        <v>-27.01</v>
      </c>
      <c r="M58" s="2"/>
      <c r="N58" s="7">
        <f t="shared" si="42"/>
        <v>-1</v>
      </c>
      <c r="O58" s="10"/>
      <c r="P58" s="6"/>
      <c r="Q58" s="2"/>
      <c r="R58" s="7">
        <f t="shared" si="43"/>
        <v>0</v>
      </c>
      <c r="S58" s="2"/>
      <c r="T58" s="6">
        <v>163.84</v>
      </c>
      <c r="U58" s="2"/>
      <c r="V58" s="7">
        <f t="shared" si="44"/>
        <v>6.9290562335289535E-5</v>
      </c>
      <c r="W58" s="2"/>
      <c r="X58" s="6">
        <f t="shared" si="45"/>
        <v>-163.84</v>
      </c>
      <c r="Y58" s="2"/>
      <c r="Z58" s="7">
        <f t="shared" si="46"/>
        <v>-1</v>
      </c>
    </row>
    <row r="59" spans="1:26" s="26" customFormat="1" outlineLevel="1" collapsed="1" x14ac:dyDescent="0.25">
      <c r="A59" s="27"/>
      <c r="B59" s="12" t="str">
        <f>CONCATENATE("     ","Equipment Rental                                  ")</f>
        <v xml:space="preserve">     Equipment Rental                                  </v>
      </c>
      <c r="C59" s="12"/>
      <c r="D59" s="1">
        <f>SUM(OSRRefD22_8x_0)</f>
        <v>0</v>
      </c>
      <c r="E59" s="1"/>
      <c r="F59" s="5">
        <f t="shared" si="39"/>
        <v>0</v>
      </c>
      <c r="G59" s="1"/>
      <c r="H59" s="1">
        <f>SUM(OSRRefH22_8x_0)</f>
        <v>36.270000000000003</v>
      </c>
      <c r="I59" s="1"/>
      <c r="J59" s="5">
        <f t="shared" si="40"/>
        <v>2.232335605900629E-4</v>
      </c>
      <c r="K59" s="1"/>
      <c r="L59" s="1">
        <f t="shared" si="41"/>
        <v>-36.270000000000003</v>
      </c>
      <c r="M59" s="1"/>
      <c r="N59" s="5">
        <f t="shared" si="42"/>
        <v>-1</v>
      </c>
      <c r="O59" s="12"/>
      <c r="P59" s="1">
        <f>SUM(OSRRefP22_8x_0)</f>
        <v>440.95</v>
      </c>
      <c r="Q59" s="1"/>
      <c r="R59" s="5">
        <f t="shared" si="43"/>
        <v>0.15630871103359775</v>
      </c>
      <c r="S59" s="1"/>
      <c r="T59" s="1">
        <f>SUM(OSRRefT22_8x_0)</f>
        <v>913.58</v>
      </c>
      <c r="U59" s="1"/>
      <c r="V59" s="5">
        <f t="shared" si="44"/>
        <v>3.8636762657637828E-4</v>
      </c>
      <c r="W59" s="1"/>
      <c r="X59" s="1">
        <f t="shared" si="45"/>
        <v>-472.63000000000005</v>
      </c>
      <c r="Y59" s="1"/>
      <c r="Z59" s="5">
        <f t="shared" si="46"/>
        <v>-0.51733838306442792</v>
      </c>
    </row>
    <row r="60" spans="1:26" s="23" customFormat="1" hidden="1" outlineLevel="2" x14ac:dyDescent="0.25">
      <c r="A60" s="25"/>
      <c r="B60" s="10" t="str">
        <f>CONCATENATE("          ", "6351", " - ", "EQUIPMENT RENTAL")</f>
        <v xml:space="preserve">          6351 - EQUIPMENT RENTAL</v>
      </c>
      <c r="C60" s="10"/>
      <c r="D60" s="6"/>
      <c r="E60" s="2"/>
      <c r="F60" s="7">
        <f t="shared" si="39"/>
        <v>0</v>
      </c>
      <c r="G60" s="2"/>
      <c r="H60" s="6">
        <v>36.270000000000003</v>
      </c>
      <c r="I60" s="2"/>
      <c r="J60" s="7">
        <f t="shared" si="40"/>
        <v>2.232335605900629E-4</v>
      </c>
      <c r="K60" s="2"/>
      <c r="L60" s="6">
        <f t="shared" si="41"/>
        <v>-36.270000000000003</v>
      </c>
      <c r="M60" s="2"/>
      <c r="N60" s="7">
        <f t="shared" si="42"/>
        <v>-1</v>
      </c>
      <c r="O60" s="10"/>
      <c r="P60" s="6">
        <v>440.95</v>
      </c>
      <c r="Q60" s="2"/>
      <c r="R60" s="7">
        <f t="shared" si="43"/>
        <v>0.15630871103359775</v>
      </c>
      <c r="S60" s="2"/>
      <c r="T60" s="6">
        <v>913.58</v>
      </c>
      <c r="U60" s="2"/>
      <c r="V60" s="7">
        <f t="shared" si="44"/>
        <v>3.8636762657637828E-4</v>
      </c>
      <c r="W60" s="2"/>
      <c r="X60" s="6">
        <f t="shared" si="45"/>
        <v>-472.63000000000005</v>
      </c>
      <c r="Y60" s="2"/>
      <c r="Z60" s="7">
        <f t="shared" si="46"/>
        <v>-0.51733838306442792</v>
      </c>
    </row>
    <row r="61" spans="1:26" s="26" customFormat="1" outlineLevel="1" collapsed="1" x14ac:dyDescent="0.25">
      <c r="A61" s="27"/>
      <c r="B61" s="12" t="str">
        <f>CONCATENATE("     ","Freight out/Postage                               ")</f>
        <v xml:space="preserve">     Freight out/Postage                               </v>
      </c>
      <c r="C61" s="12"/>
      <c r="D61" s="1">
        <f>SUM(OSRRefD22_9x_0)</f>
        <v>41.93</v>
      </c>
      <c r="E61" s="1"/>
      <c r="F61" s="5">
        <f t="shared" si="39"/>
        <v>0.41700646444554951</v>
      </c>
      <c r="G61" s="1"/>
      <c r="H61" s="1">
        <f>SUM(OSRRefH22_9x_0)</f>
        <v>56.71</v>
      </c>
      <c r="I61" s="1"/>
      <c r="J61" s="5">
        <f t="shared" si="40"/>
        <v>3.4903708908360812E-4</v>
      </c>
      <c r="K61" s="1"/>
      <c r="L61" s="1">
        <f t="shared" si="41"/>
        <v>-14.780000000000001</v>
      </c>
      <c r="M61" s="1"/>
      <c r="N61" s="5">
        <f t="shared" si="42"/>
        <v>-0.26062422853112327</v>
      </c>
      <c r="O61" s="12"/>
      <c r="P61" s="1">
        <f>SUM(OSRRefP22_9x_0)</f>
        <v>249.82</v>
      </c>
      <c r="Q61" s="1"/>
      <c r="R61" s="5">
        <f t="shared" si="43"/>
        <v>8.8556621363903826E-2</v>
      </c>
      <c r="S61" s="1"/>
      <c r="T61" s="1">
        <f>SUM(OSRRefT22_9x_0)</f>
        <v>311.17</v>
      </c>
      <c r="U61" s="1"/>
      <c r="V61" s="5">
        <f t="shared" si="44"/>
        <v>1.3159878101728543E-4</v>
      </c>
      <c r="W61" s="1"/>
      <c r="X61" s="1">
        <f t="shared" si="45"/>
        <v>-61.350000000000023</v>
      </c>
      <c r="Y61" s="1"/>
      <c r="Z61" s="5">
        <f t="shared" si="46"/>
        <v>-0.19715910916862173</v>
      </c>
    </row>
    <row r="62" spans="1:26" s="23" customFormat="1" hidden="1" outlineLevel="2" x14ac:dyDescent="0.25">
      <c r="A62" s="25"/>
      <c r="B62" s="10" t="str">
        <f>CONCATENATE("          ", "6305", " - ", "FREIGHT OUT")</f>
        <v xml:space="preserve">          6305 - FREIGHT OUT</v>
      </c>
      <c r="C62" s="10"/>
      <c r="D62" s="6">
        <v>41.93</v>
      </c>
      <c r="E62" s="2"/>
      <c r="F62" s="7">
        <f t="shared" si="39"/>
        <v>0.41700646444554951</v>
      </c>
      <c r="G62" s="2"/>
      <c r="H62" s="6">
        <v>56.71</v>
      </c>
      <c r="I62" s="2"/>
      <c r="J62" s="7">
        <f t="shared" si="40"/>
        <v>3.4903708908360812E-4</v>
      </c>
      <c r="K62" s="2"/>
      <c r="L62" s="6">
        <f t="shared" si="41"/>
        <v>-14.780000000000001</v>
      </c>
      <c r="M62" s="2"/>
      <c r="N62" s="7">
        <f t="shared" si="42"/>
        <v>-0.26062422853112327</v>
      </c>
      <c r="O62" s="10"/>
      <c r="P62" s="6">
        <v>249.82</v>
      </c>
      <c r="Q62" s="2"/>
      <c r="R62" s="7">
        <f t="shared" si="43"/>
        <v>8.8556621363903826E-2</v>
      </c>
      <c r="S62" s="2"/>
      <c r="T62" s="6">
        <v>311.17</v>
      </c>
      <c r="U62" s="2"/>
      <c r="V62" s="7">
        <f t="shared" si="44"/>
        <v>1.3159878101728543E-4</v>
      </c>
      <c r="W62" s="2"/>
      <c r="X62" s="6">
        <f t="shared" si="45"/>
        <v>-61.350000000000023</v>
      </c>
      <c r="Y62" s="2"/>
      <c r="Z62" s="7">
        <f t="shared" si="46"/>
        <v>-0.19715910916862173</v>
      </c>
    </row>
    <row r="63" spans="1:26" s="26" customFormat="1" outlineLevel="1" collapsed="1" x14ac:dyDescent="0.25">
      <c r="A63" s="27"/>
      <c r="B63" s="12" t="str">
        <f>CONCATENATE("     ","General                                           ")</f>
        <v xml:space="preserve">     General                                           </v>
      </c>
      <c r="C63" s="12"/>
      <c r="D63" s="1">
        <f>SUM(OSRRefD22_10x_0)</f>
        <v>646.37</v>
      </c>
      <c r="E63" s="1"/>
      <c r="F63" s="5">
        <f t="shared" si="39"/>
        <v>6.4283441074092496</v>
      </c>
      <c r="G63" s="1"/>
      <c r="H63" s="1">
        <f>SUM(OSRRefH22_10x_0)</f>
        <v>50.5</v>
      </c>
      <c r="I63" s="1"/>
      <c r="J63" s="5">
        <f t="shared" si="40"/>
        <v>3.108159583622326E-4</v>
      </c>
      <c r="K63" s="1"/>
      <c r="L63" s="1">
        <f t="shared" si="41"/>
        <v>595.87</v>
      </c>
      <c r="M63" s="1"/>
      <c r="N63" s="5">
        <f t="shared" si="42"/>
        <v>11.79940594059406</v>
      </c>
      <c r="O63" s="12"/>
      <c r="P63" s="1">
        <f>SUM(OSRRefP22_10x_0)</f>
        <v>3434.86</v>
      </c>
      <c r="Q63" s="1"/>
      <c r="R63" s="5">
        <f t="shared" si="43"/>
        <v>1.21759505427115</v>
      </c>
      <c r="S63" s="1"/>
      <c r="T63" s="1">
        <f>SUM(OSRRefT22_10x_0)</f>
        <v>10781.14</v>
      </c>
      <c r="U63" s="1"/>
      <c r="V63" s="5">
        <f t="shared" si="44"/>
        <v>4.5595169263640345E-3</v>
      </c>
      <c r="W63" s="1"/>
      <c r="X63" s="1">
        <f t="shared" si="45"/>
        <v>-7346.2799999999988</v>
      </c>
      <c r="Y63" s="1"/>
      <c r="Z63" s="5">
        <f t="shared" si="46"/>
        <v>-0.68140103922219719</v>
      </c>
    </row>
    <row r="64" spans="1:26" s="23" customFormat="1" hidden="1" outlineLevel="2" x14ac:dyDescent="0.25">
      <c r="A64" s="25"/>
      <c r="B64" s="10" t="str">
        <f>CONCATENATE("          ", "6279", " - ", "GENERAL EXPENSE")</f>
        <v xml:space="preserve">          6279 - GENERAL EXPENSE</v>
      </c>
      <c r="C64" s="10"/>
      <c r="D64" s="6">
        <v>646.37</v>
      </c>
      <c r="E64" s="2"/>
      <c r="F64" s="7">
        <f t="shared" si="39"/>
        <v>6.4283441074092496</v>
      </c>
      <c r="G64" s="2"/>
      <c r="H64" s="6">
        <v>50.5</v>
      </c>
      <c r="I64" s="2"/>
      <c r="J64" s="7">
        <f t="shared" si="40"/>
        <v>3.108159583622326E-4</v>
      </c>
      <c r="K64" s="2"/>
      <c r="L64" s="6">
        <f t="shared" si="41"/>
        <v>595.87</v>
      </c>
      <c r="M64" s="2"/>
      <c r="N64" s="7">
        <f t="shared" si="42"/>
        <v>11.79940594059406</v>
      </c>
      <c r="O64" s="10"/>
      <c r="P64" s="6">
        <v>3434.86</v>
      </c>
      <c r="Q64" s="2"/>
      <c r="R64" s="7">
        <f t="shared" si="43"/>
        <v>1.21759505427115</v>
      </c>
      <c r="S64" s="2"/>
      <c r="T64" s="6">
        <v>10781.14</v>
      </c>
      <c r="U64" s="2"/>
      <c r="V64" s="7">
        <f t="shared" si="44"/>
        <v>4.5595169263640345E-3</v>
      </c>
      <c r="W64" s="2"/>
      <c r="X64" s="6">
        <f t="shared" si="45"/>
        <v>-7346.2799999999988</v>
      </c>
      <c r="Y64" s="2"/>
      <c r="Z64" s="7">
        <f t="shared" si="46"/>
        <v>-0.68140103922219719</v>
      </c>
    </row>
    <row r="65" spans="1:26" s="26" customFormat="1" outlineLevel="1" collapsed="1" x14ac:dyDescent="0.25">
      <c r="A65" s="27"/>
      <c r="B65" s="12" t="str">
        <f>CONCATENATE("     ","Insurance                                         ")</f>
        <v xml:space="preserve">     Insurance                                         </v>
      </c>
      <c r="C65" s="12"/>
      <c r="D65" s="1">
        <f>SUM(OSRRefD22_11x_0)</f>
        <v>243.54</v>
      </c>
      <c r="E65" s="1"/>
      <c r="F65" s="5">
        <f t="shared" si="39"/>
        <v>2.4220785678766781</v>
      </c>
      <c r="G65" s="1"/>
      <c r="H65" s="1">
        <f>SUM(OSRRefH22_11x_0)</f>
        <v>243.54</v>
      </c>
      <c r="I65" s="1"/>
      <c r="J65" s="5">
        <f t="shared" si="40"/>
        <v>1.4989330395948142E-3</v>
      </c>
      <c r="K65" s="1"/>
      <c r="L65" s="1">
        <f t="shared" si="41"/>
        <v>0</v>
      </c>
      <c r="M65" s="1"/>
      <c r="N65" s="5">
        <f t="shared" si="42"/>
        <v>0</v>
      </c>
      <c r="O65" s="12"/>
      <c r="P65" s="1">
        <f>SUM(OSRRefP22_11x_0)</f>
        <v>2191.86</v>
      </c>
      <c r="Q65" s="1"/>
      <c r="R65" s="5">
        <f t="shared" si="43"/>
        <v>0.77697428589659057</v>
      </c>
      <c r="S65" s="1"/>
      <c r="T65" s="1">
        <f>SUM(OSRRefT22_11x_0)</f>
        <v>2191.86</v>
      </c>
      <c r="U65" s="1"/>
      <c r="V65" s="5">
        <f t="shared" si="44"/>
        <v>9.2697272924943685E-4</v>
      </c>
      <c r="W65" s="1"/>
      <c r="X65" s="1">
        <f t="shared" si="45"/>
        <v>0</v>
      </c>
      <c r="Y65" s="1"/>
      <c r="Z65" s="5">
        <f t="shared" si="46"/>
        <v>0</v>
      </c>
    </row>
    <row r="66" spans="1:26" s="23" customFormat="1" hidden="1" outlineLevel="2" x14ac:dyDescent="0.25">
      <c r="A66" s="25"/>
      <c r="B66" s="10" t="str">
        <f>CONCATENATE("          ", "6314", " - ", "LIABILITY INSURANCE")</f>
        <v xml:space="preserve">          6314 - LIABILITY INSURANCE</v>
      </c>
      <c r="C66" s="10"/>
      <c r="D66" s="6">
        <v>243.54</v>
      </c>
      <c r="E66" s="2"/>
      <c r="F66" s="7">
        <f t="shared" si="39"/>
        <v>2.4220785678766781</v>
      </c>
      <c r="G66" s="2"/>
      <c r="H66" s="6">
        <v>243.54</v>
      </c>
      <c r="I66" s="2"/>
      <c r="J66" s="7">
        <f t="shared" si="40"/>
        <v>1.4989330395948142E-3</v>
      </c>
      <c r="K66" s="2"/>
      <c r="L66" s="6">
        <f t="shared" si="41"/>
        <v>0</v>
      </c>
      <c r="M66" s="2"/>
      <c r="N66" s="7">
        <f t="shared" si="42"/>
        <v>0</v>
      </c>
      <c r="O66" s="10"/>
      <c r="P66" s="6">
        <v>2191.86</v>
      </c>
      <c r="Q66" s="2"/>
      <c r="R66" s="7">
        <f t="shared" si="43"/>
        <v>0.77697428589659057</v>
      </c>
      <c r="S66" s="2"/>
      <c r="T66" s="6">
        <v>2191.86</v>
      </c>
      <c r="U66" s="2"/>
      <c r="V66" s="7">
        <f t="shared" si="44"/>
        <v>9.2697272924943685E-4</v>
      </c>
      <c r="W66" s="2"/>
      <c r="X66" s="6">
        <f t="shared" si="45"/>
        <v>0</v>
      </c>
      <c r="Y66" s="2"/>
      <c r="Z66" s="7">
        <f t="shared" si="46"/>
        <v>0</v>
      </c>
    </row>
    <row r="67" spans="1:26" s="26" customFormat="1" outlineLevel="1" collapsed="1" x14ac:dyDescent="0.25">
      <c r="A67" s="27"/>
      <c r="B67" s="12" t="str">
        <f>CONCATENATE("     ","Interest                                          ")</f>
        <v xml:space="preserve">     Interest                                          </v>
      </c>
      <c r="C67" s="12"/>
      <c r="D67" s="1">
        <f>SUM(OSRRefD22_12x_0)</f>
        <v>4044</v>
      </c>
      <c r="E67" s="1"/>
      <c r="F67" s="5">
        <f t="shared" si="39"/>
        <v>40.218796618597715</v>
      </c>
      <c r="G67" s="1"/>
      <c r="H67" s="1">
        <f>SUM(OSRRefH22_12x_0)</f>
        <v>4175</v>
      </c>
      <c r="I67" s="1"/>
      <c r="J67" s="5">
        <f t="shared" si="40"/>
        <v>2.5696170815095468E-2</v>
      </c>
      <c r="K67" s="1"/>
      <c r="L67" s="1">
        <f t="shared" si="41"/>
        <v>-131</v>
      </c>
      <c r="M67" s="1"/>
      <c r="N67" s="5">
        <f t="shared" si="42"/>
        <v>-3.1377245508982035E-2</v>
      </c>
      <c r="O67" s="12"/>
      <c r="P67" s="1">
        <f>SUM(OSRRefP22_12x_0)</f>
        <v>36133.85</v>
      </c>
      <c r="Q67" s="1"/>
      <c r="R67" s="5">
        <f t="shared" si="43"/>
        <v>12.808789019574478</v>
      </c>
      <c r="S67" s="1"/>
      <c r="T67" s="1">
        <f>SUM(OSRRefT22_12x_0)</f>
        <v>37368.949999999997</v>
      </c>
      <c r="U67" s="1"/>
      <c r="V67" s="5">
        <f t="shared" si="44"/>
        <v>1.580392797472728E-2</v>
      </c>
      <c r="W67" s="1"/>
      <c r="X67" s="1">
        <f t="shared" si="45"/>
        <v>-1235.0999999999985</v>
      </c>
      <c r="Y67" s="1"/>
      <c r="Z67" s="5">
        <f t="shared" si="46"/>
        <v>-3.3051503989274485E-2</v>
      </c>
    </row>
    <row r="68" spans="1:26" s="23" customFormat="1" hidden="1" outlineLevel="2" x14ac:dyDescent="0.25">
      <c r="A68" s="25"/>
      <c r="B68" s="10" t="str">
        <f>CONCATENATE("          ", "6401", " - ", "INTEREST EXPENSE")</f>
        <v xml:space="preserve">          6401 - INTEREST EXPENSE</v>
      </c>
      <c r="C68" s="10"/>
      <c r="D68" s="6">
        <v>4044</v>
      </c>
      <c r="E68" s="2"/>
      <c r="F68" s="7">
        <f t="shared" si="39"/>
        <v>40.218796618597715</v>
      </c>
      <c r="G68" s="2"/>
      <c r="H68" s="6">
        <v>4175</v>
      </c>
      <c r="I68" s="2"/>
      <c r="J68" s="7">
        <f t="shared" si="40"/>
        <v>2.5696170815095468E-2</v>
      </c>
      <c r="K68" s="2"/>
      <c r="L68" s="6">
        <f t="shared" si="41"/>
        <v>-131</v>
      </c>
      <c r="M68" s="2"/>
      <c r="N68" s="7">
        <f t="shared" si="42"/>
        <v>-3.1377245508982035E-2</v>
      </c>
      <c r="O68" s="10"/>
      <c r="P68" s="6">
        <v>36133.85</v>
      </c>
      <c r="Q68" s="2"/>
      <c r="R68" s="7">
        <f t="shared" si="43"/>
        <v>12.808789019574478</v>
      </c>
      <c r="S68" s="2"/>
      <c r="T68" s="6">
        <v>37368.949999999997</v>
      </c>
      <c r="U68" s="2"/>
      <c r="V68" s="7">
        <f t="shared" si="44"/>
        <v>1.580392797472728E-2</v>
      </c>
      <c r="W68" s="2"/>
      <c r="X68" s="6">
        <f t="shared" si="45"/>
        <v>-1235.0999999999985</v>
      </c>
      <c r="Y68" s="2"/>
      <c r="Z68" s="7">
        <f t="shared" si="46"/>
        <v>-3.3051503989274485E-2</v>
      </c>
    </row>
    <row r="69" spans="1:26" s="26" customFormat="1" outlineLevel="1" collapsed="1" x14ac:dyDescent="0.25">
      <c r="A69" s="27"/>
      <c r="B69" s="12" t="str">
        <f>CONCATENATE("     ","Rent                                              ")</f>
        <v xml:space="preserve">     Rent                                              </v>
      </c>
      <c r="C69" s="12"/>
      <c r="D69" s="1">
        <f>SUM(OSRRefD22_13x_0)</f>
        <v>0</v>
      </c>
      <c r="E69" s="1"/>
      <c r="F69" s="5">
        <f t="shared" si="39"/>
        <v>0</v>
      </c>
      <c r="G69" s="1"/>
      <c r="H69" s="1">
        <f>SUM(OSRRefH22_13x_0)</f>
        <v>1150</v>
      </c>
      <c r="I69" s="1"/>
      <c r="J69" s="5">
        <f t="shared" si="40"/>
        <v>7.0779871706250982E-3</v>
      </c>
      <c r="K69" s="1"/>
      <c r="L69" s="1">
        <f t="shared" si="41"/>
        <v>-1150</v>
      </c>
      <c r="M69" s="1"/>
      <c r="N69" s="5">
        <f t="shared" si="42"/>
        <v>-1</v>
      </c>
      <c r="O69" s="12"/>
      <c r="P69" s="1">
        <f>SUM(OSRRefP22_13x_0)</f>
        <v>0</v>
      </c>
      <c r="Q69" s="1"/>
      <c r="R69" s="5">
        <f t="shared" si="43"/>
        <v>0</v>
      </c>
      <c r="S69" s="1"/>
      <c r="T69" s="1">
        <f>SUM(OSRRefT22_13x_0)</f>
        <v>10350</v>
      </c>
      <c r="U69" s="1"/>
      <c r="V69" s="5">
        <f t="shared" si="44"/>
        <v>4.377180909242228E-3</v>
      </c>
      <c r="W69" s="1"/>
      <c r="X69" s="1">
        <f t="shared" si="45"/>
        <v>-10350</v>
      </c>
      <c r="Y69" s="1"/>
      <c r="Z69" s="5">
        <f t="shared" si="46"/>
        <v>-1</v>
      </c>
    </row>
    <row r="70" spans="1:26" s="23" customFormat="1" hidden="1" outlineLevel="2" x14ac:dyDescent="0.25">
      <c r="A70" s="25"/>
      <c r="B70" s="10" t="str">
        <f>CONCATENATE("          ", "6273", " - ", "RENT")</f>
        <v xml:space="preserve">          6273 - RENT</v>
      </c>
      <c r="C70" s="10"/>
      <c r="D70" s="6"/>
      <c r="E70" s="2"/>
      <c r="F70" s="7">
        <f t="shared" si="39"/>
        <v>0</v>
      </c>
      <c r="G70" s="2"/>
      <c r="H70" s="6">
        <v>1150</v>
      </c>
      <c r="I70" s="2"/>
      <c r="J70" s="7">
        <f t="shared" si="40"/>
        <v>7.0779871706250982E-3</v>
      </c>
      <c r="K70" s="2"/>
      <c r="L70" s="6">
        <f t="shared" si="41"/>
        <v>-1150</v>
      </c>
      <c r="M70" s="2"/>
      <c r="N70" s="7">
        <f t="shared" si="42"/>
        <v>-1</v>
      </c>
      <c r="O70" s="10"/>
      <c r="P70" s="6"/>
      <c r="Q70" s="2"/>
      <c r="R70" s="7">
        <f t="shared" si="43"/>
        <v>0</v>
      </c>
      <c r="S70" s="2"/>
      <c r="T70" s="6">
        <v>10350</v>
      </c>
      <c r="U70" s="2"/>
      <c r="V70" s="7">
        <f t="shared" si="44"/>
        <v>4.377180909242228E-3</v>
      </c>
      <c r="W70" s="2"/>
      <c r="X70" s="6">
        <f t="shared" si="45"/>
        <v>-10350</v>
      </c>
      <c r="Y70" s="2"/>
      <c r="Z70" s="7">
        <f t="shared" si="46"/>
        <v>-1</v>
      </c>
    </row>
    <row r="71" spans="1:26" s="26" customFormat="1" outlineLevel="1" collapsed="1" x14ac:dyDescent="0.25">
      <c r="A71" s="27"/>
      <c r="B71" s="12" t="str">
        <f>CONCATENATE("     ","Repair and Maintenance                            ")</f>
        <v xml:space="preserve">     Repair and Maintenance                            </v>
      </c>
      <c r="C71" s="12"/>
      <c r="D71" s="1">
        <f>SUM(OSRRefD22_14x_0)</f>
        <v>426.45</v>
      </c>
      <c r="E71" s="1"/>
      <c r="F71" s="5">
        <f t="shared" si="39"/>
        <v>4.241173545499751</v>
      </c>
      <c r="G71" s="1"/>
      <c r="H71" s="1">
        <f>SUM(OSRRefH22_14x_0)</f>
        <v>1594.97</v>
      </c>
      <c r="I71" s="1"/>
      <c r="J71" s="5">
        <f t="shared" si="40"/>
        <v>9.8166758239407945E-3</v>
      </c>
      <c r="K71" s="1"/>
      <c r="L71" s="1">
        <f t="shared" si="41"/>
        <v>-1168.52</v>
      </c>
      <c r="M71" s="1"/>
      <c r="N71" s="5">
        <f t="shared" si="42"/>
        <v>-0.73262819990344641</v>
      </c>
      <c r="O71" s="12"/>
      <c r="P71" s="1">
        <f>SUM(OSRRefP22_14x_0)</f>
        <v>2826.3</v>
      </c>
      <c r="Q71" s="1"/>
      <c r="R71" s="5">
        <f t="shared" si="43"/>
        <v>1.0018716634408831</v>
      </c>
      <c r="S71" s="1"/>
      <c r="T71" s="1">
        <f>SUM(OSRRefT22_14x_0)</f>
        <v>17332.91</v>
      </c>
      <c r="U71" s="1"/>
      <c r="V71" s="5">
        <f t="shared" si="44"/>
        <v>7.3303654834409385E-3</v>
      </c>
      <c r="W71" s="1"/>
      <c r="X71" s="1">
        <f t="shared" si="45"/>
        <v>-14506.61</v>
      </c>
      <c r="Y71" s="1"/>
      <c r="Z71" s="5">
        <f t="shared" si="46"/>
        <v>-0.83694024834837322</v>
      </c>
    </row>
    <row r="72" spans="1:26" s="23" customFormat="1" hidden="1" outlineLevel="2" x14ac:dyDescent="0.25">
      <c r="A72" s="25"/>
      <c r="B72" s="10" t="str">
        <f>CONCATENATE("          ", "6371", " - ", "COMPUTER SOFTWARE MAINTENANCE")</f>
        <v xml:space="preserve">          6371 - COMPUTER SOFTWARE MAINTENANCE</v>
      </c>
      <c r="C72" s="10"/>
      <c r="D72" s="6"/>
      <c r="E72" s="2"/>
      <c r="F72" s="7">
        <f t="shared" si="39"/>
        <v>0</v>
      </c>
      <c r="G72" s="2"/>
      <c r="H72" s="6"/>
      <c r="I72" s="2"/>
      <c r="J72" s="7">
        <f t="shared" si="40"/>
        <v>0</v>
      </c>
      <c r="K72" s="2"/>
      <c r="L72" s="6">
        <f t="shared" si="41"/>
        <v>0</v>
      </c>
      <c r="M72" s="2"/>
      <c r="N72" s="7">
        <f t="shared" si="42"/>
        <v>0</v>
      </c>
      <c r="O72" s="10"/>
      <c r="P72" s="6"/>
      <c r="Q72" s="2"/>
      <c r="R72" s="7">
        <f t="shared" si="43"/>
        <v>0</v>
      </c>
      <c r="S72" s="2"/>
      <c r="T72" s="6">
        <v>1311.93</v>
      </c>
      <c r="U72" s="2"/>
      <c r="V72" s="7">
        <f t="shared" si="44"/>
        <v>5.5483622707846927E-4</v>
      </c>
      <c r="W72" s="2"/>
      <c r="X72" s="6">
        <f t="shared" si="45"/>
        <v>-1311.93</v>
      </c>
      <c r="Y72" s="2"/>
      <c r="Z72" s="7">
        <f t="shared" si="46"/>
        <v>-1</v>
      </c>
    </row>
    <row r="73" spans="1:26" s="23" customFormat="1" hidden="1" outlineLevel="2" x14ac:dyDescent="0.25">
      <c r="A73" s="25"/>
      <c r="B73" s="10" t="str">
        <f>CONCATENATE("          ", "6373", " - ", "MAINTENANCE CONTRACTS")</f>
        <v xml:space="preserve">          6373 - MAINTENANCE CONTRACTS</v>
      </c>
      <c r="C73" s="10"/>
      <c r="D73" s="6">
        <v>301.45</v>
      </c>
      <c r="E73" s="2"/>
      <c r="F73" s="7">
        <f t="shared" si="39"/>
        <v>2.9980109398309298</v>
      </c>
      <c r="G73" s="2"/>
      <c r="H73" s="6">
        <v>301.45</v>
      </c>
      <c r="I73" s="2"/>
      <c r="J73" s="7">
        <f t="shared" si="40"/>
        <v>1.8553558544216833E-3</v>
      </c>
      <c r="K73" s="2"/>
      <c r="L73" s="6">
        <f t="shared" si="41"/>
        <v>0</v>
      </c>
      <c r="M73" s="2"/>
      <c r="N73" s="7">
        <f t="shared" si="42"/>
        <v>0</v>
      </c>
      <c r="O73" s="10"/>
      <c r="P73" s="6">
        <v>1258.05</v>
      </c>
      <c r="Q73" s="2"/>
      <c r="R73" s="7">
        <f t="shared" si="43"/>
        <v>0.44595571814450086</v>
      </c>
      <c r="S73" s="2"/>
      <c r="T73" s="6">
        <v>884.07</v>
      </c>
      <c r="U73" s="2"/>
      <c r="V73" s="7">
        <f t="shared" si="44"/>
        <v>3.7388737453466445E-4</v>
      </c>
      <c r="W73" s="2"/>
      <c r="X73" s="6">
        <f t="shared" si="45"/>
        <v>373.9799999999999</v>
      </c>
      <c r="Y73" s="2"/>
      <c r="Z73" s="7">
        <f t="shared" si="46"/>
        <v>0.42302080152024146</v>
      </c>
    </row>
    <row r="74" spans="1:26" s="23" customFormat="1" hidden="1" outlineLevel="2" x14ac:dyDescent="0.25">
      <c r="A74" s="25"/>
      <c r="B74" s="10" t="str">
        <f>CONCATENATE("          ", "6375", " - ", "OUTSIDE REPAIRS &amp; MAINTENANCE")</f>
        <v xml:space="preserve">          6375 - OUTSIDE REPAIRS &amp; MAINTENANCE</v>
      </c>
      <c r="C74" s="10"/>
      <c r="D74" s="6">
        <v>125</v>
      </c>
      <c r="E74" s="2"/>
      <c r="F74" s="7">
        <f t="shared" si="39"/>
        <v>1.2431626056688214</v>
      </c>
      <c r="G74" s="2"/>
      <c r="H74" s="6">
        <v>1293.52</v>
      </c>
      <c r="I74" s="2"/>
      <c r="J74" s="7">
        <f t="shared" si="40"/>
        <v>7.9613199695191105E-3</v>
      </c>
      <c r="K74" s="2"/>
      <c r="L74" s="6">
        <f t="shared" si="41"/>
        <v>-1168.52</v>
      </c>
      <c r="M74" s="2"/>
      <c r="N74" s="7">
        <f t="shared" si="42"/>
        <v>-0.90336446286103034</v>
      </c>
      <c r="O74" s="10"/>
      <c r="P74" s="6">
        <v>1568.25</v>
      </c>
      <c r="Q74" s="2"/>
      <c r="R74" s="7">
        <f t="shared" si="43"/>
        <v>0.55591594529638211</v>
      </c>
      <c r="S74" s="2"/>
      <c r="T74" s="6">
        <v>15136.91</v>
      </c>
      <c r="U74" s="2"/>
      <c r="V74" s="7">
        <f t="shared" si="44"/>
        <v>6.4016418818278048E-3</v>
      </c>
      <c r="W74" s="2"/>
      <c r="X74" s="6">
        <f t="shared" si="45"/>
        <v>-13568.66</v>
      </c>
      <c r="Y74" s="2"/>
      <c r="Z74" s="7">
        <f t="shared" si="46"/>
        <v>-0.89639563160512947</v>
      </c>
    </row>
    <row r="75" spans="1:26" s="26" customFormat="1" outlineLevel="1" collapsed="1" x14ac:dyDescent="0.25">
      <c r="A75" s="27"/>
      <c r="B75" s="12" t="str">
        <f>CONCATENATE("     ","Royalty &amp; Commissions                             ")</f>
        <v xml:space="preserve">     Royalty &amp; Commissions                             </v>
      </c>
      <c r="C75" s="12"/>
      <c r="D75" s="1">
        <f>SUM(OSRRefD22_15x_0)</f>
        <v>0</v>
      </c>
      <c r="E75" s="1"/>
      <c r="F75" s="5">
        <f t="shared" ref="F75:F81" si="47">IF(D$12=0,0,D75/D$12)</f>
        <v>0</v>
      </c>
      <c r="G75" s="1"/>
      <c r="H75" s="1">
        <f>SUM(OSRRefH22_15x_0)</f>
        <v>9221.35</v>
      </c>
      <c r="I75" s="1"/>
      <c r="J75" s="5">
        <f t="shared" ref="J75:J81" si="48">IF(H$12=0,0,H75/H$12)</f>
        <v>5.6755301735516309E-2</v>
      </c>
      <c r="K75" s="1"/>
      <c r="L75" s="1">
        <f t="shared" ref="L75:L81" si="49">+D75-H75</f>
        <v>-9221.35</v>
      </c>
      <c r="M75" s="1"/>
      <c r="N75" s="5">
        <f t="shared" ref="N75:N81" si="50">IF(H75=0,0,L75/H75)</f>
        <v>-1</v>
      </c>
      <c r="O75" s="12"/>
      <c r="P75" s="1">
        <f>SUM(OSRRefP22_15x_0)</f>
        <v>185.7</v>
      </c>
      <c r="Q75" s="1"/>
      <c r="R75" s="5">
        <f t="shared" ref="R75:R81" si="51">IF(P$12=0,0,P75/P$12)</f>
        <v>6.5827253971967578E-2</v>
      </c>
      <c r="S75" s="1"/>
      <c r="T75" s="1">
        <f>SUM(OSRRefT22_15x_0)</f>
        <v>24556.14</v>
      </c>
      <c r="U75" s="1"/>
      <c r="V75" s="5">
        <f t="shared" ref="V75:V81" si="52">IF(T$12=0,0,T75/T$12)</f>
        <v>1.0385185237940044E-2</v>
      </c>
      <c r="W75" s="1"/>
      <c r="X75" s="1">
        <f t="shared" ref="X75:X81" si="53">+P75-T75</f>
        <v>-24370.44</v>
      </c>
      <c r="Y75" s="1"/>
      <c r="Z75" s="5">
        <f t="shared" ref="Z75:Z81" si="54">IF(T75=0,0,X75/T75)</f>
        <v>-0.99243773654979972</v>
      </c>
    </row>
    <row r="76" spans="1:26" s="23" customFormat="1" hidden="1" outlineLevel="2" x14ac:dyDescent="0.25">
      <c r="A76" s="25"/>
      <c r="B76" s="10" t="str">
        <f>CONCATENATE("          ", "6254", " - ", "ROYALTY &amp; COMMISSIONS")</f>
        <v xml:space="preserve">          6254 - ROYALTY &amp; COMMISSIONS</v>
      </c>
      <c r="C76" s="10"/>
      <c r="D76" s="6"/>
      <c r="E76" s="2"/>
      <c r="F76" s="7">
        <f t="shared" si="47"/>
        <v>0</v>
      </c>
      <c r="G76" s="2"/>
      <c r="H76" s="6">
        <v>9221.35</v>
      </c>
      <c r="I76" s="2"/>
      <c r="J76" s="7">
        <f t="shared" si="48"/>
        <v>5.6755301735516309E-2</v>
      </c>
      <c r="K76" s="2"/>
      <c r="L76" s="6">
        <f t="shared" si="49"/>
        <v>-9221.35</v>
      </c>
      <c r="M76" s="2"/>
      <c r="N76" s="7">
        <f t="shared" si="50"/>
        <v>-1</v>
      </c>
      <c r="O76" s="10"/>
      <c r="P76" s="6">
        <v>185.7</v>
      </c>
      <c r="Q76" s="2"/>
      <c r="R76" s="7">
        <f t="shared" si="51"/>
        <v>6.5827253971967578E-2</v>
      </c>
      <c r="S76" s="2"/>
      <c r="T76" s="6">
        <v>24556.14</v>
      </c>
      <c r="U76" s="2"/>
      <c r="V76" s="7">
        <f t="shared" si="52"/>
        <v>1.0385185237940044E-2</v>
      </c>
      <c r="W76" s="2"/>
      <c r="X76" s="6">
        <f t="shared" si="53"/>
        <v>-24370.44</v>
      </c>
      <c r="Y76" s="2"/>
      <c r="Z76" s="7">
        <f t="shared" si="54"/>
        <v>-0.99243773654979972</v>
      </c>
    </row>
    <row r="77" spans="1:26" s="26" customFormat="1" outlineLevel="1" collapsed="1" x14ac:dyDescent="0.25">
      <c r="A77" s="27"/>
      <c r="B77" s="12" t="str">
        <f>CONCATENATE("     ","Services                                          ")</f>
        <v xml:space="preserve">     Services                                          </v>
      </c>
      <c r="C77" s="12"/>
      <c r="D77" s="1">
        <f>SUM(OSRRefD22_16x_0)</f>
        <v>160.20999999999998</v>
      </c>
      <c r="E77" s="1"/>
      <c r="F77" s="5">
        <f t="shared" si="47"/>
        <v>1.5933366484336149</v>
      </c>
      <c r="G77" s="1"/>
      <c r="H77" s="1">
        <f>SUM(OSRRefH22_16x_0)</f>
        <v>1177.94</v>
      </c>
      <c r="I77" s="1"/>
      <c r="J77" s="5">
        <f t="shared" si="48"/>
        <v>7.2499514850140256E-3</v>
      </c>
      <c r="K77" s="1"/>
      <c r="L77" s="1">
        <f t="shared" si="49"/>
        <v>-1017.73</v>
      </c>
      <c r="M77" s="1"/>
      <c r="N77" s="5">
        <f t="shared" si="50"/>
        <v>-0.86399137477290866</v>
      </c>
      <c r="O77" s="12"/>
      <c r="P77" s="1">
        <f>SUM(OSRRefP22_16x_0)</f>
        <v>2005.3600000000001</v>
      </c>
      <c r="Q77" s="1"/>
      <c r="R77" s="5">
        <f t="shared" si="51"/>
        <v>0.71086344655479217</v>
      </c>
      <c r="S77" s="1"/>
      <c r="T77" s="1">
        <f>SUM(OSRRefT22_16x_0)</f>
        <v>15716.41</v>
      </c>
      <c r="U77" s="1"/>
      <c r="V77" s="5">
        <f t="shared" si="52"/>
        <v>6.6467217211423815E-3</v>
      </c>
      <c r="W77" s="1"/>
      <c r="X77" s="1">
        <f t="shared" si="53"/>
        <v>-13711.05</v>
      </c>
      <c r="Y77" s="1"/>
      <c r="Z77" s="5">
        <f t="shared" si="54"/>
        <v>-0.87240343055443315</v>
      </c>
    </row>
    <row r="78" spans="1:26" s="23" customFormat="1" hidden="1" outlineLevel="2" x14ac:dyDescent="0.25">
      <c r="A78" s="25"/>
      <c r="B78" s="10" t="str">
        <f>CONCATENATE("          ", "6282", " - ", "JANITORIAL/EXTERMINATOR EXPENS")</f>
        <v xml:space="preserve">          6282 - JANITORIAL/EXTERMINATOR EXPENS</v>
      </c>
      <c r="C78" s="10"/>
      <c r="D78" s="6">
        <v>441.21</v>
      </c>
      <c r="E78" s="2"/>
      <c r="F78" s="7">
        <f t="shared" si="47"/>
        <v>4.3879661859771257</v>
      </c>
      <c r="G78" s="2"/>
      <c r="H78" s="6">
        <v>567.28</v>
      </c>
      <c r="I78" s="2"/>
      <c r="J78" s="7">
        <f t="shared" si="48"/>
        <v>3.4914787496975702E-3</v>
      </c>
      <c r="K78" s="2"/>
      <c r="L78" s="6">
        <f t="shared" si="49"/>
        <v>-126.07</v>
      </c>
      <c r="M78" s="2"/>
      <c r="N78" s="7">
        <f t="shared" si="50"/>
        <v>-0.22223593287265547</v>
      </c>
      <c r="O78" s="10"/>
      <c r="P78" s="6">
        <v>1934.96</v>
      </c>
      <c r="Q78" s="2"/>
      <c r="R78" s="7">
        <f t="shared" si="51"/>
        <v>0.68590793400968431</v>
      </c>
      <c r="S78" s="2"/>
      <c r="T78" s="6">
        <v>6005.09</v>
      </c>
      <c r="U78" s="2"/>
      <c r="V78" s="7">
        <f t="shared" si="52"/>
        <v>2.5396488218629386E-3</v>
      </c>
      <c r="W78" s="2"/>
      <c r="X78" s="6">
        <f t="shared" si="53"/>
        <v>-4070.13</v>
      </c>
      <c r="Y78" s="2"/>
      <c r="Z78" s="7">
        <f t="shared" si="54"/>
        <v>-0.6777800166192347</v>
      </c>
    </row>
    <row r="79" spans="1:26" s="23" customFormat="1" hidden="1" outlineLevel="2" x14ac:dyDescent="0.25">
      <c r="A79" s="25"/>
      <c r="B79" s="10" t="str">
        <f>CONCATENATE("          ", "6284", " - ", "TRASH REMOVAL EXPENSE")</f>
        <v xml:space="preserve">          6284 - TRASH REMOVAL EXPENSE</v>
      </c>
      <c r="C79" s="10"/>
      <c r="D79" s="6">
        <v>-281</v>
      </c>
      <c r="E79" s="2"/>
      <c r="F79" s="7">
        <f t="shared" si="47"/>
        <v>-2.7946295375435106</v>
      </c>
      <c r="G79" s="2"/>
      <c r="H79" s="6">
        <v>289</v>
      </c>
      <c r="I79" s="2"/>
      <c r="J79" s="7">
        <f t="shared" si="48"/>
        <v>1.7787289498353508E-3</v>
      </c>
      <c r="K79" s="2"/>
      <c r="L79" s="6">
        <f t="shared" si="49"/>
        <v>-570</v>
      </c>
      <c r="M79" s="2"/>
      <c r="N79" s="7">
        <f t="shared" si="50"/>
        <v>-1.972318339100346</v>
      </c>
      <c r="O79" s="10"/>
      <c r="P79" s="6">
        <v>875</v>
      </c>
      <c r="Q79" s="2"/>
      <c r="R79" s="7">
        <f t="shared" si="51"/>
        <v>0.31017149825240509</v>
      </c>
      <c r="S79" s="2"/>
      <c r="T79" s="6">
        <v>2600</v>
      </c>
      <c r="U79" s="2"/>
      <c r="V79" s="7">
        <f t="shared" si="52"/>
        <v>1.0995816776840381E-3</v>
      </c>
      <c r="W79" s="2"/>
      <c r="X79" s="6">
        <f t="shared" si="53"/>
        <v>-1725</v>
      </c>
      <c r="Y79" s="2"/>
      <c r="Z79" s="7">
        <f t="shared" si="54"/>
        <v>-0.66346153846153844</v>
      </c>
    </row>
    <row r="80" spans="1:26" s="23" customFormat="1" hidden="1" outlineLevel="2" x14ac:dyDescent="0.25">
      <c r="A80" s="25"/>
      <c r="B80" s="10" t="str">
        <f>CONCATENATE("          ", "6285", " - ", "JANITORIAL SERVICES")</f>
        <v xml:space="preserve">          6285 - JANITORIAL SERVICES</v>
      </c>
      <c r="C80" s="10"/>
      <c r="D80" s="6"/>
      <c r="E80" s="2"/>
      <c r="F80" s="7">
        <f t="shared" si="47"/>
        <v>0</v>
      </c>
      <c r="G80" s="2"/>
      <c r="H80" s="6">
        <v>134.1</v>
      </c>
      <c r="I80" s="2"/>
      <c r="J80" s="7">
        <f t="shared" si="48"/>
        <v>8.2535485180941363E-4</v>
      </c>
      <c r="K80" s="2"/>
      <c r="L80" s="6">
        <f t="shared" si="49"/>
        <v>-134.1</v>
      </c>
      <c r="M80" s="2"/>
      <c r="N80" s="7">
        <f t="shared" si="50"/>
        <v>-1</v>
      </c>
      <c r="O80" s="10"/>
      <c r="P80" s="6">
        <v>-804.6</v>
      </c>
      <c r="Q80" s="2"/>
      <c r="R80" s="7">
        <f t="shared" si="51"/>
        <v>-0.28521598570729734</v>
      </c>
      <c r="S80" s="2"/>
      <c r="T80" s="6">
        <v>1053.68</v>
      </c>
      <c r="U80" s="2"/>
      <c r="V80" s="7">
        <f t="shared" si="52"/>
        <v>4.4561816236235278E-4</v>
      </c>
      <c r="W80" s="2"/>
      <c r="X80" s="6">
        <f t="shared" si="53"/>
        <v>-1858.2800000000002</v>
      </c>
      <c r="Y80" s="2"/>
      <c r="Z80" s="7">
        <f t="shared" si="54"/>
        <v>-1.7636094449927873</v>
      </c>
    </row>
    <row r="81" spans="1:26" s="23" customFormat="1" hidden="1" outlineLevel="2" x14ac:dyDescent="0.25">
      <c r="A81" s="25"/>
      <c r="B81" s="10" t="str">
        <f>CONCATENATE("          ", "6286", " - ", "LAUNDRY EXPENSE")</f>
        <v xml:space="preserve">          6286 - LAUNDRY EXPENSE</v>
      </c>
      <c r="C81" s="10"/>
      <c r="D81" s="6"/>
      <c r="E81" s="2"/>
      <c r="F81" s="7">
        <f t="shared" si="47"/>
        <v>0</v>
      </c>
      <c r="G81" s="2"/>
      <c r="H81" s="6">
        <v>187.56</v>
      </c>
      <c r="I81" s="2"/>
      <c r="J81" s="7">
        <f t="shared" si="48"/>
        <v>1.15438893367169E-3</v>
      </c>
      <c r="K81" s="2"/>
      <c r="L81" s="6">
        <f t="shared" si="49"/>
        <v>-187.56</v>
      </c>
      <c r="M81" s="2"/>
      <c r="N81" s="7">
        <f t="shared" si="50"/>
        <v>-1</v>
      </c>
      <c r="O81" s="10"/>
      <c r="P81" s="6"/>
      <c r="Q81" s="2"/>
      <c r="R81" s="7">
        <f t="shared" si="51"/>
        <v>0</v>
      </c>
      <c r="S81" s="2"/>
      <c r="T81" s="6">
        <v>6057.64</v>
      </c>
      <c r="U81" s="2"/>
      <c r="V81" s="7">
        <f t="shared" si="52"/>
        <v>2.5618730592330526E-3</v>
      </c>
      <c r="W81" s="2"/>
      <c r="X81" s="6">
        <f t="shared" si="53"/>
        <v>-6057.64</v>
      </c>
      <c r="Y81" s="2"/>
      <c r="Z81" s="7">
        <f t="shared" si="54"/>
        <v>-1</v>
      </c>
    </row>
    <row r="82" spans="1:26" s="26" customFormat="1" outlineLevel="1" collapsed="1" x14ac:dyDescent="0.25">
      <c r="A82" s="27"/>
      <c r="B82" s="12" t="str">
        <f>CONCATENATE("     ","Subscriptions &amp; Dues                              ")</f>
        <v xml:space="preserve">     Subscriptions &amp; Dues                              </v>
      </c>
      <c r="C82" s="12"/>
      <c r="D82" s="1">
        <f>SUM(OSRRefD22_17x_0)</f>
        <v>0</v>
      </c>
      <c r="E82" s="1"/>
      <c r="F82" s="5">
        <f t="shared" ref="F82:F93" si="55">IF(D$12=0,0,D82/D$12)</f>
        <v>0</v>
      </c>
      <c r="G82" s="1"/>
      <c r="H82" s="1">
        <f>SUM(OSRRefH22_17x_0)</f>
        <v>0</v>
      </c>
      <c r="I82" s="1"/>
      <c r="J82" s="5">
        <f t="shared" ref="J82:J93" si="56">IF(H$12=0,0,H82/H$12)</f>
        <v>0</v>
      </c>
      <c r="K82" s="1"/>
      <c r="L82" s="1">
        <f t="shared" ref="L82:L93" si="57">+D82-H82</f>
        <v>0</v>
      </c>
      <c r="M82" s="1"/>
      <c r="N82" s="5">
        <f t="shared" ref="N82:N93" si="58">IF(H82=0,0,L82/H82)</f>
        <v>0</v>
      </c>
      <c r="O82" s="12"/>
      <c r="P82" s="1">
        <f>SUM(OSRRefP22_17x_0)</f>
        <v>0</v>
      </c>
      <c r="Q82" s="1"/>
      <c r="R82" s="5">
        <f t="shared" ref="R82:R93" si="59">IF(P$12=0,0,P82/P$12)</f>
        <v>0</v>
      </c>
      <c r="S82" s="1"/>
      <c r="T82" s="1">
        <f>SUM(OSRRefT22_17x_0)</f>
        <v>1411.2</v>
      </c>
      <c r="U82" s="1"/>
      <c r="V82" s="5">
        <f t="shared" ref="V82:V93" si="60">IF(T$12=0,0,T82/T$12)</f>
        <v>5.9681910136450561E-4</v>
      </c>
      <c r="W82" s="1"/>
      <c r="X82" s="1">
        <f t="shared" ref="X82:X93" si="61">+P82-T82</f>
        <v>-1411.2</v>
      </c>
      <c r="Y82" s="1"/>
      <c r="Z82" s="5">
        <f t="shared" ref="Z82:Z93" si="62">IF(T82=0,0,X82/T82)</f>
        <v>-1</v>
      </c>
    </row>
    <row r="83" spans="1:26" s="23" customFormat="1" hidden="1" outlineLevel="2" x14ac:dyDescent="0.25">
      <c r="A83" s="25"/>
      <c r="B83" s="10" t="str">
        <f>CONCATENATE("          ", "6275", " - ", "SUBSCRIPTIONS")</f>
        <v xml:space="preserve">          6275 - SUBSCRIPTIONS</v>
      </c>
      <c r="C83" s="10"/>
      <c r="D83" s="6"/>
      <c r="E83" s="2"/>
      <c r="F83" s="7">
        <f t="shared" si="55"/>
        <v>0</v>
      </c>
      <c r="G83" s="2"/>
      <c r="H83" s="6"/>
      <c r="I83" s="2"/>
      <c r="J83" s="7">
        <f t="shared" si="56"/>
        <v>0</v>
      </c>
      <c r="K83" s="2"/>
      <c r="L83" s="6">
        <f t="shared" si="57"/>
        <v>0</v>
      </c>
      <c r="M83" s="2"/>
      <c r="N83" s="7">
        <f t="shared" si="58"/>
        <v>0</v>
      </c>
      <c r="O83" s="10"/>
      <c r="P83" s="6"/>
      <c r="Q83" s="2"/>
      <c r="R83" s="7">
        <f t="shared" si="59"/>
        <v>0</v>
      </c>
      <c r="S83" s="2"/>
      <c r="T83" s="6">
        <v>1411.2</v>
      </c>
      <c r="U83" s="2"/>
      <c r="V83" s="7">
        <f t="shared" si="60"/>
        <v>5.9681910136450561E-4</v>
      </c>
      <c r="W83" s="2"/>
      <c r="X83" s="6">
        <f t="shared" si="61"/>
        <v>-1411.2</v>
      </c>
      <c r="Y83" s="2"/>
      <c r="Z83" s="7">
        <f t="shared" si="62"/>
        <v>-1</v>
      </c>
    </row>
    <row r="84" spans="1:26" s="26" customFormat="1" outlineLevel="1" collapsed="1" x14ac:dyDescent="0.25">
      <c r="A84" s="27"/>
      <c r="B84" s="12" t="str">
        <f>CONCATENATE("     ","Supplies                                          ")</f>
        <v xml:space="preserve">     Supplies                                          </v>
      </c>
      <c r="C84" s="12"/>
      <c r="D84" s="1">
        <f>SUM(OSRRefD22_18x_0)</f>
        <v>0</v>
      </c>
      <c r="E84" s="1"/>
      <c r="F84" s="5">
        <f t="shared" si="55"/>
        <v>0</v>
      </c>
      <c r="G84" s="1"/>
      <c r="H84" s="1">
        <f>SUM(OSRRefH22_18x_0)</f>
        <v>459.77</v>
      </c>
      <c r="I84" s="1"/>
      <c r="J84" s="5">
        <f t="shared" si="56"/>
        <v>2.8297792708159141E-3</v>
      </c>
      <c r="K84" s="1"/>
      <c r="L84" s="1">
        <f t="shared" si="57"/>
        <v>-459.77</v>
      </c>
      <c r="M84" s="1"/>
      <c r="N84" s="5">
        <f t="shared" si="58"/>
        <v>-1</v>
      </c>
      <c r="O84" s="12"/>
      <c r="P84" s="1">
        <f>SUM(OSRRefP22_18x_0)</f>
        <v>1094.0899999999999</v>
      </c>
      <c r="Q84" s="1"/>
      <c r="R84" s="5">
        <f t="shared" si="59"/>
        <v>0.38783489659768444</v>
      </c>
      <c r="S84" s="1"/>
      <c r="T84" s="1">
        <f>SUM(OSRRefT22_18x_0)</f>
        <v>49507.32</v>
      </c>
      <c r="U84" s="1"/>
      <c r="V84" s="5">
        <f t="shared" si="60"/>
        <v>2.0937439224323281E-2</v>
      </c>
      <c r="W84" s="1"/>
      <c r="X84" s="1">
        <f t="shared" si="61"/>
        <v>-48413.23</v>
      </c>
      <c r="Y84" s="1"/>
      <c r="Z84" s="5">
        <f t="shared" si="62"/>
        <v>-0.97790043977335073</v>
      </c>
    </row>
    <row r="85" spans="1:26" s="23" customFormat="1" hidden="1" outlineLevel="2" x14ac:dyDescent="0.25">
      <c r="A85" s="25"/>
      <c r="B85" s="10" t="str">
        <f>CONCATENATE("          ", "6234", " - ", "EXPENDABLE SUPPLIES &amp; EQUIPMEN")</f>
        <v xml:space="preserve">          6234 - EXPENDABLE SUPPLIES &amp; EQUIPMEN</v>
      </c>
      <c r="C85" s="10"/>
      <c r="D85" s="6"/>
      <c r="E85" s="2"/>
      <c r="F85" s="7">
        <f t="shared" si="55"/>
        <v>0</v>
      </c>
      <c r="G85" s="2"/>
      <c r="H85" s="6"/>
      <c r="I85" s="2"/>
      <c r="J85" s="7">
        <f t="shared" si="56"/>
        <v>0</v>
      </c>
      <c r="K85" s="2"/>
      <c r="L85" s="6">
        <f t="shared" si="57"/>
        <v>0</v>
      </c>
      <c r="M85" s="2"/>
      <c r="N85" s="7">
        <f t="shared" si="58"/>
        <v>0</v>
      </c>
      <c r="O85" s="10"/>
      <c r="P85" s="6">
        <v>316.67</v>
      </c>
      <c r="Q85" s="2"/>
      <c r="R85" s="7">
        <f t="shared" si="59"/>
        <v>0.11225372383038758</v>
      </c>
      <c r="S85" s="2"/>
      <c r="T85" s="6">
        <v>1092.46</v>
      </c>
      <c r="U85" s="2"/>
      <c r="V85" s="7">
        <f t="shared" si="60"/>
        <v>4.6201884600104008E-4</v>
      </c>
      <c r="W85" s="2"/>
      <c r="X85" s="6">
        <f t="shared" si="61"/>
        <v>-775.79</v>
      </c>
      <c r="Y85" s="2"/>
      <c r="Z85" s="7">
        <f t="shared" si="62"/>
        <v>-0.71013126338721777</v>
      </c>
    </row>
    <row r="86" spans="1:26" s="23" customFormat="1" hidden="1" outlineLevel="2" x14ac:dyDescent="0.25">
      <c r="A86" s="25"/>
      <c r="B86" s="10" t="str">
        <f>CONCATENATE("          ", "6235", " - ", "COVID-19 EXPENSES")</f>
        <v xml:space="preserve">          6235 - COVID-19 EXPENSES</v>
      </c>
      <c r="C86" s="10"/>
      <c r="D86" s="6"/>
      <c r="E86" s="2"/>
      <c r="F86" s="7">
        <f t="shared" si="55"/>
        <v>0</v>
      </c>
      <c r="G86" s="2"/>
      <c r="H86" s="6"/>
      <c r="I86" s="2"/>
      <c r="J86" s="7">
        <f t="shared" si="56"/>
        <v>0</v>
      </c>
      <c r="K86" s="2"/>
      <c r="L86" s="6">
        <f t="shared" si="57"/>
        <v>0</v>
      </c>
      <c r="M86" s="2"/>
      <c r="N86" s="7">
        <f t="shared" si="58"/>
        <v>0</v>
      </c>
      <c r="O86" s="10"/>
      <c r="P86" s="6">
        <v>207.27</v>
      </c>
      <c r="Q86" s="2"/>
      <c r="R86" s="7">
        <f t="shared" si="59"/>
        <v>7.3473424506029728E-2</v>
      </c>
      <c r="S86" s="2"/>
      <c r="T86" s="6"/>
      <c r="U86" s="2"/>
      <c r="V86" s="7">
        <f t="shared" si="60"/>
        <v>0</v>
      </c>
      <c r="W86" s="2"/>
      <c r="X86" s="6">
        <f t="shared" si="61"/>
        <v>207.27</v>
      </c>
      <c r="Y86" s="2"/>
      <c r="Z86" s="7">
        <f t="shared" si="62"/>
        <v>0</v>
      </c>
    </row>
    <row r="87" spans="1:26" s="23" customFormat="1" hidden="1" outlineLevel="2" x14ac:dyDescent="0.25">
      <c r="A87" s="25"/>
      <c r="B87" s="10" t="str">
        <f>CONCATENATE("          ", "6237", " - ", "JANITORIAL SUPPLIES")</f>
        <v xml:space="preserve">          6237 - JANITORIAL SUPPLIES</v>
      </c>
      <c r="C87" s="10"/>
      <c r="D87" s="6"/>
      <c r="E87" s="2"/>
      <c r="F87" s="7">
        <f t="shared" si="55"/>
        <v>0</v>
      </c>
      <c r="G87" s="2"/>
      <c r="H87" s="6"/>
      <c r="I87" s="2"/>
      <c r="J87" s="7">
        <f t="shared" si="56"/>
        <v>0</v>
      </c>
      <c r="K87" s="2"/>
      <c r="L87" s="6">
        <f t="shared" si="57"/>
        <v>0</v>
      </c>
      <c r="M87" s="2"/>
      <c r="N87" s="7">
        <f t="shared" si="58"/>
        <v>0</v>
      </c>
      <c r="O87" s="10"/>
      <c r="P87" s="6">
        <v>317.57</v>
      </c>
      <c r="Q87" s="2"/>
      <c r="R87" s="7">
        <f t="shared" si="59"/>
        <v>0.11257275737144719</v>
      </c>
      <c r="S87" s="2"/>
      <c r="T87" s="6">
        <v>4418.97</v>
      </c>
      <c r="U87" s="2"/>
      <c r="V87" s="7">
        <f t="shared" si="60"/>
        <v>1.8688532485520899E-3</v>
      </c>
      <c r="W87" s="2"/>
      <c r="X87" s="6">
        <f t="shared" si="61"/>
        <v>-4101.4000000000005</v>
      </c>
      <c r="Y87" s="2"/>
      <c r="Z87" s="7">
        <f t="shared" si="62"/>
        <v>-0.92813483685112153</v>
      </c>
    </row>
    <row r="88" spans="1:26" s="23" customFormat="1" hidden="1" outlineLevel="2" x14ac:dyDescent="0.25">
      <c r="A88" s="25"/>
      <c r="B88" s="10" t="str">
        <f>CONCATENATE("          ", "6239", " - ", "KITCHEN SUPPLIES")</f>
        <v xml:space="preserve">          6239 - KITCHEN SUPPLIES</v>
      </c>
      <c r="C88" s="10"/>
      <c r="D88" s="6"/>
      <c r="E88" s="2"/>
      <c r="F88" s="7">
        <f t="shared" si="55"/>
        <v>0</v>
      </c>
      <c r="G88" s="2"/>
      <c r="H88" s="6"/>
      <c r="I88" s="2"/>
      <c r="J88" s="7">
        <f t="shared" si="56"/>
        <v>0</v>
      </c>
      <c r="K88" s="2"/>
      <c r="L88" s="6">
        <f t="shared" si="57"/>
        <v>0</v>
      </c>
      <c r="M88" s="2"/>
      <c r="N88" s="7">
        <f t="shared" si="58"/>
        <v>0</v>
      </c>
      <c r="O88" s="10"/>
      <c r="P88" s="6"/>
      <c r="Q88" s="2"/>
      <c r="R88" s="7">
        <f t="shared" si="59"/>
        <v>0</v>
      </c>
      <c r="S88" s="2"/>
      <c r="T88" s="6">
        <v>441.2</v>
      </c>
      <c r="U88" s="2"/>
      <c r="V88" s="7">
        <f t="shared" si="60"/>
        <v>1.8659055238238369E-4</v>
      </c>
      <c r="W88" s="2"/>
      <c r="X88" s="6">
        <f t="shared" si="61"/>
        <v>-441.2</v>
      </c>
      <c r="Y88" s="2"/>
      <c r="Z88" s="7">
        <f t="shared" si="62"/>
        <v>-1</v>
      </c>
    </row>
    <row r="89" spans="1:26" s="23" customFormat="1" hidden="1" outlineLevel="2" x14ac:dyDescent="0.25">
      <c r="A89" s="25"/>
      <c r="B89" s="10" t="str">
        <f>CONCATENATE("          ", "6241", " - ", "OFFICE EXPENSE")</f>
        <v xml:space="preserve">          6241 - OFFICE EXPENSE</v>
      </c>
      <c r="C89" s="10"/>
      <c r="D89" s="6"/>
      <c r="E89" s="2"/>
      <c r="F89" s="7">
        <f t="shared" si="55"/>
        <v>0</v>
      </c>
      <c r="G89" s="2"/>
      <c r="H89" s="6">
        <v>33.74</v>
      </c>
      <c r="I89" s="2"/>
      <c r="J89" s="7">
        <f t="shared" si="56"/>
        <v>2.076619888146877E-4</v>
      </c>
      <c r="K89" s="2"/>
      <c r="L89" s="6">
        <f t="shared" si="57"/>
        <v>-33.74</v>
      </c>
      <c r="M89" s="2"/>
      <c r="N89" s="7">
        <f t="shared" si="58"/>
        <v>-1</v>
      </c>
      <c r="O89" s="10"/>
      <c r="P89" s="6">
        <v>131.30000000000001</v>
      </c>
      <c r="Q89" s="2"/>
      <c r="R89" s="7">
        <f t="shared" si="59"/>
        <v>4.6543448823475192E-2</v>
      </c>
      <c r="S89" s="2"/>
      <c r="T89" s="6">
        <v>2377.21</v>
      </c>
      <c r="U89" s="2"/>
      <c r="V89" s="7">
        <f t="shared" si="60"/>
        <v>1.0053602153874124E-3</v>
      </c>
      <c r="W89" s="2"/>
      <c r="X89" s="6">
        <f t="shared" si="61"/>
        <v>-2245.91</v>
      </c>
      <c r="Y89" s="2"/>
      <c r="Z89" s="7">
        <f t="shared" si="62"/>
        <v>-0.94476718506147961</v>
      </c>
    </row>
    <row r="90" spans="1:26" s="23" customFormat="1" hidden="1" outlineLevel="2" x14ac:dyDescent="0.25">
      <c r="A90" s="25"/>
      <c r="B90" s="10" t="str">
        <f>CONCATENATE("          ", "6243", " - ", "PAPER SUPPLIES")</f>
        <v xml:space="preserve">          6243 - PAPER SUPPLIES</v>
      </c>
      <c r="C90" s="10"/>
      <c r="D90" s="6"/>
      <c r="E90" s="2"/>
      <c r="F90" s="7">
        <f t="shared" si="55"/>
        <v>0</v>
      </c>
      <c r="G90" s="2"/>
      <c r="H90" s="6">
        <v>127.44</v>
      </c>
      <c r="I90" s="2"/>
      <c r="J90" s="7">
        <f t="shared" si="56"/>
        <v>7.8436407393431523E-4</v>
      </c>
      <c r="K90" s="2"/>
      <c r="L90" s="6">
        <f t="shared" si="57"/>
        <v>-127.44</v>
      </c>
      <c r="M90" s="2"/>
      <c r="N90" s="7">
        <f t="shared" si="58"/>
        <v>-1</v>
      </c>
      <c r="O90" s="10"/>
      <c r="P90" s="6"/>
      <c r="Q90" s="2"/>
      <c r="R90" s="7">
        <f t="shared" si="59"/>
        <v>0</v>
      </c>
      <c r="S90" s="2"/>
      <c r="T90" s="6">
        <v>4964.92</v>
      </c>
      <c r="U90" s="2"/>
      <c r="V90" s="7">
        <f t="shared" si="60"/>
        <v>2.0997442550642438E-3</v>
      </c>
      <c r="W90" s="2"/>
      <c r="X90" s="6">
        <f t="shared" si="61"/>
        <v>-4964.92</v>
      </c>
      <c r="Y90" s="2"/>
      <c r="Z90" s="7">
        <f t="shared" si="62"/>
        <v>-1</v>
      </c>
    </row>
    <row r="91" spans="1:26" s="23" customFormat="1" hidden="1" outlineLevel="2" x14ac:dyDescent="0.25">
      <c r="A91" s="25"/>
      <c r="B91" s="10" t="str">
        <f>CONCATENATE("          ", "6245", " - ", "PRINTING")</f>
        <v xml:space="preserve">          6245 - PRINTING</v>
      </c>
      <c r="C91" s="10"/>
      <c r="D91" s="6"/>
      <c r="E91" s="2"/>
      <c r="F91" s="7">
        <f t="shared" si="55"/>
        <v>0</v>
      </c>
      <c r="G91" s="2"/>
      <c r="H91" s="6"/>
      <c r="I91" s="2"/>
      <c r="J91" s="7">
        <f t="shared" si="56"/>
        <v>0</v>
      </c>
      <c r="K91" s="2"/>
      <c r="L91" s="6">
        <f t="shared" si="57"/>
        <v>0</v>
      </c>
      <c r="M91" s="2"/>
      <c r="N91" s="7">
        <f t="shared" si="58"/>
        <v>0</v>
      </c>
      <c r="O91" s="10"/>
      <c r="P91" s="6"/>
      <c r="Q91" s="2"/>
      <c r="R91" s="7">
        <f t="shared" si="59"/>
        <v>0</v>
      </c>
      <c r="S91" s="2"/>
      <c r="T91" s="6">
        <v>81.739999999999995</v>
      </c>
      <c r="U91" s="2"/>
      <c r="V91" s="7">
        <f t="shared" si="60"/>
        <v>3.4569156282266642E-5</v>
      </c>
      <c r="W91" s="2"/>
      <c r="X91" s="6">
        <f t="shared" si="61"/>
        <v>-81.739999999999995</v>
      </c>
      <c r="Y91" s="2"/>
      <c r="Z91" s="7">
        <f t="shared" si="62"/>
        <v>-1</v>
      </c>
    </row>
    <row r="92" spans="1:26" s="23" customFormat="1" hidden="1" outlineLevel="2" x14ac:dyDescent="0.25">
      <c r="A92" s="25"/>
      <c r="B92" s="10" t="str">
        <f>CONCATENATE("          ", "6247", " - ", "STORE SUPPLIES")</f>
        <v xml:space="preserve">          6247 - STORE SUPPLIES</v>
      </c>
      <c r="C92" s="10"/>
      <c r="D92" s="6"/>
      <c r="E92" s="2"/>
      <c r="F92" s="7">
        <f t="shared" si="55"/>
        <v>0</v>
      </c>
      <c r="G92" s="2"/>
      <c r="H92" s="6">
        <v>145.47999999999999</v>
      </c>
      <c r="I92" s="2"/>
      <c r="J92" s="7">
        <f t="shared" si="56"/>
        <v>8.9539615094133855E-4</v>
      </c>
      <c r="K92" s="2"/>
      <c r="L92" s="6">
        <f t="shared" si="57"/>
        <v>-145.47999999999999</v>
      </c>
      <c r="M92" s="2"/>
      <c r="N92" s="7">
        <f t="shared" si="58"/>
        <v>-1</v>
      </c>
      <c r="O92" s="10"/>
      <c r="P92" s="6">
        <v>121.28</v>
      </c>
      <c r="Q92" s="2"/>
      <c r="R92" s="7">
        <f t="shared" si="59"/>
        <v>4.2991542066344791E-2</v>
      </c>
      <c r="S92" s="2"/>
      <c r="T92" s="6">
        <v>35977.71</v>
      </c>
      <c r="U92" s="2"/>
      <c r="V92" s="7">
        <f t="shared" si="60"/>
        <v>1.521555027731915E-2</v>
      </c>
      <c r="W92" s="2"/>
      <c r="X92" s="6">
        <f t="shared" si="61"/>
        <v>-35856.43</v>
      </c>
      <c r="Y92" s="2"/>
      <c r="Z92" s="7">
        <f t="shared" si="62"/>
        <v>-0.99662902391508523</v>
      </c>
    </row>
    <row r="93" spans="1:26" s="23" customFormat="1" hidden="1" outlineLevel="2" x14ac:dyDescent="0.25">
      <c r="A93" s="25"/>
      <c r="B93" s="10" t="str">
        <f>CONCATENATE("          ", "6248", " - ", "UNIFORMS")</f>
        <v xml:space="preserve">          6248 - UNIFORMS</v>
      </c>
      <c r="C93" s="10"/>
      <c r="D93" s="6"/>
      <c r="E93" s="2"/>
      <c r="F93" s="7">
        <f t="shared" si="55"/>
        <v>0</v>
      </c>
      <c r="G93" s="2"/>
      <c r="H93" s="6">
        <v>153.11000000000001</v>
      </c>
      <c r="I93" s="2"/>
      <c r="J93" s="7">
        <f t="shared" si="56"/>
        <v>9.4235705712557305E-4</v>
      </c>
      <c r="K93" s="2"/>
      <c r="L93" s="6">
        <f t="shared" si="57"/>
        <v>-153.11000000000001</v>
      </c>
      <c r="M93" s="2"/>
      <c r="N93" s="7">
        <f t="shared" si="58"/>
        <v>-1</v>
      </c>
      <c r="O93" s="10"/>
      <c r="P93" s="6"/>
      <c r="Q93" s="2"/>
      <c r="R93" s="7">
        <f t="shared" si="59"/>
        <v>0</v>
      </c>
      <c r="S93" s="2"/>
      <c r="T93" s="6">
        <v>153.11000000000001</v>
      </c>
      <c r="U93" s="2"/>
      <c r="V93" s="7">
        <f t="shared" si="60"/>
        <v>6.4752673334693496E-5</v>
      </c>
      <c r="W93" s="2"/>
      <c r="X93" s="6">
        <f t="shared" si="61"/>
        <v>-153.11000000000001</v>
      </c>
      <c r="Y93" s="2"/>
      <c r="Z93" s="7">
        <f t="shared" si="62"/>
        <v>-1</v>
      </c>
    </row>
    <row r="94" spans="1:26" s="26" customFormat="1" outlineLevel="1" collapsed="1" x14ac:dyDescent="0.25">
      <c r="A94" s="27"/>
      <c r="B94" s="12" t="str">
        <f>CONCATENATE("     ","Telephone/Data Lines                              ")</f>
        <v xml:space="preserve">     Telephone/Data Lines                              </v>
      </c>
      <c r="C94" s="12"/>
      <c r="D94" s="1">
        <f>SUM(OSRRefD22_19x_0)</f>
        <v>181.45</v>
      </c>
      <c r="E94" s="1"/>
      <c r="F94" s="5">
        <f t="shared" ref="F94:F99" si="63">IF(D$12=0,0,D94/D$12)</f>
        <v>1.8045748383888611</v>
      </c>
      <c r="G94" s="1"/>
      <c r="H94" s="1">
        <f>SUM(OSRRefH22_19x_0)</f>
        <v>563.37</v>
      </c>
      <c r="I94" s="1"/>
      <c r="J94" s="5">
        <f t="shared" ref="J94:J99" si="64">IF(H$12=0,0,H94/H$12)</f>
        <v>3.467413593317445E-3</v>
      </c>
      <c r="K94" s="1"/>
      <c r="L94" s="1">
        <f t="shared" ref="L94:L99" si="65">+D94-H94</f>
        <v>-381.92</v>
      </c>
      <c r="M94" s="1"/>
      <c r="N94" s="5">
        <f t="shared" ref="N94:N99" si="66">IF(H94=0,0,L94/H94)</f>
        <v>-0.6779203720467899</v>
      </c>
      <c r="O94" s="12"/>
      <c r="P94" s="1">
        <f>SUM(OSRRefP22_19x_0)</f>
        <v>3192.89</v>
      </c>
      <c r="Q94" s="1"/>
      <c r="R94" s="5">
        <f t="shared" ref="R94:R99" si="67">IF(P$12=0,0,P94/P$12)</f>
        <v>1.1318211143487105</v>
      </c>
      <c r="S94" s="1"/>
      <c r="T94" s="1">
        <f>SUM(OSRRefT22_19x_0)</f>
        <v>3496.3</v>
      </c>
      <c r="U94" s="1"/>
      <c r="V94" s="5">
        <f t="shared" ref="V94:V99" si="68">IF(T$12=0,0,T94/T$12)</f>
        <v>1.4786413152641162E-3</v>
      </c>
      <c r="W94" s="1"/>
      <c r="X94" s="1">
        <f t="shared" ref="X94:X99" si="69">+P94-T94</f>
        <v>-303.41000000000031</v>
      </c>
      <c r="Y94" s="1"/>
      <c r="Z94" s="5">
        <f t="shared" ref="Z94:Z99" si="70">IF(T94=0,0,X94/T94)</f>
        <v>-8.678031061407783E-2</v>
      </c>
    </row>
    <row r="95" spans="1:26" s="23" customFormat="1" hidden="1" outlineLevel="2" x14ac:dyDescent="0.25">
      <c r="A95" s="25"/>
      <c r="B95" s="10" t="str">
        <f>CONCATENATE("          ", "6309", " - ", "TELEPHONE")</f>
        <v xml:space="preserve">          6309 - TELEPHONE</v>
      </c>
      <c r="C95" s="10"/>
      <c r="D95" s="6">
        <v>181.45</v>
      </c>
      <c r="E95" s="2"/>
      <c r="F95" s="7">
        <f t="shared" si="63"/>
        <v>1.8045748383888611</v>
      </c>
      <c r="G95" s="2"/>
      <c r="H95" s="6">
        <v>563.37</v>
      </c>
      <c r="I95" s="2"/>
      <c r="J95" s="7">
        <f t="shared" si="64"/>
        <v>3.467413593317445E-3</v>
      </c>
      <c r="K95" s="2"/>
      <c r="L95" s="6">
        <f t="shared" si="65"/>
        <v>-381.92</v>
      </c>
      <c r="M95" s="2"/>
      <c r="N95" s="7">
        <f t="shared" si="66"/>
        <v>-0.6779203720467899</v>
      </c>
      <c r="O95" s="10"/>
      <c r="P95" s="6">
        <v>3192.89</v>
      </c>
      <c r="Q95" s="2"/>
      <c r="R95" s="7">
        <f t="shared" si="67"/>
        <v>1.1318211143487105</v>
      </c>
      <c r="S95" s="2"/>
      <c r="T95" s="6">
        <v>3496.3</v>
      </c>
      <c r="U95" s="2"/>
      <c r="V95" s="7">
        <f t="shared" si="68"/>
        <v>1.4786413152641162E-3</v>
      </c>
      <c r="W95" s="2"/>
      <c r="X95" s="6">
        <f t="shared" si="69"/>
        <v>-303.41000000000031</v>
      </c>
      <c r="Y95" s="2"/>
      <c r="Z95" s="7">
        <f t="shared" si="70"/>
        <v>-8.678031061407783E-2</v>
      </c>
    </row>
    <row r="96" spans="1:26" s="26" customFormat="1" outlineLevel="1" collapsed="1" x14ac:dyDescent="0.25">
      <c r="A96" s="27"/>
      <c r="B96" s="12" t="str">
        <f>CONCATENATE("     ","Training                                          ")</f>
        <v xml:space="preserve">     Training                                          </v>
      </c>
      <c r="C96" s="12"/>
      <c r="D96" s="1">
        <f>SUM(OSRRefD22_20x_0)</f>
        <v>0</v>
      </c>
      <c r="E96" s="1"/>
      <c r="F96" s="5">
        <f t="shared" si="63"/>
        <v>0</v>
      </c>
      <c r="G96" s="1"/>
      <c r="H96" s="1">
        <f>SUM(OSRRefH22_20x_0)</f>
        <v>0</v>
      </c>
      <c r="I96" s="1"/>
      <c r="J96" s="5">
        <f t="shared" si="64"/>
        <v>0</v>
      </c>
      <c r="K96" s="1"/>
      <c r="L96" s="1">
        <f t="shared" si="65"/>
        <v>0</v>
      </c>
      <c r="M96" s="1"/>
      <c r="N96" s="5">
        <f t="shared" si="66"/>
        <v>0</v>
      </c>
      <c r="O96" s="12"/>
      <c r="P96" s="1">
        <f>SUM(OSRRefP22_20x_0)</f>
        <v>0</v>
      </c>
      <c r="Q96" s="1"/>
      <c r="R96" s="5">
        <f t="shared" si="67"/>
        <v>0</v>
      </c>
      <c r="S96" s="1"/>
      <c r="T96" s="1">
        <f>SUM(OSRRefT22_20x_0)</f>
        <v>110</v>
      </c>
      <c r="U96" s="1"/>
      <c r="V96" s="5">
        <f t="shared" si="68"/>
        <v>4.6520763286632381E-5</v>
      </c>
      <c r="W96" s="1"/>
      <c r="X96" s="1">
        <f t="shared" si="69"/>
        <v>-110</v>
      </c>
      <c r="Y96" s="1"/>
      <c r="Z96" s="5">
        <f t="shared" si="70"/>
        <v>-1</v>
      </c>
    </row>
    <row r="97" spans="1:26" s="23" customFormat="1" hidden="1" outlineLevel="2" x14ac:dyDescent="0.25">
      <c r="A97" s="25"/>
      <c r="B97" s="10" t="str">
        <f>CONCATENATE("          ", "6376", " - ", "TRAINING")</f>
        <v xml:space="preserve">          6376 - TRAINING</v>
      </c>
      <c r="C97" s="10"/>
      <c r="D97" s="6"/>
      <c r="E97" s="2"/>
      <c r="F97" s="7">
        <f t="shared" si="63"/>
        <v>0</v>
      </c>
      <c r="G97" s="2"/>
      <c r="H97" s="6"/>
      <c r="I97" s="2"/>
      <c r="J97" s="7">
        <f t="shared" si="64"/>
        <v>0</v>
      </c>
      <c r="K97" s="2"/>
      <c r="L97" s="6">
        <f t="shared" si="65"/>
        <v>0</v>
      </c>
      <c r="M97" s="2"/>
      <c r="N97" s="7">
        <f t="shared" si="66"/>
        <v>0</v>
      </c>
      <c r="O97" s="10"/>
      <c r="P97" s="6"/>
      <c r="Q97" s="2"/>
      <c r="R97" s="7">
        <f t="shared" si="67"/>
        <v>0</v>
      </c>
      <c r="S97" s="2"/>
      <c r="T97" s="6">
        <v>110</v>
      </c>
      <c r="U97" s="2"/>
      <c r="V97" s="7">
        <f t="shared" si="68"/>
        <v>4.6520763286632381E-5</v>
      </c>
      <c r="W97" s="2"/>
      <c r="X97" s="6">
        <f t="shared" si="69"/>
        <v>-110</v>
      </c>
      <c r="Y97" s="2"/>
      <c r="Z97" s="7">
        <f t="shared" si="70"/>
        <v>-1</v>
      </c>
    </row>
    <row r="98" spans="1:26" s="26" customFormat="1" outlineLevel="1" collapsed="1" x14ac:dyDescent="0.25">
      <c r="A98" s="27"/>
      <c r="B98" s="12" t="str">
        <f>CONCATENATE("     ","Utilities                                         ")</f>
        <v xml:space="preserve">     Utilities                                         </v>
      </c>
      <c r="C98" s="12"/>
      <c r="D98" s="1">
        <f>SUM(OSRRefD22_21x_0)</f>
        <v>-1182</v>
      </c>
      <c r="E98" s="1"/>
      <c r="F98" s="5">
        <f t="shared" si="63"/>
        <v>-11.755345599204377</v>
      </c>
      <c r="G98" s="1"/>
      <c r="H98" s="1">
        <f>SUM(OSRRefH22_21x_0)</f>
        <v>1122</v>
      </c>
      <c r="I98" s="1"/>
      <c r="J98" s="5">
        <f t="shared" si="64"/>
        <v>6.9056535699490093E-3</v>
      </c>
      <c r="K98" s="1"/>
      <c r="L98" s="1">
        <f t="shared" si="65"/>
        <v>-2304</v>
      </c>
      <c r="M98" s="1"/>
      <c r="N98" s="5">
        <f t="shared" si="66"/>
        <v>-2.0534759358288772</v>
      </c>
      <c r="O98" s="12"/>
      <c r="P98" s="1">
        <f>SUM(OSRRefP22_21x_0)</f>
        <v>4648</v>
      </c>
      <c r="Q98" s="1"/>
      <c r="R98" s="5">
        <f t="shared" si="67"/>
        <v>1.6476309987167759</v>
      </c>
      <c r="S98" s="1"/>
      <c r="T98" s="1">
        <f>SUM(OSRRefT22_21x_0)</f>
        <v>8803.1200000000008</v>
      </c>
      <c r="U98" s="1"/>
      <c r="V98" s="5">
        <f t="shared" si="68"/>
        <v>3.7229805609438112E-3</v>
      </c>
      <c r="W98" s="1"/>
      <c r="X98" s="1">
        <f t="shared" si="69"/>
        <v>-4155.1200000000008</v>
      </c>
      <c r="Y98" s="1"/>
      <c r="Z98" s="5">
        <f t="shared" si="70"/>
        <v>-0.47200537991075897</v>
      </c>
    </row>
    <row r="99" spans="1:26" s="23" customFormat="1" hidden="1" outlineLevel="2" x14ac:dyDescent="0.25">
      <c r="A99" s="25"/>
      <c r="B99" s="10" t="str">
        <f>CONCATENATE("          ", "6274", " - ", "UTILITIES")</f>
        <v xml:space="preserve">          6274 - UTILITIES</v>
      </c>
      <c r="C99" s="10"/>
      <c r="D99" s="6">
        <v>-1182</v>
      </c>
      <c r="E99" s="2"/>
      <c r="F99" s="7">
        <f t="shared" si="63"/>
        <v>-11.755345599204377</v>
      </c>
      <c r="G99" s="2"/>
      <c r="H99" s="6">
        <v>1122</v>
      </c>
      <c r="I99" s="2"/>
      <c r="J99" s="7">
        <f t="shared" si="64"/>
        <v>6.9056535699490093E-3</v>
      </c>
      <c r="K99" s="2"/>
      <c r="L99" s="6">
        <f t="shared" si="65"/>
        <v>-2304</v>
      </c>
      <c r="M99" s="2"/>
      <c r="N99" s="7">
        <f t="shared" si="66"/>
        <v>-2.0534759358288772</v>
      </c>
      <c r="O99" s="10"/>
      <c r="P99" s="6">
        <v>4648</v>
      </c>
      <c r="Q99" s="2"/>
      <c r="R99" s="7">
        <f t="shared" si="67"/>
        <v>1.6476309987167759</v>
      </c>
      <c r="S99" s="2"/>
      <c r="T99" s="6">
        <v>8803.1200000000008</v>
      </c>
      <c r="U99" s="2"/>
      <c r="V99" s="7">
        <f t="shared" si="68"/>
        <v>3.7229805609438112E-3</v>
      </c>
      <c r="W99" s="2"/>
      <c r="X99" s="6">
        <f t="shared" si="69"/>
        <v>-4155.1200000000008</v>
      </c>
      <c r="Y99" s="2"/>
      <c r="Z99" s="7">
        <f t="shared" si="70"/>
        <v>-0.47200537991075897</v>
      </c>
    </row>
    <row r="100" spans="1:26" s="60" customFormat="1" x14ac:dyDescent="0.2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4" customFormat="1" x14ac:dyDescent="0.25">
      <c r="A101" s="11"/>
      <c r="B101" s="28" t="s">
        <v>292</v>
      </c>
      <c r="C101" s="11"/>
      <c r="D101" s="4">
        <f>SUM(0)</f>
        <v>0</v>
      </c>
      <c r="E101" s="4"/>
      <c r="F101" s="13">
        <f>IF(D$12=0,0,D101/D$12)</f>
        <v>0</v>
      </c>
      <c r="G101" s="4"/>
      <c r="H101" s="4">
        <f>SUM(0)</f>
        <v>0</v>
      </c>
      <c r="I101" s="4"/>
      <c r="J101" s="13">
        <f>IF(H$12=0,0,H101/H$12)</f>
        <v>0</v>
      </c>
      <c r="K101" s="4"/>
      <c r="L101" s="4">
        <f>+D101-H101</f>
        <v>0</v>
      </c>
      <c r="M101" s="4"/>
      <c r="N101" s="13">
        <f>IF(H101=0,0,L101/H101)</f>
        <v>0</v>
      </c>
      <c r="O101" s="11"/>
      <c r="P101" s="4">
        <f>SUM(0)</f>
        <v>0</v>
      </c>
      <c r="Q101" s="4"/>
      <c r="R101" s="13">
        <f>IF(P$12=0,0,P101/P$12)</f>
        <v>0</v>
      </c>
      <c r="S101" s="4"/>
      <c r="T101" s="4">
        <f>SUM(0)</f>
        <v>0</v>
      </c>
      <c r="U101" s="4"/>
      <c r="V101" s="13">
        <f>IF(T$12=0,0,T101/T$12)</f>
        <v>0</v>
      </c>
      <c r="W101" s="4"/>
      <c r="X101" s="4">
        <f>+P101-T101</f>
        <v>0</v>
      </c>
      <c r="Y101" s="4"/>
      <c r="Z101" s="13">
        <f>IF(T101=0,0,X101/T101)</f>
        <v>0</v>
      </c>
    </row>
    <row r="102" spans="1:26" x14ac:dyDescent="0.25">
      <c r="A102" s="9"/>
      <c r="B102" s="11"/>
      <c r="C102" s="11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1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4" customFormat="1" x14ac:dyDescent="0.25">
      <c r="A103" s="11"/>
      <c r="B103" s="29" t="s">
        <v>276</v>
      </c>
      <c r="C103" s="29"/>
      <c r="D103" s="22">
        <f>+D27-D29+D101</f>
        <v>-14033.840000000004</v>
      </c>
      <c r="E103" s="14"/>
      <c r="F103" s="20">
        <f>IF(D$12=0,0,D103/D$12)</f>
        <v>-139.57076081551472</v>
      </c>
      <c r="G103" s="14"/>
      <c r="H103" s="22">
        <f>+H27-H29+H101</f>
        <v>-29512.500000000044</v>
      </c>
      <c r="I103" s="14"/>
      <c r="J103" s="20">
        <f>IF(H$12=0,0,H103/H$12)</f>
        <v>-0.18164269249832482</v>
      </c>
      <c r="K103" s="15"/>
      <c r="L103" s="22">
        <f>+D103-H103</f>
        <v>15478.66000000004</v>
      </c>
      <c r="M103" s="15"/>
      <c r="N103" s="20">
        <f>IF(H103=0,0,L103/H103)</f>
        <v>-0.52447810249894167</v>
      </c>
      <c r="O103" s="28"/>
      <c r="P103" s="22">
        <f>+P27-P29+P101</f>
        <v>-242929.23999999996</v>
      </c>
      <c r="Q103" s="14"/>
      <c r="R103" s="20">
        <f>IF(P$12=0,0,P103/P$12)</f>
        <v>-86.113972960134959</v>
      </c>
      <c r="S103" s="14"/>
      <c r="T103" s="22">
        <f>+T27-T29+T101</f>
        <v>272626.27000000014</v>
      </c>
      <c r="U103" s="14"/>
      <c r="V103" s="20">
        <f>IF(T$12=0,0,T103/T$12)</f>
        <v>0.11529801974897756</v>
      </c>
      <c r="W103" s="15"/>
      <c r="X103" s="22">
        <f>+P103-T103</f>
        <v>-515555.51000000013</v>
      </c>
      <c r="Y103" s="15"/>
      <c r="Z103" s="20">
        <f>IF(T103=0,0,X103/T103)</f>
        <v>-1.8910705487039083</v>
      </c>
    </row>
    <row r="104" spans="1:26" x14ac:dyDescent="0.25">
      <c r="A104" s="9"/>
      <c r="B104" s="11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4" customFormat="1" x14ac:dyDescent="0.25">
      <c r="A105" s="51"/>
      <c r="B105" s="11" t="s">
        <v>127</v>
      </c>
      <c r="C105" s="11"/>
      <c r="D105" s="4">
        <v>42.64</v>
      </c>
      <c r="E105" s="4"/>
      <c r="F105" s="13">
        <f>IF(D$12=0,0,D105/D$12)</f>
        <v>0.42406762804574838</v>
      </c>
      <c r="G105" s="4"/>
      <c r="H105" s="4">
        <v>28932.26</v>
      </c>
      <c r="I105" s="4"/>
      <c r="J105" s="13">
        <f>IF(H$12=0,0,H105/H$12)</f>
        <v>0.17807144791059976</v>
      </c>
      <c r="K105" s="4"/>
      <c r="L105" s="4">
        <f>+D105-H105</f>
        <v>-28889.62</v>
      </c>
      <c r="M105" s="4"/>
      <c r="N105" s="13">
        <f>IF(H105=0,0,L105/H105)</f>
        <v>-0.99852621260834795</v>
      </c>
      <c r="O105" s="11"/>
      <c r="P105" s="4">
        <v>581.39</v>
      </c>
      <c r="Q105" s="4"/>
      <c r="R105" s="13">
        <f>IF(P$12=0,0,P105/P$12)</f>
        <v>0.2060921227073895</v>
      </c>
      <c r="S105" s="4"/>
      <c r="T105" s="4">
        <v>253365.72</v>
      </c>
      <c r="U105" s="4"/>
      <c r="V105" s="13">
        <f>IF(T$12=0,0,T105/T$12)</f>
        <v>0.10715242440970163</v>
      </c>
      <c r="W105" s="4"/>
      <c r="X105" s="4">
        <f>+P105-T105</f>
        <v>-252784.33</v>
      </c>
      <c r="Y105" s="4"/>
      <c r="Z105" s="13">
        <f>IF(T105=0,0,X105/T105)</f>
        <v>-0.99770533282876617</v>
      </c>
    </row>
    <row r="106" spans="1:26" x14ac:dyDescent="0.25">
      <c r="A106" s="9"/>
      <c r="B106" s="11"/>
      <c r="C106" s="11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1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4" customFormat="1" ht="15.75" thickBot="1" x14ac:dyDescent="0.3">
      <c r="A107" s="11"/>
      <c r="B107" s="29" t="s">
        <v>125</v>
      </c>
      <c r="C107" s="29"/>
      <c r="D107" s="30">
        <f>+D103-D105</f>
        <v>-14076.480000000003</v>
      </c>
      <c r="E107" s="14"/>
      <c r="F107" s="36">
        <f>IF(D$12=0,0,D107/D$12)</f>
        <v>-139.99482844356046</v>
      </c>
      <c r="G107" s="14"/>
      <c r="H107" s="30">
        <f>+H103-H105</f>
        <v>-58444.760000000038</v>
      </c>
      <c r="I107" s="14"/>
      <c r="J107" s="36">
        <f>IF(H$12=0,0,H107/H$12)</f>
        <v>-0.35971414040892452</v>
      </c>
      <c r="K107" s="15"/>
      <c r="L107" s="30">
        <f>D107-H107</f>
        <v>44368.280000000035</v>
      </c>
      <c r="M107" s="15"/>
      <c r="N107" s="36">
        <f>IF(H107=0,0,L107/H107)</f>
        <v>-0.75914898102071093</v>
      </c>
      <c r="O107" s="28"/>
      <c r="P107" s="30">
        <f>+P103-P105</f>
        <v>-243510.62999999998</v>
      </c>
      <c r="Q107" s="14"/>
      <c r="R107" s="36">
        <f>IF(P$12=0,0,P107/P$12)</f>
        <v>-86.320065082842348</v>
      </c>
      <c r="S107" s="14"/>
      <c r="T107" s="30">
        <f>+T103-T105</f>
        <v>19260.550000000134</v>
      </c>
      <c r="U107" s="14"/>
      <c r="V107" s="36">
        <f>IF(T$12=0,0,T107/T$12)</f>
        <v>8.1455953392759409E-3</v>
      </c>
      <c r="W107" s="15"/>
      <c r="X107" s="30">
        <f>P107-T107</f>
        <v>-262771.18000000011</v>
      </c>
      <c r="Y107" s="15"/>
      <c r="Z107" s="36">
        <f>IF(T107=0,0,X107/T107)</f>
        <v>-13.642973850694725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4" customFormat="1" ht="15.75" thickBot="1" x14ac:dyDescent="0.3">
      <c r="A110" s="11"/>
      <c r="B110" s="29" t="s">
        <v>293</v>
      </c>
      <c r="C110" s="29"/>
      <c r="D110" s="35">
        <f>SUM(D107:D109)</f>
        <v>-14076.480000000003</v>
      </c>
      <c r="E110" s="14"/>
      <c r="F110" s="34">
        <f>IF(D$12=0,0,D110/D$12)</f>
        <v>-139.99482844356046</v>
      </c>
      <c r="G110" s="14"/>
      <c r="H110" s="35">
        <f>SUM(H107:H109)</f>
        <v>-58444.760000000038</v>
      </c>
      <c r="I110" s="14"/>
      <c r="J110" s="34">
        <f>IF(H$12=0,0,H110/H$12)</f>
        <v>-0.35971414040892452</v>
      </c>
      <c r="K110" s="15"/>
      <c r="L110" s="35">
        <f>+D110-H110</f>
        <v>44368.280000000035</v>
      </c>
      <c r="M110" s="15"/>
      <c r="N110" s="34">
        <f>IF(H110=0,0,L110/H110)</f>
        <v>-0.75914898102071093</v>
      </c>
      <c r="O110" s="28"/>
      <c r="P110" s="35">
        <f>SUM(P107:P109)</f>
        <v>-243510.62999999998</v>
      </c>
      <c r="Q110" s="14"/>
      <c r="R110" s="34">
        <f>IF(P$12=0,0,P110/P$12)</f>
        <v>-86.320065082842348</v>
      </c>
      <c r="S110" s="14"/>
      <c r="T110" s="35">
        <f>SUM(T107:T109)</f>
        <v>19260.550000000134</v>
      </c>
      <c r="U110" s="14"/>
      <c r="V110" s="34">
        <f>IF(T$12=0,0,T110/T$12)</f>
        <v>8.1455953392759409E-3</v>
      </c>
      <c r="W110" s="15"/>
      <c r="X110" s="35">
        <f>+P110-T110</f>
        <v>-262771.18000000011</v>
      </c>
      <c r="Y110" s="15"/>
      <c r="Z110" s="34">
        <f>IF(T110=0,0,X110/T110)</f>
        <v>-13.642973850694725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4">
        <v>44295.96317422454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8" t="s">
        <v>56</v>
      </c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62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","309", " - ", "Carts")</f>
        <v>Department 309 - Carts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18986.29</v>
      </c>
      <c r="I12" s="4"/>
      <c r="J12" s="13"/>
      <c r="K12" s="4"/>
      <c r="L12" s="4">
        <f t="shared" ref="L12:L14" si="0">+D12-H12</f>
        <v>-18986.29</v>
      </c>
      <c r="M12" s="4"/>
      <c r="N12" s="13">
        <f t="shared" ref="N12:N14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287556.77999999997</v>
      </c>
      <c r="U12" s="4"/>
      <c r="V12" s="13"/>
      <c r="W12" s="4"/>
      <c r="X12" s="4">
        <f t="shared" ref="X12:X14" si="2">+P12-T12</f>
        <v>-287556.77999999997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>--3495.52</f>
        <v>3495.52</v>
      </c>
      <c r="I13" s="2"/>
      <c r="J13" s="19"/>
      <c r="K13" s="2"/>
      <c r="L13" s="2">
        <f t="shared" si="0"/>
        <v>-3495.52</v>
      </c>
      <c r="M13" s="2"/>
      <c r="N13" s="19">
        <f t="shared" si="1"/>
        <v>-1</v>
      </c>
      <c r="O13" s="10"/>
      <c r="P13" s="2">
        <f t="shared" ref="P13:P14" si="5">0</f>
        <v>0</v>
      </c>
      <c r="Q13" s="2"/>
      <c r="R13" s="19"/>
      <c r="S13" s="2"/>
      <c r="T13" s="2">
        <f>--64154.32</f>
        <v>64154.32</v>
      </c>
      <c r="U13" s="2"/>
      <c r="V13" s="19"/>
      <c r="W13" s="2"/>
      <c r="X13" s="2">
        <f t="shared" si="2"/>
        <v>-64154.32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--15490.77</f>
        <v>15490.77</v>
      </c>
      <c r="I14" s="2"/>
      <c r="J14" s="19"/>
      <c r="K14" s="2"/>
      <c r="L14" s="2">
        <f t="shared" si="0"/>
        <v>-15490.77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--223402.46</f>
        <v>223402.46</v>
      </c>
      <c r="U14" s="2"/>
      <c r="V14" s="19"/>
      <c r="W14" s="2"/>
      <c r="X14" s="2">
        <f t="shared" si="2"/>
        <v>-223402.46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9398.4599999999991</v>
      </c>
      <c r="I16" s="4"/>
      <c r="J16" s="13">
        <f t="shared" ref="J16:J18" si="7">IF(H$12=0,0,H16/H$12)</f>
        <v>0.49501298041902864</v>
      </c>
      <c r="K16" s="4"/>
      <c r="L16" s="4">
        <f t="shared" ref="L16:L18" si="8">+D16-H16</f>
        <v>-9398.4599999999991</v>
      </c>
      <c r="M16" s="4"/>
      <c r="N16" s="13">
        <f t="shared" ref="N16:N18" si="9">IF(H16=0,0,L16/H16)</f>
        <v>-1</v>
      </c>
      <c r="O16" s="11"/>
      <c r="P16" s="4">
        <f>SUM(OSRRefP16x_0)</f>
        <v>0</v>
      </c>
      <c r="Q16" s="4"/>
      <c r="R16" s="13">
        <f t="shared" ref="R16:R18" si="10">IF(P$12=0,0,P16/P$12)</f>
        <v>0</v>
      </c>
      <c r="S16" s="4"/>
      <c r="T16" s="4">
        <f>SUM(OSRRefT16x_0)</f>
        <v>135226.29999999999</v>
      </c>
      <c r="U16" s="4"/>
      <c r="V16" s="13">
        <f t="shared" ref="V16:V18" si="11">IF(T$12=0,0,T16/T$12)</f>
        <v>0.47025947362465248</v>
      </c>
      <c r="W16" s="4"/>
      <c r="X16" s="4">
        <f t="shared" ref="X16:X18" si="12">+P16-T16</f>
        <v>-135226.29999999999</v>
      </c>
      <c r="Y16" s="4"/>
      <c r="Z16" s="13">
        <f t="shared" ref="Z16:Z18" si="13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>
        <v>4816.46</v>
      </c>
      <c r="I17" s="2"/>
      <c r="J17" s="19">
        <f t="shared" si="7"/>
        <v>0.25368094556651138</v>
      </c>
      <c r="K17" s="2"/>
      <c r="L17" s="2">
        <f t="shared" si="8"/>
        <v>-4816.46</v>
      </c>
      <c r="M17" s="2"/>
      <c r="N17" s="19">
        <f t="shared" si="9"/>
        <v>-1</v>
      </c>
      <c r="O17" s="10"/>
      <c r="P17" s="2"/>
      <c r="Q17" s="2"/>
      <c r="R17" s="19">
        <f t="shared" si="10"/>
        <v>0</v>
      </c>
      <c r="S17" s="2"/>
      <c r="T17" s="2">
        <v>139300.97</v>
      </c>
      <c r="U17" s="2"/>
      <c r="V17" s="19">
        <f t="shared" si="11"/>
        <v>0.48442944033522706</v>
      </c>
      <c r="W17" s="2"/>
      <c r="X17" s="2">
        <f t="shared" si="12"/>
        <v>-139300.97</v>
      </c>
      <c r="Y17" s="2"/>
      <c r="Z17" s="19">
        <f t="shared" si="13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4582</v>
      </c>
      <c r="I18" s="2"/>
      <c r="J18" s="19">
        <f t="shared" si="7"/>
        <v>0.24133203485251725</v>
      </c>
      <c r="K18" s="2"/>
      <c r="L18" s="2">
        <f t="shared" si="8"/>
        <v>-4582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-4074.67</v>
      </c>
      <c r="U18" s="2"/>
      <c r="V18" s="19">
        <f t="shared" si="11"/>
        <v>-1.4169966710574518E-2</v>
      </c>
      <c r="W18" s="2"/>
      <c r="X18" s="2">
        <f t="shared" si="12"/>
        <v>4074.67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9587.8300000000017</v>
      </c>
      <c r="I20" s="14"/>
      <c r="J20" s="20">
        <f>IF(H$12=0,0,H20/H$12)</f>
        <v>0.50498701958097136</v>
      </c>
      <c r="K20" s="15"/>
      <c r="L20" s="22">
        <f>+D20-H20</f>
        <v>-9587.8300000000017</v>
      </c>
      <c r="M20" s="15"/>
      <c r="N20" s="20">
        <f>IF(H20=0,0,L20/H20)</f>
        <v>-1</v>
      </c>
      <c r="O20" s="28"/>
      <c r="P20" s="22">
        <f>P12-P16</f>
        <v>0</v>
      </c>
      <c r="Q20" s="14"/>
      <c r="R20" s="20">
        <f>IF(P$12=0,0,P20/P$12)</f>
        <v>0</v>
      </c>
      <c r="S20" s="14"/>
      <c r="T20" s="22">
        <f>T12-T16</f>
        <v>152330.47999999998</v>
      </c>
      <c r="U20" s="14"/>
      <c r="V20" s="20">
        <f>IF(T$12=0,0,T20/T$12)</f>
        <v>0.52974052637534752</v>
      </c>
      <c r="W20" s="15"/>
      <c r="X20" s="22">
        <f>+P20-T20</f>
        <v>-152330.47999999998</v>
      </c>
      <c r="Y20" s="15"/>
      <c r="Z20" s="20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950.26</v>
      </c>
      <c r="E22" s="21"/>
      <c r="F22" s="31">
        <f t="shared" ref="F22:F31" si="14">IF(D$12=0,0,D22/D$12)</f>
        <v>0</v>
      </c>
      <c r="G22" s="21"/>
      <c r="H22" s="21">
        <f>SUM(OSRRefH22x_0)</f>
        <v>12513.34</v>
      </c>
      <c r="I22" s="21"/>
      <c r="J22" s="31">
        <f t="shared" ref="J22:J31" si="15">IF(H$12=0,0,H22/H$12)</f>
        <v>0.65907241488463519</v>
      </c>
      <c r="K22" s="4"/>
      <c r="L22" s="21">
        <f t="shared" ref="L22:L31" si="16">+D22-H22</f>
        <v>-11563.08</v>
      </c>
      <c r="M22" s="4"/>
      <c r="N22" s="31">
        <f t="shared" ref="N22:N31" si="17">IF(H22=0,0,L22/H22)</f>
        <v>-0.92406024290876776</v>
      </c>
      <c r="O22" s="11"/>
      <c r="P22" s="21">
        <f>SUM(OSRRefP22x_0)</f>
        <v>8721.3599999999988</v>
      </c>
      <c r="Q22" s="21"/>
      <c r="R22" s="31">
        <f t="shared" ref="R22:R31" si="18">IF(P$12=0,0,P22/P$12)</f>
        <v>0</v>
      </c>
      <c r="S22" s="21"/>
      <c r="T22" s="21">
        <f>SUM(OSRRefT22x_0)</f>
        <v>128433.82</v>
      </c>
      <c r="U22" s="21"/>
      <c r="V22" s="31">
        <f t="shared" ref="V22:V31" si="19">IF(T$12=0,0,T22/T$12)</f>
        <v>0.44663812134772141</v>
      </c>
      <c r="W22" s="4"/>
      <c r="X22" s="21">
        <f t="shared" ref="X22:X31" si="20">+P22-T22</f>
        <v>-119712.46</v>
      </c>
      <c r="Y22" s="4"/>
      <c r="Z22" s="31">
        <f t="shared" ref="Z22:Z31" si="21">IF(T22=0,0,X22/T22)</f>
        <v>-0.93209452152088912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813.13999999999987</v>
      </c>
      <c r="I23" s="1"/>
      <c r="J23" s="5">
        <f t="shared" si="15"/>
        <v>4.2827745704927075E-2</v>
      </c>
      <c r="K23" s="1"/>
      <c r="L23" s="1">
        <f t="shared" si="16"/>
        <v>-813.13999999999987</v>
      </c>
      <c r="M23" s="1"/>
      <c r="N23" s="5">
        <f t="shared" si="17"/>
        <v>-1</v>
      </c>
      <c r="O23" s="12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12949.68</v>
      </c>
      <c r="U23" s="1"/>
      <c r="V23" s="5">
        <f t="shared" si="19"/>
        <v>4.5033471302606744E-2</v>
      </c>
      <c r="W23" s="1"/>
      <c r="X23" s="1">
        <f t="shared" si="20"/>
        <v>-12949.68</v>
      </c>
      <c r="Y23" s="1"/>
      <c r="Z23" s="5">
        <f t="shared" si="21"/>
        <v>-1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590.80999999999995</v>
      </c>
      <c r="I24" s="2"/>
      <c r="J24" s="7">
        <f t="shared" si="15"/>
        <v>3.1117717047406308E-2</v>
      </c>
      <c r="K24" s="2"/>
      <c r="L24" s="6">
        <f t="shared" si="16"/>
        <v>-590.80999999999995</v>
      </c>
      <c r="M24" s="2"/>
      <c r="N24" s="7">
        <f t="shared" si="17"/>
        <v>-1</v>
      </c>
      <c r="O24" s="10"/>
      <c r="P24" s="6"/>
      <c r="Q24" s="2"/>
      <c r="R24" s="7">
        <f t="shared" si="18"/>
        <v>0</v>
      </c>
      <c r="S24" s="2"/>
      <c r="T24" s="6">
        <v>3698.79</v>
      </c>
      <c r="U24" s="2"/>
      <c r="V24" s="7">
        <f t="shared" si="19"/>
        <v>1.2862816171470554E-2</v>
      </c>
      <c r="W24" s="2"/>
      <c r="X24" s="6">
        <f t="shared" si="20"/>
        <v>-3698.79</v>
      </c>
      <c r="Y24" s="2"/>
      <c r="Z24" s="7">
        <f t="shared" si="21"/>
        <v>-1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>
        <v>195.57</v>
      </c>
      <c r="I25" s="2"/>
      <c r="J25" s="7">
        <f t="shared" si="15"/>
        <v>1.0300590584047751E-2</v>
      </c>
      <c r="K25" s="2"/>
      <c r="L25" s="6">
        <f t="shared" si="16"/>
        <v>-195.57</v>
      </c>
      <c r="M25" s="2"/>
      <c r="N25" s="7">
        <f t="shared" si="17"/>
        <v>-1</v>
      </c>
      <c r="O25" s="10"/>
      <c r="P25" s="6"/>
      <c r="Q25" s="2"/>
      <c r="R25" s="7">
        <f t="shared" si="18"/>
        <v>0</v>
      </c>
      <c r="S25" s="2"/>
      <c r="T25" s="6">
        <v>1342.55</v>
      </c>
      <c r="U25" s="2"/>
      <c r="V25" s="7">
        <f t="shared" si="19"/>
        <v>4.6688170593647627E-3</v>
      </c>
      <c r="W25" s="2"/>
      <c r="X25" s="6">
        <f t="shared" si="20"/>
        <v>-1342.55</v>
      </c>
      <c r="Y25" s="2"/>
      <c r="Z25" s="7">
        <f t="shared" si="21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0"/>
      <c r="P26" s="6"/>
      <c r="Q26" s="2"/>
      <c r="R26" s="7">
        <f t="shared" si="18"/>
        <v>0</v>
      </c>
      <c r="S26" s="2"/>
      <c r="T26" s="6">
        <v>4829.7</v>
      </c>
      <c r="U26" s="2"/>
      <c r="V26" s="7">
        <f t="shared" si="19"/>
        <v>1.6795639455971095E-2</v>
      </c>
      <c r="W26" s="2"/>
      <c r="X26" s="6">
        <f t="shared" si="20"/>
        <v>-4829.7</v>
      </c>
      <c r="Y26" s="2"/>
      <c r="Z26" s="7">
        <f t="shared" si="21"/>
        <v>-1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26.76</v>
      </c>
      <c r="I27" s="2"/>
      <c r="J27" s="7">
        <f t="shared" si="15"/>
        <v>1.4094380734730166E-3</v>
      </c>
      <c r="K27" s="2"/>
      <c r="L27" s="6">
        <f t="shared" si="16"/>
        <v>-26.76</v>
      </c>
      <c r="M27" s="2"/>
      <c r="N27" s="7">
        <f t="shared" si="17"/>
        <v>-1</v>
      </c>
      <c r="O27" s="10"/>
      <c r="P27" s="6"/>
      <c r="Q27" s="2"/>
      <c r="R27" s="7">
        <f t="shared" si="18"/>
        <v>0</v>
      </c>
      <c r="S27" s="2"/>
      <c r="T27" s="6">
        <v>196.77</v>
      </c>
      <c r="U27" s="2"/>
      <c r="V27" s="7">
        <f t="shared" si="19"/>
        <v>6.8428224853540236E-4</v>
      </c>
      <c r="W27" s="2"/>
      <c r="X27" s="6">
        <f t="shared" si="20"/>
        <v>-196.77</v>
      </c>
      <c r="Y27" s="2"/>
      <c r="Z27" s="7">
        <f t="shared" si="21"/>
        <v>-1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0"/>
      <c r="P28" s="6"/>
      <c r="Q28" s="2"/>
      <c r="R28" s="7">
        <f t="shared" si="18"/>
        <v>0</v>
      </c>
      <c r="S28" s="2"/>
      <c r="T28" s="6">
        <v>938.77</v>
      </c>
      <c r="U28" s="2"/>
      <c r="V28" s="7">
        <f t="shared" si="19"/>
        <v>3.2646422038805694E-3</v>
      </c>
      <c r="W28" s="2"/>
      <c r="X28" s="6">
        <f t="shared" si="20"/>
        <v>-938.77</v>
      </c>
      <c r="Y28" s="2"/>
      <c r="Z28" s="7">
        <f t="shared" si="21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0"/>
      <c r="P29" s="6"/>
      <c r="Q29" s="2"/>
      <c r="R29" s="7">
        <f t="shared" si="18"/>
        <v>0</v>
      </c>
      <c r="S29" s="2"/>
      <c r="T29" s="6">
        <v>480.48</v>
      </c>
      <c r="U29" s="2"/>
      <c r="V29" s="7">
        <f t="shared" si="19"/>
        <v>1.670904786178229E-3</v>
      </c>
      <c r="W29" s="2"/>
      <c r="X29" s="6">
        <f t="shared" si="20"/>
        <v>-480.48</v>
      </c>
      <c r="Y29" s="2"/>
      <c r="Z29" s="7">
        <f t="shared" si="21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0"/>
      <c r="P30" s="6"/>
      <c r="Q30" s="2"/>
      <c r="R30" s="7">
        <f t="shared" si="18"/>
        <v>0</v>
      </c>
      <c r="S30" s="2"/>
      <c r="T30" s="6">
        <v>575.64</v>
      </c>
      <c r="U30" s="2"/>
      <c r="V30" s="7">
        <f t="shared" si="19"/>
        <v>2.0018307340901511E-3</v>
      </c>
      <c r="W30" s="2"/>
      <c r="X30" s="6">
        <f t="shared" si="20"/>
        <v>-575.64</v>
      </c>
      <c r="Y30" s="2"/>
      <c r="Z30" s="7">
        <f t="shared" si="21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0"/>
      <c r="P31" s="6"/>
      <c r="Q31" s="2"/>
      <c r="R31" s="7">
        <f t="shared" si="18"/>
        <v>0</v>
      </c>
      <c r="S31" s="2"/>
      <c r="T31" s="6">
        <v>886.98</v>
      </c>
      <c r="U31" s="2"/>
      <c r="V31" s="7">
        <f t="shared" si="19"/>
        <v>3.0845386431159793E-3</v>
      </c>
      <c r="W31" s="2"/>
      <c r="X31" s="6">
        <f t="shared" si="20"/>
        <v>-886.98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8783.0499999999993</v>
      </c>
      <c r="I32" s="1"/>
      <c r="J32" s="5">
        <f t="shared" ref="J32:J37" si="23">IF(H$12=0,0,H32/H$12)</f>
        <v>0.46259959160004399</v>
      </c>
      <c r="K32" s="1"/>
      <c r="L32" s="1">
        <f t="shared" ref="L32:L37" si="24">+D32-H32</f>
        <v>-8783.0499999999993</v>
      </c>
      <c r="M32" s="1"/>
      <c r="N32" s="5">
        <f t="shared" ref="N32:N37" si="25">IF(H32=0,0,L32/H32)</f>
        <v>-1</v>
      </c>
      <c r="O32" s="12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74718.25</v>
      </c>
      <c r="U32" s="1"/>
      <c r="V32" s="5">
        <f t="shared" ref="V32:V37" si="27">IF(T$12=0,0,T32/T$12)</f>
        <v>0.25983824829308494</v>
      </c>
      <c r="W32" s="1"/>
      <c r="X32" s="1">
        <f t="shared" ref="X32:X37" si="28">+P32-T32</f>
        <v>-74718.25</v>
      </c>
      <c r="Y32" s="1"/>
      <c r="Z32" s="5">
        <f t="shared" ref="Z32:Z37" si="29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0"/>
      <c r="P33" s="6"/>
      <c r="Q33" s="2"/>
      <c r="R33" s="7">
        <f t="shared" si="26"/>
        <v>0</v>
      </c>
      <c r="S33" s="2"/>
      <c r="T33" s="6">
        <v>9840</v>
      </c>
      <c r="U33" s="2"/>
      <c r="V33" s="7">
        <f t="shared" si="27"/>
        <v>3.4219328787865828E-2</v>
      </c>
      <c r="W33" s="2"/>
      <c r="X33" s="6">
        <f t="shared" si="28"/>
        <v>-9840</v>
      </c>
      <c r="Y33" s="2"/>
      <c r="Z33" s="7">
        <f t="shared" si="29"/>
        <v>-1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2"/>
        <v>0</v>
      </c>
      <c r="G34" s="2"/>
      <c r="H34" s="6">
        <v>5895.36</v>
      </c>
      <c r="I34" s="2"/>
      <c r="J34" s="7">
        <f t="shared" si="23"/>
        <v>0.31050615997122133</v>
      </c>
      <c r="K34" s="2"/>
      <c r="L34" s="6">
        <f t="shared" si="24"/>
        <v>-5895.36</v>
      </c>
      <c r="M34" s="2"/>
      <c r="N34" s="7">
        <f t="shared" si="25"/>
        <v>-1</v>
      </c>
      <c r="O34" s="10"/>
      <c r="P34" s="6"/>
      <c r="Q34" s="2"/>
      <c r="R34" s="7">
        <f t="shared" si="26"/>
        <v>0</v>
      </c>
      <c r="S34" s="2"/>
      <c r="T34" s="6">
        <v>29326.09</v>
      </c>
      <c r="U34" s="2"/>
      <c r="V34" s="7">
        <f t="shared" si="27"/>
        <v>0.10198364997688458</v>
      </c>
      <c r="W34" s="2"/>
      <c r="X34" s="6">
        <f t="shared" si="28"/>
        <v>-29326.09</v>
      </c>
      <c r="Y34" s="2"/>
      <c r="Z34" s="7">
        <f t="shared" si="29"/>
        <v>-1</v>
      </c>
    </row>
    <row r="35" spans="1:26" s="23" customFormat="1" hidden="1" outlineLevel="2" x14ac:dyDescent="0.25">
      <c r="A35" s="25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2"/>
        <v>0</v>
      </c>
      <c r="G35" s="2"/>
      <c r="H35" s="6">
        <v>1827.67</v>
      </c>
      <c r="I35" s="2"/>
      <c r="J35" s="7">
        <f t="shared" si="23"/>
        <v>9.6262618974007036E-2</v>
      </c>
      <c r="K35" s="2"/>
      <c r="L35" s="6">
        <f t="shared" si="24"/>
        <v>-1827.67</v>
      </c>
      <c r="M35" s="2"/>
      <c r="N35" s="7">
        <f t="shared" si="25"/>
        <v>-1</v>
      </c>
      <c r="O35" s="10"/>
      <c r="P35" s="6"/>
      <c r="Q35" s="2"/>
      <c r="R35" s="7">
        <f t="shared" si="26"/>
        <v>0</v>
      </c>
      <c r="S35" s="2"/>
      <c r="T35" s="6">
        <v>2587.42</v>
      </c>
      <c r="U35" s="2"/>
      <c r="V35" s="7">
        <f t="shared" si="27"/>
        <v>8.9979446841768097E-3</v>
      </c>
      <c r="W35" s="2"/>
      <c r="X35" s="6">
        <f t="shared" si="28"/>
        <v>-2587.42</v>
      </c>
      <c r="Y35" s="2"/>
      <c r="Z35" s="7">
        <f t="shared" si="29"/>
        <v>-1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2"/>
        <v>0</v>
      </c>
      <c r="G36" s="2"/>
      <c r="H36" s="6">
        <v>1060.02</v>
      </c>
      <c r="I36" s="2"/>
      <c r="J36" s="7">
        <f t="shared" si="23"/>
        <v>5.5830812654815654E-2</v>
      </c>
      <c r="K36" s="2"/>
      <c r="L36" s="6">
        <f t="shared" si="24"/>
        <v>-1060.02</v>
      </c>
      <c r="M36" s="2"/>
      <c r="N36" s="7">
        <f t="shared" si="25"/>
        <v>-1</v>
      </c>
      <c r="O36" s="10"/>
      <c r="P36" s="6"/>
      <c r="Q36" s="2"/>
      <c r="R36" s="7">
        <f t="shared" si="26"/>
        <v>0</v>
      </c>
      <c r="S36" s="2"/>
      <c r="T36" s="6">
        <v>32907.74</v>
      </c>
      <c r="U36" s="2"/>
      <c r="V36" s="7">
        <f t="shared" si="27"/>
        <v>0.11443910312252072</v>
      </c>
      <c r="W36" s="2"/>
      <c r="X36" s="6">
        <f t="shared" si="28"/>
        <v>-32907.74</v>
      </c>
      <c r="Y36" s="2"/>
      <c r="Z36" s="7">
        <f t="shared" si="29"/>
        <v>-1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0"/>
      <c r="P37" s="6"/>
      <c r="Q37" s="2"/>
      <c r="R37" s="7">
        <f t="shared" si="26"/>
        <v>0</v>
      </c>
      <c r="S37" s="2"/>
      <c r="T37" s="6">
        <v>57</v>
      </c>
      <c r="U37" s="2"/>
      <c r="V37" s="7">
        <f t="shared" si="27"/>
        <v>1.9822172163702767E-4</v>
      </c>
      <c r="W37" s="2"/>
      <c r="X37" s="6">
        <f t="shared" si="28"/>
        <v>-57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4" si="30">IF(D$12=0,0,D38/D$12)</f>
        <v>0</v>
      </c>
      <c r="G38" s="1"/>
      <c r="H38" s="1">
        <f>SUM(OSRRefH22_2x_0)</f>
        <v>20.18</v>
      </c>
      <c r="I38" s="1"/>
      <c r="J38" s="5">
        <f t="shared" ref="J38:J54" si="31">IF(H$12=0,0,H38/H$12)</f>
        <v>1.0628722093679176E-3</v>
      </c>
      <c r="K38" s="1"/>
      <c r="L38" s="1">
        <f t="shared" ref="L38:L54" si="32">+D38-H38</f>
        <v>-20.18</v>
      </c>
      <c r="M38" s="1"/>
      <c r="N38" s="5">
        <f t="shared" ref="N38:N54" si="33">IF(H38=0,0,L38/H38)</f>
        <v>-1</v>
      </c>
      <c r="O38" s="12"/>
      <c r="P38" s="1">
        <f>SUM(OSRRefP22_2x_0)</f>
        <v>0</v>
      </c>
      <c r="Q38" s="1"/>
      <c r="R38" s="5">
        <f t="shared" ref="R38:R54" si="34">IF(P$12=0,0,P38/P$12)</f>
        <v>0</v>
      </c>
      <c r="S38" s="1"/>
      <c r="T38" s="1">
        <f>SUM(OSRRefT22_2x_0)</f>
        <v>910.02</v>
      </c>
      <c r="U38" s="1"/>
      <c r="V38" s="5">
        <f t="shared" ref="V38:V54" si="35">IF(T$12=0,0,T38/T$12)</f>
        <v>3.1646619495461037E-3</v>
      </c>
      <c r="W38" s="1"/>
      <c r="X38" s="1">
        <f t="shared" ref="X38:X54" si="36">+P38-T38</f>
        <v>-910.02</v>
      </c>
      <c r="Y38" s="1"/>
      <c r="Z38" s="5">
        <f t="shared" ref="Z38:Z54" si="37">IF(T38=0,0,X38/T38)</f>
        <v>-1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0"/>
        <v>0</v>
      </c>
      <c r="G39" s="2"/>
      <c r="H39" s="6">
        <v>20.18</v>
      </c>
      <c r="I39" s="2"/>
      <c r="J39" s="7">
        <f t="shared" si="31"/>
        <v>1.0628722093679176E-3</v>
      </c>
      <c r="K39" s="2"/>
      <c r="L39" s="6">
        <f t="shared" si="32"/>
        <v>-20.18</v>
      </c>
      <c r="M39" s="2"/>
      <c r="N39" s="7">
        <f t="shared" si="33"/>
        <v>-1</v>
      </c>
      <c r="O39" s="10"/>
      <c r="P39" s="6"/>
      <c r="Q39" s="2"/>
      <c r="R39" s="7">
        <f t="shared" si="34"/>
        <v>0</v>
      </c>
      <c r="S39" s="2"/>
      <c r="T39" s="6">
        <v>910.02</v>
      </c>
      <c r="U39" s="2"/>
      <c r="V39" s="7">
        <f t="shared" si="35"/>
        <v>3.1646619495461037E-3</v>
      </c>
      <c r="W39" s="2"/>
      <c r="X39" s="6">
        <f t="shared" si="36"/>
        <v>-910.02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0.76</v>
      </c>
      <c r="I40" s="1"/>
      <c r="J40" s="5">
        <f t="shared" si="31"/>
        <v>4.0028883999981035E-5</v>
      </c>
      <c r="K40" s="1"/>
      <c r="L40" s="1">
        <f t="shared" si="32"/>
        <v>-0.76</v>
      </c>
      <c r="M40" s="1"/>
      <c r="N40" s="5">
        <f t="shared" si="33"/>
        <v>-1</v>
      </c>
      <c r="O40" s="12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-18.989999999999998</v>
      </c>
      <c r="U40" s="1"/>
      <c r="V40" s="5">
        <f t="shared" si="35"/>
        <v>-6.6039131471704477E-5</v>
      </c>
      <c r="W40" s="1"/>
      <c r="X40" s="1">
        <f t="shared" si="36"/>
        <v>18.989999999999998</v>
      </c>
      <c r="Y40" s="1"/>
      <c r="Z40" s="5">
        <f t="shared" si="37"/>
        <v>-1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0"/>
        <v>0</v>
      </c>
      <c r="G41" s="2"/>
      <c r="H41" s="6">
        <v>0.76</v>
      </c>
      <c r="I41" s="2"/>
      <c r="J41" s="7">
        <f t="shared" si="31"/>
        <v>4.0028883999981035E-5</v>
      </c>
      <c r="K41" s="2"/>
      <c r="L41" s="6">
        <f t="shared" si="32"/>
        <v>-0.76</v>
      </c>
      <c r="M41" s="2"/>
      <c r="N41" s="7">
        <f t="shared" si="33"/>
        <v>-1</v>
      </c>
      <c r="O41" s="10"/>
      <c r="P41" s="6"/>
      <c r="Q41" s="2"/>
      <c r="R41" s="7">
        <f t="shared" si="34"/>
        <v>0</v>
      </c>
      <c r="S41" s="2"/>
      <c r="T41" s="6">
        <v>-18.989999999999998</v>
      </c>
      <c r="U41" s="2"/>
      <c r="V41" s="7">
        <f t="shared" si="35"/>
        <v>-6.6039131471704477E-5</v>
      </c>
      <c r="W41" s="2"/>
      <c r="X41" s="6">
        <f t="shared" si="36"/>
        <v>18.989999999999998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942.71</v>
      </c>
      <c r="I42" s="1"/>
      <c r="J42" s="5">
        <f t="shared" si="31"/>
        <v>4.9652143731081747E-2</v>
      </c>
      <c r="K42" s="1"/>
      <c r="L42" s="1">
        <f t="shared" si="32"/>
        <v>-942.71</v>
      </c>
      <c r="M42" s="1"/>
      <c r="N42" s="5">
        <f t="shared" si="33"/>
        <v>-1</v>
      </c>
      <c r="O42" s="12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10541.38</v>
      </c>
      <c r="U42" s="1"/>
      <c r="V42" s="5">
        <f t="shared" si="35"/>
        <v>3.6658429684739133E-2</v>
      </c>
      <c r="W42" s="1"/>
      <c r="X42" s="1">
        <f t="shared" si="36"/>
        <v>-10541.38</v>
      </c>
      <c r="Y42" s="1"/>
      <c r="Z42" s="5">
        <f t="shared" si="37"/>
        <v>-1</v>
      </c>
    </row>
    <row r="43" spans="1:26" s="23" customFormat="1" hidden="1" outlineLevel="2" x14ac:dyDescent="0.25">
      <c r="A43" s="25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0"/>
        <v>0</v>
      </c>
      <c r="G43" s="2"/>
      <c r="H43" s="6">
        <v>942.71</v>
      </c>
      <c r="I43" s="2"/>
      <c r="J43" s="7">
        <f t="shared" si="31"/>
        <v>4.9652143731081747E-2</v>
      </c>
      <c r="K43" s="2"/>
      <c r="L43" s="6">
        <f t="shared" si="32"/>
        <v>-942.71</v>
      </c>
      <c r="M43" s="2"/>
      <c r="N43" s="7">
        <f t="shared" si="33"/>
        <v>-1</v>
      </c>
      <c r="O43" s="10"/>
      <c r="P43" s="6"/>
      <c r="Q43" s="2"/>
      <c r="R43" s="7">
        <f t="shared" si="34"/>
        <v>0</v>
      </c>
      <c r="S43" s="2"/>
      <c r="T43" s="6">
        <v>10541.38</v>
      </c>
      <c r="U43" s="2"/>
      <c r="V43" s="7">
        <f t="shared" si="35"/>
        <v>3.6658429684739133E-2</v>
      </c>
      <c r="W43" s="2"/>
      <c r="X43" s="6">
        <f t="shared" si="36"/>
        <v>-10541.38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588.16999999999996</v>
      </c>
      <c r="E44" s="1"/>
      <c r="F44" s="5">
        <f t="shared" si="30"/>
        <v>0</v>
      </c>
      <c r="G44" s="1"/>
      <c r="H44" s="1">
        <f>SUM(OSRRefH22_5x_0)</f>
        <v>315.43</v>
      </c>
      <c r="I44" s="1"/>
      <c r="J44" s="5">
        <f t="shared" si="31"/>
        <v>1.6613566947518445E-2</v>
      </c>
      <c r="K44" s="1"/>
      <c r="L44" s="1">
        <f t="shared" si="32"/>
        <v>272.73999999999995</v>
      </c>
      <c r="M44" s="1"/>
      <c r="N44" s="5">
        <f t="shared" si="33"/>
        <v>0.86466093903560204</v>
      </c>
      <c r="O44" s="12"/>
      <c r="P44" s="1">
        <f>SUM(OSRRefP22_5x_0)</f>
        <v>5029.3100000000004</v>
      </c>
      <c r="Q44" s="1"/>
      <c r="R44" s="5">
        <f t="shared" si="34"/>
        <v>0</v>
      </c>
      <c r="S44" s="1"/>
      <c r="T44" s="1">
        <f>SUM(OSRRefT22_5x_0)</f>
        <v>1560.79</v>
      </c>
      <c r="U44" s="1"/>
      <c r="V44" s="5">
        <f t="shared" si="35"/>
        <v>5.4277628230501125E-3</v>
      </c>
      <c r="W44" s="1"/>
      <c r="X44" s="1">
        <f t="shared" si="36"/>
        <v>3468.5200000000004</v>
      </c>
      <c r="Y44" s="1"/>
      <c r="Z44" s="5">
        <f t="shared" si="37"/>
        <v>2.2222848685601524</v>
      </c>
    </row>
    <row r="45" spans="1:26" s="23" customFormat="1" hidden="1" outlineLevel="2" x14ac:dyDescent="0.25">
      <c r="A45" s="25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588.16999999999996</v>
      </c>
      <c r="E45" s="2"/>
      <c r="F45" s="7">
        <f t="shared" si="30"/>
        <v>0</v>
      </c>
      <c r="G45" s="2"/>
      <c r="H45" s="6">
        <v>315.43</v>
      </c>
      <c r="I45" s="2"/>
      <c r="J45" s="7">
        <f t="shared" si="31"/>
        <v>1.6613566947518445E-2</v>
      </c>
      <c r="K45" s="2"/>
      <c r="L45" s="6">
        <f t="shared" si="32"/>
        <v>272.73999999999995</v>
      </c>
      <c r="M45" s="2"/>
      <c r="N45" s="7">
        <f t="shared" si="33"/>
        <v>0.86466093903560204</v>
      </c>
      <c r="O45" s="10"/>
      <c r="P45" s="6">
        <v>5029.3100000000004</v>
      </c>
      <c r="Q45" s="2"/>
      <c r="R45" s="7">
        <f t="shared" si="34"/>
        <v>0</v>
      </c>
      <c r="S45" s="2"/>
      <c r="T45" s="6">
        <v>1560.79</v>
      </c>
      <c r="U45" s="2"/>
      <c r="V45" s="7">
        <f t="shared" si="35"/>
        <v>5.4277628230501125E-3</v>
      </c>
      <c r="W45" s="2"/>
      <c r="X45" s="6">
        <f t="shared" si="36"/>
        <v>3468.5200000000004</v>
      </c>
      <c r="Y45" s="2"/>
      <c r="Z45" s="7">
        <f t="shared" si="37"/>
        <v>2.2222848685601524</v>
      </c>
    </row>
    <row r="46" spans="1:26" s="26" customFormat="1" outlineLevel="1" collapsed="1" x14ac:dyDescent="0.25">
      <c r="A46" s="27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2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62.26</v>
      </c>
      <c r="U46" s="1"/>
      <c r="V46" s="5">
        <f t="shared" si="35"/>
        <v>2.1651376121265513E-4</v>
      </c>
      <c r="W46" s="1"/>
      <c r="X46" s="1">
        <f t="shared" si="36"/>
        <v>-62.26</v>
      </c>
      <c r="Y46" s="1"/>
      <c r="Z46" s="5">
        <f t="shared" si="37"/>
        <v>-1</v>
      </c>
    </row>
    <row r="47" spans="1:26" s="23" customFormat="1" hidden="1" outlineLevel="2" x14ac:dyDescent="0.25">
      <c r="A47" s="25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0"/>
      <c r="P47" s="6"/>
      <c r="Q47" s="2"/>
      <c r="R47" s="7">
        <f t="shared" si="34"/>
        <v>0</v>
      </c>
      <c r="S47" s="2"/>
      <c r="T47" s="6">
        <v>62.26</v>
      </c>
      <c r="U47" s="2"/>
      <c r="V47" s="7">
        <f t="shared" si="35"/>
        <v>2.1651376121265513E-4</v>
      </c>
      <c r="W47" s="2"/>
      <c r="X47" s="6">
        <f t="shared" si="36"/>
        <v>-62.26</v>
      </c>
      <c r="Y47" s="2"/>
      <c r="Z47" s="7">
        <f t="shared" si="37"/>
        <v>-1</v>
      </c>
    </row>
    <row r="48" spans="1:26" s="26" customFormat="1" outlineLevel="1" collapsed="1" x14ac:dyDescent="0.25">
      <c r="A48" s="27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2"/>
      <c r="P48" s="1">
        <f>SUM(OSRRefP22_7x_0)</f>
        <v>12</v>
      </c>
      <c r="Q48" s="1"/>
      <c r="R48" s="5">
        <f t="shared" si="34"/>
        <v>0</v>
      </c>
      <c r="S48" s="1"/>
      <c r="T48" s="1">
        <f>SUM(OSRRefT22_7x_0)</f>
        <v>12</v>
      </c>
      <c r="U48" s="1"/>
      <c r="V48" s="5">
        <f t="shared" si="35"/>
        <v>4.1730888765690033E-5</v>
      </c>
      <c r="W48" s="1"/>
      <c r="X48" s="1">
        <f t="shared" si="36"/>
        <v>0</v>
      </c>
      <c r="Y48" s="1"/>
      <c r="Z48" s="5">
        <f t="shared" si="37"/>
        <v>0</v>
      </c>
    </row>
    <row r="49" spans="1:26" s="23" customFormat="1" hidden="1" outlineLevel="2" x14ac:dyDescent="0.25">
      <c r="A49" s="25"/>
      <c r="B49" s="10" t="str">
        <f>CONCATENATE("          ", "6351", " - ", "EQUIPMENT RENTAL")</f>
        <v xml:space="preserve">          6351 - EQUIPMENT RENTAL</v>
      </c>
      <c r="C49" s="10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0"/>
      <c r="P49" s="6">
        <v>12</v>
      </c>
      <c r="Q49" s="2"/>
      <c r="R49" s="7">
        <f t="shared" si="34"/>
        <v>0</v>
      </c>
      <c r="S49" s="2"/>
      <c r="T49" s="6">
        <v>12</v>
      </c>
      <c r="U49" s="2"/>
      <c r="V49" s="7">
        <f t="shared" si="35"/>
        <v>4.1730888765690033E-5</v>
      </c>
      <c r="W49" s="2"/>
      <c r="X49" s="6">
        <f t="shared" si="36"/>
        <v>0</v>
      </c>
      <c r="Y49" s="2"/>
      <c r="Z49" s="7">
        <f t="shared" si="37"/>
        <v>0</v>
      </c>
    </row>
    <row r="50" spans="1:26" s="26" customFormat="1" outlineLevel="1" collapsed="1" x14ac:dyDescent="0.25">
      <c r="A50" s="27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13.5</v>
      </c>
      <c r="I50" s="1"/>
      <c r="J50" s="5">
        <f t="shared" si="31"/>
        <v>7.1103938684176837E-4</v>
      </c>
      <c r="K50" s="1"/>
      <c r="L50" s="1">
        <f t="shared" si="32"/>
        <v>-13.5</v>
      </c>
      <c r="M50" s="1"/>
      <c r="N50" s="5">
        <f t="shared" si="33"/>
        <v>-1</v>
      </c>
      <c r="O50" s="12"/>
      <c r="P50" s="1">
        <f>SUM(OSRRefP22_8x_0)</f>
        <v>575</v>
      </c>
      <c r="Q50" s="1"/>
      <c r="R50" s="5">
        <f t="shared" si="34"/>
        <v>0</v>
      </c>
      <c r="S50" s="1"/>
      <c r="T50" s="1">
        <f>SUM(OSRRefT22_8x_0)</f>
        <v>5632.39</v>
      </c>
      <c r="U50" s="1"/>
      <c r="V50" s="5">
        <f t="shared" si="35"/>
        <v>1.9587053381248744E-2</v>
      </c>
      <c r="W50" s="1"/>
      <c r="X50" s="1">
        <f t="shared" si="36"/>
        <v>-5057.3900000000003</v>
      </c>
      <c r="Y50" s="1"/>
      <c r="Z50" s="5">
        <f t="shared" si="37"/>
        <v>-0.89791189885643574</v>
      </c>
    </row>
    <row r="51" spans="1:26" s="23" customFormat="1" hidden="1" outlineLevel="2" x14ac:dyDescent="0.25">
      <c r="A51" s="25"/>
      <c r="B51" s="10" t="str">
        <f>CONCATENATE("          ", "6279", " - ", "GENERAL EXPENSE")</f>
        <v xml:space="preserve">          6279 - GENERAL EXPENSE</v>
      </c>
      <c r="C51" s="10"/>
      <c r="D51" s="6"/>
      <c r="E51" s="2"/>
      <c r="F51" s="7">
        <f t="shared" si="30"/>
        <v>0</v>
      </c>
      <c r="G51" s="2"/>
      <c r="H51" s="6">
        <v>13.5</v>
      </c>
      <c r="I51" s="2"/>
      <c r="J51" s="7">
        <f t="shared" si="31"/>
        <v>7.1103938684176837E-4</v>
      </c>
      <c r="K51" s="2"/>
      <c r="L51" s="6">
        <f t="shared" si="32"/>
        <v>-13.5</v>
      </c>
      <c r="M51" s="2"/>
      <c r="N51" s="7">
        <f t="shared" si="33"/>
        <v>-1</v>
      </c>
      <c r="O51" s="10"/>
      <c r="P51" s="6">
        <v>575</v>
      </c>
      <c r="Q51" s="2"/>
      <c r="R51" s="7">
        <f t="shared" si="34"/>
        <v>0</v>
      </c>
      <c r="S51" s="2"/>
      <c r="T51" s="6">
        <v>5632.39</v>
      </c>
      <c r="U51" s="2"/>
      <c r="V51" s="7">
        <f t="shared" si="35"/>
        <v>1.9587053381248744E-2</v>
      </c>
      <c r="W51" s="2"/>
      <c r="X51" s="6">
        <f t="shared" si="36"/>
        <v>-5057.3900000000003</v>
      </c>
      <c r="Y51" s="2"/>
      <c r="Z51" s="7">
        <f t="shared" si="37"/>
        <v>-0.89791189885643574</v>
      </c>
    </row>
    <row r="52" spans="1:26" s="26" customFormat="1" outlineLevel="1" collapsed="1" x14ac:dyDescent="0.25">
      <c r="A52" s="27"/>
      <c r="B52" s="12" t="str">
        <f>CONCATENATE("     ","Repair and Maintenance                            ")</f>
        <v xml:space="preserve">     Repair and Maintenance                            </v>
      </c>
      <c r="C52" s="12"/>
      <c r="D52" s="1">
        <f>SUM(OSRRefD22_9x_0)</f>
        <v>48.23</v>
      </c>
      <c r="E52" s="1"/>
      <c r="F52" s="5">
        <f t="shared" si="30"/>
        <v>0</v>
      </c>
      <c r="G52" s="1"/>
      <c r="H52" s="1">
        <f>SUM(OSRRefH22_9x_0)</f>
        <v>1073.7</v>
      </c>
      <c r="I52" s="1"/>
      <c r="J52" s="5">
        <f t="shared" si="31"/>
        <v>5.655133256681532E-2</v>
      </c>
      <c r="K52" s="1"/>
      <c r="L52" s="1">
        <f t="shared" si="32"/>
        <v>-1025.47</v>
      </c>
      <c r="M52" s="1"/>
      <c r="N52" s="5">
        <f t="shared" si="33"/>
        <v>-0.95508056254074691</v>
      </c>
      <c r="O52" s="12"/>
      <c r="P52" s="1">
        <f>SUM(OSRRefP22_9x_0)</f>
        <v>1280.28</v>
      </c>
      <c r="Q52" s="1"/>
      <c r="R52" s="5">
        <f t="shared" si="34"/>
        <v>0</v>
      </c>
      <c r="S52" s="1"/>
      <c r="T52" s="1">
        <f>SUM(OSRRefT22_9x_0)</f>
        <v>7318.94</v>
      </c>
      <c r="U52" s="1"/>
      <c r="V52" s="5">
        <f t="shared" si="35"/>
        <v>2.5452155918563285E-2</v>
      </c>
      <c r="W52" s="1"/>
      <c r="X52" s="1">
        <f t="shared" si="36"/>
        <v>-6038.66</v>
      </c>
      <c r="Y52" s="1"/>
      <c r="Z52" s="5">
        <f t="shared" si="37"/>
        <v>-0.82507302970102225</v>
      </c>
    </row>
    <row r="53" spans="1:26" s="23" customFormat="1" hidden="1" outlineLevel="2" x14ac:dyDescent="0.25">
      <c r="A53" s="25"/>
      <c r="B53" s="10" t="str">
        <f>CONCATENATE("          ", "6373", " - ", "MAINTENANCE CONTRACTS")</f>
        <v xml:space="preserve">          6373 - MAINTENANCE CONTRACTS</v>
      </c>
      <c r="C53" s="10"/>
      <c r="D53" s="6">
        <v>48.23</v>
      </c>
      <c r="E53" s="2"/>
      <c r="F53" s="7">
        <f t="shared" si="30"/>
        <v>0</v>
      </c>
      <c r="G53" s="2"/>
      <c r="H53" s="6">
        <v>48.23</v>
      </c>
      <c r="I53" s="2"/>
      <c r="J53" s="7">
        <f t="shared" si="31"/>
        <v>2.5402540464724808E-3</v>
      </c>
      <c r="K53" s="2"/>
      <c r="L53" s="6">
        <f t="shared" si="32"/>
        <v>0</v>
      </c>
      <c r="M53" s="2"/>
      <c r="N53" s="7">
        <f t="shared" si="33"/>
        <v>0</v>
      </c>
      <c r="O53" s="10"/>
      <c r="P53" s="6">
        <v>262.58999999999997</v>
      </c>
      <c r="Q53" s="2"/>
      <c r="R53" s="7">
        <f t="shared" si="34"/>
        <v>0</v>
      </c>
      <c r="S53" s="2"/>
      <c r="T53" s="6">
        <v>141.44999999999999</v>
      </c>
      <c r="U53" s="2"/>
      <c r="V53" s="7">
        <f t="shared" si="35"/>
        <v>4.9190285132557124E-4</v>
      </c>
      <c r="W53" s="2"/>
      <c r="X53" s="6">
        <f t="shared" si="36"/>
        <v>121.13999999999999</v>
      </c>
      <c r="Y53" s="2"/>
      <c r="Z53" s="7">
        <f t="shared" si="37"/>
        <v>0.8564156945917285</v>
      </c>
    </row>
    <row r="54" spans="1:26" s="23" customFormat="1" hidden="1" outlineLevel="2" x14ac:dyDescent="0.25">
      <c r="A54" s="25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30"/>
        <v>0</v>
      </c>
      <c r="G54" s="2"/>
      <c r="H54" s="6">
        <v>1025.47</v>
      </c>
      <c r="I54" s="2"/>
      <c r="J54" s="7">
        <f t="shared" si="31"/>
        <v>5.4011078520342835E-2</v>
      </c>
      <c r="K54" s="2"/>
      <c r="L54" s="6">
        <f t="shared" si="32"/>
        <v>-1025.47</v>
      </c>
      <c r="M54" s="2"/>
      <c r="N54" s="7">
        <f t="shared" si="33"/>
        <v>-1</v>
      </c>
      <c r="O54" s="10"/>
      <c r="P54" s="6">
        <v>1017.69</v>
      </c>
      <c r="Q54" s="2"/>
      <c r="R54" s="7">
        <f t="shared" si="34"/>
        <v>0</v>
      </c>
      <c r="S54" s="2"/>
      <c r="T54" s="6">
        <v>7177.49</v>
      </c>
      <c r="U54" s="2"/>
      <c r="V54" s="7">
        <f t="shared" si="35"/>
        <v>2.4960253067237714E-2</v>
      </c>
      <c r="W54" s="2"/>
      <c r="X54" s="6">
        <f t="shared" si="36"/>
        <v>-6159.7999999999993</v>
      </c>
      <c r="Y54" s="2"/>
      <c r="Z54" s="7">
        <f t="shared" si="37"/>
        <v>-0.85821087873337332</v>
      </c>
    </row>
    <row r="55" spans="1:26" s="26" customFormat="1" outlineLevel="1" collapsed="1" x14ac:dyDescent="0.25">
      <c r="A55" s="27"/>
      <c r="B55" s="12" t="str">
        <f>CONCATENATE("     ","Services                                          ")</f>
        <v xml:space="preserve">     Services                                          </v>
      </c>
      <c r="C55" s="12"/>
      <c r="D55" s="1">
        <f>SUM(OSRRefD22_10x_0)</f>
        <v>283.86</v>
      </c>
      <c r="E55" s="1"/>
      <c r="F55" s="5">
        <f t="shared" ref="F55:F58" si="38">IF(D$12=0,0,D55/D$12)</f>
        <v>0</v>
      </c>
      <c r="G55" s="1"/>
      <c r="H55" s="1">
        <f>SUM(OSRRefH22_10x_0)</f>
        <v>356.77</v>
      </c>
      <c r="I55" s="1"/>
      <c r="J55" s="5">
        <f t="shared" ref="J55:J58" si="39">IF(H$12=0,0,H55/H$12)</f>
        <v>1.8790927558780569E-2</v>
      </c>
      <c r="K55" s="1"/>
      <c r="L55" s="1">
        <f t="shared" ref="L55:L58" si="40">+D55-H55</f>
        <v>-72.909999999999968</v>
      </c>
      <c r="M55" s="1"/>
      <c r="N55" s="5">
        <f t="shared" ref="N55:N58" si="41">IF(H55=0,0,L55/H55)</f>
        <v>-0.20436135325279584</v>
      </c>
      <c r="O55" s="12"/>
      <c r="P55" s="1">
        <f>SUM(OSRRefP22_10x_0)</f>
        <v>1460.45</v>
      </c>
      <c r="Q55" s="1"/>
      <c r="R55" s="5">
        <f t="shared" ref="R55:R58" si="42">IF(P$12=0,0,P55/P$12)</f>
        <v>0</v>
      </c>
      <c r="S55" s="1"/>
      <c r="T55" s="1">
        <f>SUM(OSRRefT22_10x_0)</f>
        <v>3527.4</v>
      </c>
      <c r="U55" s="1"/>
      <c r="V55" s="5">
        <f t="shared" ref="V55:V58" si="43">IF(T$12=0,0,T55/T$12)</f>
        <v>1.2266794752674587E-2</v>
      </c>
      <c r="W55" s="1"/>
      <c r="X55" s="1">
        <f t="shared" ref="X55:X58" si="44">+P55-T55</f>
        <v>-2066.9499999999998</v>
      </c>
      <c r="Y55" s="1"/>
      <c r="Z55" s="5">
        <f t="shared" ref="Z55:Z58" si="45">IF(T55=0,0,X55/T55)</f>
        <v>-0.58596983613993303</v>
      </c>
    </row>
    <row r="56" spans="1:26" s="23" customFormat="1" hidden="1" outlineLevel="2" x14ac:dyDescent="0.25">
      <c r="A56" s="25"/>
      <c r="B56" s="10" t="str">
        <f>CONCATENATE("          ", "6282", " - ", "JANITORIAL/EXTERMINATOR EXPENS")</f>
        <v xml:space="preserve">          6282 - JANITORIAL/EXTERMINATOR EXPENS</v>
      </c>
      <c r="C56" s="10"/>
      <c r="D56" s="6">
        <v>283.86</v>
      </c>
      <c r="E56" s="2"/>
      <c r="F56" s="7">
        <f t="shared" si="38"/>
        <v>0</v>
      </c>
      <c r="G56" s="2"/>
      <c r="H56" s="6">
        <v>327.93</v>
      </c>
      <c r="I56" s="2"/>
      <c r="J56" s="7">
        <f t="shared" si="39"/>
        <v>1.7271936750149711E-2</v>
      </c>
      <c r="K56" s="2"/>
      <c r="L56" s="6">
        <f t="shared" si="40"/>
        <v>-44.069999999999993</v>
      </c>
      <c r="M56" s="2"/>
      <c r="N56" s="7">
        <f t="shared" si="41"/>
        <v>-0.13438843655658217</v>
      </c>
      <c r="O56" s="10"/>
      <c r="P56" s="6">
        <v>1633.49</v>
      </c>
      <c r="Q56" s="2"/>
      <c r="R56" s="7">
        <f t="shared" si="42"/>
        <v>0</v>
      </c>
      <c r="S56" s="2"/>
      <c r="T56" s="6">
        <v>3093.3</v>
      </c>
      <c r="U56" s="2"/>
      <c r="V56" s="7">
        <f t="shared" si="43"/>
        <v>1.075717985157575E-2</v>
      </c>
      <c r="W56" s="2"/>
      <c r="X56" s="6">
        <f t="shared" si="44"/>
        <v>-1459.8100000000002</v>
      </c>
      <c r="Y56" s="2"/>
      <c r="Z56" s="7">
        <f t="shared" si="45"/>
        <v>-0.47192642162092269</v>
      </c>
    </row>
    <row r="57" spans="1:26" s="23" customFormat="1" hidden="1" outlineLevel="2" x14ac:dyDescent="0.25">
      <c r="A57" s="25"/>
      <c r="B57" s="10" t="str">
        <f>CONCATENATE("          ", "6285", " - ", "JANITORIAL SERVICES")</f>
        <v xml:space="preserve">          6285 - JANITORIAL SERVICES</v>
      </c>
      <c r="C57" s="10"/>
      <c r="D57" s="6"/>
      <c r="E57" s="2"/>
      <c r="F57" s="7">
        <f t="shared" si="38"/>
        <v>0</v>
      </c>
      <c r="G57" s="2"/>
      <c r="H57" s="6">
        <v>28.84</v>
      </c>
      <c r="I57" s="2"/>
      <c r="J57" s="7">
        <f t="shared" si="39"/>
        <v>1.5189908086308593E-3</v>
      </c>
      <c r="K57" s="2"/>
      <c r="L57" s="6">
        <f t="shared" si="40"/>
        <v>-28.84</v>
      </c>
      <c r="M57" s="2"/>
      <c r="N57" s="7">
        <f t="shared" si="41"/>
        <v>-1</v>
      </c>
      <c r="O57" s="10"/>
      <c r="P57" s="6">
        <v>-173.04</v>
      </c>
      <c r="Q57" s="2"/>
      <c r="R57" s="7">
        <f t="shared" si="42"/>
        <v>0</v>
      </c>
      <c r="S57" s="2"/>
      <c r="T57" s="6">
        <v>248.1</v>
      </c>
      <c r="U57" s="2"/>
      <c r="V57" s="7">
        <f t="shared" si="43"/>
        <v>8.6278612523064144E-4</v>
      </c>
      <c r="W57" s="2"/>
      <c r="X57" s="6">
        <f t="shared" si="44"/>
        <v>-421.14</v>
      </c>
      <c r="Y57" s="2"/>
      <c r="Z57" s="7">
        <f t="shared" si="45"/>
        <v>-1.6974607013301088</v>
      </c>
    </row>
    <row r="58" spans="1:26" s="23" customFormat="1" hidden="1" outlineLevel="2" x14ac:dyDescent="0.25">
      <c r="A58" s="25"/>
      <c r="B58" s="10" t="str">
        <f>CONCATENATE("          ", "6286", " - ", "LAUNDRY EXPENSE")</f>
        <v xml:space="preserve">          6286 - LAUNDRY EXPENSE</v>
      </c>
      <c r="C58" s="10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0"/>
      <c r="P58" s="6"/>
      <c r="Q58" s="2"/>
      <c r="R58" s="7">
        <f t="shared" si="42"/>
        <v>0</v>
      </c>
      <c r="S58" s="2"/>
      <c r="T58" s="6">
        <v>186</v>
      </c>
      <c r="U58" s="2"/>
      <c r="V58" s="7">
        <f t="shared" si="43"/>
        <v>6.4682877586819554E-4</v>
      </c>
      <c r="W58" s="2"/>
      <c r="X58" s="6">
        <f t="shared" si="44"/>
        <v>-186</v>
      </c>
      <c r="Y58" s="2"/>
      <c r="Z58" s="7">
        <f t="shared" si="45"/>
        <v>-1</v>
      </c>
    </row>
    <row r="59" spans="1:26" s="26" customFormat="1" outlineLevel="1" collapsed="1" x14ac:dyDescent="0.25">
      <c r="A59" s="27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SUM(OSRRefD22_11x_0)</f>
        <v>0</v>
      </c>
      <c r="E59" s="1"/>
      <c r="F59" s="5">
        <f t="shared" ref="F59:F62" si="46">IF(D$12=0,0,D59/D$12)</f>
        <v>0</v>
      </c>
      <c r="G59" s="1"/>
      <c r="H59" s="1">
        <f>SUM(OSRRefH22_11x_0)</f>
        <v>141.1</v>
      </c>
      <c r="I59" s="1"/>
      <c r="J59" s="5">
        <f t="shared" ref="J59:J62" si="47">IF(H$12=0,0,H59/H$12)</f>
        <v>7.4316783321017425E-3</v>
      </c>
      <c r="K59" s="1"/>
      <c r="L59" s="1">
        <f t="shared" ref="L59:L62" si="48">+D59-H59</f>
        <v>-141.1</v>
      </c>
      <c r="M59" s="1"/>
      <c r="N59" s="5">
        <f t="shared" ref="N59:N62" si="49">IF(H59=0,0,L59/H59)</f>
        <v>-1</v>
      </c>
      <c r="O59" s="12"/>
      <c r="P59" s="1">
        <f>SUM(OSRRefP22_11x_0)</f>
        <v>0</v>
      </c>
      <c r="Q59" s="1"/>
      <c r="R59" s="5">
        <f t="shared" ref="R59:R62" si="50">IF(P$12=0,0,P59/P$12)</f>
        <v>0</v>
      </c>
      <c r="S59" s="1"/>
      <c r="T59" s="1">
        <f>SUM(OSRRefT22_11x_0)</f>
        <v>10438.619999999999</v>
      </c>
      <c r="U59" s="1"/>
      <c r="V59" s="5">
        <f t="shared" ref="V59:V62" si="51">IF(T$12=0,0,T59/T$12)</f>
        <v>3.6301074173942273E-2</v>
      </c>
      <c r="W59" s="1"/>
      <c r="X59" s="1">
        <f t="shared" ref="X59:X62" si="52">+P59-T59</f>
        <v>-10438.619999999999</v>
      </c>
      <c r="Y59" s="1"/>
      <c r="Z59" s="5">
        <f t="shared" ref="Z59:Z62" si="53">IF(T59=0,0,X59/T59)</f>
        <v>-1</v>
      </c>
    </row>
    <row r="60" spans="1:26" s="23" customFormat="1" hidden="1" outlineLevel="2" x14ac:dyDescent="0.25">
      <c r="A60" s="25"/>
      <c r="B60" s="10" t="str">
        <f>CONCATENATE("          ", "6237", " - ", "JANITORIAL SUPPLIES")</f>
        <v xml:space="preserve">          6237 - JANITORIAL SUPPLIES</v>
      </c>
      <c r="C60" s="10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0"/>
      <c r="P60" s="6"/>
      <c r="Q60" s="2"/>
      <c r="R60" s="7">
        <f t="shared" si="50"/>
        <v>0</v>
      </c>
      <c r="S60" s="2"/>
      <c r="T60" s="6">
        <v>1096.97</v>
      </c>
      <c r="U60" s="2"/>
      <c r="V60" s="7">
        <f t="shared" si="51"/>
        <v>3.8147944207749165E-3</v>
      </c>
      <c r="W60" s="2"/>
      <c r="X60" s="6">
        <f t="shared" si="52"/>
        <v>-1096.97</v>
      </c>
      <c r="Y60" s="2"/>
      <c r="Z60" s="7">
        <f t="shared" si="53"/>
        <v>-1</v>
      </c>
    </row>
    <row r="61" spans="1:26" s="23" customFormat="1" hidden="1" outlineLevel="2" x14ac:dyDescent="0.25">
      <c r="A61" s="25"/>
      <c r="B61" s="10" t="str">
        <f>CONCATENATE("          ", "6243", " - ", "PAPER SUPPLIES")</f>
        <v xml:space="preserve">          6243 - PAPER SUPPLIES</v>
      </c>
      <c r="C61" s="10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0"/>
      <c r="P61" s="6"/>
      <c r="Q61" s="2"/>
      <c r="R61" s="7">
        <f t="shared" si="50"/>
        <v>0</v>
      </c>
      <c r="S61" s="2"/>
      <c r="T61" s="6">
        <v>741.91</v>
      </c>
      <c r="U61" s="2"/>
      <c r="V61" s="7">
        <f t="shared" si="51"/>
        <v>2.5800469736794243E-3</v>
      </c>
      <c r="W61" s="2"/>
      <c r="X61" s="6">
        <f t="shared" si="52"/>
        <v>-741.91</v>
      </c>
      <c r="Y61" s="2"/>
      <c r="Z61" s="7">
        <f t="shared" si="53"/>
        <v>-1</v>
      </c>
    </row>
    <row r="62" spans="1:26" s="23" customFormat="1" hidden="1" outlineLevel="2" x14ac:dyDescent="0.25">
      <c r="A62" s="25"/>
      <c r="B62" s="10" t="str">
        <f>CONCATENATE("          ", "6247", " - ", "STORE SUPPLIES")</f>
        <v xml:space="preserve">          6247 - STORE SUPPLIES</v>
      </c>
      <c r="C62" s="10"/>
      <c r="D62" s="6"/>
      <c r="E62" s="2"/>
      <c r="F62" s="7">
        <f t="shared" si="46"/>
        <v>0</v>
      </c>
      <c r="G62" s="2"/>
      <c r="H62" s="6">
        <v>141.1</v>
      </c>
      <c r="I62" s="2"/>
      <c r="J62" s="7">
        <f t="shared" si="47"/>
        <v>7.4316783321017425E-3</v>
      </c>
      <c r="K62" s="2"/>
      <c r="L62" s="6">
        <f t="shared" si="48"/>
        <v>-141.1</v>
      </c>
      <c r="M62" s="2"/>
      <c r="N62" s="7">
        <f t="shared" si="49"/>
        <v>-1</v>
      </c>
      <c r="O62" s="10"/>
      <c r="P62" s="6"/>
      <c r="Q62" s="2"/>
      <c r="R62" s="7">
        <f t="shared" si="50"/>
        <v>0</v>
      </c>
      <c r="S62" s="2"/>
      <c r="T62" s="6">
        <v>8599.74</v>
      </c>
      <c r="U62" s="2"/>
      <c r="V62" s="7">
        <f t="shared" si="51"/>
        <v>2.9906232779487934E-2</v>
      </c>
      <c r="W62" s="2"/>
      <c r="X62" s="6">
        <f t="shared" si="52"/>
        <v>-8599.74</v>
      </c>
      <c r="Y62" s="2"/>
      <c r="Z62" s="7">
        <f t="shared" si="53"/>
        <v>-1</v>
      </c>
    </row>
    <row r="63" spans="1:26" s="26" customFormat="1" outlineLevel="1" collapsed="1" x14ac:dyDescent="0.25">
      <c r="A63" s="27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SUM(OSRRefD22_12x_0)</f>
        <v>30</v>
      </c>
      <c r="E63" s="1"/>
      <c r="F63" s="5">
        <f t="shared" ref="F63:F64" si="54">IF(D$12=0,0,D63/D$12)</f>
        <v>0</v>
      </c>
      <c r="G63" s="1"/>
      <c r="H63" s="1">
        <f>SUM(OSRRefH22_12x_0)</f>
        <v>53</v>
      </c>
      <c r="I63" s="1"/>
      <c r="J63" s="5">
        <f t="shared" ref="J63:J64" si="55">IF(H$12=0,0,H63/H$12)</f>
        <v>2.7914879631565723E-3</v>
      </c>
      <c r="K63" s="1"/>
      <c r="L63" s="1">
        <f t="shared" ref="L63:L64" si="56">+D63-H63</f>
        <v>-23</v>
      </c>
      <c r="M63" s="1"/>
      <c r="N63" s="5">
        <f t="shared" ref="N63:N64" si="57">IF(H63=0,0,L63/H63)</f>
        <v>-0.43396226415094341</v>
      </c>
      <c r="O63" s="12"/>
      <c r="P63" s="1">
        <f>SUM(OSRRefP22_12x_0)</f>
        <v>364.32</v>
      </c>
      <c r="Q63" s="1"/>
      <c r="R63" s="5">
        <f t="shared" ref="R63:R64" si="58">IF(P$12=0,0,P63/P$12)</f>
        <v>0</v>
      </c>
      <c r="S63" s="1"/>
      <c r="T63" s="1">
        <f>SUM(OSRRefT22_12x_0)</f>
        <v>781.08</v>
      </c>
      <c r="U63" s="1"/>
      <c r="V63" s="5">
        <f t="shared" ref="V63:V64" si="59">IF(T$12=0,0,T63/T$12)</f>
        <v>2.7162635497587646E-3</v>
      </c>
      <c r="W63" s="1"/>
      <c r="X63" s="1">
        <f t="shared" ref="X63:X64" si="60">+P63-T63</f>
        <v>-416.76000000000005</v>
      </c>
      <c r="Y63" s="1"/>
      <c r="Z63" s="5">
        <f t="shared" ref="Z63:Z64" si="61">IF(T63=0,0,X63/T63)</f>
        <v>-0.53356890459363959</v>
      </c>
    </row>
    <row r="64" spans="1:26" s="23" customFormat="1" hidden="1" outlineLevel="2" x14ac:dyDescent="0.25">
      <c r="A64" s="25"/>
      <c r="B64" s="10" t="str">
        <f>CONCATENATE("          ", "6309", " - ", "TELEPHONE")</f>
        <v xml:space="preserve">          6309 - TELEPHONE</v>
      </c>
      <c r="C64" s="10"/>
      <c r="D64" s="6">
        <v>30</v>
      </c>
      <c r="E64" s="2"/>
      <c r="F64" s="7">
        <f t="shared" si="54"/>
        <v>0</v>
      </c>
      <c r="G64" s="2"/>
      <c r="H64" s="6">
        <v>53</v>
      </c>
      <c r="I64" s="2"/>
      <c r="J64" s="7">
        <f t="shared" si="55"/>
        <v>2.7914879631565723E-3</v>
      </c>
      <c r="K64" s="2"/>
      <c r="L64" s="6">
        <f t="shared" si="56"/>
        <v>-23</v>
      </c>
      <c r="M64" s="2"/>
      <c r="N64" s="7">
        <f t="shared" si="57"/>
        <v>-0.43396226415094341</v>
      </c>
      <c r="O64" s="10"/>
      <c r="P64" s="6">
        <v>364.32</v>
      </c>
      <c r="Q64" s="2"/>
      <c r="R64" s="7">
        <f t="shared" si="58"/>
        <v>0</v>
      </c>
      <c r="S64" s="2"/>
      <c r="T64" s="6">
        <v>781.08</v>
      </c>
      <c r="U64" s="2"/>
      <c r="V64" s="7">
        <f t="shared" si="59"/>
        <v>2.7162635497587646E-3</v>
      </c>
      <c r="W64" s="2"/>
      <c r="X64" s="6">
        <f t="shared" si="60"/>
        <v>-416.76000000000005</v>
      </c>
      <c r="Y64" s="2"/>
      <c r="Z64" s="7">
        <f t="shared" si="61"/>
        <v>-0.53356890459363959</v>
      </c>
    </row>
    <row r="65" spans="1:26" s="60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x14ac:dyDescent="0.25">
      <c r="A66" s="11"/>
      <c r="B66" s="28" t="s">
        <v>292</v>
      </c>
      <c r="C66" s="11"/>
      <c r="D66" s="4">
        <f>SUM(0)</f>
        <v>0</v>
      </c>
      <c r="E66" s="4"/>
      <c r="F66" s="13">
        <f>IF(D$12=0,0,D66/D$12)</f>
        <v>0</v>
      </c>
      <c r="G66" s="4"/>
      <c r="H66" s="4">
        <f>SUM(0)</f>
        <v>0</v>
      </c>
      <c r="I66" s="4"/>
      <c r="J66" s="13">
        <f>IF(H$12=0,0,H66/H$12)</f>
        <v>0</v>
      </c>
      <c r="K66" s="4"/>
      <c r="L66" s="4">
        <f>+D66-H66</f>
        <v>0</v>
      </c>
      <c r="M66" s="4"/>
      <c r="N66" s="13">
        <f>IF(H66=0,0,L66/H66)</f>
        <v>0</v>
      </c>
      <c r="O66" s="11"/>
      <c r="P66" s="4">
        <f>SUM(0)</f>
        <v>0</v>
      </c>
      <c r="Q66" s="4"/>
      <c r="R66" s="13">
        <f>IF(P$12=0,0,P66/P$12)</f>
        <v>0</v>
      </c>
      <c r="S66" s="4"/>
      <c r="T66" s="4">
        <f>SUM(0)</f>
        <v>0</v>
      </c>
      <c r="U66" s="4"/>
      <c r="V66" s="13">
        <f>IF(T$12=0,0,T66/T$12)</f>
        <v>0</v>
      </c>
      <c r="W66" s="4"/>
      <c r="X66" s="4">
        <f>+P66-T66</f>
        <v>0</v>
      </c>
      <c r="Y66" s="4"/>
      <c r="Z66" s="13">
        <f>IF(T66=0,0,X66/T66)</f>
        <v>0</v>
      </c>
    </row>
    <row r="67" spans="1:26" x14ac:dyDescent="0.25">
      <c r="A67" s="9"/>
      <c r="B67" s="11"/>
      <c r="C67" s="11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1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4" customFormat="1" x14ac:dyDescent="0.25">
      <c r="A68" s="11"/>
      <c r="B68" s="29" t="s">
        <v>276</v>
      </c>
      <c r="C68" s="29"/>
      <c r="D68" s="22">
        <f>+D20-D22+D66</f>
        <v>-950.26</v>
      </c>
      <c r="E68" s="14"/>
      <c r="F68" s="20">
        <f>IF(D$12=0,0,D68/D$12)</f>
        <v>0</v>
      </c>
      <c r="G68" s="14"/>
      <c r="H68" s="22">
        <f>+H20-H22+H66</f>
        <v>-2925.5099999999984</v>
      </c>
      <c r="I68" s="14"/>
      <c r="J68" s="20">
        <f>IF(H$12=0,0,H68/H$12)</f>
        <v>-0.15408539530366377</v>
      </c>
      <c r="K68" s="15"/>
      <c r="L68" s="22">
        <f>+D68-H68</f>
        <v>1975.2499999999984</v>
      </c>
      <c r="M68" s="15"/>
      <c r="N68" s="20">
        <f>IF(H68=0,0,L68/H68)</f>
        <v>-0.67518142135901071</v>
      </c>
      <c r="O68" s="28"/>
      <c r="P68" s="22">
        <f>+P20-P22+P66</f>
        <v>-8721.3599999999988</v>
      </c>
      <c r="Q68" s="14"/>
      <c r="R68" s="20">
        <f>IF(P$12=0,0,P68/P$12)</f>
        <v>0</v>
      </c>
      <c r="S68" s="14"/>
      <c r="T68" s="22">
        <f>+T20-T22+T66</f>
        <v>23896.659999999974</v>
      </c>
      <c r="U68" s="14"/>
      <c r="V68" s="20">
        <f>IF(T$12=0,0,T68/T$12)</f>
        <v>8.3102405027626114E-2</v>
      </c>
      <c r="W68" s="15"/>
      <c r="X68" s="22">
        <f>+P68-T68</f>
        <v>-32618.019999999975</v>
      </c>
      <c r="Y68" s="15"/>
      <c r="Z68" s="20">
        <f>IF(T68=0,0,X68/T68)</f>
        <v>-1.3649614632337745</v>
      </c>
    </row>
    <row r="69" spans="1:26" x14ac:dyDescent="0.25">
      <c r="A69" s="9"/>
      <c r="B69" s="11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51"/>
      <c r="B70" s="11" t="s">
        <v>127</v>
      </c>
      <c r="C70" s="11"/>
      <c r="D70" s="4"/>
      <c r="E70" s="4"/>
      <c r="F70" s="13">
        <f>IF(D$12=0,0,D70/D$12)</f>
        <v>0</v>
      </c>
      <c r="G70" s="4"/>
      <c r="H70" s="4">
        <v>3439.77</v>
      </c>
      <c r="I70" s="4"/>
      <c r="J70" s="13">
        <f>IF(H$12=0,0,H70/H$12)</f>
        <v>0.18117125567975628</v>
      </c>
      <c r="K70" s="4"/>
      <c r="L70" s="4">
        <f>+D70-H70</f>
        <v>-3439.77</v>
      </c>
      <c r="M70" s="4"/>
      <c r="N70" s="13">
        <f>IF(H70=0,0,L70/H70)</f>
        <v>-1</v>
      </c>
      <c r="O70" s="11"/>
      <c r="P70" s="4"/>
      <c r="Q70" s="4"/>
      <c r="R70" s="13">
        <f>IF(P$12=0,0,P70/P$12)</f>
        <v>0</v>
      </c>
      <c r="S70" s="4"/>
      <c r="T70" s="4">
        <v>30812.41</v>
      </c>
      <c r="U70" s="4"/>
      <c r="V70" s="13">
        <f>IF(T$12=0,0,T70/T$12)</f>
        <v>0.10715243785940294</v>
      </c>
      <c r="W70" s="4"/>
      <c r="X70" s="4">
        <f>+P70-T70</f>
        <v>-30812.41</v>
      </c>
      <c r="Y70" s="4"/>
      <c r="Z70" s="13">
        <f>IF(T70=0,0,X70/T70)</f>
        <v>-1</v>
      </c>
    </row>
    <row r="71" spans="1:26" x14ac:dyDescent="0.25">
      <c r="A71" s="9"/>
      <c r="B71" s="11"/>
      <c r="C71" s="11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1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ht="15.75" thickBot="1" x14ac:dyDescent="0.3">
      <c r="A72" s="11"/>
      <c r="B72" s="29" t="s">
        <v>125</v>
      </c>
      <c r="C72" s="29"/>
      <c r="D72" s="30">
        <f>+D68-D70</f>
        <v>-950.26</v>
      </c>
      <c r="E72" s="14"/>
      <c r="F72" s="36">
        <f>IF(D$12=0,0,D72/D$12)</f>
        <v>0</v>
      </c>
      <c r="G72" s="14"/>
      <c r="H72" s="30">
        <f>+H68-H70</f>
        <v>-6365.2799999999988</v>
      </c>
      <c r="I72" s="14"/>
      <c r="J72" s="36">
        <f>IF(H$12=0,0,H72/H$12)</f>
        <v>-0.33525665098342006</v>
      </c>
      <c r="K72" s="15"/>
      <c r="L72" s="30">
        <f>D72-H72</f>
        <v>5415.0199999999986</v>
      </c>
      <c r="M72" s="15"/>
      <c r="N72" s="36">
        <f>IF(H72=0,0,L72/H72)</f>
        <v>-0.85071198753236299</v>
      </c>
      <c r="O72" s="28"/>
      <c r="P72" s="30">
        <f>+P68-P70</f>
        <v>-8721.3599999999988</v>
      </c>
      <c r="Q72" s="14"/>
      <c r="R72" s="36">
        <f>IF(P$12=0,0,P72/P$12)</f>
        <v>0</v>
      </c>
      <c r="S72" s="14"/>
      <c r="T72" s="30">
        <f>+T68-T70</f>
        <v>-6915.7500000000255</v>
      </c>
      <c r="U72" s="14"/>
      <c r="V72" s="36">
        <f>IF(T$12=0,0,T72/T$12)</f>
        <v>-2.4050032831776827E-2</v>
      </c>
      <c r="W72" s="15"/>
      <c r="X72" s="30">
        <f>P72-T72</f>
        <v>-1805.6099999999733</v>
      </c>
      <c r="Y72" s="15"/>
      <c r="Z72" s="36">
        <f>IF(T72=0,0,X72/T72)</f>
        <v>0.26108665003795201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9" t="s">
        <v>293</v>
      </c>
      <c r="C75" s="29"/>
      <c r="D75" s="35">
        <f>SUM(D72:D74)</f>
        <v>-950.26</v>
      </c>
      <c r="E75" s="14"/>
      <c r="F75" s="34">
        <f>IF(D$12=0,0,D75/D$12)</f>
        <v>0</v>
      </c>
      <c r="G75" s="14"/>
      <c r="H75" s="35">
        <f>SUM(H72:H74)</f>
        <v>-6365.2799999999988</v>
      </c>
      <c r="I75" s="14"/>
      <c r="J75" s="34">
        <f>IF(H$12=0,0,H75/H$12)</f>
        <v>-0.33525665098342006</v>
      </c>
      <c r="K75" s="15"/>
      <c r="L75" s="35">
        <f>+D75-H75</f>
        <v>5415.0199999999986</v>
      </c>
      <c r="M75" s="15"/>
      <c r="N75" s="34">
        <f>IF(H75=0,0,L75/H75)</f>
        <v>-0.85071198753236299</v>
      </c>
      <c r="O75" s="28"/>
      <c r="P75" s="35">
        <f>SUM(P72:P74)</f>
        <v>-8721.3599999999988</v>
      </c>
      <c r="Q75" s="14"/>
      <c r="R75" s="34">
        <f>IF(P$12=0,0,P75/P$12)</f>
        <v>0</v>
      </c>
      <c r="S75" s="14"/>
      <c r="T75" s="35">
        <f>SUM(T72:T74)</f>
        <v>-6915.7500000000255</v>
      </c>
      <c r="U75" s="14"/>
      <c r="V75" s="34">
        <f>IF(T$12=0,0,T75/T$12)</f>
        <v>-2.4050032831776827E-2</v>
      </c>
      <c r="W75" s="15"/>
      <c r="X75" s="35">
        <f>+P75-T75</f>
        <v>-1805.6099999999733</v>
      </c>
      <c r="Y75" s="15"/>
      <c r="Z75" s="34">
        <f>IF(T75=0,0,X75/T75)</f>
        <v>0.26108665003795201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4">
        <v>44295.963243634258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8" t="s">
        <v>56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2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","313", " - ", "Convenience Store")</f>
        <v>Department 313 - Convenience 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33605.629999999997</v>
      </c>
      <c r="I12" s="4"/>
      <c r="J12" s="13"/>
      <c r="K12" s="4"/>
      <c r="L12" s="4">
        <f t="shared" ref="L12:L18" si="0">+D12-H12</f>
        <v>-33605.629999999997</v>
      </c>
      <c r="M12" s="4"/>
      <c r="N12" s="13">
        <f t="shared" ref="N12:N18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495809.06</v>
      </c>
      <c r="U12" s="4"/>
      <c r="V12" s="13"/>
      <c r="W12" s="4"/>
      <c r="X12" s="4">
        <f t="shared" ref="X12:X18" si="2">+P12-T12</f>
        <v>-495809.06</v>
      </c>
      <c r="Y12" s="4"/>
      <c r="Z12" s="13">
        <f t="shared" ref="Z12:Z18" si="3">IF(T12=0,0,X12/T12)</f>
        <v>-1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8" si="4">0</f>
        <v>0</v>
      </c>
      <c r="E13" s="2"/>
      <c r="F13" s="19"/>
      <c r="G13" s="2"/>
      <c r="H13" s="2">
        <f>--6937.17</f>
        <v>6937.17</v>
      </c>
      <c r="I13" s="2"/>
      <c r="J13" s="19"/>
      <c r="K13" s="2"/>
      <c r="L13" s="2">
        <f t="shared" si="0"/>
        <v>-6937.17</v>
      </c>
      <c r="M13" s="2"/>
      <c r="N13" s="19">
        <f t="shared" si="1"/>
        <v>-1</v>
      </c>
      <c r="O13" s="10"/>
      <c r="P13" s="2">
        <f t="shared" ref="P13:P18" si="5">0</f>
        <v>0</v>
      </c>
      <c r="Q13" s="2"/>
      <c r="R13" s="19"/>
      <c r="S13" s="2"/>
      <c r="T13" s="2">
        <f>--104991.04</f>
        <v>104991.03999999999</v>
      </c>
      <c r="U13" s="2"/>
      <c r="V13" s="19"/>
      <c r="W13" s="2"/>
      <c r="X13" s="2">
        <f t="shared" si="2"/>
        <v>-104991.03999999999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>--158.53</f>
        <v>158.53</v>
      </c>
      <c r="I14" s="2"/>
      <c r="J14" s="19"/>
      <c r="K14" s="2"/>
      <c r="L14" s="2">
        <f t="shared" si="0"/>
        <v>-158.53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--3118.55</f>
        <v>3118.55</v>
      </c>
      <c r="U14" s="2"/>
      <c r="V14" s="19"/>
      <c r="W14" s="2"/>
      <c r="X14" s="2">
        <f t="shared" si="2"/>
        <v>-3118.55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"4132", " - ", "NON-TAXABLE SALES-JUICE")</f>
        <v xml:space="preserve">          4132 - NON-TAXABLE SALES-JUICE</v>
      </c>
      <c r="C15" s="10"/>
      <c r="D15" s="2">
        <f t="shared" si="4"/>
        <v>0</v>
      </c>
      <c r="E15" s="2"/>
      <c r="F15" s="19"/>
      <c r="G15" s="2"/>
      <c r="H15" s="2">
        <f>--26386.1</f>
        <v>26386.1</v>
      </c>
      <c r="I15" s="2"/>
      <c r="J15" s="19"/>
      <c r="K15" s="2"/>
      <c r="L15" s="2">
        <f t="shared" si="0"/>
        <v>-26386.1</v>
      </c>
      <c r="M15" s="2"/>
      <c r="N15" s="19">
        <f t="shared" si="1"/>
        <v>-1</v>
      </c>
      <c r="O15" s="10"/>
      <c r="P15" s="2">
        <f t="shared" si="5"/>
        <v>0</v>
      </c>
      <c r="Q15" s="2"/>
      <c r="R15" s="19"/>
      <c r="S15" s="2"/>
      <c r="T15" s="2">
        <f>--386093.75</f>
        <v>386093.75</v>
      </c>
      <c r="U15" s="2"/>
      <c r="V15" s="19"/>
      <c r="W15" s="2"/>
      <c r="X15" s="2">
        <f t="shared" si="2"/>
        <v>-386093.75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"4133", " - ", "NON-TAXABLE SALES-CANDY")</f>
        <v xml:space="preserve">          4133 - NON-TAXABLE SALES-CANDY</v>
      </c>
      <c r="C16" s="10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5"/>
        <v>0</v>
      </c>
      <c r="Q16" s="2"/>
      <c r="R16" s="19"/>
      <c r="S16" s="2"/>
      <c r="T16" s="2">
        <f>--1.59</f>
        <v>1.59</v>
      </c>
      <c r="U16" s="2"/>
      <c r="V16" s="19"/>
      <c r="W16" s="2"/>
      <c r="X16" s="2">
        <f t="shared" si="2"/>
        <v>-1.59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"4134", " - ", "NON-TAXABLE SALES-SODA")</f>
        <v xml:space="preserve">          4134 - NON-TAXABLE SALES-SODA</v>
      </c>
      <c r="C17" s="10"/>
      <c r="D17" s="2">
        <f t="shared" si="4"/>
        <v>0</v>
      </c>
      <c r="E17" s="2"/>
      <c r="F17" s="19"/>
      <c r="G17" s="2"/>
      <c r="H17" s="2">
        <f>--26.93</f>
        <v>26.93</v>
      </c>
      <c r="I17" s="2"/>
      <c r="J17" s="19"/>
      <c r="K17" s="2"/>
      <c r="L17" s="2">
        <f t="shared" si="0"/>
        <v>-26.93</v>
      </c>
      <c r="M17" s="2"/>
      <c r="N17" s="19">
        <f t="shared" si="1"/>
        <v>-1</v>
      </c>
      <c r="O17" s="10"/>
      <c r="P17" s="2">
        <f t="shared" si="5"/>
        <v>0</v>
      </c>
      <c r="Q17" s="2"/>
      <c r="R17" s="19"/>
      <c r="S17" s="2"/>
      <c r="T17" s="2">
        <f>--35.34</f>
        <v>35.340000000000003</v>
      </c>
      <c r="U17" s="2"/>
      <c r="V17" s="19"/>
      <c r="W17" s="2"/>
      <c r="X17" s="2">
        <f t="shared" si="2"/>
        <v>-35.340000000000003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"4137", " - ", "NON-TAXABLE SALES-WATER")</f>
        <v xml:space="preserve">          4137 - NON-TAXABLE SALES-WATER</v>
      </c>
      <c r="C18" s="10"/>
      <c r="D18" s="2">
        <f t="shared" si="4"/>
        <v>0</v>
      </c>
      <c r="E18" s="2"/>
      <c r="F18" s="19"/>
      <c r="G18" s="2"/>
      <c r="H18" s="2">
        <f>--96.9</f>
        <v>96.9</v>
      </c>
      <c r="I18" s="2"/>
      <c r="J18" s="19"/>
      <c r="K18" s="2"/>
      <c r="L18" s="2">
        <f t="shared" si="0"/>
        <v>-96.9</v>
      </c>
      <c r="M18" s="2"/>
      <c r="N18" s="19">
        <f t="shared" si="1"/>
        <v>-1</v>
      </c>
      <c r="O18" s="10"/>
      <c r="P18" s="2">
        <f t="shared" si="5"/>
        <v>0</v>
      </c>
      <c r="Q18" s="2"/>
      <c r="R18" s="19"/>
      <c r="S18" s="2"/>
      <c r="T18" s="2">
        <f>--1568.79</f>
        <v>1568.79</v>
      </c>
      <c r="U18" s="2"/>
      <c r="V18" s="19"/>
      <c r="W18" s="2"/>
      <c r="X18" s="2">
        <f t="shared" si="2"/>
        <v>-1568.79</v>
      </c>
      <c r="Y18" s="2"/>
      <c r="Z18" s="19">
        <f t="shared" si="3"/>
        <v>-1</v>
      </c>
    </row>
    <row r="19" spans="1:26" x14ac:dyDescent="0.25">
      <c r="A19" s="9"/>
      <c r="B19" s="11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collapsed="1" x14ac:dyDescent="0.25">
      <c r="A20" s="11"/>
      <c r="B20" s="28" t="s">
        <v>256</v>
      </c>
      <c r="C20" s="11"/>
      <c r="D20" s="4">
        <f>SUM(OSRRefD16x_0)</f>
        <v>0</v>
      </c>
      <c r="E20" s="4"/>
      <c r="F20" s="13">
        <f t="shared" ref="F20:F22" si="6">IF(D$12=0,0,D20/D$12)</f>
        <v>0</v>
      </c>
      <c r="G20" s="4"/>
      <c r="H20" s="4">
        <f>SUM(OSRRefH16x_0)</f>
        <v>16130.78</v>
      </c>
      <c r="I20" s="4"/>
      <c r="J20" s="13">
        <f t="shared" ref="J20:J22" si="7">IF(H$12=0,0,H20/H$12)</f>
        <v>0.48000230913689168</v>
      </c>
      <c r="K20" s="4"/>
      <c r="L20" s="4">
        <f t="shared" ref="L20:L22" si="8">+D20-H20</f>
        <v>-16130.78</v>
      </c>
      <c r="M20" s="4"/>
      <c r="N20" s="13">
        <f t="shared" ref="N20:N22" si="9">IF(H20=0,0,L20/H20)</f>
        <v>-1</v>
      </c>
      <c r="O20" s="11"/>
      <c r="P20" s="4">
        <f>SUM(OSRRefP16x_0)</f>
        <v>-613.59</v>
      </c>
      <c r="Q20" s="4"/>
      <c r="R20" s="13">
        <f t="shared" ref="R20:R22" si="10">IF(P$12=0,0,P20/P$12)</f>
        <v>0</v>
      </c>
      <c r="S20" s="4"/>
      <c r="T20" s="4">
        <f>SUM(OSRRefT16x_0)</f>
        <v>235039.58</v>
      </c>
      <c r="U20" s="4"/>
      <c r="V20" s="13">
        <f t="shared" ref="V20:V22" si="11">IF(T$12=0,0,T20/T$12)</f>
        <v>0.47405261210837896</v>
      </c>
      <c r="W20" s="4"/>
      <c r="X20" s="4">
        <f t="shared" ref="X20:X22" si="12">+P20-T20</f>
        <v>-235653.16999999998</v>
      </c>
      <c r="Y20" s="4"/>
      <c r="Z20" s="13">
        <f t="shared" ref="Z20:Z22" si="13">IF(T20=0,0,X20/T20)</f>
        <v>-1.0026105815880031</v>
      </c>
    </row>
    <row r="21" spans="1:26" s="23" customFormat="1" hidden="1" outlineLevel="1" x14ac:dyDescent="0.25">
      <c r="A21" s="44"/>
      <c r="B21" s="10" t="str">
        <f>CONCATENATE("          ", "5053", " - ", "PURCHASES @ COST-FOOD")</f>
        <v xml:space="preserve">          5053 - PURCHASES @ COST-FOOD</v>
      </c>
      <c r="C21" s="10"/>
      <c r="D21" s="2"/>
      <c r="E21" s="2"/>
      <c r="F21" s="19">
        <f t="shared" si="6"/>
        <v>0</v>
      </c>
      <c r="G21" s="2"/>
      <c r="H21" s="2">
        <v>15997.77</v>
      </c>
      <c r="I21" s="2"/>
      <c r="J21" s="19">
        <f t="shared" si="7"/>
        <v>0.47604434137970342</v>
      </c>
      <c r="K21" s="2"/>
      <c r="L21" s="2">
        <f t="shared" si="8"/>
        <v>-15997.77</v>
      </c>
      <c r="M21" s="2"/>
      <c r="N21" s="19">
        <f t="shared" si="9"/>
        <v>-1</v>
      </c>
      <c r="O21" s="10"/>
      <c r="P21" s="2">
        <v>-613.59</v>
      </c>
      <c r="Q21" s="2"/>
      <c r="R21" s="19">
        <f t="shared" si="10"/>
        <v>0</v>
      </c>
      <c r="S21" s="2"/>
      <c r="T21" s="2">
        <v>238355.59</v>
      </c>
      <c r="U21" s="2"/>
      <c r="V21" s="19">
        <f t="shared" si="11"/>
        <v>0.48074069078124548</v>
      </c>
      <c r="W21" s="2"/>
      <c r="X21" s="2">
        <f t="shared" si="12"/>
        <v>-238969.18</v>
      </c>
      <c r="Y21" s="2"/>
      <c r="Z21" s="19">
        <f t="shared" si="13"/>
        <v>-1.0025742630999339</v>
      </c>
    </row>
    <row r="22" spans="1:26" s="23" customFormat="1" hidden="1" outlineLevel="1" x14ac:dyDescent="0.25">
      <c r="A22" s="44"/>
      <c r="B22" s="10" t="str">
        <f>CONCATENATE("          ", "5059", " - ", "PURCHASES @ COST-FOOD")</f>
        <v xml:space="preserve">          5059 - PURCHASES @ COST-FOOD</v>
      </c>
      <c r="C22" s="10"/>
      <c r="D22" s="2"/>
      <c r="E22" s="2"/>
      <c r="F22" s="19">
        <f t="shared" si="6"/>
        <v>0</v>
      </c>
      <c r="G22" s="2"/>
      <c r="H22" s="2">
        <v>133.01</v>
      </c>
      <c r="I22" s="2"/>
      <c r="J22" s="19">
        <f t="shared" si="7"/>
        <v>3.9579677571883048E-3</v>
      </c>
      <c r="K22" s="2"/>
      <c r="L22" s="2">
        <f t="shared" si="8"/>
        <v>-133.01</v>
      </c>
      <c r="M22" s="2"/>
      <c r="N22" s="19">
        <f t="shared" si="9"/>
        <v>-1</v>
      </c>
      <c r="O22" s="10"/>
      <c r="P22" s="2"/>
      <c r="Q22" s="2"/>
      <c r="R22" s="19">
        <f t="shared" si="10"/>
        <v>0</v>
      </c>
      <c r="S22" s="2"/>
      <c r="T22" s="2">
        <v>-3316.01</v>
      </c>
      <c r="U22" s="2"/>
      <c r="V22" s="19">
        <f t="shared" si="11"/>
        <v>-6.6880786728665273E-3</v>
      </c>
      <c r="W22" s="2"/>
      <c r="X22" s="2">
        <f t="shared" si="12"/>
        <v>3316.01</v>
      </c>
      <c r="Y22" s="2"/>
      <c r="Z22" s="19">
        <f t="shared" si="13"/>
        <v>-1</v>
      </c>
    </row>
    <row r="23" spans="1:26" x14ac:dyDescent="0.25">
      <c r="A23" s="9"/>
      <c r="B23" s="11"/>
      <c r="C23" s="11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1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11"/>
      <c r="B24" s="29" t="s">
        <v>107</v>
      </c>
      <c r="C24" s="29"/>
      <c r="D24" s="22">
        <f>D12-D20</f>
        <v>0</v>
      </c>
      <c r="E24" s="14"/>
      <c r="F24" s="20">
        <f>IF(D$12=0,0,D24/D$12)</f>
        <v>0</v>
      </c>
      <c r="G24" s="14"/>
      <c r="H24" s="22">
        <f>H12-H20</f>
        <v>17474.849999999999</v>
      </c>
      <c r="I24" s="14"/>
      <c r="J24" s="20">
        <f>IF(H$12=0,0,H24/H$12)</f>
        <v>0.51999769086310832</v>
      </c>
      <c r="K24" s="15"/>
      <c r="L24" s="22">
        <f>+D24-H24</f>
        <v>-17474.849999999999</v>
      </c>
      <c r="M24" s="15"/>
      <c r="N24" s="20">
        <f>IF(H24=0,0,L24/H24)</f>
        <v>-1</v>
      </c>
      <c r="O24" s="28"/>
      <c r="P24" s="22">
        <f>P12-P20</f>
        <v>613.59</v>
      </c>
      <c r="Q24" s="14"/>
      <c r="R24" s="20">
        <f>IF(P$12=0,0,P24/P$12)</f>
        <v>0</v>
      </c>
      <c r="S24" s="14"/>
      <c r="T24" s="22">
        <f>T12-T20</f>
        <v>260769.48</v>
      </c>
      <c r="U24" s="14"/>
      <c r="V24" s="20">
        <f>IF(T$12=0,0,T24/T$12)</f>
        <v>0.5259473878916211</v>
      </c>
      <c r="W24" s="15"/>
      <c r="X24" s="22">
        <f>+P24-T24</f>
        <v>-260155.89</v>
      </c>
      <c r="Y24" s="15"/>
      <c r="Z24" s="20">
        <f>IF(T24=0,0,X24/T24)</f>
        <v>-0.99764700224888281</v>
      </c>
    </row>
    <row r="25" spans="1:26" x14ac:dyDescent="0.25">
      <c r="A25" s="9"/>
      <c r="B25" s="11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4" customFormat="1" x14ac:dyDescent="0.25">
      <c r="A26" s="11"/>
      <c r="B26" s="28" t="s">
        <v>294</v>
      </c>
      <c r="C26" s="11"/>
      <c r="D26" s="21">
        <f>SUM(OSRRefD22x_0)</f>
        <v>144</v>
      </c>
      <c r="E26" s="21"/>
      <c r="F26" s="31">
        <f t="shared" ref="F26:F35" si="14">IF(D$12=0,0,D26/D$12)</f>
        <v>0</v>
      </c>
      <c r="G26" s="21"/>
      <c r="H26" s="21">
        <f>SUM(OSRRefH22x_0)</f>
        <v>19747.790000000005</v>
      </c>
      <c r="I26" s="21"/>
      <c r="J26" s="31">
        <f t="shared" ref="J26:J35" si="15">IF(H$12=0,0,H26/H$12)</f>
        <v>0.58763338166848844</v>
      </c>
      <c r="K26" s="4"/>
      <c r="L26" s="21">
        <f t="shared" ref="L26:L35" si="16">+D26-H26</f>
        <v>-19603.790000000005</v>
      </c>
      <c r="M26" s="4"/>
      <c r="N26" s="31">
        <f t="shared" ref="N26:N35" si="17">IF(H26=0,0,L26/H26)</f>
        <v>-0.99270804479893704</v>
      </c>
      <c r="O26" s="11"/>
      <c r="P26" s="21">
        <f>SUM(OSRRefP22x_0)</f>
        <v>46648.68</v>
      </c>
      <c r="Q26" s="21"/>
      <c r="R26" s="31">
        <f t="shared" ref="R26:R35" si="18">IF(P$12=0,0,P26/P$12)</f>
        <v>0</v>
      </c>
      <c r="S26" s="21"/>
      <c r="T26" s="21">
        <f>SUM(OSRRefT22x_0)</f>
        <v>174715.56000000003</v>
      </c>
      <c r="U26" s="21"/>
      <c r="V26" s="31">
        <f t="shared" ref="V26:V35" si="19">IF(T$12=0,0,T26/T$12)</f>
        <v>0.35238476682939202</v>
      </c>
      <c r="W26" s="4"/>
      <c r="X26" s="21">
        <f t="shared" ref="X26:X35" si="20">+P26-T26</f>
        <v>-128066.88000000003</v>
      </c>
      <c r="Y26" s="4"/>
      <c r="Z26" s="31">
        <f t="shared" ref="Z26:Z35" si="21">IF(T26=0,0,X26/T26)</f>
        <v>-0.73300214359842941</v>
      </c>
    </row>
    <row r="27" spans="1:26" s="26" customFormat="1" outlineLevel="1" collapsed="1" x14ac:dyDescent="0.25">
      <c r="A27" s="27"/>
      <c r="B27" s="12" t="str">
        <f>CONCATENATE("     ","*Benefits                                         ")</f>
        <v xml:space="preserve">     *Benefits                                         </v>
      </c>
      <c r="C27" s="12"/>
      <c r="D27" s="1">
        <f>SUM(OSRRefD22_0x_0)</f>
        <v>0</v>
      </c>
      <c r="E27" s="1"/>
      <c r="F27" s="5">
        <f t="shared" si="14"/>
        <v>0</v>
      </c>
      <c r="G27" s="1"/>
      <c r="H27" s="1">
        <f>SUM(OSRRefH22_0x_0)</f>
        <v>4125.5</v>
      </c>
      <c r="I27" s="1"/>
      <c r="J27" s="5">
        <f t="shared" si="15"/>
        <v>0.12276216812480528</v>
      </c>
      <c r="K27" s="1"/>
      <c r="L27" s="1">
        <f t="shared" si="16"/>
        <v>-4125.5</v>
      </c>
      <c r="M27" s="1"/>
      <c r="N27" s="5">
        <f t="shared" si="17"/>
        <v>-1</v>
      </c>
      <c r="O27" s="12"/>
      <c r="P27" s="1">
        <f>SUM(OSRRefP22_0x_0)</f>
        <v>21787.579999999998</v>
      </c>
      <c r="Q27" s="1"/>
      <c r="R27" s="5">
        <f t="shared" si="18"/>
        <v>0</v>
      </c>
      <c r="S27" s="1"/>
      <c r="T27" s="1">
        <f>SUM(OSRRefT22_0x_0)</f>
        <v>39046.39</v>
      </c>
      <c r="U27" s="1"/>
      <c r="V27" s="5">
        <f t="shared" si="19"/>
        <v>7.8752877166060664E-2</v>
      </c>
      <c r="W27" s="1"/>
      <c r="X27" s="1">
        <f t="shared" si="20"/>
        <v>-17258.810000000001</v>
      </c>
      <c r="Y27" s="1"/>
      <c r="Z27" s="5">
        <f t="shared" si="21"/>
        <v>-0.44200782710002134</v>
      </c>
    </row>
    <row r="28" spans="1:26" s="23" customFormat="1" hidden="1" outlineLevel="2" x14ac:dyDescent="0.25">
      <c r="A28" s="25"/>
      <c r="B28" s="10" t="str">
        <f>CONCATENATE("          ", "6111", " - ", "F.I.C.A.")</f>
        <v xml:space="preserve">          6111 - F.I.C.A.</v>
      </c>
      <c r="C28" s="10"/>
      <c r="D28" s="6"/>
      <c r="E28" s="2"/>
      <c r="F28" s="7">
        <f t="shared" si="14"/>
        <v>0</v>
      </c>
      <c r="G28" s="2"/>
      <c r="H28" s="6">
        <v>485.53</v>
      </c>
      <c r="I28" s="2"/>
      <c r="J28" s="7">
        <f t="shared" si="15"/>
        <v>1.4447876739701056E-2</v>
      </c>
      <c r="K28" s="2"/>
      <c r="L28" s="6">
        <f t="shared" si="16"/>
        <v>-485.53</v>
      </c>
      <c r="M28" s="2"/>
      <c r="N28" s="7">
        <f t="shared" si="17"/>
        <v>-1</v>
      </c>
      <c r="O28" s="10"/>
      <c r="P28" s="6">
        <v>1924.35</v>
      </c>
      <c r="Q28" s="2"/>
      <c r="R28" s="7">
        <f t="shared" si="18"/>
        <v>0</v>
      </c>
      <c r="S28" s="2"/>
      <c r="T28" s="6">
        <v>4517.9399999999996</v>
      </c>
      <c r="U28" s="2"/>
      <c r="V28" s="7">
        <f t="shared" si="19"/>
        <v>9.1122578518432074E-3</v>
      </c>
      <c r="W28" s="2"/>
      <c r="X28" s="6">
        <f t="shared" si="20"/>
        <v>-2593.5899999999997</v>
      </c>
      <c r="Y28" s="2"/>
      <c r="Z28" s="7">
        <f t="shared" si="21"/>
        <v>-0.57406472861525382</v>
      </c>
    </row>
    <row r="29" spans="1:26" s="23" customFormat="1" hidden="1" outlineLevel="2" x14ac:dyDescent="0.25">
      <c r="A29" s="25"/>
      <c r="B29" s="10" t="str">
        <f>CONCATENATE("          ", "6112", " - ", "COMPENSATION INSURANCE")</f>
        <v xml:space="preserve">          6112 - COMPENSATION INSURANCE</v>
      </c>
      <c r="C29" s="10"/>
      <c r="D29" s="6"/>
      <c r="E29" s="2"/>
      <c r="F29" s="7">
        <f t="shared" si="14"/>
        <v>0</v>
      </c>
      <c r="G29" s="2"/>
      <c r="H29" s="6">
        <v>273.02</v>
      </c>
      <c r="I29" s="2"/>
      <c r="J29" s="7">
        <f t="shared" si="15"/>
        <v>8.1242339453240428E-3</v>
      </c>
      <c r="K29" s="2"/>
      <c r="L29" s="6">
        <f t="shared" si="16"/>
        <v>-273.02</v>
      </c>
      <c r="M29" s="2"/>
      <c r="N29" s="7">
        <f t="shared" si="17"/>
        <v>-1</v>
      </c>
      <c r="O29" s="10"/>
      <c r="P29" s="6">
        <v>499.06</v>
      </c>
      <c r="Q29" s="2"/>
      <c r="R29" s="7">
        <f t="shared" si="18"/>
        <v>0</v>
      </c>
      <c r="S29" s="2"/>
      <c r="T29" s="6">
        <v>1722.97</v>
      </c>
      <c r="U29" s="2"/>
      <c r="V29" s="7">
        <f t="shared" si="19"/>
        <v>3.4750675996118347E-3</v>
      </c>
      <c r="W29" s="2"/>
      <c r="X29" s="6">
        <f t="shared" si="20"/>
        <v>-1223.9100000000001</v>
      </c>
      <c r="Y29" s="2"/>
      <c r="Z29" s="7">
        <f t="shared" si="21"/>
        <v>-0.71034899040610111</v>
      </c>
    </row>
    <row r="30" spans="1:26" s="23" customFormat="1" hidden="1" outlineLevel="2" x14ac:dyDescent="0.25">
      <c r="A30" s="25"/>
      <c r="B30" s="10" t="str">
        <f>CONCATENATE("          ", "6113", " - ", "GROUP INSURANCE")</f>
        <v xml:space="preserve">          6113 - GROUP INSURANCE</v>
      </c>
      <c r="C30" s="10"/>
      <c r="D30" s="6"/>
      <c r="E30" s="2"/>
      <c r="F30" s="7">
        <f t="shared" si="14"/>
        <v>0</v>
      </c>
      <c r="G30" s="2"/>
      <c r="H30" s="6">
        <v>2021.26</v>
      </c>
      <c r="I30" s="2"/>
      <c r="J30" s="7">
        <f t="shared" si="15"/>
        <v>6.0146469505258496E-2</v>
      </c>
      <c r="K30" s="2"/>
      <c r="L30" s="6">
        <f t="shared" si="16"/>
        <v>-2021.26</v>
      </c>
      <c r="M30" s="2"/>
      <c r="N30" s="7">
        <f t="shared" si="17"/>
        <v>-1</v>
      </c>
      <c r="O30" s="10"/>
      <c r="P30" s="6">
        <v>12083.19</v>
      </c>
      <c r="Q30" s="2"/>
      <c r="R30" s="7">
        <f t="shared" si="18"/>
        <v>0</v>
      </c>
      <c r="S30" s="2"/>
      <c r="T30" s="6">
        <v>18183.599999999999</v>
      </c>
      <c r="U30" s="2"/>
      <c r="V30" s="7">
        <f t="shared" si="19"/>
        <v>3.6674602113967017E-2</v>
      </c>
      <c r="W30" s="2"/>
      <c r="X30" s="6">
        <f t="shared" si="20"/>
        <v>-6100.409999999998</v>
      </c>
      <c r="Y30" s="2"/>
      <c r="Z30" s="7">
        <f t="shared" si="21"/>
        <v>-0.33548967201214275</v>
      </c>
    </row>
    <row r="31" spans="1:26" s="23" customFormat="1" hidden="1" outlineLevel="2" x14ac:dyDescent="0.25">
      <c r="A31" s="25"/>
      <c r="B31" s="10" t="str">
        <f>CONCATENATE("          ", "6114", " - ", "STATE UNEMPLOYMENT INSURANCE")</f>
        <v xml:space="preserve">          6114 - STATE UNEMPLOYMENT INSURANCE</v>
      </c>
      <c r="C31" s="10"/>
      <c r="D31" s="6"/>
      <c r="E31" s="2"/>
      <c r="F31" s="7">
        <f t="shared" si="14"/>
        <v>0</v>
      </c>
      <c r="G31" s="2"/>
      <c r="H31" s="6">
        <v>37.36</v>
      </c>
      <c r="I31" s="2"/>
      <c r="J31" s="7">
        <f t="shared" si="15"/>
        <v>1.1117184828851594E-3</v>
      </c>
      <c r="K31" s="2"/>
      <c r="L31" s="6">
        <f t="shared" si="16"/>
        <v>-37.36</v>
      </c>
      <c r="M31" s="2"/>
      <c r="N31" s="7">
        <f t="shared" si="17"/>
        <v>-1</v>
      </c>
      <c r="O31" s="10"/>
      <c r="P31" s="6">
        <v>70.14</v>
      </c>
      <c r="Q31" s="2"/>
      <c r="R31" s="7">
        <f t="shared" si="18"/>
        <v>0</v>
      </c>
      <c r="S31" s="2"/>
      <c r="T31" s="6">
        <v>268.66000000000003</v>
      </c>
      <c r="U31" s="2"/>
      <c r="V31" s="7">
        <f t="shared" si="19"/>
        <v>5.4186182075817663E-4</v>
      </c>
      <c r="W31" s="2"/>
      <c r="X31" s="6">
        <f t="shared" si="20"/>
        <v>-198.52000000000004</v>
      </c>
      <c r="Y31" s="2"/>
      <c r="Z31" s="7">
        <f t="shared" si="21"/>
        <v>-0.73892652423137062</v>
      </c>
    </row>
    <row r="32" spans="1:26" s="23" customFormat="1" hidden="1" outlineLevel="2" x14ac:dyDescent="0.25">
      <c r="A32" s="25"/>
      <c r="B32" s="10" t="str">
        <f>CONCATENATE("          ", "6115", " - ", "P.E.R.S.")</f>
        <v xml:space="preserve">          6115 - P.E.R.S.</v>
      </c>
      <c r="C32" s="10"/>
      <c r="D32" s="6"/>
      <c r="E32" s="2"/>
      <c r="F32" s="7">
        <f t="shared" si="14"/>
        <v>0</v>
      </c>
      <c r="G32" s="2"/>
      <c r="H32" s="6">
        <v>568.97</v>
      </c>
      <c r="I32" s="2"/>
      <c r="J32" s="7">
        <f t="shared" si="15"/>
        <v>1.6930794036594466E-2</v>
      </c>
      <c r="K32" s="2"/>
      <c r="L32" s="6">
        <f t="shared" si="16"/>
        <v>-568.97</v>
      </c>
      <c r="M32" s="2"/>
      <c r="N32" s="7">
        <f t="shared" si="17"/>
        <v>-1</v>
      </c>
      <c r="O32" s="10"/>
      <c r="P32" s="6">
        <v>3490.92</v>
      </c>
      <c r="Q32" s="2"/>
      <c r="R32" s="7">
        <f t="shared" si="18"/>
        <v>0</v>
      </c>
      <c r="S32" s="2"/>
      <c r="T32" s="6">
        <v>5922.97</v>
      </c>
      <c r="U32" s="2"/>
      <c r="V32" s="7">
        <f t="shared" si="19"/>
        <v>1.1946070529651073E-2</v>
      </c>
      <c r="W32" s="2"/>
      <c r="X32" s="6">
        <f t="shared" si="20"/>
        <v>-2432.0500000000002</v>
      </c>
      <c r="Y32" s="2"/>
      <c r="Z32" s="7">
        <f t="shared" si="21"/>
        <v>-0.4106132565250204</v>
      </c>
    </row>
    <row r="33" spans="1:26" s="23" customFormat="1" hidden="1" outlineLevel="2" x14ac:dyDescent="0.25">
      <c r="A33" s="25"/>
      <c r="B33" s="10" t="str">
        <f>CONCATENATE("          ", "6118", " - ", "VACATION")</f>
        <v xml:space="preserve">          6118 - VACATION</v>
      </c>
      <c r="C33" s="10"/>
      <c r="D33" s="6"/>
      <c r="E33" s="2"/>
      <c r="F33" s="7">
        <f t="shared" si="14"/>
        <v>0</v>
      </c>
      <c r="G33" s="2"/>
      <c r="H33" s="6">
        <v>407.06</v>
      </c>
      <c r="I33" s="2"/>
      <c r="J33" s="7">
        <f t="shared" si="15"/>
        <v>1.2112851328780327E-2</v>
      </c>
      <c r="K33" s="2"/>
      <c r="L33" s="6">
        <f t="shared" si="16"/>
        <v>-407.06</v>
      </c>
      <c r="M33" s="2"/>
      <c r="N33" s="7">
        <f t="shared" si="17"/>
        <v>-1</v>
      </c>
      <c r="O33" s="10"/>
      <c r="P33" s="6">
        <v>2035.3</v>
      </c>
      <c r="Q33" s="2"/>
      <c r="R33" s="7">
        <f t="shared" si="18"/>
        <v>0</v>
      </c>
      <c r="S33" s="2"/>
      <c r="T33" s="6">
        <v>4175.96</v>
      </c>
      <c r="U33" s="2"/>
      <c r="V33" s="7">
        <f t="shared" si="19"/>
        <v>8.4225165227920611E-3</v>
      </c>
      <c r="W33" s="2"/>
      <c r="X33" s="6">
        <f t="shared" si="20"/>
        <v>-2140.66</v>
      </c>
      <c r="Y33" s="2"/>
      <c r="Z33" s="7">
        <f t="shared" si="21"/>
        <v>-0.51261506336267582</v>
      </c>
    </row>
    <row r="34" spans="1:26" s="23" customFormat="1" hidden="1" outlineLevel="2" x14ac:dyDescent="0.25">
      <c r="A34" s="25"/>
      <c r="B34" s="10" t="str">
        <f>CONCATENATE("          ", "6119", " - ", "SICK LEAVE")</f>
        <v xml:space="preserve">          6119 - SICK LEAVE</v>
      </c>
      <c r="C34" s="10"/>
      <c r="D34" s="6"/>
      <c r="E34" s="2"/>
      <c r="F34" s="7">
        <f t="shared" si="14"/>
        <v>0</v>
      </c>
      <c r="G34" s="2"/>
      <c r="H34" s="6">
        <v>256.76</v>
      </c>
      <c r="I34" s="2"/>
      <c r="J34" s="7">
        <f t="shared" si="15"/>
        <v>7.6403864471518614E-3</v>
      </c>
      <c r="K34" s="2"/>
      <c r="L34" s="6">
        <f t="shared" si="16"/>
        <v>-256.76</v>
      </c>
      <c r="M34" s="2"/>
      <c r="N34" s="7">
        <f t="shared" si="17"/>
        <v>-1</v>
      </c>
      <c r="O34" s="10"/>
      <c r="P34" s="6">
        <v>1283.8</v>
      </c>
      <c r="Q34" s="2"/>
      <c r="R34" s="7">
        <f t="shared" si="18"/>
        <v>0</v>
      </c>
      <c r="S34" s="2"/>
      <c r="T34" s="6">
        <v>2843.64</v>
      </c>
      <c r="U34" s="2"/>
      <c r="V34" s="7">
        <f t="shared" si="19"/>
        <v>5.7353530409468513E-3</v>
      </c>
      <c r="W34" s="2"/>
      <c r="X34" s="6">
        <f t="shared" si="20"/>
        <v>-1559.84</v>
      </c>
      <c r="Y34" s="2"/>
      <c r="Z34" s="7">
        <f t="shared" si="21"/>
        <v>-0.54853638294580187</v>
      </c>
    </row>
    <row r="35" spans="1:26" s="23" customFormat="1" hidden="1" outlineLevel="2" x14ac:dyDescent="0.25">
      <c r="A35" s="25"/>
      <c r="B35" s="10" t="str">
        <f>CONCATENATE("          ", "6156", " - ", "EMPLOYEE MEALS")</f>
        <v xml:space="preserve">          6156 - EMPLOYEE MEALS</v>
      </c>
      <c r="C35" s="10"/>
      <c r="D35" s="6"/>
      <c r="E35" s="2"/>
      <c r="F35" s="7">
        <f t="shared" si="14"/>
        <v>0</v>
      </c>
      <c r="G35" s="2"/>
      <c r="H35" s="6">
        <v>75.540000000000006</v>
      </c>
      <c r="I35" s="2"/>
      <c r="J35" s="7">
        <f t="shared" si="15"/>
        <v>2.2478376391098756E-3</v>
      </c>
      <c r="K35" s="2"/>
      <c r="L35" s="6">
        <f t="shared" si="16"/>
        <v>-75.540000000000006</v>
      </c>
      <c r="M35" s="2"/>
      <c r="N35" s="7">
        <f t="shared" si="17"/>
        <v>-1</v>
      </c>
      <c r="O35" s="10"/>
      <c r="P35" s="6">
        <v>400.82</v>
      </c>
      <c r="Q35" s="2"/>
      <c r="R35" s="7">
        <f t="shared" si="18"/>
        <v>0</v>
      </c>
      <c r="S35" s="2"/>
      <c r="T35" s="6">
        <v>1410.65</v>
      </c>
      <c r="U35" s="2"/>
      <c r="V35" s="7">
        <f t="shared" si="19"/>
        <v>2.8451476864904406E-3</v>
      </c>
      <c r="W35" s="2"/>
      <c r="X35" s="6">
        <f t="shared" si="20"/>
        <v>-1009.8300000000002</v>
      </c>
      <c r="Y35" s="2"/>
      <c r="Z35" s="7">
        <f t="shared" si="21"/>
        <v>-0.71586148229539581</v>
      </c>
    </row>
    <row r="36" spans="1:26" s="26" customFormat="1" outlineLevel="1" collapsed="1" x14ac:dyDescent="0.25">
      <c r="A36" s="27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1" si="22">IF(D$12=0,0,D36/D$12)</f>
        <v>0</v>
      </c>
      <c r="G36" s="1"/>
      <c r="H36" s="1">
        <f>SUM(OSRRefH22_1x_0)</f>
        <v>13275.539999999999</v>
      </c>
      <c r="I36" s="1"/>
      <c r="J36" s="5">
        <f t="shared" ref="J36:J41" si="23">IF(H$12=0,0,H36/H$12)</f>
        <v>0.39503916456855592</v>
      </c>
      <c r="K36" s="1"/>
      <c r="L36" s="1">
        <f t="shared" ref="L36:L41" si="24">+D36-H36</f>
        <v>-13275.539999999999</v>
      </c>
      <c r="M36" s="1"/>
      <c r="N36" s="5">
        <f t="shared" ref="N36:N41" si="25">IF(H36=0,0,L36/H36)</f>
        <v>-1</v>
      </c>
      <c r="O36" s="12"/>
      <c r="P36" s="1">
        <f>SUM(OSRRefP22_1x_0)</f>
        <v>23136.42</v>
      </c>
      <c r="Q36" s="1"/>
      <c r="R36" s="5">
        <f t="shared" ref="R36:R41" si="26">IF(P$12=0,0,P36/P$12)</f>
        <v>0</v>
      </c>
      <c r="S36" s="1"/>
      <c r="T36" s="1">
        <f>SUM(OSRRefT22_1x_0)</f>
        <v>105273.4</v>
      </c>
      <c r="U36" s="1"/>
      <c r="V36" s="5">
        <f t="shared" ref="V36:V41" si="27">IF(T$12=0,0,T36/T$12)</f>
        <v>0.21232649520361729</v>
      </c>
      <c r="W36" s="1"/>
      <c r="X36" s="1">
        <f t="shared" ref="X36:X41" si="28">+P36-T36</f>
        <v>-82136.98</v>
      </c>
      <c r="Y36" s="1"/>
      <c r="Z36" s="5">
        <f t="shared" ref="Z36:Z41" si="29">IF(T36=0,0,X36/T36)</f>
        <v>-0.78022539406915703</v>
      </c>
    </row>
    <row r="37" spans="1:26" s="23" customFormat="1" hidden="1" outlineLevel="2" x14ac:dyDescent="0.25">
      <c r="A37" s="25"/>
      <c r="B37" s="10" t="str">
        <f>CONCATENATE("          ", "6002", " - ", "STAFF SALARIES")</f>
        <v xml:space="preserve">          6002 - STAFF SALARIES</v>
      </c>
      <c r="C37" s="10"/>
      <c r="D37" s="6"/>
      <c r="E37" s="2"/>
      <c r="F37" s="7">
        <f t="shared" si="22"/>
        <v>0</v>
      </c>
      <c r="G37" s="2"/>
      <c r="H37" s="6">
        <v>5566.66</v>
      </c>
      <c r="I37" s="2"/>
      <c r="J37" s="7">
        <f t="shared" si="23"/>
        <v>0.1656466490882629</v>
      </c>
      <c r="K37" s="2"/>
      <c r="L37" s="6">
        <f t="shared" si="24"/>
        <v>-5566.66</v>
      </c>
      <c r="M37" s="2"/>
      <c r="N37" s="7">
        <f t="shared" si="25"/>
        <v>-1</v>
      </c>
      <c r="O37" s="10"/>
      <c r="P37" s="6">
        <v>23136.42</v>
      </c>
      <c r="Q37" s="2"/>
      <c r="R37" s="7">
        <f t="shared" si="26"/>
        <v>0</v>
      </c>
      <c r="S37" s="2"/>
      <c r="T37" s="6">
        <v>51631.11</v>
      </c>
      <c r="U37" s="2"/>
      <c r="V37" s="7">
        <f t="shared" si="27"/>
        <v>0.10413506764075671</v>
      </c>
      <c r="W37" s="2"/>
      <c r="X37" s="6">
        <f t="shared" si="28"/>
        <v>-28494.690000000002</v>
      </c>
      <c r="Y37" s="2"/>
      <c r="Z37" s="7">
        <f t="shared" si="29"/>
        <v>-0.55188993612571957</v>
      </c>
    </row>
    <row r="38" spans="1:26" s="23" customFormat="1" hidden="1" outlineLevel="2" x14ac:dyDescent="0.25">
      <c r="A38" s="25"/>
      <c r="B38" s="10" t="str">
        <f>CONCATENATE("          ", "6005", " - ", "TEMPORARY WAGES-HOURLY")</f>
        <v xml:space="preserve">          6005 - TEMPORARY WAGES-HOURLY</v>
      </c>
      <c r="C38" s="10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/>
      <c r="Q38" s="2"/>
      <c r="R38" s="7">
        <f t="shared" si="26"/>
        <v>0</v>
      </c>
      <c r="S38" s="2"/>
      <c r="T38" s="6">
        <v>1174.26</v>
      </c>
      <c r="U38" s="2"/>
      <c r="V38" s="7">
        <f t="shared" si="27"/>
        <v>2.3683714049113989E-3</v>
      </c>
      <c r="W38" s="2"/>
      <c r="X38" s="6">
        <f t="shared" si="28"/>
        <v>-1174.26</v>
      </c>
      <c r="Y38" s="2"/>
      <c r="Z38" s="7">
        <f t="shared" si="29"/>
        <v>-1</v>
      </c>
    </row>
    <row r="39" spans="1:26" s="23" customFormat="1" hidden="1" outlineLevel="2" x14ac:dyDescent="0.25">
      <c r="A39" s="25"/>
      <c r="B39" s="10" t="str">
        <f>CONCATENATE("          ", "6006", " - ", "TEMPORARY PART TIME")</f>
        <v xml:space="preserve">          6006 - TEMPORARY PART TIME</v>
      </c>
      <c r="C39" s="10"/>
      <c r="D39" s="6"/>
      <c r="E39" s="2"/>
      <c r="F39" s="7">
        <f t="shared" si="22"/>
        <v>0</v>
      </c>
      <c r="G39" s="2"/>
      <c r="H39" s="6">
        <v>1671.31</v>
      </c>
      <c r="I39" s="2"/>
      <c r="J39" s="7">
        <f t="shared" si="23"/>
        <v>4.9733035803822156E-2</v>
      </c>
      <c r="K39" s="2"/>
      <c r="L39" s="6">
        <f t="shared" si="24"/>
        <v>-1671.31</v>
      </c>
      <c r="M39" s="2"/>
      <c r="N39" s="7">
        <f t="shared" si="25"/>
        <v>-1</v>
      </c>
      <c r="O39" s="10"/>
      <c r="P39" s="6"/>
      <c r="Q39" s="2"/>
      <c r="R39" s="7">
        <f t="shared" si="26"/>
        <v>0</v>
      </c>
      <c r="S39" s="2"/>
      <c r="T39" s="6">
        <v>4878.2700000000004</v>
      </c>
      <c r="U39" s="2"/>
      <c r="V39" s="7">
        <f t="shared" si="27"/>
        <v>9.8390093960767887E-3</v>
      </c>
      <c r="W39" s="2"/>
      <c r="X39" s="6">
        <f t="shared" si="28"/>
        <v>-4878.2700000000004</v>
      </c>
      <c r="Y39" s="2"/>
      <c r="Z39" s="7">
        <f t="shared" si="29"/>
        <v>-1</v>
      </c>
    </row>
    <row r="40" spans="1:26" s="23" customFormat="1" hidden="1" outlineLevel="2" x14ac:dyDescent="0.25">
      <c r="A40" s="25"/>
      <c r="B40" s="10" t="str">
        <f>CONCATENATE("          ", "6007", " - ", "STUDENT HOURLY")</f>
        <v xml:space="preserve">          6007 - STUDENT HOURLY</v>
      </c>
      <c r="C40" s="10"/>
      <c r="D40" s="6"/>
      <c r="E40" s="2"/>
      <c r="F40" s="7">
        <f t="shared" si="22"/>
        <v>0</v>
      </c>
      <c r="G40" s="2"/>
      <c r="H40" s="6">
        <v>6037.57</v>
      </c>
      <c r="I40" s="2"/>
      <c r="J40" s="7">
        <f t="shared" si="23"/>
        <v>0.17965947967647089</v>
      </c>
      <c r="K40" s="2"/>
      <c r="L40" s="6">
        <f t="shared" si="24"/>
        <v>-6037.57</v>
      </c>
      <c r="M40" s="2"/>
      <c r="N40" s="7">
        <f t="shared" si="25"/>
        <v>-1</v>
      </c>
      <c r="O40" s="10"/>
      <c r="P40" s="6"/>
      <c r="Q40" s="2"/>
      <c r="R40" s="7">
        <f t="shared" si="26"/>
        <v>0</v>
      </c>
      <c r="S40" s="2"/>
      <c r="T40" s="6">
        <v>44034.28</v>
      </c>
      <c r="U40" s="2"/>
      <c r="V40" s="7">
        <f t="shared" si="27"/>
        <v>8.8812979738611464E-2</v>
      </c>
      <c r="W40" s="2"/>
      <c r="X40" s="6">
        <f t="shared" si="28"/>
        <v>-44034.28</v>
      </c>
      <c r="Y40" s="2"/>
      <c r="Z40" s="7">
        <f t="shared" si="29"/>
        <v>-1</v>
      </c>
    </row>
    <row r="41" spans="1:26" s="23" customFormat="1" hidden="1" outlineLevel="2" x14ac:dyDescent="0.25">
      <c r="A41" s="25"/>
      <c r="B41" s="10" t="str">
        <f>CONCATENATE("          ", "6008", " - ", "STUDENT HOURLY-FICA EXEMPT")</f>
        <v xml:space="preserve">          6008 - STUDENT HOURLY-FICA EXEMPT</v>
      </c>
      <c r="C41" s="10"/>
      <c r="D41" s="6"/>
      <c r="E41" s="2"/>
      <c r="F41" s="7">
        <f t="shared" si="22"/>
        <v>0</v>
      </c>
      <c r="G41" s="2"/>
      <c r="H41" s="6"/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0"/>
      <c r="P41" s="6"/>
      <c r="Q41" s="2"/>
      <c r="R41" s="7">
        <f t="shared" si="26"/>
        <v>0</v>
      </c>
      <c r="S41" s="2"/>
      <c r="T41" s="6">
        <v>3555.48</v>
      </c>
      <c r="U41" s="2"/>
      <c r="V41" s="7">
        <f t="shared" si="27"/>
        <v>7.1710670232609302E-3</v>
      </c>
      <c r="W41" s="2"/>
      <c r="X41" s="6">
        <f t="shared" si="28"/>
        <v>-3555.48</v>
      </c>
      <c r="Y41" s="2"/>
      <c r="Z41" s="7">
        <f t="shared" si="29"/>
        <v>-1</v>
      </c>
    </row>
    <row r="42" spans="1:26" s="26" customFormat="1" outlineLevel="1" collapsed="1" x14ac:dyDescent="0.25">
      <c r="A42" s="27"/>
      <c r="B42" s="12" t="str">
        <f>CONCATENATE("     ","Advertising/Promo                                 ")</f>
        <v xml:space="preserve">     Advertising/Promo                                 </v>
      </c>
      <c r="C42" s="12"/>
      <c r="D42" s="1">
        <f>SUM(OSRRefD22_2x_0)</f>
        <v>0</v>
      </c>
      <c r="E42" s="1"/>
      <c r="F42" s="5">
        <f t="shared" ref="F42:F57" si="30">IF(D$12=0,0,D42/D$12)</f>
        <v>0</v>
      </c>
      <c r="G42" s="1"/>
      <c r="H42" s="1">
        <f>SUM(OSRRefH22_2x_0)</f>
        <v>49.08</v>
      </c>
      <c r="I42" s="1"/>
      <c r="J42" s="5">
        <f t="shared" ref="J42:J57" si="31">IF(H$12=0,0,H42/H$12)</f>
        <v>1.4604695701285768E-3</v>
      </c>
      <c r="K42" s="1"/>
      <c r="L42" s="1">
        <f t="shared" ref="L42:L57" si="32">+D42-H42</f>
        <v>-49.08</v>
      </c>
      <c r="M42" s="1"/>
      <c r="N42" s="5">
        <f t="shared" ref="N42:N57" si="33">IF(H42=0,0,L42/H42)</f>
        <v>-1</v>
      </c>
      <c r="O42" s="12"/>
      <c r="P42" s="1">
        <f>SUM(OSRRefP22_2x_0)</f>
        <v>0</v>
      </c>
      <c r="Q42" s="1"/>
      <c r="R42" s="5">
        <f t="shared" ref="R42:R57" si="34">IF(P$12=0,0,P42/P$12)</f>
        <v>0</v>
      </c>
      <c r="S42" s="1"/>
      <c r="T42" s="1">
        <f>SUM(OSRRefT22_2x_0)</f>
        <v>1464.31</v>
      </c>
      <c r="U42" s="1"/>
      <c r="V42" s="5">
        <f t="shared" ref="V42:V57" si="35">IF(T$12=0,0,T42/T$12)</f>
        <v>2.9533748334489894E-3</v>
      </c>
      <c r="W42" s="1"/>
      <c r="X42" s="1">
        <f t="shared" ref="X42:X57" si="36">+P42-T42</f>
        <v>-1464.31</v>
      </c>
      <c r="Y42" s="1"/>
      <c r="Z42" s="5">
        <f t="shared" ref="Z42:Z57" si="37">IF(T42=0,0,X42/T42)</f>
        <v>-1</v>
      </c>
    </row>
    <row r="43" spans="1:26" s="23" customFormat="1" hidden="1" outlineLevel="2" x14ac:dyDescent="0.25">
      <c r="A43" s="25"/>
      <c r="B43" s="10" t="str">
        <f>CONCATENATE("          ", "6362", " - ", "ADVERTISING EXPENSE")</f>
        <v xml:space="preserve">          6362 - ADVERTISING EXPENSE</v>
      </c>
      <c r="C43" s="10"/>
      <c r="D43" s="6"/>
      <c r="E43" s="2"/>
      <c r="F43" s="7">
        <f t="shared" si="30"/>
        <v>0</v>
      </c>
      <c r="G43" s="2"/>
      <c r="H43" s="6">
        <v>49.08</v>
      </c>
      <c r="I43" s="2"/>
      <c r="J43" s="7">
        <f t="shared" si="31"/>
        <v>1.4604695701285768E-3</v>
      </c>
      <c r="K43" s="2"/>
      <c r="L43" s="6">
        <f t="shared" si="32"/>
        <v>-49.08</v>
      </c>
      <c r="M43" s="2"/>
      <c r="N43" s="7">
        <f t="shared" si="33"/>
        <v>-1</v>
      </c>
      <c r="O43" s="10"/>
      <c r="P43" s="6"/>
      <c r="Q43" s="2"/>
      <c r="R43" s="7">
        <f t="shared" si="34"/>
        <v>0</v>
      </c>
      <c r="S43" s="2"/>
      <c r="T43" s="6">
        <v>1464.31</v>
      </c>
      <c r="U43" s="2"/>
      <c r="V43" s="7">
        <f t="shared" si="35"/>
        <v>2.9533748334489894E-3</v>
      </c>
      <c r="W43" s="2"/>
      <c r="X43" s="6">
        <f t="shared" si="36"/>
        <v>-1464.31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2" t="str">
        <f>CONCATENATE("     ","Bad Debts/Over/Short                              ")</f>
        <v xml:space="preserve">     Bad Debts/Over/Short                              </v>
      </c>
      <c r="C44" s="12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-14.37</v>
      </c>
      <c r="I44" s="1"/>
      <c r="J44" s="5">
        <f t="shared" si="31"/>
        <v>-4.2760692181637424E-4</v>
      </c>
      <c r="K44" s="1"/>
      <c r="L44" s="1">
        <f t="shared" si="32"/>
        <v>14.37</v>
      </c>
      <c r="M44" s="1"/>
      <c r="N44" s="5">
        <f t="shared" si="33"/>
        <v>-1</v>
      </c>
      <c r="O44" s="12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-198.56</v>
      </c>
      <c r="U44" s="1"/>
      <c r="V44" s="5">
        <f t="shared" si="35"/>
        <v>-4.0047674804490264E-4</v>
      </c>
      <c r="W44" s="1"/>
      <c r="X44" s="1">
        <f t="shared" si="36"/>
        <v>198.56</v>
      </c>
      <c r="Y44" s="1"/>
      <c r="Z44" s="5">
        <f t="shared" si="37"/>
        <v>-1</v>
      </c>
    </row>
    <row r="45" spans="1:26" s="23" customFormat="1" hidden="1" outlineLevel="2" x14ac:dyDescent="0.25">
      <c r="A45" s="25"/>
      <c r="B45" s="10" t="str">
        <f>CONCATENATE("          ", "6272", " - ", "CASH (OVER/SHORT)")</f>
        <v xml:space="preserve">          6272 - CASH (OVER/SHORT)</v>
      </c>
      <c r="C45" s="10"/>
      <c r="D45" s="6"/>
      <c r="E45" s="2"/>
      <c r="F45" s="7">
        <f t="shared" si="30"/>
        <v>0</v>
      </c>
      <c r="G45" s="2"/>
      <c r="H45" s="6">
        <v>-14.37</v>
      </c>
      <c r="I45" s="2"/>
      <c r="J45" s="7">
        <f t="shared" si="31"/>
        <v>-4.2760692181637424E-4</v>
      </c>
      <c r="K45" s="2"/>
      <c r="L45" s="6">
        <f t="shared" si="32"/>
        <v>14.37</v>
      </c>
      <c r="M45" s="2"/>
      <c r="N45" s="7">
        <f t="shared" si="33"/>
        <v>-1</v>
      </c>
      <c r="O45" s="10"/>
      <c r="P45" s="6"/>
      <c r="Q45" s="2"/>
      <c r="R45" s="7">
        <f t="shared" si="34"/>
        <v>0</v>
      </c>
      <c r="S45" s="2"/>
      <c r="T45" s="6">
        <v>-198.56</v>
      </c>
      <c r="U45" s="2"/>
      <c r="V45" s="7">
        <f t="shared" si="35"/>
        <v>-4.0047674804490264E-4</v>
      </c>
      <c r="W45" s="2"/>
      <c r="X45" s="6">
        <f t="shared" si="36"/>
        <v>198.56</v>
      </c>
      <c r="Y45" s="2"/>
      <c r="Z45" s="7">
        <f t="shared" si="37"/>
        <v>-1</v>
      </c>
    </row>
    <row r="46" spans="1:26" s="26" customFormat="1" outlineLevel="1" collapsed="1" x14ac:dyDescent="0.25">
      <c r="A46" s="27"/>
      <c r="B46" s="12" t="str">
        <f>CONCATENATE("     ","Bank/card Fees                                    ")</f>
        <v xml:space="preserve">     Bank/card Fees                                    </v>
      </c>
      <c r="C46" s="12"/>
      <c r="D46" s="1">
        <f>SUM(OSRRefD22_4x_0)</f>
        <v>0</v>
      </c>
      <c r="E46" s="1"/>
      <c r="F46" s="5">
        <f t="shared" si="30"/>
        <v>0</v>
      </c>
      <c r="G46" s="1"/>
      <c r="H46" s="1">
        <f>SUM(OSRRefH22_4x_0)</f>
        <v>1748.94</v>
      </c>
      <c r="I46" s="1"/>
      <c r="J46" s="5">
        <f t="shared" si="31"/>
        <v>5.20430654030292E-2</v>
      </c>
      <c r="K46" s="1"/>
      <c r="L46" s="1">
        <f t="shared" si="32"/>
        <v>-1748.94</v>
      </c>
      <c r="M46" s="1"/>
      <c r="N46" s="5">
        <f t="shared" si="33"/>
        <v>-1</v>
      </c>
      <c r="O46" s="12"/>
      <c r="P46" s="1">
        <f>SUM(OSRRefP22_4x_0)</f>
        <v>240</v>
      </c>
      <c r="Q46" s="1"/>
      <c r="R46" s="5">
        <f t="shared" si="34"/>
        <v>0</v>
      </c>
      <c r="S46" s="1"/>
      <c r="T46" s="1">
        <f>SUM(OSRRefT22_4x_0)</f>
        <v>18073.439999999999</v>
      </c>
      <c r="U46" s="1"/>
      <c r="V46" s="5">
        <f t="shared" si="35"/>
        <v>3.6452419808544842E-2</v>
      </c>
      <c r="W46" s="1"/>
      <c r="X46" s="1">
        <f t="shared" si="36"/>
        <v>-17833.439999999999</v>
      </c>
      <c r="Y46" s="1"/>
      <c r="Z46" s="5">
        <f t="shared" si="37"/>
        <v>-0.98672084561655116</v>
      </c>
    </row>
    <row r="47" spans="1:26" s="23" customFormat="1" hidden="1" outlineLevel="2" x14ac:dyDescent="0.25">
      <c r="A47" s="25"/>
      <c r="B47" s="10" t="str">
        <f>CONCATENATE("          ", "6381", " - ", "BANK/CREDIT CARD FEES")</f>
        <v xml:space="preserve">          6381 - BANK/CREDIT CARD FEES</v>
      </c>
      <c r="C47" s="10"/>
      <c r="D47" s="6"/>
      <c r="E47" s="2"/>
      <c r="F47" s="7">
        <f t="shared" si="30"/>
        <v>0</v>
      </c>
      <c r="G47" s="2"/>
      <c r="H47" s="6">
        <v>1748.94</v>
      </c>
      <c r="I47" s="2"/>
      <c r="J47" s="7">
        <f t="shared" si="31"/>
        <v>5.20430654030292E-2</v>
      </c>
      <c r="K47" s="2"/>
      <c r="L47" s="6">
        <f t="shared" si="32"/>
        <v>-1748.94</v>
      </c>
      <c r="M47" s="2"/>
      <c r="N47" s="7">
        <f t="shared" si="33"/>
        <v>-1</v>
      </c>
      <c r="O47" s="10"/>
      <c r="P47" s="6">
        <v>240</v>
      </c>
      <c r="Q47" s="2"/>
      <c r="R47" s="7">
        <f t="shared" si="34"/>
        <v>0</v>
      </c>
      <c r="S47" s="2"/>
      <c r="T47" s="6">
        <v>18073.439999999999</v>
      </c>
      <c r="U47" s="2"/>
      <c r="V47" s="7">
        <f t="shared" si="35"/>
        <v>3.6452419808544842E-2</v>
      </c>
      <c r="W47" s="2"/>
      <c r="X47" s="6">
        <f t="shared" si="36"/>
        <v>-17833.439999999999</v>
      </c>
      <c r="Y47" s="2"/>
      <c r="Z47" s="7">
        <f t="shared" si="37"/>
        <v>-0.98672084561655116</v>
      </c>
    </row>
    <row r="48" spans="1:26" s="26" customFormat="1" outlineLevel="1" collapsed="1" x14ac:dyDescent="0.25">
      <c r="A48" s="27"/>
      <c r="B48" s="12" t="str">
        <f>CONCATENATE("     ","Discounts and Markdowns                           ")</f>
        <v xml:space="preserve">     Discounts and Markdowns                           </v>
      </c>
      <c r="C48" s="12"/>
      <c r="D48" s="1">
        <f>SUM(OSRRefD22_5x_0)</f>
        <v>0</v>
      </c>
      <c r="E48" s="1"/>
      <c r="F48" s="5">
        <f t="shared" si="30"/>
        <v>0</v>
      </c>
      <c r="G48" s="1"/>
      <c r="H48" s="1">
        <f>SUM(OSRRefH22_5x_0)</f>
        <v>5.91</v>
      </c>
      <c r="I48" s="1"/>
      <c r="J48" s="5">
        <f t="shared" si="31"/>
        <v>1.7586338955704746E-4</v>
      </c>
      <c r="K48" s="1"/>
      <c r="L48" s="1">
        <f t="shared" si="32"/>
        <v>-5.91</v>
      </c>
      <c r="M48" s="1"/>
      <c r="N48" s="5">
        <f t="shared" si="33"/>
        <v>-1</v>
      </c>
      <c r="O48" s="12"/>
      <c r="P48" s="1">
        <f>SUM(OSRRefP22_5x_0)</f>
        <v>0</v>
      </c>
      <c r="Q48" s="1"/>
      <c r="R48" s="5">
        <f t="shared" si="34"/>
        <v>0</v>
      </c>
      <c r="S48" s="1"/>
      <c r="T48" s="1">
        <f>SUM(OSRRefT22_5x_0)</f>
        <v>125.87</v>
      </c>
      <c r="U48" s="1"/>
      <c r="V48" s="5">
        <f t="shared" si="35"/>
        <v>2.5386789019143783E-4</v>
      </c>
      <c r="W48" s="1"/>
      <c r="X48" s="1">
        <f t="shared" si="36"/>
        <v>-125.87</v>
      </c>
      <c r="Y48" s="1"/>
      <c r="Z48" s="5">
        <f t="shared" si="37"/>
        <v>-1</v>
      </c>
    </row>
    <row r="49" spans="1:26" s="23" customFormat="1" hidden="1" outlineLevel="2" x14ac:dyDescent="0.25">
      <c r="A49" s="25"/>
      <c r="B49" s="10" t="str">
        <f>CONCATENATE("          ", "6382", " - ", "DISCOUNTS/MARK DOWNS")</f>
        <v xml:space="preserve">          6382 - DISCOUNTS/MARK DOWNS</v>
      </c>
      <c r="C49" s="10"/>
      <c r="D49" s="6"/>
      <c r="E49" s="2"/>
      <c r="F49" s="7">
        <f t="shared" si="30"/>
        <v>0</v>
      </c>
      <c r="G49" s="2"/>
      <c r="H49" s="6">
        <v>5.91</v>
      </c>
      <c r="I49" s="2"/>
      <c r="J49" s="7">
        <f t="shared" si="31"/>
        <v>1.7586338955704746E-4</v>
      </c>
      <c r="K49" s="2"/>
      <c r="L49" s="6">
        <f t="shared" si="32"/>
        <v>-5.91</v>
      </c>
      <c r="M49" s="2"/>
      <c r="N49" s="7">
        <f t="shared" si="33"/>
        <v>-1</v>
      </c>
      <c r="O49" s="10"/>
      <c r="P49" s="6"/>
      <c r="Q49" s="2"/>
      <c r="R49" s="7">
        <f t="shared" si="34"/>
        <v>0</v>
      </c>
      <c r="S49" s="2"/>
      <c r="T49" s="6">
        <v>125.87</v>
      </c>
      <c r="U49" s="2"/>
      <c r="V49" s="7">
        <f t="shared" si="35"/>
        <v>2.5386789019143783E-4</v>
      </c>
      <c r="W49" s="2"/>
      <c r="X49" s="6">
        <f t="shared" si="36"/>
        <v>-125.87</v>
      </c>
      <c r="Y49" s="2"/>
      <c r="Z49" s="7">
        <f t="shared" si="37"/>
        <v>-1</v>
      </c>
    </row>
    <row r="50" spans="1:26" s="26" customFormat="1" outlineLevel="1" collapsed="1" x14ac:dyDescent="0.25">
      <c r="A50" s="27"/>
      <c r="B50" s="12" t="str">
        <f>CONCATENATE("     ","Freight out/Postage                               ")</f>
        <v xml:space="preserve">     Freight out/Postage                               </v>
      </c>
      <c r="C50" s="12"/>
      <c r="D50" s="1">
        <f>SUM(OSRRefD22_6x_0)</f>
        <v>41.93</v>
      </c>
      <c r="E50" s="1"/>
      <c r="F50" s="5">
        <f t="shared" si="30"/>
        <v>0</v>
      </c>
      <c r="G50" s="1"/>
      <c r="H50" s="1">
        <f>SUM(OSRRefH22_6x_0)</f>
        <v>56.71</v>
      </c>
      <c r="I50" s="1"/>
      <c r="J50" s="5">
        <f t="shared" si="31"/>
        <v>1.6875148598612794E-3</v>
      </c>
      <c r="K50" s="1"/>
      <c r="L50" s="1">
        <f t="shared" si="32"/>
        <v>-14.780000000000001</v>
      </c>
      <c r="M50" s="1"/>
      <c r="N50" s="5">
        <f t="shared" si="33"/>
        <v>-0.26062422853112327</v>
      </c>
      <c r="O50" s="12"/>
      <c r="P50" s="1">
        <f>SUM(OSRRefP22_6x_0)</f>
        <v>249.82</v>
      </c>
      <c r="Q50" s="1"/>
      <c r="R50" s="5">
        <f t="shared" si="34"/>
        <v>0</v>
      </c>
      <c r="S50" s="1"/>
      <c r="T50" s="1">
        <f>SUM(OSRRefT22_6x_0)</f>
        <v>311.17</v>
      </c>
      <c r="U50" s="1"/>
      <c r="V50" s="5">
        <f t="shared" si="35"/>
        <v>6.2760047184293091E-4</v>
      </c>
      <c r="W50" s="1"/>
      <c r="X50" s="1">
        <f t="shared" si="36"/>
        <v>-61.350000000000023</v>
      </c>
      <c r="Y50" s="1"/>
      <c r="Z50" s="5">
        <f t="shared" si="37"/>
        <v>-0.19715910916862173</v>
      </c>
    </row>
    <row r="51" spans="1:26" s="23" customFormat="1" hidden="1" outlineLevel="2" x14ac:dyDescent="0.25">
      <c r="A51" s="25"/>
      <c r="B51" s="10" t="str">
        <f>CONCATENATE("          ", "6305", " - ", "FREIGHT OUT")</f>
        <v xml:space="preserve">          6305 - FREIGHT OUT</v>
      </c>
      <c r="C51" s="10"/>
      <c r="D51" s="6">
        <v>41.93</v>
      </c>
      <c r="E51" s="2"/>
      <c r="F51" s="7">
        <f t="shared" si="30"/>
        <v>0</v>
      </c>
      <c r="G51" s="2"/>
      <c r="H51" s="6">
        <v>56.71</v>
      </c>
      <c r="I51" s="2"/>
      <c r="J51" s="7">
        <f t="shared" si="31"/>
        <v>1.6875148598612794E-3</v>
      </c>
      <c r="K51" s="2"/>
      <c r="L51" s="6">
        <f t="shared" si="32"/>
        <v>-14.780000000000001</v>
      </c>
      <c r="M51" s="2"/>
      <c r="N51" s="7">
        <f t="shared" si="33"/>
        <v>-0.26062422853112327</v>
      </c>
      <c r="O51" s="10"/>
      <c r="P51" s="6">
        <v>249.82</v>
      </c>
      <c r="Q51" s="2"/>
      <c r="R51" s="7">
        <f t="shared" si="34"/>
        <v>0</v>
      </c>
      <c r="S51" s="2"/>
      <c r="T51" s="6">
        <v>311.17</v>
      </c>
      <c r="U51" s="2"/>
      <c r="V51" s="7">
        <f t="shared" si="35"/>
        <v>6.2760047184293091E-4</v>
      </c>
      <c r="W51" s="2"/>
      <c r="X51" s="6">
        <f t="shared" si="36"/>
        <v>-61.350000000000023</v>
      </c>
      <c r="Y51" s="2"/>
      <c r="Z51" s="7">
        <f t="shared" si="37"/>
        <v>-0.19715910916862173</v>
      </c>
    </row>
    <row r="52" spans="1:26" s="26" customFormat="1" outlineLevel="1" collapsed="1" x14ac:dyDescent="0.25">
      <c r="A52" s="27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SUM(OSRRefD22_7x_0)</f>
        <v>0</v>
      </c>
      <c r="E52" s="1"/>
      <c r="F52" s="5">
        <f t="shared" si="30"/>
        <v>0</v>
      </c>
      <c r="G52" s="1"/>
      <c r="H52" s="1">
        <f>SUM(OSRRefH22_7x_0)</f>
        <v>0</v>
      </c>
      <c r="I52" s="1"/>
      <c r="J52" s="5">
        <f t="shared" si="31"/>
        <v>0</v>
      </c>
      <c r="K52" s="1"/>
      <c r="L52" s="1">
        <f t="shared" si="32"/>
        <v>0</v>
      </c>
      <c r="M52" s="1"/>
      <c r="N52" s="5">
        <f t="shared" si="33"/>
        <v>0</v>
      </c>
      <c r="O52" s="12"/>
      <c r="P52" s="1">
        <f>SUM(OSRRefP22_7x_0)</f>
        <v>160</v>
      </c>
      <c r="Q52" s="1"/>
      <c r="R52" s="5">
        <f t="shared" si="34"/>
        <v>0</v>
      </c>
      <c r="S52" s="1"/>
      <c r="T52" s="1">
        <f>SUM(OSRRefT22_7x_0)</f>
        <v>1192.3499999999999</v>
      </c>
      <c r="U52" s="1"/>
      <c r="V52" s="5">
        <f t="shared" si="35"/>
        <v>2.4048572246743532E-3</v>
      </c>
      <c r="W52" s="1"/>
      <c r="X52" s="1">
        <f t="shared" si="36"/>
        <v>-1032.3499999999999</v>
      </c>
      <c r="Y52" s="1"/>
      <c r="Z52" s="5">
        <f t="shared" si="37"/>
        <v>-0.86581121315050114</v>
      </c>
    </row>
    <row r="53" spans="1:26" s="23" customFormat="1" hidden="1" outlineLevel="2" x14ac:dyDescent="0.25">
      <c r="A53" s="25"/>
      <c r="B53" s="10" t="str">
        <f>CONCATENATE("          ", "6279", " - ", "GENERAL EXPENSE")</f>
        <v xml:space="preserve">          6279 - GENERAL EXPENSE</v>
      </c>
      <c r="C53" s="10"/>
      <c r="D53" s="6"/>
      <c r="E53" s="2"/>
      <c r="F53" s="7">
        <f t="shared" si="30"/>
        <v>0</v>
      </c>
      <c r="G53" s="2"/>
      <c r="H53" s="6">
        <v>0</v>
      </c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0"/>
      <c r="P53" s="6">
        <v>160</v>
      </c>
      <c r="Q53" s="2"/>
      <c r="R53" s="7">
        <f t="shared" si="34"/>
        <v>0</v>
      </c>
      <c r="S53" s="2"/>
      <c r="T53" s="6">
        <v>1192.3499999999999</v>
      </c>
      <c r="U53" s="2"/>
      <c r="V53" s="7">
        <f t="shared" si="35"/>
        <v>2.4048572246743532E-3</v>
      </c>
      <c r="W53" s="2"/>
      <c r="X53" s="6">
        <f t="shared" si="36"/>
        <v>-1032.3499999999999</v>
      </c>
      <c r="Y53" s="2"/>
      <c r="Z53" s="7">
        <f t="shared" si="37"/>
        <v>-0.86581121315050114</v>
      </c>
    </row>
    <row r="54" spans="1:26" s="26" customFormat="1" outlineLevel="1" collapsed="1" x14ac:dyDescent="0.25">
      <c r="A54" s="27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SUM(OSRRefD22_8x_0)</f>
        <v>24.12</v>
      </c>
      <c r="E54" s="1"/>
      <c r="F54" s="5">
        <f t="shared" si="30"/>
        <v>0</v>
      </c>
      <c r="G54" s="1"/>
      <c r="H54" s="1">
        <f>SUM(OSRRefH22_8x_0)</f>
        <v>24.12</v>
      </c>
      <c r="I54" s="1"/>
      <c r="J54" s="5">
        <f t="shared" si="31"/>
        <v>7.1773687920744238E-4</v>
      </c>
      <c r="K54" s="1"/>
      <c r="L54" s="1">
        <f t="shared" si="32"/>
        <v>0</v>
      </c>
      <c r="M54" s="1"/>
      <c r="N54" s="5">
        <f t="shared" si="33"/>
        <v>0</v>
      </c>
      <c r="O54" s="12"/>
      <c r="P54" s="1">
        <f>SUM(OSRRefP22_8x_0)</f>
        <v>72.36</v>
      </c>
      <c r="Q54" s="1"/>
      <c r="R54" s="5">
        <f t="shared" si="34"/>
        <v>0</v>
      </c>
      <c r="S54" s="1"/>
      <c r="T54" s="1">
        <f>SUM(OSRRefT22_8x_0)</f>
        <v>1088.6200000000001</v>
      </c>
      <c r="U54" s="1"/>
      <c r="V54" s="5">
        <f t="shared" si="35"/>
        <v>2.1956436213569799E-3</v>
      </c>
      <c r="W54" s="1"/>
      <c r="X54" s="1">
        <f t="shared" si="36"/>
        <v>-1016.2600000000001</v>
      </c>
      <c r="Y54" s="1"/>
      <c r="Z54" s="5">
        <f t="shared" si="37"/>
        <v>-0.93353052488471644</v>
      </c>
    </row>
    <row r="55" spans="1:26" s="23" customFormat="1" hidden="1" outlineLevel="2" x14ac:dyDescent="0.25">
      <c r="A55" s="25"/>
      <c r="B55" s="10" t="str">
        <f>CONCATENATE("          ", "6371", " - ", "COMPUTER SOFTWARE MAINTENANCE")</f>
        <v xml:space="preserve">          6371 - COMPUTER SOFTWARE MAINTENANCE</v>
      </c>
      <c r="C55" s="10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0"/>
      <c r="P55" s="6"/>
      <c r="Q55" s="2"/>
      <c r="R55" s="7">
        <f t="shared" si="34"/>
        <v>0</v>
      </c>
      <c r="S55" s="2"/>
      <c r="T55" s="6">
        <v>437.31</v>
      </c>
      <c r="U55" s="2"/>
      <c r="V55" s="7">
        <f t="shared" si="35"/>
        <v>8.8201292650844261E-4</v>
      </c>
      <c r="W55" s="2"/>
      <c r="X55" s="6">
        <f t="shared" si="36"/>
        <v>-437.31</v>
      </c>
      <c r="Y55" s="2"/>
      <c r="Z55" s="7">
        <f t="shared" si="37"/>
        <v>-1</v>
      </c>
    </row>
    <row r="56" spans="1:26" s="23" customFormat="1" hidden="1" outlineLevel="2" x14ac:dyDescent="0.25">
      <c r="A56" s="25"/>
      <c r="B56" s="10" t="str">
        <f>CONCATENATE("          ", "6373", " - ", "MAINTENANCE CONTRACTS")</f>
        <v xml:space="preserve">          6373 - MAINTENANCE CONTRACTS</v>
      </c>
      <c r="C56" s="10"/>
      <c r="D56" s="6">
        <v>24.12</v>
      </c>
      <c r="E56" s="2"/>
      <c r="F56" s="7">
        <f t="shared" si="30"/>
        <v>0</v>
      </c>
      <c r="G56" s="2"/>
      <c r="H56" s="6">
        <v>24.12</v>
      </c>
      <c r="I56" s="2"/>
      <c r="J56" s="7">
        <f t="shared" si="31"/>
        <v>7.1773687920744238E-4</v>
      </c>
      <c r="K56" s="2"/>
      <c r="L56" s="6">
        <f t="shared" si="32"/>
        <v>0</v>
      </c>
      <c r="M56" s="2"/>
      <c r="N56" s="7">
        <f t="shared" si="33"/>
        <v>0</v>
      </c>
      <c r="O56" s="10"/>
      <c r="P56" s="6">
        <v>72.36</v>
      </c>
      <c r="Q56" s="2"/>
      <c r="R56" s="7">
        <f t="shared" si="34"/>
        <v>0</v>
      </c>
      <c r="S56" s="2"/>
      <c r="T56" s="6">
        <v>70.73</v>
      </c>
      <c r="U56" s="2"/>
      <c r="V56" s="7">
        <f t="shared" si="35"/>
        <v>1.4265572315277984E-4</v>
      </c>
      <c r="W56" s="2"/>
      <c r="X56" s="6">
        <f t="shared" si="36"/>
        <v>1.6299999999999955</v>
      </c>
      <c r="Y56" s="2"/>
      <c r="Z56" s="7">
        <f t="shared" si="37"/>
        <v>2.3045383854092966E-2</v>
      </c>
    </row>
    <row r="57" spans="1:26" s="23" customFormat="1" hidden="1" outlineLevel="2" x14ac:dyDescent="0.25">
      <c r="A57" s="25"/>
      <c r="B57" s="10" t="str">
        <f>CONCATENATE("          ", "6375", " - ", "OUTSIDE REPAIRS &amp; MAINTENANCE")</f>
        <v xml:space="preserve">          6375 - OUTSIDE REPAIRS &amp; MAINTENANCE</v>
      </c>
      <c r="C57" s="10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0"/>
      <c r="P57" s="6"/>
      <c r="Q57" s="2"/>
      <c r="R57" s="7">
        <f t="shared" si="34"/>
        <v>0</v>
      </c>
      <c r="S57" s="2"/>
      <c r="T57" s="6">
        <v>580.58000000000004</v>
      </c>
      <c r="U57" s="2"/>
      <c r="V57" s="7">
        <f t="shared" si="35"/>
        <v>1.1709749716957573E-3</v>
      </c>
      <c r="W57" s="2"/>
      <c r="X57" s="6">
        <f t="shared" si="36"/>
        <v>-580.58000000000004</v>
      </c>
      <c r="Y57" s="2"/>
      <c r="Z57" s="7">
        <f t="shared" si="37"/>
        <v>-1</v>
      </c>
    </row>
    <row r="58" spans="1:26" s="26" customFormat="1" outlineLevel="1" collapsed="1" x14ac:dyDescent="0.25">
      <c r="A58" s="27"/>
      <c r="B58" s="12" t="str">
        <f>CONCATENATE("     ","Services                                          ")</f>
        <v xml:space="preserve">     Services                                          </v>
      </c>
      <c r="C58" s="12"/>
      <c r="D58" s="1">
        <f>SUM(OSRRefD22_9x_0)</f>
        <v>0</v>
      </c>
      <c r="E58" s="1"/>
      <c r="F58" s="5">
        <f t="shared" ref="F58:F66" si="38">IF(D$12=0,0,D58/D$12)</f>
        <v>0</v>
      </c>
      <c r="G58" s="1"/>
      <c r="H58" s="1">
        <f>SUM(OSRRefH22_9x_0)</f>
        <v>68.900000000000006</v>
      </c>
      <c r="I58" s="1"/>
      <c r="J58" s="5">
        <f t="shared" ref="J58:J66" si="39">IF(H$12=0,0,H58/H$12)</f>
        <v>2.0502516988968817E-3</v>
      </c>
      <c r="K58" s="1"/>
      <c r="L58" s="1">
        <f t="shared" ref="L58:L66" si="40">+D58-H58</f>
        <v>-68.900000000000006</v>
      </c>
      <c r="M58" s="1"/>
      <c r="N58" s="5">
        <f t="shared" ref="N58:N66" si="41">IF(H58=0,0,L58/H58)</f>
        <v>-1</v>
      </c>
      <c r="O58" s="12"/>
      <c r="P58" s="1">
        <f>SUM(OSRRefP22_9x_0)</f>
        <v>0</v>
      </c>
      <c r="Q58" s="1"/>
      <c r="R58" s="5">
        <f t="shared" ref="R58:R66" si="42">IF(P$12=0,0,P58/P$12)</f>
        <v>0</v>
      </c>
      <c r="S58" s="1"/>
      <c r="T58" s="1">
        <f>SUM(OSRRefT22_9x_0)</f>
        <v>1180.31</v>
      </c>
      <c r="U58" s="1"/>
      <c r="V58" s="5">
        <f t="shared" ref="V58:V66" si="43">IF(T$12=0,0,T58/T$12)</f>
        <v>2.3805736829415744E-3</v>
      </c>
      <c r="W58" s="1"/>
      <c r="X58" s="1">
        <f t="shared" ref="X58:X66" si="44">+P58-T58</f>
        <v>-1180.31</v>
      </c>
      <c r="Y58" s="1"/>
      <c r="Z58" s="5">
        <f t="shared" ref="Z58:Z66" si="45">IF(T58=0,0,X58/T58)</f>
        <v>-1</v>
      </c>
    </row>
    <row r="59" spans="1:26" s="23" customFormat="1" hidden="1" outlineLevel="2" x14ac:dyDescent="0.25">
      <c r="A59" s="25"/>
      <c r="B59" s="10" t="str">
        <f>CONCATENATE("          ", "6286", " - ", "LAUNDRY EXPENSE")</f>
        <v xml:space="preserve">          6286 - LAUNDRY EXPENSE</v>
      </c>
      <c r="C59" s="10"/>
      <c r="D59" s="6"/>
      <c r="E59" s="2"/>
      <c r="F59" s="7">
        <f t="shared" si="38"/>
        <v>0</v>
      </c>
      <c r="G59" s="2"/>
      <c r="H59" s="6">
        <v>68.900000000000006</v>
      </c>
      <c r="I59" s="2"/>
      <c r="J59" s="7">
        <f t="shared" si="39"/>
        <v>2.0502516988968817E-3</v>
      </c>
      <c r="K59" s="2"/>
      <c r="L59" s="6">
        <f t="shared" si="40"/>
        <v>-68.900000000000006</v>
      </c>
      <c r="M59" s="2"/>
      <c r="N59" s="7">
        <f t="shared" si="41"/>
        <v>-1</v>
      </c>
      <c r="O59" s="10"/>
      <c r="P59" s="6"/>
      <c r="Q59" s="2"/>
      <c r="R59" s="7">
        <f t="shared" si="42"/>
        <v>0</v>
      </c>
      <c r="S59" s="2"/>
      <c r="T59" s="6">
        <v>1180.31</v>
      </c>
      <c r="U59" s="2"/>
      <c r="V59" s="7">
        <f t="shared" si="43"/>
        <v>2.3805736829415744E-3</v>
      </c>
      <c r="W59" s="2"/>
      <c r="X59" s="6">
        <f t="shared" si="44"/>
        <v>-1180.31</v>
      </c>
      <c r="Y59" s="2"/>
      <c r="Z59" s="7">
        <f t="shared" si="45"/>
        <v>-1</v>
      </c>
    </row>
    <row r="60" spans="1:26" s="26" customFormat="1" outlineLevel="1" collapsed="1" x14ac:dyDescent="0.25">
      <c r="A60" s="27"/>
      <c r="B60" s="12" t="str">
        <f>CONCATENATE("     ","Supplies                                          ")</f>
        <v xml:space="preserve">     Supplies                                          </v>
      </c>
      <c r="C60" s="12"/>
      <c r="D60" s="1">
        <f>SUM(OSRRefD22_10x_0)</f>
        <v>0</v>
      </c>
      <c r="E60" s="1"/>
      <c r="F60" s="5">
        <f t="shared" si="38"/>
        <v>0</v>
      </c>
      <c r="G60" s="1"/>
      <c r="H60" s="1">
        <f>SUM(OSRRefH22_10x_0)</f>
        <v>239.82999999999998</v>
      </c>
      <c r="I60" s="1"/>
      <c r="J60" s="5">
        <f t="shared" si="39"/>
        <v>7.1366018134461397E-3</v>
      </c>
      <c r="K60" s="1"/>
      <c r="L60" s="1">
        <f t="shared" si="40"/>
        <v>-239.82999999999998</v>
      </c>
      <c r="M60" s="1"/>
      <c r="N60" s="5">
        <f t="shared" si="41"/>
        <v>-1</v>
      </c>
      <c r="O60" s="12"/>
      <c r="P60" s="1">
        <f>SUM(OSRRefP22_10x_0)</f>
        <v>0</v>
      </c>
      <c r="Q60" s="1"/>
      <c r="R60" s="5">
        <f t="shared" si="42"/>
        <v>0</v>
      </c>
      <c r="S60" s="1"/>
      <c r="T60" s="1">
        <f>SUM(OSRRefT22_10x_0)</f>
        <v>5936.48</v>
      </c>
      <c r="U60" s="1"/>
      <c r="V60" s="5">
        <f t="shared" si="43"/>
        <v>1.1973318922409364E-2</v>
      </c>
      <c r="W60" s="1"/>
      <c r="X60" s="1">
        <f t="shared" si="44"/>
        <v>-5936.48</v>
      </c>
      <c r="Y60" s="1"/>
      <c r="Z60" s="5">
        <f t="shared" si="45"/>
        <v>-1</v>
      </c>
    </row>
    <row r="61" spans="1:26" s="23" customFormat="1" hidden="1" outlineLevel="2" x14ac:dyDescent="0.25">
      <c r="A61" s="25"/>
      <c r="B61" s="10" t="str">
        <f>CONCATENATE("          ", "6234", " - ", "EXPENDABLE SUPPLIES &amp; EQUIPMEN")</f>
        <v xml:space="preserve">          6234 - EXPENDABLE SUPPLIES &amp; EQUIPMEN</v>
      </c>
      <c r="C61" s="10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0"/>
      <c r="P61" s="6"/>
      <c r="Q61" s="2"/>
      <c r="R61" s="7">
        <f t="shared" si="42"/>
        <v>0</v>
      </c>
      <c r="S61" s="2"/>
      <c r="T61" s="6">
        <v>354.82</v>
      </c>
      <c r="U61" s="2"/>
      <c r="V61" s="7">
        <f t="shared" si="43"/>
        <v>7.1563839515155286E-4</v>
      </c>
      <c r="W61" s="2"/>
      <c r="X61" s="6">
        <f t="shared" si="44"/>
        <v>-354.82</v>
      </c>
      <c r="Y61" s="2"/>
      <c r="Z61" s="7">
        <f t="shared" si="45"/>
        <v>-1</v>
      </c>
    </row>
    <row r="62" spans="1:26" s="23" customFormat="1" hidden="1" outlineLevel="2" x14ac:dyDescent="0.25">
      <c r="A62" s="25"/>
      <c r="B62" s="10" t="str">
        <f>CONCATENATE("          ", "6237", " - ", "JANITORIAL SUPPLIES")</f>
        <v xml:space="preserve">          6237 - JANITORIAL SUPPLIES</v>
      </c>
      <c r="C62" s="10"/>
      <c r="D62" s="6"/>
      <c r="E62" s="2"/>
      <c r="F62" s="7">
        <f t="shared" si="38"/>
        <v>0</v>
      </c>
      <c r="G62" s="2"/>
      <c r="H62" s="6"/>
      <c r="I62" s="2"/>
      <c r="J62" s="7">
        <f t="shared" si="39"/>
        <v>0</v>
      </c>
      <c r="K62" s="2"/>
      <c r="L62" s="6">
        <f t="shared" si="40"/>
        <v>0</v>
      </c>
      <c r="M62" s="2"/>
      <c r="N62" s="7">
        <f t="shared" si="41"/>
        <v>0</v>
      </c>
      <c r="O62" s="10"/>
      <c r="P62" s="6"/>
      <c r="Q62" s="2"/>
      <c r="R62" s="7">
        <f t="shared" si="42"/>
        <v>0</v>
      </c>
      <c r="S62" s="2"/>
      <c r="T62" s="6">
        <v>151.25</v>
      </c>
      <c r="U62" s="2"/>
      <c r="V62" s="7">
        <f t="shared" si="43"/>
        <v>3.0505695075438923E-4</v>
      </c>
      <c r="W62" s="2"/>
      <c r="X62" s="6">
        <f t="shared" si="44"/>
        <v>-151.25</v>
      </c>
      <c r="Y62" s="2"/>
      <c r="Z62" s="7">
        <f t="shared" si="45"/>
        <v>-1</v>
      </c>
    </row>
    <row r="63" spans="1:26" s="23" customFormat="1" hidden="1" outlineLevel="2" x14ac:dyDescent="0.25">
      <c r="A63" s="25"/>
      <c r="B63" s="10" t="str">
        <f>CONCATENATE("          ", "6241", " - ", "OFFICE EXPENSE")</f>
        <v xml:space="preserve">          6241 - OFFICE EXPENSE</v>
      </c>
      <c r="C63" s="10"/>
      <c r="D63" s="6"/>
      <c r="E63" s="2"/>
      <c r="F63" s="7">
        <f t="shared" si="38"/>
        <v>0</v>
      </c>
      <c r="G63" s="2"/>
      <c r="H63" s="6"/>
      <c r="I63" s="2"/>
      <c r="J63" s="7">
        <f t="shared" si="39"/>
        <v>0</v>
      </c>
      <c r="K63" s="2"/>
      <c r="L63" s="6">
        <f t="shared" si="40"/>
        <v>0</v>
      </c>
      <c r="M63" s="2"/>
      <c r="N63" s="7">
        <f t="shared" si="41"/>
        <v>0</v>
      </c>
      <c r="O63" s="10"/>
      <c r="P63" s="6"/>
      <c r="Q63" s="2"/>
      <c r="R63" s="7">
        <f t="shared" si="42"/>
        <v>0</v>
      </c>
      <c r="S63" s="2"/>
      <c r="T63" s="6">
        <v>328.56</v>
      </c>
      <c r="U63" s="2"/>
      <c r="V63" s="7">
        <f t="shared" si="43"/>
        <v>6.6267445778421237E-4</v>
      </c>
      <c r="W63" s="2"/>
      <c r="X63" s="6">
        <f t="shared" si="44"/>
        <v>-328.56</v>
      </c>
      <c r="Y63" s="2"/>
      <c r="Z63" s="7">
        <f t="shared" si="45"/>
        <v>-1</v>
      </c>
    </row>
    <row r="64" spans="1:26" s="23" customFormat="1" hidden="1" outlineLevel="2" x14ac:dyDescent="0.25">
      <c r="A64" s="25"/>
      <c r="B64" s="10" t="str">
        <f>CONCATENATE("          ", "6245", " - ", "PRINTING")</f>
        <v xml:space="preserve">          6245 - PRINTING</v>
      </c>
      <c r="C64" s="10"/>
      <c r="D64" s="6"/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0"/>
      <c r="P64" s="6"/>
      <c r="Q64" s="2"/>
      <c r="R64" s="7">
        <f t="shared" si="42"/>
        <v>0</v>
      </c>
      <c r="S64" s="2"/>
      <c r="T64" s="6">
        <v>81.739999999999995</v>
      </c>
      <c r="U64" s="2"/>
      <c r="V64" s="7">
        <f t="shared" si="43"/>
        <v>1.6486185226223982E-4</v>
      </c>
      <c r="W64" s="2"/>
      <c r="X64" s="6">
        <f t="shared" si="44"/>
        <v>-81.739999999999995</v>
      </c>
      <c r="Y64" s="2"/>
      <c r="Z64" s="7">
        <f t="shared" si="45"/>
        <v>-1</v>
      </c>
    </row>
    <row r="65" spans="1:26" s="23" customFormat="1" hidden="1" outlineLevel="2" x14ac:dyDescent="0.25">
      <c r="A65" s="25"/>
      <c r="B65" s="10" t="str">
        <f>CONCATENATE("          ", "6247", " - ", "STORE SUPPLIES")</f>
        <v xml:space="preserve">          6247 - STORE SUPPLIES</v>
      </c>
      <c r="C65" s="10"/>
      <c r="D65" s="6"/>
      <c r="E65" s="2"/>
      <c r="F65" s="7">
        <f t="shared" si="38"/>
        <v>0</v>
      </c>
      <c r="G65" s="2"/>
      <c r="H65" s="6">
        <v>205.38</v>
      </c>
      <c r="I65" s="2"/>
      <c r="J65" s="7">
        <f t="shared" si="39"/>
        <v>6.1114759639976993E-3</v>
      </c>
      <c r="K65" s="2"/>
      <c r="L65" s="6">
        <f t="shared" si="40"/>
        <v>-205.38</v>
      </c>
      <c r="M65" s="2"/>
      <c r="N65" s="7">
        <f t="shared" si="41"/>
        <v>-1</v>
      </c>
      <c r="O65" s="10"/>
      <c r="P65" s="6"/>
      <c r="Q65" s="2"/>
      <c r="R65" s="7">
        <f t="shared" si="42"/>
        <v>0</v>
      </c>
      <c r="S65" s="2"/>
      <c r="T65" s="6">
        <v>4985.66</v>
      </c>
      <c r="U65" s="2"/>
      <c r="V65" s="7">
        <f t="shared" si="43"/>
        <v>1.0055604873376053E-2</v>
      </c>
      <c r="W65" s="2"/>
      <c r="X65" s="6">
        <f t="shared" si="44"/>
        <v>-4985.66</v>
      </c>
      <c r="Y65" s="2"/>
      <c r="Z65" s="7">
        <f t="shared" si="45"/>
        <v>-1</v>
      </c>
    </row>
    <row r="66" spans="1:26" s="23" customFormat="1" hidden="1" outlineLevel="2" x14ac:dyDescent="0.25">
      <c r="A66" s="25"/>
      <c r="B66" s="10" t="str">
        <f>CONCATENATE("          ", "6248", " - ", "UNIFORMS")</f>
        <v xml:space="preserve">          6248 - UNIFORMS</v>
      </c>
      <c r="C66" s="10"/>
      <c r="D66" s="6"/>
      <c r="E66" s="2"/>
      <c r="F66" s="7">
        <f t="shared" si="38"/>
        <v>0</v>
      </c>
      <c r="G66" s="2"/>
      <c r="H66" s="6">
        <v>34.450000000000003</v>
      </c>
      <c r="I66" s="2"/>
      <c r="J66" s="7">
        <f t="shared" si="39"/>
        <v>1.0251258494484408E-3</v>
      </c>
      <c r="K66" s="2"/>
      <c r="L66" s="6">
        <f t="shared" si="40"/>
        <v>-34.450000000000003</v>
      </c>
      <c r="M66" s="2"/>
      <c r="N66" s="7">
        <f t="shared" si="41"/>
        <v>-1</v>
      </c>
      <c r="O66" s="10"/>
      <c r="P66" s="6"/>
      <c r="Q66" s="2"/>
      <c r="R66" s="7">
        <f t="shared" si="42"/>
        <v>0</v>
      </c>
      <c r="S66" s="2"/>
      <c r="T66" s="6">
        <v>34.450000000000003</v>
      </c>
      <c r="U66" s="2"/>
      <c r="V66" s="7">
        <f t="shared" si="43"/>
        <v>6.9482393080917083E-5</v>
      </c>
      <c r="W66" s="2"/>
      <c r="X66" s="6">
        <f t="shared" si="44"/>
        <v>-34.450000000000003</v>
      </c>
      <c r="Y66" s="2"/>
      <c r="Z66" s="7">
        <f t="shared" si="45"/>
        <v>-1</v>
      </c>
    </row>
    <row r="67" spans="1:26" s="26" customFormat="1" outlineLevel="1" collapsed="1" x14ac:dyDescent="0.25">
      <c r="A67" s="27"/>
      <c r="B67" s="12" t="str">
        <f>CONCATENATE("     ","Telephone/Data Lines                              ")</f>
        <v xml:space="preserve">     Telephone/Data Lines                              </v>
      </c>
      <c r="C67" s="12"/>
      <c r="D67" s="1">
        <f>SUM(OSRRefD22_11x_0)</f>
        <v>77.95</v>
      </c>
      <c r="E67" s="1"/>
      <c r="F67" s="5">
        <f t="shared" ref="F67:F70" si="46">IF(D$12=0,0,D67/D$12)</f>
        <v>0</v>
      </c>
      <c r="G67" s="1"/>
      <c r="H67" s="1">
        <f>SUM(OSRRefH22_11x_0)</f>
        <v>167.63</v>
      </c>
      <c r="I67" s="1"/>
      <c r="J67" s="5">
        <f t="shared" ref="J67:J70" si="47">IF(H$12=0,0,H67/H$12)</f>
        <v>4.9881522828168975E-3</v>
      </c>
      <c r="K67" s="1"/>
      <c r="L67" s="1">
        <f t="shared" ref="L67:L70" si="48">+D67-H67</f>
        <v>-89.679999999999993</v>
      </c>
      <c r="M67" s="1"/>
      <c r="N67" s="5">
        <f t="shared" ref="N67:N70" si="49">IF(H67=0,0,L67/H67)</f>
        <v>-0.53498777068543812</v>
      </c>
      <c r="O67" s="12"/>
      <c r="P67" s="1">
        <f>SUM(OSRRefP22_11x_0)</f>
        <v>1002.5</v>
      </c>
      <c r="Q67" s="1"/>
      <c r="R67" s="5">
        <f t="shared" ref="R67:R70" si="50">IF(P$12=0,0,P67/P$12)</f>
        <v>0</v>
      </c>
      <c r="S67" s="1"/>
      <c r="T67" s="1">
        <f>SUM(OSRRefT22_11x_0)</f>
        <v>1125.78</v>
      </c>
      <c r="U67" s="1"/>
      <c r="V67" s="5">
        <f t="shared" ref="V67:V70" si="51">IF(T$12=0,0,T67/T$12)</f>
        <v>2.2705918282332313E-3</v>
      </c>
      <c r="W67" s="1"/>
      <c r="X67" s="1">
        <f t="shared" ref="X67:X70" si="52">+P67-T67</f>
        <v>-123.27999999999997</v>
      </c>
      <c r="Y67" s="1"/>
      <c r="Z67" s="5">
        <f t="shared" ref="Z67:Z70" si="53">IF(T67=0,0,X67/T67)</f>
        <v>-0.10950629785570891</v>
      </c>
    </row>
    <row r="68" spans="1:26" s="23" customFormat="1" hidden="1" outlineLevel="2" x14ac:dyDescent="0.25">
      <c r="A68" s="25"/>
      <c r="B68" s="10" t="str">
        <f>CONCATENATE("          ", "6309", " - ", "TELEPHONE")</f>
        <v xml:space="preserve">          6309 - TELEPHONE</v>
      </c>
      <c r="C68" s="10"/>
      <c r="D68" s="6">
        <v>77.95</v>
      </c>
      <c r="E68" s="2"/>
      <c r="F68" s="7">
        <f t="shared" si="46"/>
        <v>0</v>
      </c>
      <c r="G68" s="2"/>
      <c r="H68" s="6">
        <v>167.63</v>
      </c>
      <c r="I68" s="2"/>
      <c r="J68" s="7">
        <f t="shared" si="47"/>
        <v>4.9881522828168975E-3</v>
      </c>
      <c r="K68" s="2"/>
      <c r="L68" s="6">
        <f t="shared" si="48"/>
        <v>-89.679999999999993</v>
      </c>
      <c r="M68" s="2"/>
      <c r="N68" s="7">
        <f t="shared" si="49"/>
        <v>-0.53498777068543812</v>
      </c>
      <c r="O68" s="10"/>
      <c r="P68" s="6">
        <v>1002.5</v>
      </c>
      <c r="Q68" s="2"/>
      <c r="R68" s="7">
        <f t="shared" si="50"/>
        <v>0</v>
      </c>
      <c r="S68" s="2"/>
      <c r="T68" s="6">
        <v>1125.78</v>
      </c>
      <c r="U68" s="2"/>
      <c r="V68" s="7">
        <f t="shared" si="51"/>
        <v>2.2705918282332313E-3</v>
      </c>
      <c r="W68" s="2"/>
      <c r="X68" s="6">
        <f t="shared" si="52"/>
        <v>-123.27999999999997</v>
      </c>
      <c r="Y68" s="2"/>
      <c r="Z68" s="7">
        <f t="shared" si="53"/>
        <v>-0.10950629785570891</v>
      </c>
    </row>
    <row r="69" spans="1:26" s="26" customFormat="1" outlineLevel="1" collapsed="1" x14ac:dyDescent="0.25">
      <c r="A69" s="27"/>
      <c r="B69" s="12" t="str">
        <f>CONCATENATE("     ","Training                                          ")</f>
        <v xml:space="preserve">     Training                                          </v>
      </c>
      <c r="C69" s="12"/>
      <c r="D69" s="1">
        <f>SUM(OSRRefD22_12x_0)</f>
        <v>0</v>
      </c>
      <c r="E69" s="1"/>
      <c r="F69" s="5">
        <f t="shared" si="46"/>
        <v>0</v>
      </c>
      <c r="G69" s="1"/>
      <c r="H69" s="1">
        <f>SUM(OSRRefH22_12x_0)</f>
        <v>0</v>
      </c>
      <c r="I69" s="1"/>
      <c r="J69" s="5">
        <f t="shared" si="47"/>
        <v>0</v>
      </c>
      <c r="K69" s="1"/>
      <c r="L69" s="1">
        <f t="shared" si="48"/>
        <v>0</v>
      </c>
      <c r="M69" s="1"/>
      <c r="N69" s="5">
        <f t="shared" si="49"/>
        <v>0</v>
      </c>
      <c r="O69" s="12"/>
      <c r="P69" s="1">
        <f>SUM(OSRRefP22_12x_0)</f>
        <v>0</v>
      </c>
      <c r="Q69" s="1"/>
      <c r="R69" s="5">
        <f t="shared" si="50"/>
        <v>0</v>
      </c>
      <c r="S69" s="1"/>
      <c r="T69" s="1">
        <f>SUM(OSRRefT22_12x_0)</f>
        <v>96</v>
      </c>
      <c r="U69" s="1"/>
      <c r="V69" s="5">
        <f t="shared" si="51"/>
        <v>1.9362292411518258E-4</v>
      </c>
      <c r="W69" s="1"/>
      <c r="X69" s="1">
        <f t="shared" si="52"/>
        <v>-96</v>
      </c>
      <c r="Y69" s="1"/>
      <c r="Z69" s="5">
        <f t="shared" si="53"/>
        <v>-1</v>
      </c>
    </row>
    <row r="70" spans="1:26" s="23" customFormat="1" hidden="1" outlineLevel="2" x14ac:dyDescent="0.25">
      <c r="A70" s="25"/>
      <c r="B70" s="10" t="str">
        <f>CONCATENATE("          ", "6376", " - ", "TRAINING")</f>
        <v xml:space="preserve">          6376 - TRAINING</v>
      </c>
      <c r="C70" s="10"/>
      <c r="D70" s="6"/>
      <c r="E70" s="2"/>
      <c r="F70" s="7">
        <f t="shared" si="46"/>
        <v>0</v>
      </c>
      <c r="G70" s="2"/>
      <c r="H70" s="6"/>
      <c r="I70" s="2"/>
      <c r="J70" s="7">
        <f t="shared" si="47"/>
        <v>0</v>
      </c>
      <c r="K70" s="2"/>
      <c r="L70" s="6">
        <f t="shared" si="48"/>
        <v>0</v>
      </c>
      <c r="M70" s="2"/>
      <c r="N70" s="7">
        <f t="shared" si="49"/>
        <v>0</v>
      </c>
      <c r="O70" s="10"/>
      <c r="P70" s="6"/>
      <c r="Q70" s="2"/>
      <c r="R70" s="7">
        <f t="shared" si="50"/>
        <v>0</v>
      </c>
      <c r="S70" s="2"/>
      <c r="T70" s="6">
        <v>96</v>
      </c>
      <c r="U70" s="2"/>
      <c r="V70" s="7">
        <f t="shared" si="51"/>
        <v>1.9362292411518258E-4</v>
      </c>
      <c r="W70" s="2"/>
      <c r="X70" s="6">
        <f t="shared" si="52"/>
        <v>-96</v>
      </c>
      <c r="Y70" s="2"/>
      <c r="Z70" s="7">
        <f t="shared" si="53"/>
        <v>-1</v>
      </c>
    </row>
    <row r="71" spans="1:26" s="60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4" customFormat="1" x14ac:dyDescent="0.25">
      <c r="A72" s="11"/>
      <c r="B72" s="28" t="s">
        <v>292</v>
      </c>
      <c r="C72" s="11"/>
      <c r="D72" s="4">
        <f>SUM(0)</f>
        <v>0</v>
      </c>
      <c r="E72" s="4"/>
      <c r="F72" s="13">
        <f>IF(D$12=0,0,D72/D$12)</f>
        <v>0</v>
      </c>
      <c r="G72" s="4"/>
      <c r="H72" s="4">
        <f>SUM(0)</f>
        <v>0</v>
      </c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>
        <f>SUM(0)</f>
        <v>0</v>
      </c>
      <c r="Q72" s="4"/>
      <c r="R72" s="13">
        <f>IF(P$12=0,0,P72/P$12)</f>
        <v>0</v>
      </c>
      <c r="S72" s="4"/>
      <c r="T72" s="4">
        <f>SUM(0)</f>
        <v>0</v>
      </c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x14ac:dyDescent="0.25">
      <c r="A74" s="11"/>
      <c r="B74" s="29" t="s">
        <v>276</v>
      </c>
      <c r="C74" s="29"/>
      <c r="D74" s="22">
        <f>+D24-D26+D72</f>
        <v>-144</v>
      </c>
      <c r="E74" s="14"/>
      <c r="F74" s="20">
        <f>IF(D$12=0,0,D74/D$12)</f>
        <v>0</v>
      </c>
      <c r="G74" s="14"/>
      <c r="H74" s="22">
        <f>+H24-H26+H72</f>
        <v>-2272.940000000006</v>
      </c>
      <c r="I74" s="14"/>
      <c r="J74" s="20">
        <f>IF(H$12=0,0,H74/H$12)</f>
        <v>-6.7635690805380108E-2</v>
      </c>
      <c r="K74" s="15"/>
      <c r="L74" s="22">
        <f>+D74-H74</f>
        <v>2128.940000000006</v>
      </c>
      <c r="M74" s="15"/>
      <c r="N74" s="20">
        <f>IF(H74=0,0,L74/H74)</f>
        <v>-0.93664592994095774</v>
      </c>
      <c r="O74" s="28"/>
      <c r="P74" s="22">
        <f>+P24-P26+P72</f>
        <v>-46035.090000000004</v>
      </c>
      <c r="Q74" s="14"/>
      <c r="R74" s="20">
        <f>IF(P$12=0,0,P74/P$12)</f>
        <v>0</v>
      </c>
      <c r="S74" s="14"/>
      <c r="T74" s="22">
        <f>+T24-T26+T72</f>
        <v>86053.919999999984</v>
      </c>
      <c r="U74" s="14"/>
      <c r="V74" s="20">
        <f>IF(T$12=0,0,T74/T$12)</f>
        <v>0.17356262106222906</v>
      </c>
      <c r="W74" s="15"/>
      <c r="X74" s="22">
        <f>+P74-T74</f>
        <v>-132089.00999999998</v>
      </c>
      <c r="Y74" s="15"/>
      <c r="Z74" s="20">
        <f>IF(T74=0,0,X74/T74)</f>
        <v>-1.5349563390023373</v>
      </c>
    </row>
    <row r="75" spans="1:26" x14ac:dyDescent="0.25">
      <c r="A75" s="9"/>
      <c r="B75" s="11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51"/>
      <c r="B76" s="11" t="s">
        <v>127</v>
      </c>
      <c r="C76" s="11"/>
      <c r="D76" s="4"/>
      <c r="E76" s="4"/>
      <c r="F76" s="13">
        <f>IF(D$12=0,0,D76/D$12)</f>
        <v>0</v>
      </c>
      <c r="G76" s="4"/>
      <c r="H76" s="4">
        <v>6019.47</v>
      </c>
      <c r="I76" s="4"/>
      <c r="J76" s="13">
        <f>IF(H$12=0,0,H76/H$12)</f>
        <v>0.17912087944787825</v>
      </c>
      <c r="K76" s="4"/>
      <c r="L76" s="4">
        <f>+D76-H76</f>
        <v>-6019.47</v>
      </c>
      <c r="M76" s="4"/>
      <c r="N76" s="13">
        <f>IF(H76=0,0,L76/H76)</f>
        <v>-1</v>
      </c>
      <c r="O76" s="11"/>
      <c r="P76" s="4"/>
      <c r="Q76" s="4"/>
      <c r="R76" s="13">
        <f>IF(P$12=0,0,P76/P$12)</f>
        <v>0</v>
      </c>
      <c r="S76" s="4"/>
      <c r="T76" s="4">
        <v>53127.14</v>
      </c>
      <c r="U76" s="4"/>
      <c r="V76" s="13">
        <f>IF(T$12=0,0,T76/T$12)</f>
        <v>0.10715241871538209</v>
      </c>
      <c r="W76" s="4"/>
      <c r="X76" s="4">
        <f>+P76-T76</f>
        <v>-53127.14</v>
      </c>
      <c r="Y76" s="4"/>
      <c r="Z76" s="13">
        <f>IF(T76=0,0,X76/T76)</f>
        <v>-1</v>
      </c>
    </row>
    <row r="77" spans="1:26" x14ac:dyDescent="0.25">
      <c r="A77" s="9"/>
      <c r="B77" s="11"/>
      <c r="C77" s="11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1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9" t="s">
        <v>125</v>
      </c>
      <c r="C78" s="29"/>
      <c r="D78" s="30">
        <f>+D74-D76</f>
        <v>-144</v>
      </c>
      <c r="E78" s="14"/>
      <c r="F78" s="36">
        <f>IF(D$12=0,0,D78/D$12)</f>
        <v>0</v>
      </c>
      <c r="G78" s="14"/>
      <c r="H78" s="30">
        <f>+H74-H76</f>
        <v>-8292.4100000000071</v>
      </c>
      <c r="I78" s="14"/>
      <c r="J78" s="36">
        <f>IF(H$12=0,0,H78/H$12)</f>
        <v>-0.24675657025325839</v>
      </c>
      <c r="K78" s="15"/>
      <c r="L78" s="30">
        <f>D78-H78</f>
        <v>8148.4100000000071</v>
      </c>
      <c r="M78" s="15"/>
      <c r="N78" s="36">
        <f>IF(H78=0,0,L78/H78)</f>
        <v>-0.98263472259572304</v>
      </c>
      <c r="O78" s="28"/>
      <c r="P78" s="30">
        <f>+P74-P76</f>
        <v>-46035.090000000004</v>
      </c>
      <c r="Q78" s="14"/>
      <c r="R78" s="36">
        <f>IF(P$12=0,0,P78/P$12)</f>
        <v>0</v>
      </c>
      <c r="S78" s="14"/>
      <c r="T78" s="30">
        <f>+T74-T76</f>
        <v>32926.779999999984</v>
      </c>
      <c r="U78" s="14"/>
      <c r="V78" s="36">
        <f>IF(T$12=0,0,T78/T$12)</f>
        <v>6.6410202346846955E-2</v>
      </c>
      <c r="W78" s="15"/>
      <c r="X78" s="30">
        <f>P78-T78</f>
        <v>-78961.87</v>
      </c>
      <c r="Y78" s="15"/>
      <c r="Z78" s="36">
        <f>IF(T78=0,0,X78/T78)</f>
        <v>-2.3981048253124064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ht="15.75" thickBot="1" x14ac:dyDescent="0.3">
      <c r="A81" s="11"/>
      <c r="B81" s="29" t="s">
        <v>293</v>
      </c>
      <c r="C81" s="29"/>
      <c r="D81" s="35">
        <f>SUM(D78:D80)</f>
        <v>-144</v>
      </c>
      <c r="E81" s="14"/>
      <c r="F81" s="34">
        <f>IF(D$12=0,0,D81/D$12)</f>
        <v>0</v>
      </c>
      <c r="G81" s="14"/>
      <c r="H81" s="35">
        <f>SUM(H78:H80)</f>
        <v>-8292.4100000000071</v>
      </c>
      <c r="I81" s="14"/>
      <c r="J81" s="34">
        <f>IF(H$12=0,0,H81/H$12)</f>
        <v>-0.24675657025325839</v>
      </c>
      <c r="K81" s="15"/>
      <c r="L81" s="35">
        <f>+D81-H81</f>
        <v>8148.4100000000071</v>
      </c>
      <c r="M81" s="15"/>
      <c r="N81" s="34">
        <f>IF(H81=0,0,L81/H81)</f>
        <v>-0.98263472259572304</v>
      </c>
      <c r="O81" s="28"/>
      <c r="P81" s="35">
        <f>SUM(P78:P80)</f>
        <v>-46035.090000000004</v>
      </c>
      <c r="Q81" s="14"/>
      <c r="R81" s="34">
        <f>IF(P$12=0,0,P81/P$12)</f>
        <v>0</v>
      </c>
      <c r="S81" s="14"/>
      <c r="T81" s="35">
        <f>SUM(T78:T80)</f>
        <v>32926.779999999984</v>
      </c>
      <c r="U81" s="14"/>
      <c r="V81" s="34">
        <f>IF(T$12=0,0,T81/T$12)</f>
        <v>6.6410202346846955E-2</v>
      </c>
      <c r="W81" s="15"/>
      <c r="X81" s="35">
        <f>+P81-T81</f>
        <v>-78961.87</v>
      </c>
      <c r="Y81" s="15"/>
      <c r="Z81" s="34">
        <f>IF(T81=0,0,X81/T81)</f>
        <v>-2.3981048253124064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54">
        <v>44295.963243634258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8" t="s">
        <v>56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2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","321", " - ", "Student Union C-Store")</f>
        <v>Department 321 - Student Union C-Store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20204.23</v>
      </c>
      <c r="I12" s="4"/>
      <c r="J12" s="13"/>
      <c r="K12" s="4"/>
      <c r="L12" s="4">
        <f t="shared" ref="L12:L14" si="0">+D12-H12</f>
        <v>-20204.23</v>
      </c>
      <c r="M12" s="4"/>
      <c r="N12" s="13">
        <f t="shared" ref="N12:N14" si="1">IF(H12=0,0,L12/H12)</f>
        <v>-1</v>
      </c>
      <c r="O12" s="11"/>
      <c r="P12" s="4">
        <f>SUM(OSRRefP13x_0)</f>
        <v>2476.4700000000003</v>
      </c>
      <c r="Q12" s="4"/>
      <c r="R12" s="13"/>
      <c r="S12" s="4"/>
      <c r="T12" s="4">
        <f>SUM(OSRRefT13x_0)</f>
        <v>281486.67000000004</v>
      </c>
      <c r="U12" s="4"/>
      <c r="V12" s="13"/>
      <c r="W12" s="4"/>
      <c r="X12" s="4">
        <f t="shared" ref="X12:X14" si="2">+P12-T12</f>
        <v>-279010.20000000007</v>
      </c>
      <c r="Y12" s="4"/>
      <c r="Z12" s="13">
        <f t="shared" ref="Z12:Z14" si="3">IF(T12=0,0,X12/T12)</f>
        <v>-0.99120217664303611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>--4522.24</f>
        <v>4522.24</v>
      </c>
      <c r="I13" s="2"/>
      <c r="J13" s="19"/>
      <c r="K13" s="2"/>
      <c r="L13" s="2">
        <f t="shared" si="0"/>
        <v>-4522.24</v>
      </c>
      <c r="M13" s="2"/>
      <c r="N13" s="19">
        <f t="shared" si="1"/>
        <v>-1</v>
      </c>
      <c r="O13" s="10"/>
      <c r="P13" s="2">
        <f>--444.59</f>
        <v>444.59</v>
      </c>
      <c r="Q13" s="2"/>
      <c r="R13" s="19"/>
      <c r="S13" s="2"/>
      <c r="T13" s="2">
        <f>--65192.75</f>
        <v>65192.75</v>
      </c>
      <c r="U13" s="2"/>
      <c r="V13" s="19"/>
      <c r="W13" s="2"/>
      <c r="X13" s="2">
        <f t="shared" si="2"/>
        <v>-64748.160000000003</v>
      </c>
      <c r="Y13" s="2"/>
      <c r="Z13" s="19">
        <f t="shared" si="3"/>
        <v>-0.99318037665231185</v>
      </c>
    </row>
    <row r="14" spans="1:26" s="23" customFormat="1" hidden="1" outlineLevel="1" x14ac:dyDescent="0.25">
      <c r="A14" s="44"/>
      <c r="B14" s="10" t="str">
        <f>CONCATENATE("          ", "4132", " - ", "NON-TAXABLE SALES-JUICE")</f>
        <v xml:space="preserve">          4132 - NON-TAXABLE SALES-JUICE</v>
      </c>
      <c r="C14" s="10"/>
      <c r="D14" s="2">
        <f t="shared" si="4"/>
        <v>0</v>
      </c>
      <c r="E14" s="2"/>
      <c r="F14" s="19"/>
      <c r="G14" s="2"/>
      <c r="H14" s="2">
        <f>--15681.99</f>
        <v>15681.99</v>
      </c>
      <c r="I14" s="2"/>
      <c r="J14" s="19"/>
      <c r="K14" s="2"/>
      <c r="L14" s="2">
        <f t="shared" si="0"/>
        <v>-15681.99</v>
      </c>
      <c r="M14" s="2"/>
      <c r="N14" s="19">
        <f t="shared" si="1"/>
        <v>-1</v>
      </c>
      <c r="O14" s="10"/>
      <c r="P14" s="2">
        <f>--2031.88</f>
        <v>2031.88</v>
      </c>
      <c r="Q14" s="2"/>
      <c r="R14" s="19"/>
      <c r="S14" s="2"/>
      <c r="T14" s="2">
        <f>--216293.92</f>
        <v>216293.92</v>
      </c>
      <c r="U14" s="2"/>
      <c r="V14" s="19"/>
      <c r="W14" s="2"/>
      <c r="X14" s="2">
        <f t="shared" si="2"/>
        <v>-214262.04</v>
      </c>
      <c r="Y14" s="2"/>
      <c r="Z14" s="19">
        <f t="shared" si="3"/>
        <v>-0.99060593104050265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5">IF(D$12=0,0,D16/D$12)</f>
        <v>0</v>
      </c>
      <c r="G16" s="4"/>
      <c r="H16" s="4">
        <f>SUM(OSRRefH16x_0)</f>
        <v>9657.52</v>
      </c>
      <c r="I16" s="4"/>
      <c r="J16" s="13">
        <f t="shared" ref="J16:J18" si="6">IF(H$12=0,0,H16/H$12)</f>
        <v>0.47799495452189966</v>
      </c>
      <c r="K16" s="4"/>
      <c r="L16" s="4">
        <f t="shared" ref="L16:L18" si="7">+D16-H16</f>
        <v>-9657.52</v>
      </c>
      <c r="M16" s="4"/>
      <c r="N16" s="13">
        <f t="shared" ref="N16:N18" si="8">IF(H16=0,0,L16/H16)</f>
        <v>-1</v>
      </c>
      <c r="O16" s="11"/>
      <c r="P16" s="4">
        <f>SUM(OSRRefP16x_0)</f>
        <v>19579.73</v>
      </c>
      <c r="Q16" s="4"/>
      <c r="R16" s="13">
        <f t="shared" ref="R16:R18" si="9">IF(P$12=0,0,P16/P$12)</f>
        <v>7.9063061535169004</v>
      </c>
      <c r="S16" s="4"/>
      <c r="T16" s="4">
        <f>SUM(OSRRefT16x_0)</f>
        <v>134878.01</v>
      </c>
      <c r="U16" s="4"/>
      <c r="V16" s="13">
        <f t="shared" ref="V16:V18" si="10">IF(T$12=0,0,T16/T$12)</f>
        <v>0.47916304526960368</v>
      </c>
      <c r="W16" s="4"/>
      <c r="X16" s="4">
        <f t="shared" ref="X16:X18" si="11">+P16-T16</f>
        <v>-115298.28000000001</v>
      </c>
      <c r="Y16" s="4"/>
      <c r="Z16" s="13">
        <f t="shared" ref="Z16:Z18" si="12">IF(T16=0,0,X16/T16)</f>
        <v>-0.85483378647119723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5"/>
        <v>0</v>
      </c>
      <c r="G17" s="2"/>
      <c r="H17" s="2">
        <v>9288.36</v>
      </c>
      <c r="I17" s="2"/>
      <c r="J17" s="19">
        <f t="shared" si="6"/>
        <v>0.45972353314132736</v>
      </c>
      <c r="K17" s="2"/>
      <c r="L17" s="2">
        <f t="shared" si="7"/>
        <v>-9288.36</v>
      </c>
      <c r="M17" s="2"/>
      <c r="N17" s="19">
        <f t="shared" si="8"/>
        <v>-1</v>
      </c>
      <c r="O17" s="10"/>
      <c r="P17" s="2">
        <v>0.73</v>
      </c>
      <c r="Q17" s="2"/>
      <c r="R17" s="19">
        <f t="shared" si="9"/>
        <v>2.9477441681102534E-4</v>
      </c>
      <c r="S17" s="2"/>
      <c r="T17" s="2">
        <v>134176.47</v>
      </c>
      <c r="U17" s="2"/>
      <c r="V17" s="19">
        <f t="shared" si="10"/>
        <v>0.47667077805140817</v>
      </c>
      <c r="W17" s="2"/>
      <c r="X17" s="2">
        <f t="shared" si="11"/>
        <v>-134175.74</v>
      </c>
      <c r="Y17" s="2"/>
      <c r="Z17" s="19">
        <f t="shared" si="12"/>
        <v>-0.99999455940374637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5"/>
        <v>0</v>
      </c>
      <c r="G18" s="2"/>
      <c r="H18" s="2">
        <v>369.16</v>
      </c>
      <c r="I18" s="2"/>
      <c r="J18" s="19">
        <f t="shared" si="6"/>
        <v>1.8271421380572288E-2</v>
      </c>
      <c r="K18" s="2"/>
      <c r="L18" s="2">
        <f t="shared" si="7"/>
        <v>-369.16</v>
      </c>
      <c r="M18" s="2"/>
      <c r="N18" s="19">
        <f t="shared" si="8"/>
        <v>-1</v>
      </c>
      <c r="O18" s="10"/>
      <c r="P18" s="2">
        <v>19579</v>
      </c>
      <c r="Q18" s="2"/>
      <c r="R18" s="19">
        <f t="shared" si="9"/>
        <v>7.9060113791000894</v>
      </c>
      <c r="S18" s="2"/>
      <c r="T18" s="2">
        <v>701.54</v>
      </c>
      <c r="U18" s="2"/>
      <c r="V18" s="19">
        <f t="shared" si="10"/>
        <v>2.4922672181954472E-3</v>
      </c>
      <c r="W18" s="2"/>
      <c r="X18" s="2">
        <f t="shared" si="11"/>
        <v>18877.46</v>
      </c>
      <c r="Y18" s="2"/>
      <c r="Z18" s="19">
        <f t="shared" si="12"/>
        <v>26.908601077629214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10546.71</v>
      </c>
      <c r="I20" s="14"/>
      <c r="J20" s="20">
        <f>IF(H$12=0,0,H20/H$12)</f>
        <v>0.52200504547810034</v>
      </c>
      <c r="K20" s="15"/>
      <c r="L20" s="22">
        <f>+D20-H20</f>
        <v>-10546.71</v>
      </c>
      <c r="M20" s="15"/>
      <c r="N20" s="20">
        <f>IF(H20=0,0,L20/H20)</f>
        <v>-1</v>
      </c>
      <c r="O20" s="28"/>
      <c r="P20" s="22">
        <f>P12-P16</f>
        <v>-17103.259999999998</v>
      </c>
      <c r="Q20" s="14"/>
      <c r="R20" s="20">
        <f>IF(P$12=0,0,P20/P$12)</f>
        <v>-6.9063061535168995</v>
      </c>
      <c r="S20" s="14"/>
      <c r="T20" s="22">
        <f>T12-T16</f>
        <v>146608.66000000003</v>
      </c>
      <c r="U20" s="14"/>
      <c r="V20" s="20">
        <f>IF(T$12=0,0,T20/T$12)</f>
        <v>0.52083695473039637</v>
      </c>
      <c r="W20" s="15"/>
      <c r="X20" s="22">
        <f>+P20-T20</f>
        <v>-163711.92000000004</v>
      </c>
      <c r="Y20" s="15"/>
      <c r="Z20" s="20">
        <f>IF(T20=0,0,X20/T20)</f>
        <v>-1.1166592751069413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2096.42</v>
      </c>
      <c r="E22" s="21"/>
      <c r="F22" s="31">
        <f t="shared" ref="F22:F31" si="13">IF(D$12=0,0,D22/D$12)</f>
        <v>0</v>
      </c>
      <c r="G22" s="21"/>
      <c r="H22" s="21">
        <f>SUM(OSRRefH22x_0)</f>
        <v>18733.879999999997</v>
      </c>
      <c r="I22" s="21"/>
      <c r="J22" s="31">
        <f t="shared" ref="J22:J31" si="14">IF(H$12=0,0,H22/H$12)</f>
        <v>0.92722563542386904</v>
      </c>
      <c r="K22" s="4"/>
      <c r="L22" s="21">
        <f t="shared" ref="L22:L31" si="15">+D22-H22</f>
        <v>-16637.46</v>
      </c>
      <c r="M22" s="4"/>
      <c r="N22" s="31">
        <f t="shared" ref="N22:N31" si="16">IF(H22=0,0,L22/H22)</f>
        <v>-0.88809472463792882</v>
      </c>
      <c r="O22" s="11"/>
      <c r="P22" s="21">
        <f>SUM(OSRRefP22x_0)</f>
        <v>39655.859999999986</v>
      </c>
      <c r="Q22" s="21"/>
      <c r="R22" s="31">
        <f t="shared" ref="R22:R31" si="17">IF(P$12=0,0,P22/P$12)</f>
        <v>16.013058910465293</v>
      </c>
      <c r="S22" s="21"/>
      <c r="T22" s="21">
        <f>SUM(OSRRefT22x_0)</f>
        <v>117904.79000000001</v>
      </c>
      <c r="U22" s="21"/>
      <c r="V22" s="31">
        <f t="shared" ref="V22:V31" si="18">IF(T$12=0,0,T22/T$12)</f>
        <v>0.41886455937682587</v>
      </c>
      <c r="W22" s="4"/>
      <c r="X22" s="21">
        <f t="shared" ref="X22:X31" si="19">+P22-T22</f>
        <v>-78248.930000000022</v>
      </c>
      <c r="Y22" s="4"/>
      <c r="Z22" s="31">
        <f t="shared" ref="Z22:Z31" si="20">IF(T22=0,0,X22/T22)</f>
        <v>-0.66366201067827713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463.06</v>
      </c>
      <c r="I23" s="1"/>
      <c r="J23" s="5">
        <f t="shared" si="14"/>
        <v>2.2918963009231234E-2</v>
      </c>
      <c r="K23" s="1"/>
      <c r="L23" s="1">
        <f t="shared" si="15"/>
        <v>-463.06</v>
      </c>
      <c r="M23" s="1"/>
      <c r="N23" s="5">
        <f t="shared" si="16"/>
        <v>-1</v>
      </c>
      <c r="O23" s="12"/>
      <c r="P23" s="1">
        <f>SUM(OSRRefP22_0x_0)</f>
        <v>8751.99</v>
      </c>
      <c r="Q23" s="1"/>
      <c r="R23" s="5">
        <f t="shared" si="17"/>
        <v>3.5340585591588023</v>
      </c>
      <c r="S23" s="1"/>
      <c r="T23" s="1">
        <f>SUM(OSRRefT22_0x_0)</f>
        <v>10263.029999999999</v>
      </c>
      <c r="U23" s="1"/>
      <c r="V23" s="5">
        <f t="shared" si="18"/>
        <v>3.646009240863874E-2</v>
      </c>
      <c r="W23" s="1"/>
      <c r="X23" s="1">
        <f t="shared" si="19"/>
        <v>-1511.0399999999991</v>
      </c>
      <c r="Y23" s="1"/>
      <c r="Z23" s="5">
        <f t="shared" si="20"/>
        <v>-0.14723137319095814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3"/>
        <v>0</v>
      </c>
      <c r="G24" s="2"/>
      <c r="H24" s="6">
        <v>314.05</v>
      </c>
      <c r="I24" s="2"/>
      <c r="J24" s="7">
        <f t="shared" si="14"/>
        <v>1.5543774744199606E-2</v>
      </c>
      <c r="K24" s="2"/>
      <c r="L24" s="6">
        <f t="shared" si="15"/>
        <v>-314.05</v>
      </c>
      <c r="M24" s="2"/>
      <c r="N24" s="7">
        <f t="shared" si="16"/>
        <v>-1</v>
      </c>
      <c r="O24" s="10"/>
      <c r="P24" s="6">
        <v>1667.09</v>
      </c>
      <c r="Q24" s="2"/>
      <c r="R24" s="7">
        <f t="shared" si="17"/>
        <v>0.67317189386505782</v>
      </c>
      <c r="S24" s="2"/>
      <c r="T24" s="6">
        <v>2418.25</v>
      </c>
      <c r="U24" s="2"/>
      <c r="V24" s="7">
        <f t="shared" si="18"/>
        <v>8.5909929589205753E-3</v>
      </c>
      <c r="W24" s="2"/>
      <c r="X24" s="6">
        <f t="shared" si="19"/>
        <v>-751.16000000000008</v>
      </c>
      <c r="Y24" s="2"/>
      <c r="Z24" s="7">
        <f t="shared" si="20"/>
        <v>-0.31062131706812779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3"/>
        <v>0</v>
      </c>
      <c r="G25" s="2"/>
      <c r="H25" s="6">
        <v>131.07</v>
      </c>
      <c r="I25" s="2"/>
      <c r="J25" s="7">
        <f t="shared" si="14"/>
        <v>6.4872553915689933E-3</v>
      </c>
      <c r="K25" s="2"/>
      <c r="L25" s="6">
        <f t="shared" si="15"/>
        <v>-131.07</v>
      </c>
      <c r="M25" s="2"/>
      <c r="N25" s="7">
        <f t="shared" si="16"/>
        <v>-1</v>
      </c>
      <c r="O25" s="10"/>
      <c r="P25" s="6">
        <v>331.61</v>
      </c>
      <c r="Q25" s="2"/>
      <c r="R25" s="7">
        <f t="shared" si="17"/>
        <v>0.13390430734069056</v>
      </c>
      <c r="S25" s="2"/>
      <c r="T25" s="6">
        <v>874.82</v>
      </c>
      <c r="U25" s="2"/>
      <c r="V25" s="7">
        <f t="shared" si="18"/>
        <v>3.1078558711146072E-3</v>
      </c>
      <c r="W25" s="2"/>
      <c r="X25" s="6">
        <f t="shared" si="19"/>
        <v>-543.21</v>
      </c>
      <c r="Y25" s="2"/>
      <c r="Z25" s="7">
        <f t="shared" si="20"/>
        <v>-0.62093916462815213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0"/>
      <c r="P26" s="6">
        <v>3385.22</v>
      </c>
      <c r="Q26" s="2"/>
      <c r="R26" s="7">
        <f t="shared" si="17"/>
        <v>1.366953768872629</v>
      </c>
      <c r="S26" s="2"/>
      <c r="T26" s="6">
        <v>4676.5</v>
      </c>
      <c r="U26" s="2"/>
      <c r="V26" s="7">
        <f t="shared" si="18"/>
        <v>1.6613575342661873E-2</v>
      </c>
      <c r="W26" s="2"/>
      <c r="X26" s="6">
        <f t="shared" si="19"/>
        <v>-1291.2800000000002</v>
      </c>
      <c r="Y26" s="2"/>
      <c r="Z26" s="7">
        <f t="shared" si="20"/>
        <v>-0.27612103068534166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3"/>
        <v>0</v>
      </c>
      <c r="G27" s="2"/>
      <c r="H27" s="6">
        <v>17.940000000000001</v>
      </c>
      <c r="I27" s="2"/>
      <c r="J27" s="7">
        <f t="shared" si="14"/>
        <v>8.8793287346263633E-4</v>
      </c>
      <c r="K27" s="2"/>
      <c r="L27" s="6">
        <f t="shared" si="15"/>
        <v>-17.940000000000001</v>
      </c>
      <c r="M27" s="2"/>
      <c r="N27" s="7">
        <f t="shared" si="16"/>
        <v>-1</v>
      </c>
      <c r="O27" s="10"/>
      <c r="P27" s="6">
        <v>62.01</v>
      </c>
      <c r="Q27" s="2"/>
      <c r="R27" s="7">
        <f t="shared" si="17"/>
        <v>2.5039673406098192E-2</v>
      </c>
      <c r="S27" s="2"/>
      <c r="T27" s="6">
        <v>125.59</v>
      </c>
      <c r="U27" s="2"/>
      <c r="V27" s="7">
        <f t="shared" si="18"/>
        <v>4.4616677585478554E-4</v>
      </c>
      <c r="W27" s="2"/>
      <c r="X27" s="6">
        <f t="shared" si="19"/>
        <v>-63.580000000000005</v>
      </c>
      <c r="Y27" s="2"/>
      <c r="Z27" s="7">
        <f t="shared" si="20"/>
        <v>-0.50625049765108687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0"/>
      <c r="P28" s="6">
        <v>1254.1099999999999</v>
      </c>
      <c r="Q28" s="2"/>
      <c r="R28" s="7">
        <f t="shared" si="17"/>
        <v>0.50641033406421232</v>
      </c>
      <c r="S28" s="2"/>
      <c r="T28" s="6">
        <v>670.55</v>
      </c>
      <c r="U28" s="2"/>
      <c r="V28" s="7">
        <f t="shared" si="18"/>
        <v>2.3821731949154107E-3</v>
      </c>
      <c r="W28" s="2"/>
      <c r="X28" s="6">
        <f t="shared" si="19"/>
        <v>583.55999999999995</v>
      </c>
      <c r="Y28" s="2"/>
      <c r="Z28" s="7">
        <f t="shared" si="20"/>
        <v>0.87027067332786512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0"/>
      <c r="P29" s="6">
        <v>958.88</v>
      </c>
      <c r="Q29" s="2"/>
      <c r="R29" s="7">
        <f t="shared" si="17"/>
        <v>0.38719629149555612</v>
      </c>
      <c r="S29" s="2"/>
      <c r="T29" s="6">
        <v>1098.8</v>
      </c>
      <c r="U29" s="2"/>
      <c r="V29" s="7">
        <f t="shared" si="18"/>
        <v>3.9035596250437004E-3</v>
      </c>
      <c r="W29" s="2"/>
      <c r="X29" s="6">
        <f t="shared" si="19"/>
        <v>-139.91999999999996</v>
      </c>
      <c r="Y29" s="2"/>
      <c r="Z29" s="7">
        <f t="shared" si="20"/>
        <v>-0.12733891518019655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3"/>
        <v>0</v>
      </c>
      <c r="G30" s="2"/>
      <c r="H30" s="6"/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0"/>
      <c r="P30" s="6">
        <v>767.52</v>
      </c>
      <c r="Q30" s="2"/>
      <c r="R30" s="7">
        <f t="shared" si="17"/>
        <v>0.30992501423397006</v>
      </c>
      <c r="S30" s="2"/>
      <c r="T30" s="6">
        <v>398.52</v>
      </c>
      <c r="U30" s="2"/>
      <c r="V30" s="7">
        <f t="shared" si="18"/>
        <v>1.4157686401277897E-3</v>
      </c>
      <c r="W30" s="2"/>
      <c r="X30" s="6">
        <f t="shared" si="19"/>
        <v>369</v>
      </c>
      <c r="Y30" s="2"/>
      <c r="Z30" s="7">
        <f t="shared" si="20"/>
        <v>0.92592592592592593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0"/>
      <c r="P31" s="6">
        <v>325.55</v>
      </c>
      <c r="Q31" s="2"/>
      <c r="R31" s="7">
        <f t="shared" si="17"/>
        <v>0.13145727588058809</v>
      </c>
      <c r="S31" s="2"/>
      <c r="T31" s="6"/>
      <c r="U31" s="2"/>
      <c r="V31" s="7">
        <f t="shared" si="18"/>
        <v>0</v>
      </c>
      <c r="W31" s="2"/>
      <c r="X31" s="6">
        <f t="shared" si="19"/>
        <v>325.55</v>
      </c>
      <c r="Y31" s="2"/>
      <c r="Z31" s="7">
        <f t="shared" si="20"/>
        <v>0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6413.8200000000006</v>
      </c>
      <c r="I32" s="1"/>
      <c r="J32" s="5">
        <f t="shared" ref="J32:J37" si="22">IF(H$12=0,0,H32/H$12)</f>
        <v>0.31744936580112187</v>
      </c>
      <c r="K32" s="1"/>
      <c r="L32" s="1">
        <f t="shared" ref="L32:L37" si="23">+D32-H32</f>
        <v>-6413.8200000000006</v>
      </c>
      <c r="M32" s="1"/>
      <c r="N32" s="5">
        <f t="shared" ref="N32:N37" si="24">IF(H32=0,0,L32/H32)</f>
        <v>-1</v>
      </c>
      <c r="O32" s="12"/>
      <c r="P32" s="1">
        <f>SUM(OSRRefP22_1x_0)</f>
        <v>15859.96</v>
      </c>
      <c r="Q32" s="1"/>
      <c r="R32" s="5">
        <f t="shared" ref="R32:R37" si="25">IF(P$12=0,0,P32/P$12)</f>
        <v>6.404260903624917</v>
      </c>
      <c r="S32" s="1"/>
      <c r="T32" s="1">
        <f>SUM(OSRRefT22_1x_0)</f>
        <v>51305.1</v>
      </c>
      <c r="U32" s="1"/>
      <c r="V32" s="5">
        <f t="shared" ref="V32:V37" si="26">IF(T$12=0,0,T32/T$12)</f>
        <v>0.18226475875394024</v>
      </c>
      <c r="W32" s="1"/>
      <c r="X32" s="1">
        <f t="shared" ref="X32:X37" si="27">+P32-T32</f>
        <v>-35445.14</v>
      </c>
      <c r="Y32" s="1"/>
      <c r="Z32" s="5">
        <f t="shared" ref="Z32:Z37" si="28">IF(T32=0,0,X32/T32)</f>
        <v>-0.69086971860497304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1"/>
        <v>0</v>
      </c>
      <c r="G33" s="2"/>
      <c r="H33" s="6"/>
      <c r="I33" s="2"/>
      <c r="J33" s="7">
        <f t="shared" si="22"/>
        <v>0</v>
      </c>
      <c r="K33" s="2"/>
      <c r="L33" s="6">
        <f t="shared" si="23"/>
        <v>0</v>
      </c>
      <c r="M33" s="2"/>
      <c r="N33" s="7">
        <f t="shared" si="24"/>
        <v>0</v>
      </c>
      <c r="O33" s="10"/>
      <c r="P33" s="6">
        <v>13728</v>
      </c>
      <c r="Q33" s="2"/>
      <c r="R33" s="7">
        <f t="shared" si="25"/>
        <v>5.5433742383311726</v>
      </c>
      <c r="S33" s="2"/>
      <c r="T33" s="6">
        <v>10272</v>
      </c>
      <c r="U33" s="2"/>
      <c r="V33" s="7">
        <f t="shared" si="26"/>
        <v>3.6491958926509728E-2</v>
      </c>
      <c r="W33" s="2"/>
      <c r="X33" s="6">
        <f t="shared" si="27"/>
        <v>3456</v>
      </c>
      <c r="Y33" s="2"/>
      <c r="Z33" s="7">
        <f t="shared" si="28"/>
        <v>0.3364485981308411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1"/>
        <v>0</v>
      </c>
      <c r="G34" s="2"/>
      <c r="H34" s="6">
        <v>565.37</v>
      </c>
      <c r="I34" s="2"/>
      <c r="J34" s="7">
        <f t="shared" si="22"/>
        <v>2.7982754106442069E-2</v>
      </c>
      <c r="K34" s="2"/>
      <c r="L34" s="6">
        <f t="shared" si="23"/>
        <v>-565.37</v>
      </c>
      <c r="M34" s="2"/>
      <c r="N34" s="7">
        <f t="shared" si="24"/>
        <v>-1</v>
      </c>
      <c r="O34" s="10"/>
      <c r="P34" s="6">
        <v>2131.96</v>
      </c>
      <c r="Q34" s="2"/>
      <c r="R34" s="7">
        <f t="shared" si="25"/>
        <v>0.86088666529374469</v>
      </c>
      <c r="S34" s="2"/>
      <c r="T34" s="6">
        <v>3822.17</v>
      </c>
      <c r="U34" s="2"/>
      <c r="V34" s="7">
        <f t="shared" si="26"/>
        <v>1.3578511550831162E-2</v>
      </c>
      <c r="W34" s="2"/>
      <c r="X34" s="6">
        <f t="shared" si="27"/>
        <v>-1690.21</v>
      </c>
      <c r="Y34" s="2"/>
      <c r="Z34" s="7">
        <f t="shared" si="28"/>
        <v>-0.44221214650316443</v>
      </c>
    </row>
    <row r="35" spans="1:26" s="23" customFormat="1" hidden="1" outlineLevel="2" x14ac:dyDescent="0.25">
      <c r="A35" s="25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1"/>
        <v>0</v>
      </c>
      <c r="G35" s="2"/>
      <c r="H35" s="6">
        <v>3539.86</v>
      </c>
      <c r="I35" s="2"/>
      <c r="J35" s="7">
        <f t="shared" si="22"/>
        <v>0.17520390532081651</v>
      </c>
      <c r="K35" s="2"/>
      <c r="L35" s="6">
        <f t="shared" si="23"/>
        <v>-3539.86</v>
      </c>
      <c r="M35" s="2"/>
      <c r="N35" s="7">
        <f t="shared" si="24"/>
        <v>-1</v>
      </c>
      <c r="O35" s="10"/>
      <c r="P35" s="6"/>
      <c r="Q35" s="2"/>
      <c r="R35" s="7">
        <f t="shared" si="25"/>
        <v>0</v>
      </c>
      <c r="S35" s="2"/>
      <c r="T35" s="6">
        <v>13120.47</v>
      </c>
      <c r="U35" s="2"/>
      <c r="V35" s="7">
        <f t="shared" si="26"/>
        <v>4.6611336870765491E-2</v>
      </c>
      <c r="W35" s="2"/>
      <c r="X35" s="6">
        <f t="shared" si="27"/>
        <v>-13120.47</v>
      </c>
      <c r="Y35" s="2"/>
      <c r="Z35" s="7">
        <f t="shared" si="28"/>
        <v>-1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1"/>
        <v>0</v>
      </c>
      <c r="G36" s="2"/>
      <c r="H36" s="6">
        <v>2308.59</v>
      </c>
      <c r="I36" s="2"/>
      <c r="J36" s="7">
        <f t="shared" si="22"/>
        <v>0.11426270637386331</v>
      </c>
      <c r="K36" s="2"/>
      <c r="L36" s="6">
        <f t="shared" si="23"/>
        <v>-2308.59</v>
      </c>
      <c r="M36" s="2"/>
      <c r="N36" s="7">
        <f t="shared" si="24"/>
        <v>-1</v>
      </c>
      <c r="O36" s="10"/>
      <c r="P36" s="6">
        <v>0</v>
      </c>
      <c r="Q36" s="2"/>
      <c r="R36" s="7">
        <f t="shared" si="25"/>
        <v>0</v>
      </c>
      <c r="S36" s="2"/>
      <c r="T36" s="6">
        <v>23036.15</v>
      </c>
      <c r="U36" s="2"/>
      <c r="V36" s="7">
        <f t="shared" si="26"/>
        <v>8.1837445446350965E-2</v>
      </c>
      <c r="W36" s="2"/>
      <c r="X36" s="6">
        <f t="shared" si="27"/>
        <v>-23036.15</v>
      </c>
      <c r="Y36" s="2"/>
      <c r="Z36" s="7">
        <f t="shared" si="28"/>
        <v>-1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1"/>
        <v>0</v>
      </c>
      <c r="G37" s="2"/>
      <c r="H37" s="6"/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0"/>
      <c r="P37" s="6"/>
      <c r="Q37" s="2"/>
      <c r="R37" s="7">
        <f t="shared" si="25"/>
        <v>0</v>
      </c>
      <c r="S37" s="2"/>
      <c r="T37" s="6">
        <v>1054.31</v>
      </c>
      <c r="U37" s="2"/>
      <c r="V37" s="7">
        <f t="shared" si="26"/>
        <v>3.7455059594829121E-3</v>
      </c>
      <c r="W37" s="2"/>
      <c r="X37" s="6">
        <f t="shared" si="27"/>
        <v>-1054.31</v>
      </c>
      <c r="Y37" s="2"/>
      <c r="Z37" s="7">
        <f t="shared" si="28"/>
        <v>-1</v>
      </c>
    </row>
    <row r="38" spans="1:26" s="26" customFormat="1" outlineLevel="1" collapsed="1" x14ac:dyDescent="0.25">
      <c r="A38" s="27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1" si="29">IF(D$12=0,0,D38/D$12)</f>
        <v>0</v>
      </c>
      <c r="G38" s="1"/>
      <c r="H38" s="1">
        <f>SUM(OSRRefH22_2x_0)</f>
        <v>2.4900000000000002</v>
      </c>
      <c r="I38" s="1"/>
      <c r="J38" s="5">
        <f t="shared" ref="J38:J51" si="30">IF(H$12=0,0,H38/H$12)</f>
        <v>1.2324151922641944E-4</v>
      </c>
      <c r="K38" s="1"/>
      <c r="L38" s="1">
        <f t="shared" ref="L38:L51" si="31">+D38-H38</f>
        <v>-2.4900000000000002</v>
      </c>
      <c r="M38" s="1"/>
      <c r="N38" s="5">
        <f t="shared" ref="N38:N51" si="32">IF(H38=0,0,L38/H38)</f>
        <v>-1</v>
      </c>
      <c r="O38" s="12"/>
      <c r="P38" s="1">
        <f>SUM(OSRRefP22_2x_0)</f>
        <v>0</v>
      </c>
      <c r="Q38" s="1"/>
      <c r="R38" s="5">
        <f t="shared" ref="R38:R51" si="33">IF(P$12=0,0,P38/P$12)</f>
        <v>0</v>
      </c>
      <c r="S38" s="1"/>
      <c r="T38" s="1">
        <f>SUM(OSRRefT22_2x_0)</f>
        <v>2.4900000000000002</v>
      </c>
      <c r="U38" s="1"/>
      <c r="V38" s="5">
        <f t="shared" ref="V38:V51" si="34">IF(T$12=0,0,T38/T$12)</f>
        <v>8.8458895762275348E-6</v>
      </c>
      <c r="W38" s="1"/>
      <c r="X38" s="1">
        <f t="shared" ref="X38:X51" si="35">+P38-T38</f>
        <v>-2.4900000000000002</v>
      </c>
      <c r="Y38" s="1"/>
      <c r="Z38" s="5">
        <f t="shared" ref="Z38:Z51" si="36">IF(T38=0,0,X38/T38)</f>
        <v>-1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29"/>
        <v>0</v>
      </c>
      <c r="G39" s="2"/>
      <c r="H39" s="6">
        <v>2.4900000000000002</v>
      </c>
      <c r="I39" s="2"/>
      <c r="J39" s="7">
        <f t="shared" si="30"/>
        <v>1.2324151922641944E-4</v>
      </c>
      <c r="K39" s="2"/>
      <c r="L39" s="6">
        <f t="shared" si="31"/>
        <v>-2.4900000000000002</v>
      </c>
      <c r="M39" s="2"/>
      <c r="N39" s="7">
        <f t="shared" si="32"/>
        <v>-1</v>
      </c>
      <c r="O39" s="10"/>
      <c r="P39" s="6"/>
      <c r="Q39" s="2"/>
      <c r="R39" s="7">
        <f t="shared" si="33"/>
        <v>0</v>
      </c>
      <c r="S39" s="2"/>
      <c r="T39" s="6">
        <v>2.4900000000000002</v>
      </c>
      <c r="U39" s="2"/>
      <c r="V39" s="7">
        <f t="shared" si="34"/>
        <v>8.8458895762275348E-6</v>
      </c>
      <c r="W39" s="2"/>
      <c r="X39" s="6">
        <f t="shared" si="35"/>
        <v>-2.4900000000000002</v>
      </c>
      <c r="Y39" s="2"/>
      <c r="Z39" s="7">
        <f t="shared" si="36"/>
        <v>-1</v>
      </c>
    </row>
    <row r="40" spans="1:26" s="26" customFormat="1" outlineLevel="1" collapsed="1" x14ac:dyDescent="0.25">
      <c r="A40" s="27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-1.1499999999999999</v>
      </c>
      <c r="I40" s="1"/>
      <c r="J40" s="5">
        <f t="shared" si="30"/>
        <v>-5.6918773939912577E-5</v>
      </c>
      <c r="K40" s="1"/>
      <c r="L40" s="1">
        <f t="shared" si="31"/>
        <v>1.1499999999999999</v>
      </c>
      <c r="M40" s="1"/>
      <c r="N40" s="5">
        <f t="shared" si="32"/>
        <v>-1</v>
      </c>
      <c r="O40" s="12"/>
      <c r="P40" s="1">
        <f>SUM(OSRRefP22_3x_0)</f>
        <v>3.31</v>
      </c>
      <c r="Q40" s="1"/>
      <c r="R40" s="5">
        <f t="shared" si="33"/>
        <v>1.3365798899239642E-3</v>
      </c>
      <c r="S40" s="1"/>
      <c r="T40" s="1">
        <f>SUM(OSRRefT22_3x_0)</f>
        <v>-74.03</v>
      </c>
      <c r="U40" s="1"/>
      <c r="V40" s="5">
        <f t="shared" si="34"/>
        <v>-2.6299646800326276E-4</v>
      </c>
      <c r="W40" s="1"/>
      <c r="X40" s="1">
        <f t="shared" si="35"/>
        <v>77.34</v>
      </c>
      <c r="Y40" s="1"/>
      <c r="Z40" s="5">
        <f t="shared" si="36"/>
        <v>-1.0447116034040254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29"/>
        <v>0</v>
      </c>
      <c r="G41" s="2"/>
      <c r="H41" s="6">
        <v>-1.1499999999999999</v>
      </c>
      <c r="I41" s="2"/>
      <c r="J41" s="7">
        <f t="shared" si="30"/>
        <v>-5.6918773939912577E-5</v>
      </c>
      <c r="K41" s="2"/>
      <c r="L41" s="6">
        <f t="shared" si="31"/>
        <v>1.1499999999999999</v>
      </c>
      <c r="M41" s="2"/>
      <c r="N41" s="7">
        <f t="shared" si="32"/>
        <v>-1</v>
      </c>
      <c r="O41" s="10"/>
      <c r="P41" s="6">
        <v>3.31</v>
      </c>
      <c r="Q41" s="2"/>
      <c r="R41" s="7">
        <f t="shared" si="33"/>
        <v>1.3365798899239642E-3</v>
      </c>
      <c r="S41" s="2"/>
      <c r="T41" s="6">
        <v>-74.03</v>
      </c>
      <c r="U41" s="2"/>
      <c r="V41" s="7">
        <f t="shared" si="34"/>
        <v>-2.6299646800326276E-4</v>
      </c>
      <c r="W41" s="2"/>
      <c r="X41" s="6">
        <f t="shared" si="35"/>
        <v>77.34</v>
      </c>
      <c r="Y41" s="2"/>
      <c r="Z41" s="7">
        <f t="shared" si="36"/>
        <v>-1.0447116034040254</v>
      </c>
    </row>
    <row r="42" spans="1:26" s="26" customFormat="1" outlineLevel="1" collapsed="1" x14ac:dyDescent="0.25">
      <c r="A42" s="27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224.95</v>
      </c>
      <c r="E42" s="1"/>
      <c r="F42" s="5">
        <f t="shared" si="29"/>
        <v>0</v>
      </c>
      <c r="G42" s="1"/>
      <c r="H42" s="1">
        <f>SUM(OSRRefH22_4x_0)</f>
        <v>1059.3900000000001</v>
      </c>
      <c r="I42" s="1"/>
      <c r="J42" s="5">
        <f t="shared" si="30"/>
        <v>5.2434069499307824E-2</v>
      </c>
      <c r="K42" s="1"/>
      <c r="L42" s="1">
        <f t="shared" si="31"/>
        <v>-834.44</v>
      </c>
      <c r="M42" s="1"/>
      <c r="N42" s="5">
        <f t="shared" si="32"/>
        <v>-0.78766082368155255</v>
      </c>
      <c r="O42" s="12"/>
      <c r="P42" s="1">
        <f>SUM(OSRRefP22_4x_0)</f>
        <v>1348.18</v>
      </c>
      <c r="Q42" s="1"/>
      <c r="R42" s="5">
        <f t="shared" si="33"/>
        <v>0.54439585377573718</v>
      </c>
      <c r="S42" s="1"/>
      <c r="T42" s="1">
        <f>SUM(OSRRefT22_4x_0)</f>
        <v>10703.22</v>
      </c>
      <c r="U42" s="1"/>
      <c r="V42" s="5">
        <f t="shared" si="34"/>
        <v>3.802389647793978E-2</v>
      </c>
      <c r="W42" s="1"/>
      <c r="X42" s="1">
        <f t="shared" si="35"/>
        <v>-9355.0399999999991</v>
      </c>
      <c r="Y42" s="1"/>
      <c r="Z42" s="5">
        <f t="shared" si="36"/>
        <v>-0.87403977494623109</v>
      </c>
    </row>
    <row r="43" spans="1:26" s="23" customFormat="1" hidden="1" outlineLevel="2" x14ac:dyDescent="0.25">
      <c r="A43" s="25"/>
      <c r="B43" s="10" t="str">
        <f>CONCATENATE("          ", "6381", " - ", "BANK/CREDIT CARD FEES")</f>
        <v xml:space="preserve">          6381 - BANK/CREDIT CARD FEES</v>
      </c>
      <c r="C43" s="10"/>
      <c r="D43" s="6">
        <v>224.95</v>
      </c>
      <c r="E43" s="2"/>
      <c r="F43" s="7">
        <f t="shared" si="29"/>
        <v>0</v>
      </c>
      <c r="G43" s="2"/>
      <c r="H43" s="6">
        <v>1059.3900000000001</v>
      </c>
      <c r="I43" s="2"/>
      <c r="J43" s="7">
        <f t="shared" si="30"/>
        <v>5.2434069499307824E-2</v>
      </c>
      <c r="K43" s="2"/>
      <c r="L43" s="6">
        <f t="shared" si="31"/>
        <v>-834.44</v>
      </c>
      <c r="M43" s="2"/>
      <c r="N43" s="7">
        <f t="shared" si="32"/>
        <v>-0.78766082368155255</v>
      </c>
      <c r="O43" s="10"/>
      <c r="P43" s="6">
        <v>1348.18</v>
      </c>
      <c r="Q43" s="2"/>
      <c r="R43" s="7">
        <f t="shared" si="33"/>
        <v>0.54439585377573718</v>
      </c>
      <c r="S43" s="2"/>
      <c r="T43" s="6">
        <v>10703.22</v>
      </c>
      <c r="U43" s="2"/>
      <c r="V43" s="7">
        <f t="shared" si="34"/>
        <v>3.802389647793978E-2</v>
      </c>
      <c r="W43" s="2"/>
      <c r="X43" s="6">
        <f t="shared" si="35"/>
        <v>-9355.0399999999991</v>
      </c>
      <c r="Y43" s="2"/>
      <c r="Z43" s="7">
        <f t="shared" si="36"/>
        <v>-0.87403977494623109</v>
      </c>
    </row>
    <row r="44" spans="1:26" s="26" customFormat="1" outlineLevel="1" collapsed="1" x14ac:dyDescent="0.25">
      <c r="A44" s="27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1075.3699999999999</v>
      </c>
      <c r="E44" s="1"/>
      <c r="F44" s="5">
        <f t="shared" si="29"/>
        <v>0</v>
      </c>
      <c r="G44" s="1"/>
      <c r="H44" s="1">
        <f>SUM(OSRRefH22_5x_0)</f>
        <v>1075.3699999999999</v>
      </c>
      <c r="I44" s="1"/>
      <c r="J44" s="5">
        <f t="shared" si="30"/>
        <v>5.3224992984142426E-2</v>
      </c>
      <c r="K44" s="1"/>
      <c r="L44" s="1">
        <f t="shared" si="31"/>
        <v>0</v>
      </c>
      <c r="M44" s="1"/>
      <c r="N44" s="5">
        <f t="shared" si="32"/>
        <v>0</v>
      </c>
      <c r="O44" s="12"/>
      <c r="P44" s="1">
        <f>SUM(OSRRefP22_5x_0)</f>
        <v>9678.33</v>
      </c>
      <c r="Q44" s="1"/>
      <c r="R44" s="5">
        <f t="shared" si="33"/>
        <v>3.9081151800748644</v>
      </c>
      <c r="S44" s="1"/>
      <c r="T44" s="1">
        <f>SUM(OSRRefT22_5x_0)</f>
        <v>8826.25</v>
      </c>
      <c r="U44" s="1"/>
      <c r="V44" s="5">
        <f t="shared" si="34"/>
        <v>3.1355836494850714E-2</v>
      </c>
      <c r="W44" s="1"/>
      <c r="X44" s="1">
        <f t="shared" si="35"/>
        <v>852.07999999999993</v>
      </c>
      <c r="Y44" s="1"/>
      <c r="Z44" s="5">
        <f t="shared" si="36"/>
        <v>9.6539300382382093E-2</v>
      </c>
    </row>
    <row r="45" spans="1:26" s="23" customFormat="1" hidden="1" outlineLevel="2" x14ac:dyDescent="0.25">
      <c r="A45" s="25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1075.3699999999999</v>
      </c>
      <c r="E45" s="2"/>
      <c r="F45" s="7">
        <f t="shared" si="29"/>
        <v>0</v>
      </c>
      <c r="G45" s="2"/>
      <c r="H45" s="6">
        <v>1075.3699999999999</v>
      </c>
      <c r="I45" s="2"/>
      <c r="J45" s="7">
        <f t="shared" si="30"/>
        <v>5.3224992984142426E-2</v>
      </c>
      <c r="K45" s="2"/>
      <c r="L45" s="6">
        <f t="shared" si="31"/>
        <v>0</v>
      </c>
      <c r="M45" s="2"/>
      <c r="N45" s="7">
        <f t="shared" si="32"/>
        <v>0</v>
      </c>
      <c r="O45" s="10"/>
      <c r="P45" s="6">
        <v>9678.33</v>
      </c>
      <c r="Q45" s="2"/>
      <c r="R45" s="7">
        <f t="shared" si="33"/>
        <v>3.9081151800748644</v>
      </c>
      <c r="S45" s="2"/>
      <c r="T45" s="6">
        <v>8826.25</v>
      </c>
      <c r="U45" s="2"/>
      <c r="V45" s="7">
        <f t="shared" si="34"/>
        <v>3.1355836494850714E-2</v>
      </c>
      <c r="W45" s="2"/>
      <c r="X45" s="6">
        <f t="shared" si="35"/>
        <v>852.07999999999993</v>
      </c>
      <c r="Y45" s="2"/>
      <c r="Z45" s="7">
        <f t="shared" si="36"/>
        <v>9.6539300382382093E-2</v>
      </c>
    </row>
    <row r="46" spans="1:26" s="26" customFormat="1" outlineLevel="1" collapsed="1" x14ac:dyDescent="0.25">
      <c r="A46" s="27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646.37</v>
      </c>
      <c r="E46" s="1"/>
      <c r="F46" s="5">
        <f t="shared" si="29"/>
        <v>0</v>
      </c>
      <c r="G46" s="1"/>
      <c r="H46" s="1">
        <f>SUM(OSRRefH22_6x_0)</f>
        <v>0</v>
      </c>
      <c r="I46" s="1"/>
      <c r="J46" s="5">
        <f t="shared" si="30"/>
        <v>0</v>
      </c>
      <c r="K46" s="1"/>
      <c r="L46" s="1">
        <f t="shared" si="31"/>
        <v>646.37</v>
      </c>
      <c r="M46" s="1"/>
      <c r="N46" s="5">
        <f t="shared" si="32"/>
        <v>0</v>
      </c>
      <c r="O46" s="12"/>
      <c r="P46" s="1">
        <f>SUM(OSRRefP22_6x_0)</f>
        <v>1785.31</v>
      </c>
      <c r="Q46" s="1"/>
      <c r="R46" s="5">
        <f t="shared" si="33"/>
        <v>0.72090919736560499</v>
      </c>
      <c r="S46" s="1"/>
      <c r="T46" s="1">
        <f>SUM(OSRRefT22_6x_0)</f>
        <v>1356.19</v>
      </c>
      <c r="U46" s="1"/>
      <c r="V46" s="5">
        <f t="shared" si="34"/>
        <v>4.8179546122024174E-3</v>
      </c>
      <c r="W46" s="1"/>
      <c r="X46" s="1">
        <f t="shared" si="35"/>
        <v>429.11999999999989</v>
      </c>
      <c r="Y46" s="1"/>
      <c r="Z46" s="5">
        <f t="shared" si="36"/>
        <v>0.31641584143814649</v>
      </c>
    </row>
    <row r="47" spans="1:26" s="23" customFormat="1" hidden="1" outlineLevel="2" x14ac:dyDescent="0.25">
      <c r="A47" s="25"/>
      <c r="B47" s="10" t="str">
        <f>CONCATENATE("          ", "6279", " - ", "GENERAL EXPENSE")</f>
        <v xml:space="preserve">          6279 - GENERAL EXPENSE</v>
      </c>
      <c r="C47" s="10"/>
      <c r="D47" s="6">
        <v>646.37</v>
      </c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646.37</v>
      </c>
      <c r="M47" s="2"/>
      <c r="N47" s="7">
        <f t="shared" si="32"/>
        <v>0</v>
      </c>
      <c r="O47" s="10"/>
      <c r="P47" s="6">
        <v>1785.31</v>
      </c>
      <c r="Q47" s="2"/>
      <c r="R47" s="7">
        <f t="shared" si="33"/>
        <v>0.72090919736560499</v>
      </c>
      <c r="S47" s="2"/>
      <c r="T47" s="6">
        <v>1356.19</v>
      </c>
      <c r="U47" s="2"/>
      <c r="V47" s="7">
        <f t="shared" si="34"/>
        <v>4.8179546122024174E-3</v>
      </c>
      <c r="W47" s="2"/>
      <c r="X47" s="6">
        <f t="shared" si="35"/>
        <v>429.11999999999989</v>
      </c>
      <c r="Y47" s="2"/>
      <c r="Z47" s="7">
        <f t="shared" si="36"/>
        <v>0.31641584143814649</v>
      </c>
    </row>
    <row r="48" spans="1:26" s="26" customFormat="1" outlineLevel="1" collapsed="1" x14ac:dyDescent="0.25">
      <c r="A48" s="27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SUM(OSRRefD22_7x_0)</f>
        <v>48.23</v>
      </c>
      <c r="E48" s="1"/>
      <c r="F48" s="5">
        <f t="shared" si="29"/>
        <v>0</v>
      </c>
      <c r="G48" s="1"/>
      <c r="H48" s="1">
        <f>SUM(OSRRefH22_7x_0)</f>
        <v>48.23</v>
      </c>
      <c r="I48" s="1"/>
      <c r="J48" s="5">
        <f t="shared" si="30"/>
        <v>2.3871238844538991E-3</v>
      </c>
      <c r="K48" s="1"/>
      <c r="L48" s="1">
        <f t="shared" si="31"/>
        <v>0</v>
      </c>
      <c r="M48" s="1"/>
      <c r="N48" s="5">
        <f t="shared" si="32"/>
        <v>0</v>
      </c>
      <c r="O48" s="12"/>
      <c r="P48" s="1">
        <f>SUM(OSRRefP22_7x_0)</f>
        <v>540.85</v>
      </c>
      <c r="Q48" s="1"/>
      <c r="R48" s="5">
        <f t="shared" si="33"/>
        <v>0.21839553881129187</v>
      </c>
      <c r="S48" s="1"/>
      <c r="T48" s="1">
        <f>SUM(OSRRefT22_7x_0)</f>
        <v>1665.12</v>
      </c>
      <c r="U48" s="1"/>
      <c r="V48" s="5">
        <f t="shared" si="34"/>
        <v>5.9154488558907587E-3</v>
      </c>
      <c r="W48" s="1"/>
      <c r="X48" s="1">
        <f t="shared" si="35"/>
        <v>-1124.27</v>
      </c>
      <c r="Y48" s="1"/>
      <c r="Z48" s="5">
        <f t="shared" si="36"/>
        <v>-0.67518857499759777</v>
      </c>
    </row>
    <row r="49" spans="1:26" s="23" customFormat="1" hidden="1" outlineLevel="2" x14ac:dyDescent="0.25">
      <c r="A49" s="25"/>
      <c r="B49" s="10" t="str">
        <f>CONCATENATE("          ", "6371", " - ", "COMPUTER SOFTWARE MAINTENANCE")</f>
        <v xml:space="preserve">          6371 - COMPUTER SOFTWARE MAINTENANCE</v>
      </c>
      <c r="C49" s="10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0"/>
      <c r="P49" s="6"/>
      <c r="Q49" s="2"/>
      <c r="R49" s="7">
        <f t="shared" si="33"/>
        <v>0</v>
      </c>
      <c r="S49" s="2"/>
      <c r="T49" s="6">
        <v>437.31</v>
      </c>
      <c r="U49" s="2"/>
      <c r="V49" s="7">
        <f t="shared" si="34"/>
        <v>1.5535726789478164E-3</v>
      </c>
      <c r="W49" s="2"/>
      <c r="X49" s="6">
        <f t="shared" si="35"/>
        <v>-437.31</v>
      </c>
      <c r="Y49" s="2"/>
      <c r="Z49" s="7">
        <f t="shared" si="36"/>
        <v>-1</v>
      </c>
    </row>
    <row r="50" spans="1:26" s="23" customFormat="1" hidden="1" outlineLevel="2" x14ac:dyDescent="0.25">
      <c r="A50" s="25"/>
      <c r="B50" s="10" t="str">
        <f>CONCATENATE("          ", "6373", " - ", "MAINTENANCE CONTRACTS")</f>
        <v xml:space="preserve">          6373 - MAINTENANCE CONTRACTS</v>
      </c>
      <c r="C50" s="10"/>
      <c r="D50" s="6">
        <v>48.23</v>
      </c>
      <c r="E50" s="2"/>
      <c r="F50" s="7">
        <f t="shared" si="29"/>
        <v>0</v>
      </c>
      <c r="G50" s="2"/>
      <c r="H50" s="6">
        <v>48.23</v>
      </c>
      <c r="I50" s="2"/>
      <c r="J50" s="7">
        <f t="shared" si="30"/>
        <v>2.3871238844538991E-3</v>
      </c>
      <c r="K50" s="2"/>
      <c r="L50" s="6">
        <f t="shared" si="31"/>
        <v>0</v>
      </c>
      <c r="M50" s="2"/>
      <c r="N50" s="7">
        <f t="shared" si="32"/>
        <v>0</v>
      </c>
      <c r="O50" s="10"/>
      <c r="P50" s="6">
        <v>223.29</v>
      </c>
      <c r="Q50" s="2"/>
      <c r="R50" s="7">
        <f t="shared" si="33"/>
        <v>9.0164629492786086E-2</v>
      </c>
      <c r="S50" s="2"/>
      <c r="T50" s="6">
        <v>141.44999999999999</v>
      </c>
      <c r="U50" s="2"/>
      <c r="V50" s="7">
        <f t="shared" si="34"/>
        <v>5.025104741194315E-4</v>
      </c>
      <c r="W50" s="2"/>
      <c r="X50" s="6">
        <f t="shared" si="35"/>
        <v>81.84</v>
      </c>
      <c r="Y50" s="2"/>
      <c r="Z50" s="7">
        <f t="shared" si="36"/>
        <v>0.57857900318133626</v>
      </c>
    </row>
    <row r="51" spans="1:26" s="23" customFormat="1" hidden="1" outlineLevel="2" x14ac:dyDescent="0.25">
      <c r="A51" s="25"/>
      <c r="B51" s="10" t="str">
        <f>CONCATENATE("          ", "6375", " - ", "OUTSIDE REPAIRS &amp; MAINTENANCE")</f>
        <v xml:space="preserve">          6375 - OUTSIDE REPAIRS &amp; MAINTENANCE</v>
      </c>
      <c r="C51" s="10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0"/>
      <c r="P51" s="6">
        <v>317.56</v>
      </c>
      <c r="Q51" s="2"/>
      <c r="R51" s="7">
        <f t="shared" si="33"/>
        <v>0.12823090931850575</v>
      </c>
      <c r="S51" s="2"/>
      <c r="T51" s="6">
        <v>1086.3599999999999</v>
      </c>
      <c r="U51" s="2"/>
      <c r="V51" s="7">
        <f t="shared" si="34"/>
        <v>3.8593657028235112E-3</v>
      </c>
      <c r="W51" s="2"/>
      <c r="X51" s="6">
        <f t="shared" si="35"/>
        <v>-768.8</v>
      </c>
      <c r="Y51" s="2"/>
      <c r="Z51" s="7">
        <f t="shared" si="36"/>
        <v>-0.70768437718619981</v>
      </c>
    </row>
    <row r="52" spans="1:26" s="26" customFormat="1" outlineLevel="1" collapsed="1" x14ac:dyDescent="0.25">
      <c r="A52" s="27"/>
      <c r="B52" s="12" t="str">
        <f>CONCATENATE("     ","Royalty &amp; Commissions                             ")</f>
        <v xml:space="preserve">     Royalty &amp; Commissions                             </v>
      </c>
      <c r="C52" s="12"/>
      <c r="D52" s="1">
        <f>SUM(OSRRefD22_8x_0)</f>
        <v>0</v>
      </c>
      <c r="E52" s="1"/>
      <c r="F52" s="5">
        <f t="shared" ref="F52:F57" si="37">IF(D$12=0,0,D52/D$12)</f>
        <v>0</v>
      </c>
      <c r="G52" s="1"/>
      <c r="H52" s="1">
        <f>SUM(OSRRefH22_8x_0)</f>
        <v>9221.35</v>
      </c>
      <c r="I52" s="1"/>
      <c r="J52" s="5">
        <f t="shared" ref="J52:J57" si="38">IF(H$12=0,0,H52/H$12)</f>
        <v>0.45640690093114167</v>
      </c>
      <c r="K52" s="1"/>
      <c r="L52" s="1">
        <f t="shared" ref="L52:L57" si="39">+D52-H52</f>
        <v>-9221.35</v>
      </c>
      <c r="M52" s="1"/>
      <c r="N52" s="5">
        <f t="shared" ref="N52:N57" si="40">IF(H52=0,0,L52/H52)</f>
        <v>-1</v>
      </c>
      <c r="O52" s="12"/>
      <c r="P52" s="1">
        <f>SUM(OSRRefP22_8x_0)</f>
        <v>185.7</v>
      </c>
      <c r="Q52" s="1"/>
      <c r="R52" s="5">
        <f t="shared" ref="R52:R57" si="41">IF(P$12=0,0,P52/P$12)</f>
        <v>7.4985766029873155E-2</v>
      </c>
      <c r="S52" s="1"/>
      <c r="T52" s="1">
        <f>SUM(OSRRefT22_8x_0)</f>
        <v>24556.14</v>
      </c>
      <c r="U52" s="1"/>
      <c r="V52" s="5">
        <f t="shared" ref="V52:V57" si="42">IF(T$12=0,0,T52/T$12)</f>
        <v>8.7237310384893171E-2</v>
      </c>
      <c r="W52" s="1"/>
      <c r="X52" s="1">
        <f t="shared" ref="X52:X57" si="43">+P52-T52</f>
        <v>-24370.44</v>
      </c>
      <c r="Y52" s="1"/>
      <c r="Z52" s="5">
        <f t="shared" ref="Z52:Z57" si="44">IF(T52=0,0,X52/T52)</f>
        <v>-0.99243773654979972</v>
      </c>
    </row>
    <row r="53" spans="1:26" s="23" customFormat="1" hidden="1" outlineLevel="2" x14ac:dyDescent="0.25">
      <c r="A53" s="25"/>
      <c r="B53" s="10" t="str">
        <f>CONCATENATE("          ", "6254", " - ", "ROYALTY &amp; COMMISSIONS")</f>
        <v xml:space="preserve">          6254 - ROYALTY &amp; COMMISSIONS</v>
      </c>
      <c r="C53" s="10"/>
      <c r="D53" s="6"/>
      <c r="E53" s="2"/>
      <c r="F53" s="7">
        <f t="shared" si="37"/>
        <v>0</v>
      </c>
      <c r="G53" s="2"/>
      <c r="H53" s="6">
        <v>9221.35</v>
      </c>
      <c r="I53" s="2"/>
      <c r="J53" s="7">
        <f t="shared" si="38"/>
        <v>0.45640690093114167</v>
      </c>
      <c r="K53" s="2"/>
      <c r="L53" s="6">
        <f t="shared" si="39"/>
        <v>-9221.35</v>
      </c>
      <c r="M53" s="2"/>
      <c r="N53" s="7">
        <f t="shared" si="40"/>
        <v>-1</v>
      </c>
      <c r="O53" s="10"/>
      <c r="P53" s="6">
        <v>185.7</v>
      </c>
      <c r="Q53" s="2"/>
      <c r="R53" s="7">
        <f t="shared" si="41"/>
        <v>7.4985766029873155E-2</v>
      </c>
      <c r="S53" s="2"/>
      <c r="T53" s="6">
        <v>24556.14</v>
      </c>
      <c r="U53" s="2"/>
      <c r="V53" s="7">
        <f t="shared" si="42"/>
        <v>8.7237310384893171E-2</v>
      </c>
      <c r="W53" s="2"/>
      <c r="X53" s="6">
        <f t="shared" si="43"/>
        <v>-24370.44</v>
      </c>
      <c r="Y53" s="2"/>
      <c r="Z53" s="7">
        <f t="shared" si="44"/>
        <v>-0.99243773654979972</v>
      </c>
    </row>
    <row r="54" spans="1:26" s="26" customFormat="1" outlineLevel="1" collapsed="1" x14ac:dyDescent="0.25">
      <c r="A54" s="27"/>
      <c r="B54" s="12" t="str">
        <f>CONCATENATE("     ","Services                                          ")</f>
        <v xml:space="preserve">     Services                                          </v>
      </c>
      <c r="C54" s="12"/>
      <c r="D54" s="1">
        <f>SUM(OSRRefD22_9x_0)</f>
        <v>0</v>
      </c>
      <c r="E54" s="1"/>
      <c r="F54" s="5">
        <f t="shared" si="37"/>
        <v>0</v>
      </c>
      <c r="G54" s="1"/>
      <c r="H54" s="1">
        <f>SUM(OSRRefH22_9x_0)</f>
        <v>147.29</v>
      </c>
      <c r="I54" s="1"/>
      <c r="J54" s="5">
        <f t="shared" si="38"/>
        <v>7.290057577051934E-3</v>
      </c>
      <c r="K54" s="1"/>
      <c r="L54" s="1">
        <f t="shared" si="39"/>
        <v>-147.29</v>
      </c>
      <c r="M54" s="1"/>
      <c r="N54" s="5">
        <f t="shared" si="40"/>
        <v>-1</v>
      </c>
      <c r="O54" s="12"/>
      <c r="P54" s="1">
        <f>SUM(OSRRefP22_9x_0)</f>
        <v>-63.319999999999993</v>
      </c>
      <c r="Q54" s="1"/>
      <c r="R54" s="5">
        <f t="shared" si="41"/>
        <v>-2.556865215407414E-2</v>
      </c>
      <c r="S54" s="1"/>
      <c r="T54" s="1">
        <f>SUM(OSRRefT22_9x_0)</f>
        <v>1829.96</v>
      </c>
      <c r="U54" s="1"/>
      <c r="V54" s="5">
        <f t="shared" si="42"/>
        <v>6.5010538509692123E-3</v>
      </c>
      <c r="W54" s="1"/>
      <c r="X54" s="1">
        <f t="shared" si="43"/>
        <v>-1893.28</v>
      </c>
      <c r="Y54" s="1"/>
      <c r="Z54" s="5">
        <f t="shared" si="44"/>
        <v>-1.034601849220748</v>
      </c>
    </row>
    <row r="55" spans="1:26" s="23" customFormat="1" hidden="1" outlineLevel="2" x14ac:dyDescent="0.25">
      <c r="A55" s="25"/>
      <c r="B55" s="10" t="str">
        <f>CONCATENATE("          ", "6282", " - ", "JANITORIAL/EXTERMINATOR EXPENS")</f>
        <v xml:space="preserve">          6282 - JANITORIAL/EXTERMINATOR EXPENS</v>
      </c>
      <c r="C55" s="10"/>
      <c r="D55" s="6"/>
      <c r="E55" s="2"/>
      <c r="F55" s="7">
        <f t="shared" si="37"/>
        <v>0</v>
      </c>
      <c r="G55" s="2"/>
      <c r="H55" s="6">
        <v>82</v>
      </c>
      <c r="I55" s="2"/>
      <c r="J55" s="7">
        <f t="shared" si="38"/>
        <v>4.0585560548459408E-3</v>
      </c>
      <c r="K55" s="2"/>
      <c r="L55" s="6">
        <f t="shared" si="39"/>
        <v>-82</v>
      </c>
      <c r="M55" s="2"/>
      <c r="N55" s="7">
        <f t="shared" si="40"/>
        <v>-1</v>
      </c>
      <c r="O55" s="10"/>
      <c r="P55" s="6">
        <v>82</v>
      </c>
      <c r="Q55" s="2"/>
      <c r="R55" s="7">
        <f t="shared" si="41"/>
        <v>3.3111646819868598E-2</v>
      </c>
      <c r="S55" s="2"/>
      <c r="T55" s="6">
        <v>287</v>
      </c>
      <c r="U55" s="2"/>
      <c r="V55" s="7">
        <f t="shared" si="42"/>
        <v>1.0195864692278322E-3</v>
      </c>
      <c r="W55" s="2"/>
      <c r="X55" s="6">
        <f t="shared" si="43"/>
        <v>-205</v>
      </c>
      <c r="Y55" s="2"/>
      <c r="Z55" s="7">
        <f t="shared" si="44"/>
        <v>-0.7142857142857143</v>
      </c>
    </row>
    <row r="56" spans="1:26" s="23" customFormat="1" hidden="1" outlineLevel="2" x14ac:dyDescent="0.25">
      <c r="A56" s="25"/>
      <c r="B56" s="10" t="str">
        <f>CONCATENATE("          ", "6285", " - ", "JANITORIAL SERVICES")</f>
        <v xml:space="preserve">          6285 - JANITORIAL SERVICES</v>
      </c>
      <c r="C56" s="10"/>
      <c r="D56" s="6"/>
      <c r="E56" s="2"/>
      <c r="F56" s="7">
        <f t="shared" si="37"/>
        <v>0</v>
      </c>
      <c r="G56" s="2"/>
      <c r="H56" s="6">
        <v>24.22</v>
      </c>
      <c r="I56" s="2"/>
      <c r="J56" s="7">
        <f t="shared" si="38"/>
        <v>1.1987588737605937E-3</v>
      </c>
      <c r="K56" s="2"/>
      <c r="L56" s="6">
        <f t="shared" si="39"/>
        <v>-24.22</v>
      </c>
      <c r="M56" s="2"/>
      <c r="N56" s="7">
        <f t="shared" si="40"/>
        <v>-1</v>
      </c>
      <c r="O56" s="10"/>
      <c r="P56" s="6">
        <v>-145.32</v>
      </c>
      <c r="Q56" s="2"/>
      <c r="R56" s="7">
        <f t="shared" si="41"/>
        <v>-5.8680298973942738E-2</v>
      </c>
      <c r="S56" s="2"/>
      <c r="T56" s="6">
        <v>208.38</v>
      </c>
      <c r="U56" s="2"/>
      <c r="V56" s="7">
        <f t="shared" si="42"/>
        <v>7.4028372284911379E-4</v>
      </c>
      <c r="W56" s="2"/>
      <c r="X56" s="6">
        <f t="shared" si="43"/>
        <v>-353.7</v>
      </c>
      <c r="Y56" s="2"/>
      <c r="Z56" s="7">
        <f t="shared" si="44"/>
        <v>-1.6973797869277281</v>
      </c>
    </row>
    <row r="57" spans="1:26" s="23" customFormat="1" hidden="1" outlineLevel="2" x14ac:dyDescent="0.25">
      <c r="A57" s="25"/>
      <c r="B57" s="10" t="str">
        <f>CONCATENATE("          ", "6286", " - ", "LAUNDRY EXPENSE")</f>
        <v xml:space="preserve">          6286 - LAUNDRY EXPENSE</v>
      </c>
      <c r="C57" s="10"/>
      <c r="D57" s="6"/>
      <c r="E57" s="2"/>
      <c r="F57" s="7">
        <f t="shared" si="37"/>
        <v>0</v>
      </c>
      <c r="G57" s="2"/>
      <c r="H57" s="6">
        <v>41.07</v>
      </c>
      <c r="I57" s="2"/>
      <c r="J57" s="7">
        <f t="shared" si="38"/>
        <v>2.0327426484453999E-3</v>
      </c>
      <c r="K57" s="2"/>
      <c r="L57" s="6">
        <f t="shared" si="39"/>
        <v>-41.07</v>
      </c>
      <c r="M57" s="2"/>
      <c r="N57" s="7">
        <f t="shared" si="40"/>
        <v>-1</v>
      </c>
      <c r="O57" s="10"/>
      <c r="P57" s="6"/>
      <c r="Q57" s="2"/>
      <c r="R57" s="7">
        <f t="shared" si="41"/>
        <v>0</v>
      </c>
      <c r="S57" s="2"/>
      <c r="T57" s="6">
        <v>1334.58</v>
      </c>
      <c r="U57" s="2"/>
      <c r="V57" s="7">
        <f t="shared" si="42"/>
        <v>4.7411836588922658E-3</v>
      </c>
      <c r="W57" s="2"/>
      <c r="X57" s="6">
        <f t="shared" si="43"/>
        <v>-1334.58</v>
      </c>
      <c r="Y57" s="2"/>
      <c r="Z57" s="7">
        <f t="shared" si="44"/>
        <v>-1</v>
      </c>
    </row>
    <row r="58" spans="1:26" s="26" customFormat="1" outlineLevel="1" collapsed="1" x14ac:dyDescent="0.25">
      <c r="A58" s="27"/>
      <c r="B58" s="12" t="str">
        <f>CONCATENATE("     ","Supplies                                          ")</f>
        <v xml:space="preserve">     Supplies                                          </v>
      </c>
      <c r="C58" s="12"/>
      <c r="D58" s="1">
        <f>SUM(OSRRefD22_10x_0)</f>
        <v>0</v>
      </c>
      <c r="E58" s="1"/>
      <c r="F58" s="5">
        <f t="shared" ref="F58:F63" si="45">IF(D$12=0,0,D58/D$12)</f>
        <v>0</v>
      </c>
      <c r="G58" s="1"/>
      <c r="H58" s="1">
        <f>SUM(OSRRefH22_10x_0)</f>
        <v>175.94</v>
      </c>
      <c r="I58" s="1"/>
      <c r="J58" s="5">
        <f t="shared" ref="J58:J63" si="46">IF(H$12=0,0,H58/H$12)</f>
        <v>8.7080774669462783E-3</v>
      </c>
      <c r="K58" s="1"/>
      <c r="L58" s="1">
        <f t="shared" ref="L58:L63" si="47">+D58-H58</f>
        <v>-175.94</v>
      </c>
      <c r="M58" s="1"/>
      <c r="N58" s="5">
        <f t="shared" ref="N58:N63" si="48">IF(H58=0,0,L58/H58)</f>
        <v>-1</v>
      </c>
      <c r="O58" s="12"/>
      <c r="P58" s="1">
        <f>SUM(OSRRefP22_10x_0)</f>
        <v>328.55</v>
      </c>
      <c r="Q58" s="1"/>
      <c r="R58" s="5">
        <f t="shared" ref="R58:R63" si="49">IF(P$12=0,0,P58/P$12)</f>
        <v>0.13266867759351011</v>
      </c>
      <c r="S58" s="1"/>
      <c r="T58" s="1">
        <f>SUM(OSRRefT22_10x_0)</f>
        <v>7602.1100000000006</v>
      </c>
      <c r="U58" s="1"/>
      <c r="V58" s="5">
        <f t="shared" ref="V58:V63" si="50">IF(T$12=0,0,T58/T$12)</f>
        <v>2.7006998235475945E-2</v>
      </c>
      <c r="W58" s="1"/>
      <c r="X58" s="1">
        <f t="shared" ref="X58:X63" si="51">+P58-T58</f>
        <v>-7273.56</v>
      </c>
      <c r="Y58" s="1"/>
      <c r="Z58" s="5">
        <f t="shared" ref="Z58:Z63" si="52">IF(T58=0,0,X58/T58)</f>
        <v>-0.95678173559709079</v>
      </c>
    </row>
    <row r="59" spans="1:26" s="23" customFormat="1" hidden="1" outlineLevel="2" x14ac:dyDescent="0.25">
      <c r="A59" s="25"/>
      <c r="B59" s="10" t="str">
        <f>CONCATENATE("          ", "6234", " - ", "EXPENDABLE SUPPLIES &amp; EQUIPMEN")</f>
        <v xml:space="preserve">          6234 - EXPENDABLE SUPPLIES &amp; EQUIPMEN</v>
      </c>
      <c r="C59" s="10"/>
      <c r="D59" s="6"/>
      <c r="E59" s="2"/>
      <c r="F59" s="7">
        <f t="shared" si="45"/>
        <v>0</v>
      </c>
      <c r="G59" s="2"/>
      <c r="H59" s="6"/>
      <c r="I59" s="2"/>
      <c r="J59" s="7">
        <f t="shared" si="46"/>
        <v>0</v>
      </c>
      <c r="K59" s="2"/>
      <c r="L59" s="6">
        <f t="shared" si="47"/>
        <v>0</v>
      </c>
      <c r="M59" s="2"/>
      <c r="N59" s="7">
        <f t="shared" si="48"/>
        <v>0</v>
      </c>
      <c r="O59" s="10"/>
      <c r="P59" s="6"/>
      <c r="Q59" s="2"/>
      <c r="R59" s="7">
        <f t="shared" si="49"/>
        <v>0</v>
      </c>
      <c r="S59" s="2"/>
      <c r="T59" s="6">
        <v>354.71</v>
      </c>
      <c r="U59" s="2"/>
      <c r="V59" s="7">
        <f t="shared" si="50"/>
        <v>1.2601307195115135E-3</v>
      </c>
      <c r="W59" s="2"/>
      <c r="X59" s="6">
        <f t="shared" si="51"/>
        <v>-354.71</v>
      </c>
      <c r="Y59" s="2"/>
      <c r="Z59" s="7">
        <f t="shared" si="52"/>
        <v>-1</v>
      </c>
    </row>
    <row r="60" spans="1:26" s="23" customFormat="1" hidden="1" outlineLevel="2" x14ac:dyDescent="0.25">
      <c r="A60" s="25"/>
      <c r="B60" s="10" t="str">
        <f>CONCATENATE("          ", "6235", " - ", "COVID-19 EXPENSES")</f>
        <v xml:space="preserve">          6235 - COVID-19 EXPENSES</v>
      </c>
      <c r="C60" s="10"/>
      <c r="D60" s="6"/>
      <c r="E60" s="2"/>
      <c r="F60" s="7">
        <f t="shared" si="45"/>
        <v>0</v>
      </c>
      <c r="G60" s="2"/>
      <c r="H60" s="6"/>
      <c r="I60" s="2"/>
      <c r="J60" s="7">
        <f t="shared" si="46"/>
        <v>0</v>
      </c>
      <c r="K60" s="2"/>
      <c r="L60" s="6">
        <f t="shared" si="47"/>
        <v>0</v>
      </c>
      <c r="M60" s="2"/>
      <c r="N60" s="7">
        <f t="shared" si="48"/>
        <v>0</v>
      </c>
      <c r="O60" s="10"/>
      <c r="P60" s="6">
        <v>207.27</v>
      </c>
      <c r="Q60" s="2"/>
      <c r="R60" s="7">
        <f t="shared" si="49"/>
        <v>8.3695744345782502E-2</v>
      </c>
      <c r="S60" s="2"/>
      <c r="T60" s="6"/>
      <c r="U60" s="2"/>
      <c r="V60" s="7">
        <f t="shared" si="50"/>
        <v>0</v>
      </c>
      <c r="W60" s="2"/>
      <c r="X60" s="6">
        <f t="shared" si="51"/>
        <v>207.27</v>
      </c>
      <c r="Y60" s="2"/>
      <c r="Z60" s="7">
        <f t="shared" si="52"/>
        <v>0</v>
      </c>
    </row>
    <row r="61" spans="1:26" s="23" customFormat="1" hidden="1" outlineLevel="2" x14ac:dyDescent="0.25">
      <c r="A61" s="25"/>
      <c r="B61" s="10" t="str">
        <f>CONCATENATE("          ", "6237", " - ", "JANITORIAL SUPPLIES")</f>
        <v xml:space="preserve">          6237 - JANITORIAL SUPPLIES</v>
      </c>
      <c r="C61" s="10"/>
      <c r="D61" s="6"/>
      <c r="E61" s="2"/>
      <c r="F61" s="7">
        <f t="shared" si="45"/>
        <v>0</v>
      </c>
      <c r="G61" s="2"/>
      <c r="H61" s="6"/>
      <c r="I61" s="2"/>
      <c r="J61" s="7">
        <f t="shared" si="46"/>
        <v>0</v>
      </c>
      <c r="K61" s="2"/>
      <c r="L61" s="6">
        <f t="shared" si="47"/>
        <v>0</v>
      </c>
      <c r="M61" s="2"/>
      <c r="N61" s="7">
        <f t="shared" si="48"/>
        <v>0</v>
      </c>
      <c r="O61" s="10"/>
      <c r="P61" s="6"/>
      <c r="Q61" s="2"/>
      <c r="R61" s="7">
        <f t="shared" si="49"/>
        <v>0</v>
      </c>
      <c r="S61" s="2"/>
      <c r="T61" s="6">
        <v>38.56</v>
      </c>
      <c r="U61" s="2"/>
      <c r="V61" s="7">
        <f t="shared" si="50"/>
        <v>1.369869486182063E-4</v>
      </c>
      <c r="W61" s="2"/>
      <c r="X61" s="6">
        <f t="shared" si="51"/>
        <v>-38.56</v>
      </c>
      <c r="Y61" s="2"/>
      <c r="Z61" s="7">
        <f t="shared" si="52"/>
        <v>-1</v>
      </c>
    </row>
    <row r="62" spans="1:26" s="23" customFormat="1" hidden="1" outlineLevel="2" x14ac:dyDescent="0.25">
      <c r="A62" s="25"/>
      <c r="B62" s="10" t="str">
        <f>CONCATENATE("          ", "6247", " - ", "STORE SUPPLIES")</f>
        <v xml:space="preserve">          6247 - STORE SUPPLIES</v>
      </c>
      <c r="C62" s="10"/>
      <c r="D62" s="6"/>
      <c r="E62" s="2"/>
      <c r="F62" s="7">
        <f t="shared" si="45"/>
        <v>0</v>
      </c>
      <c r="G62" s="2"/>
      <c r="H62" s="6">
        <v>134.87</v>
      </c>
      <c r="I62" s="2"/>
      <c r="J62" s="7">
        <f t="shared" si="46"/>
        <v>6.6753348185008788E-3</v>
      </c>
      <c r="K62" s="2"/>
      <c r="L62" s="6">
        <f t="shared" si="47"/>
        <v>-134.87</v>
      </c>
      <c r="M62" s="2"/>
      <c r="N62" s="7">
        <f t="shared" si="48"/>
        <v>-1</v>
      </c>
      <c r="O62" s="10"/>
      <c r="P62" s="6">
        <v>121.28</v>
      </c>
      <c r="Q62" s="2"/>
      <c r="R62" s="7">
        <f t="shared" si="49"/>
        <v>4.8972933247727606E-2</v>
      </c>
      <c r="S62" s="2"/>
      <c r="T62" s="6">
        <v>7167.77</v>
      </c>
      <c r="U62" s="2"/>
      <c r="V62" s="7">
        <f t="shared" si="50"/>
        <v>2.5463976677829892E-2</v>
      </c>
      <c r="W62" s="2"/>
      <c r="X62" s="6">
        <f t="shared" si="51"/>
        <v>-7046.4900000000007</v>
      </c>
      <c r="Y62" s="2"/>
      <c r="Z62" s="7">
        <f t="shared" si="52"/>
        <v>-0.98307981422394974</v>
      </c>
    </row>
    <row r="63" spans="1:26" s="23" customFormat="1" hidden="1" outlineLevel="2" x14ac:dyDescent="0.25">
      <c r="A63" s="25"/>
      <c r="B63" s="10" t="str">
        <f>CONCATENATE("          ", "6248", " - ", "UNIFORMS")</f>
        <v xml:space="preserve">          6248 - UNIFORMS</v>
      </c>
      <c r="C63" s="10"/>
      <c r="D63" s="6"/>
      <c r="E63" s="2"/>
      <c r="F63" s="7">
        <f t="shared" si="45"/>
        <v>0</v>
      </c>
      <c r="G63" s="2"/>
      <c r="H63" s="6">
        <v>41.07</v>
      </c>
      <c r="I63" s="2"/>
      <c r="J63" s="7">
        <f t="shared" si="46"/>
        <v>2.0327426484453999E-3</v>
      </c>
      <c r="K63" s="2"/>
      <c r="L63" s="6">
        <f t="shared" si="47"/>
        <v>-41.07</v>
      </c>
      <c r="M63" s="2"/>
      <c r="N63" s="7">
        <f t="shared" si="48"/>
        <v>-1</v>
      </c>
      <c r="O63" s="10"/>
      <c r="P63" s="6"/>
      <c r="Q63" s="2"/>
      <c r="R63" s="7">
        <f t="shared" si="49"/>
        <v>0</v>
      </c>
      <c r="S63" s="2"/>
      <c r="T63" s="6">
        <v>41.07</v>
      </c>
      <c r="U63" s="2"/>
      <c r="V63" s="7">
        <f t="shared" si="50"/>
        <v>1.4590388951633124E-4</v>
      </c>
      <c r="W63" s="2"/>
      <c r="X63" s="6">
        <f t="shared" si="51"/>
        <v>-41.07</v>
      </c>
      <c r="Y63" s="2"/>
      <c r="Z63" s="7">
        <f t="shared" si="52"/>
        <v>-1</v>
      </c>
    </row>
    <row r="64" spans="1:26" s="26" customFormat="1" outlineLevel="1" collapsed="1" x14ac:dyDescent="0.25">
      <c r="A64" s="27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SUM(OSRRefD22_11x_0)</f>
        <v>51.5</v>
      </c>
      <c r="E64" s="1"/>
      <c r="F64" s="5">
        <f t="shared" ref="F64:F67" si="53">IF(D$12=0,0,D64/D$12)</f>
        <v>0</v>
      </c>
      <c r="G64" s="1"/>
      <c r="H64" s="1">
        <f>SUM(OSRRefH22_11x_0)</f>
        <v>92.09</v>
      </c>
      <c r="I64" s="1"/>
      <c r="J64" s="5">
        <f t="shared" ref="J64:J67" si="54">IF(H$12=0,0,H64/H$12)</f>
        <v>4.5579564279361303E-3</v>
      </c>
      <c r="K64" s="1"/>
      <c r="L64" s="1">
        <f t="shared" ref="L64:L67" si="55">+D64-H64</f>
        <v>-40.590000000000003</v>
      </c>
      <c r="M64" s="1"/>
      <c r="N64" s="5">
        <f t="shared" ref="N64:N67" si="56">IF(H64=0,0,L64/H64)</f>
        <v>-0.44076446954066678</v>
      </c>
      <c r="O64" s="12"/>
      <c r="P64" s="1">
        <f>SUM(OSRRefP22_11x_0)</f>
        <v>787</v>
      </c>
      <c r="Q64" s="1"/>
      <c r="R64" s="5">
        <f t="shared" ref="R64:R67" si="57">IF(P$12=0,0,P64/P$12)</f>
        <v>0.31779104935654373</v>
      </c>
      <c r="S64" s="1"/>
      <c r="T64" s="1">
        <f>SUM(OSRRefT22_11x_0)</f>
        <v>525.09</v>
      </c>
      <c r="U64" s="1"/>
      <c r="V64" s="5">
        <f t="shared" ref="V64:V67" si="58">IF(T$12=0,0,T64/T$12)</f>
        <v>1.8654169307555485E-3</v>
      </c>
      <c r="W64" s="1"/>
      <c r="X64" s="1">
        <f t="shared" ref="X64:X67" si="59">+P64-T64</f>
        <v>261.90999999999997</v>
      </c>
      <c r="Y64" s="1"/>
      <c r="Z64" s="5">
        <f t="shared" ref="Z64:Z67" si="60">IF(T64=0,0,X64/T64)</f>
        <v>0.49879068350187578</v>
      </c>
    </row>
    <row r="65" spans="1:26" s="23" customFormat="1" hidden="1" outlineLevel="2" x14ac:dyDescent="0.25">
      <c r="A65" s="25"/>
      <c r="B65" s="10" t="str">
        <f>CONCATENATE("          ", "6309", " - ", "TELEPHONE")</f>
        <v xml:space="preserve">          6309 - TELEPHONE</v>
      </c>
      <c r="C65" s="10"/>
      <c r="D65" s="6">
        <v>51.5</v>
      </c>
      <c r="E65" s="2"/>
      <c r="F65" s="7">
        <f t="shared" si="53"/>
        <v>0</v>
      </c>
      <c r="G65" s="2"/>
      <c r="H65" s="6">
        <v>92.09</v>
      </c>
      <c r="I65" s="2"/>
      <c r="J65" s="7">
        <f t="shared" si="54"/>
        <v>4.5579564279361303E-3</v>
      </c>
      <c r="K65" s="2"/>
      <c r="L65" s="6">
        <f t="shared" si="55"/>
        <v>-40.590000000000003</v>
      </c>
      <c r="M65" s="2"/>
      <c r="N65" s="7">
        <f t="shared" si="56"/>
        <v>-0.44076446954066678</v>
      </c>
      <c r="O65" s="10"/>
      <c r="P65" s="6">
        <v>787</v>
      </c>
      <c r="Q65" s="2"/>
      <c r="R65" s="7">
        <f t="shared" si="57"/>
        <v>0.31779104935654373</v>
      </c>
      <c r="S65" s="2"/>
      <c r="T65" s="6">
        <v>525.09</v>
      </c>
      <c r="U65" s="2"/>
      <c r="V65" s="7">
        <f t="shared" si="58"/>
        <v>1.8654169307555485E-3</v>
      </c>
      <c r="W65" s="2"/>
      <c r="X65" s="6">
        <f t="shared" si="59"/>
        <v>261.90999999999997</v>
      </c>
      <c r="Y65" s="2"/>
      <c r="Z65" s="7">
        <f t="shared" si="60"/>
        <v>0.49879068350187578</v>
      </c>
    </row>
    <row r="66" spans="1:26" s="26" customFormat="1" outlineLevel="1" collapsed="1" x14ac:dyDescent="0.25">
      <c r="A66" s="27"/>
      <c r="B66" s="12" t="str">
        <f>CONCATENATE("     ","Utilities                                         ")</f>
        <v xml:space="preserve">     Utilities                                         </v>
      </c>
      <c r="C66" s="12"/>
      <c r="D66" s="1">
        <f>SUM(OSRRefD22_12x_0)</f>
        <v>50</v>
      </c>
      <c r="E66" s="1"/>
      <c r="F66" s="5">
        <f t="shared" si="53"/>
        <v>0</v>
      </c>
      <c r="G66" s="1"/>
      <c r="H66" s="1">
        <f>SUM(OSRRefH22_12x_0)</f>
        <v>36</v>
      </c>
      <c r="I66" s="1"/>
      <c r="J66" s="5">
        <f t="shared" si="54"/>
        <v>1.7818050972494375E-3</v>
      </c>
      <c r="K66" s="1"/>
      <c r="L66" s="1">
        <f t="shared" si="55"/>
        <v>14</v>
      </c>
      <c r="M66" s="1"/>
      <c r="N66" s="5">
        <f t="shared" si="56"/>
        <v>0.3888888888888889</v>
      </c>
      <c r="O66" s="12"/>
      <c r="P66" s="1">
        <f>SUM(OSRRefP22_12x_0)</f>
        <v>450</v>
      </c>
      <c r="Q66" s="1"/>
      <c r="R66" s="5">
        <f t="shared" si="57"/>
        <v>0.18171025693830328</v>
      </c>
      <c r="S66" s="1"/>
      <c r="T66" s="1">
        <f>SUM(OSRRefT22_12x_0)</f>
        <v>-655.88</v>
      </c>
      <c r="U66" s="1"/>
      <c r="V66" s="5">
        <f t="shared" si="58"/>
        <v>-2.3300570503036605E-3</v>
      </c>
      <c r="W66" s="1"/>
      <c r="X66" s="1">
        <f t="shared" si="59"/>
        <v>1105.8800000000001</v>
      </c>
      <c r="Y66" s="1"/>
      <c r="Z66" s="5">
        <f t="shared" si="60"/>
        <v>-1.6861011160578157</v>
      </c>
    </row>
    <row r="67" spans="1:26" s="23" customFormat="1" hidden="1" outlineLevel="2" x14ac:dyDescent="0.25">
      <c r="A67" s="25"/>
      <c r="B67" s="10" t="str">
        <f>CONCATENATE("          ", "6274", " - ", "UTILITIES")</f>
        <v xml:space="preserve">          6274 - UTILITIES</v>
      </c>
      <c r="C67" s="10"/>
      <c r="D67" s="6">
        <v>50</v>
      </c>
      <c r="E67" s="2"/>
      <c r="F67" s="7">
        <f t="shared" si="53"/>
        <v>0</v>
      </c>
      <c r="G67" s="2"/>
      <c r="H67" s="6">
        <v>36</v>
      </c>
      <c r="I67" s="2"/>
      <c r="J67" s="7">
        <f t="shared" si="54"/>
        <v>1.7818050972494375E-3</v>
      </c>
      <c r="K67" s="2"/>
      <c r="L67" s="6">
        <f t="shared" si="55"/>
        <v>14</v>
      </c>
      <c r="M67" s="2"/>
      <c r="N67" s="7">
        <f t="shared" si="56"/>
        <v>0.3888888888888889</v>
      </c>
      <c r="O67" s="10"/>
      <c r="P67" s="6">
        <v>450</v>
      </c>
      <c r="Q67" s="2"/>
      <c r="R67" s="7">
        <f t="shared" si="57"/>
        <v>0.18171025693830328</v>
      </c>
      <c r="S67" s="2"/>
      <c r="T67" s="6">
        <v>-655.88</v>
      </c>
      <c r="U67" s="2"/>
      <c r="V67" s="7">
        <f t="shared" si="58"/>
        <v>-2.3300570503036605E-3</v>
      </c>
      <c r="W67" s="2"/>
      <c r="X67" s="6">
        <f t="shared" si="59"/>
        <v>1105.8800000000001</v>
      </c>
      <c r="Y67" s="2"/>
      <c r="Z67" s="7">
        <f t="shared" si="60"/>
        <v>-1.6861011160578157</v>
      </c>
    </row>
    <row r="68" spans="1:26" s="60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4" customFormat="1" x14ac:dyDescent="0.25">
      <c r="A69" s="11"/>
      <c r="B69" s="28" t="s">
        <v>292</v>
      </c>
      <c r="C69" s="11"/>
      <c r="D69" s="4">
        <f>SUM(0)</f>
        <v>0</v>
      </c>
      <c r="E69" s="4"/>
      <c r="F69" s="13">
        <f>IF(D$12=0,0,D69/D$12)</f>
        <v>0</v>
      </c>
      <c r="G69" s="4"/>
      <c r="H69" s="4">
        <f>SUM(0)</f>
        <v>0</v>
      </c>
      <c r="I69" s="4"/>
      <c r="J69" s="13">
        <f>IF(H$12=0,0,H69/H$12)</f>
        <v>0</v>
      </c>
      <c r="K69" s="4"/>
      <c r="L69" s="4">
        <f>+D69-H69</f>
        <v>0</v>
      </c>
      <c r="M69" s="4"/>
      <c r="N69" s="13">
        <f>IF(H69=0,0,L69/H69)</f>
        <v>0</v>
      </c>
      <c r="O69" s="11"/>
      <c r="P69" s="4">
        <f>SUM(0)</f>
        <v>0</v>
      </c>
      <c r="Q69" s="4"/>
      <c r="R69" s="13">
        <f>IF(P$12=0,0,P69/P$12)</f>
        <v>0</v>
      </c>
      <c r="S69" s="4"/>
      <c r="T69" s="4">
        <f>SUM(0)</f>
        <v>0</v>
      </c>
      <c r="U69" s="4"/>
      <c r="V69" s="13">
        <f>IF(T$12=0,0,T69/T$12)</f>
        <v>0</v>
      </c>
      <c r="W69" s="4"/>
      <c r="X69" s="4">
        <f>+P69-T69</f>
        <v>0</v>
      </c>
      <c r="Y69" s="4"/>
      <c r="Z69" s="13">
        <f>IF(T69=0,0,X69/T69)</f>
        <v>0</v>
      </c>
    </row>
    <row r="70" spans="1:26" x14ac:dyDescent="0.25">
      <c r="A70" s="9"/>
      <c r="B70" s="11"/>
      <c r="C70" s="11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1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11"/>
      <c r="B71" s="29" t="s">
        <v>276</v>
      </c>
      <c r="C71" s="29"/>
      <c r="D71" s="22">
        <f>+D20-D22+D69</f>
        <v>-2096.42</v>
      </c>
      <c r="E71" s="14"/>
      <c r="F71" s="20">
        <f>IF(D$12=0,0,D71/D$12)</f>
        <v>0</v>
      </c>
      <c r="G71" s="14"/>
      <c r="H71" s="22">
        <f>+H20-H22+H69</f>
        <v>-8187.1699999999983</v>
      </c>
      <c r="I71" s="14"/>
      <c r="J71" s="20">
        <f>IF(H$12=0,0,H71/H$12)</f>
        <v>-0.40522058994576871</v>
      </c>
      <c r="K71" s="15"/>
      <c r="L71" s="22">
        <f>+D71-H71</f>
        <v>6090.7499999999982</v>
      </c>
      <c r="M71" s="15"/>
      <c r="N71" s="20">
        <f>IF(H71=0,0,L71/H71)</f>
        <v>-0.74393838163858816</v>
      </c>
      <c r="O71" s="28"/>
      <c r="P71" s="22">
        <f>+P20-P22+P69</f>
        <v>-56759.119999999981</v>
      </c>
      <c r="Q71" s="14"/>
      <c r="R71" s="20">
        <f>IF(P$12=0,0,P71/P$12)</f>
        <v>-22.919365063982191</v>
      </c>
      <c r="S71" s="14"/>
      <c r="T71" s="22">
        <f>+T20-T22+T69</f>
        <v>28703.870000000024</v>
      </c>
      <c r="U71" s="14"/>
      <c r="V71" s="20">
        <f>IF(T$12=0,0,T71/T$12)</f>
        <v>0.10197239535357046</v>
      </c>
      <c r="W71" s="15"/>
      <c r="X71" s="22">
        <f>+P71-T71</f>
        <v>-85462.99</v>
      </c>
      <c r="Y71" s="15"/>
      <c r="Z71" s="20">
        <f>IF(T71=0,0,X71/T71)</f>
        <v>-2.9774030470455704</v>
      </c>
    </row>
    <row r="72" spans="1:26" x14ac:dyDescent="0.25">
      <c r="A72" s="9"/>
      <c r="B72" s="11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51"/>
      <c r="B73" s="11" t="s">
        <v>127</v>
      </c>
      <c r="C73" s="11"/>
      <c r="D73" s="4">
        <v>19.95</v>
      </c>
      <c r="E73" s="4"/>
      <c r="F73" s="13">
        <f>IF(D$12=0,0,D73/D$12)</f>
        <v>0</v>
      </c>
      <c r="G73" s="4"/>
      <c r="H73" s="4">
        <v>3532.13</v>
      </c>
      <c r="I73" s="4"/>
      <c r="J73" s="13">
        <f>IF(H$12=0,0,H73/H$12)</f>
        <v>0.17482131217076821</v>
      </c>
      <c r="K73" s="4"/>
      <c r="L73" s="4">
        <f>+D73-H73</f>
        <v>-3512.1800000000003</v>
      </c>
      <c r="M73" s="4"/>
      <c r="N73" s="13">
        <f>IF(H73=0,0,L73/H73)</f>
        <v>-0.99435185001684545</v>
      </c>
      <c r="O73" s="11"/>
      <c r="P73" s="4">
        <v>510.38</v>
      </c>
      <c r="Q73" s="4"/>
      <c r="R73" s="13">
        <f>IF(P$12=0,0,P73/P$12)</f>
        <v>0.20609173541371384</v>
      </c>
      <c r="S73" s="4"/>
      <c r="T73" s="4">
        <v>30161.98</v>
      </c>
      <c r="U73" s="4"/>
      <c r="V73" s="13">
        <f>IF(T$12=0,0,T73/T$12)</f>
        <v>0.10715242750216199</v>
      </c>
      <c r="W73" s="4"/>
      <c r="X73" s="4">
        <f>+P73-T73</f>
        <v>-29651.599999999999</v>
      </c>
      <c r="Y73" s="4"/>
      <c r="Z73" s="13">
        <f>IF(T73=0,0,X73/T73)</f>
        <v>-0.98307869708818851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9" t="s">
        <v>125</v>
      </c>
      <c r="C75" s="29"/>
      <c r="D75" s="30">
        <f>+D71-D73</f>
        <v>-2116.37</v>
      </c>
      <c r="E75" s="14"/>
      <c r="F75" s="36">
        <f>IF(D$12=0,0,D75/D$12)</f>
        <v>0</v>
      </c>
      <c r="G75" s="14"/>
      <c r="H75" s="30">
        <f>+H71-H73</f>
        <v>-11719.3</v>
      </c>
      <c r="I75" s="14"/>
      <c r="J75" s="36">
        <f>IF(H$12=0,0,H75/H$12)</f>
        <v>-0.58004190211653694</v>
      </c>
      <c r="K75" s="15"/>
      <c r="L75" s="30">
        <f>D75-H75</f>
        <v>9602.93</v>
      </c>
      <c r="M75" s="15"/>
      <c r="N75" s="36">
        <f>IF(H75=0,0,L75/H75)</f>
        <v>-0.81941156895036404</v>
      </c>
      <c r="O75" s="28"/>
      <c r="P75" s="30">
        <f>+P71-P73</f>
        <v>-57269.499999999978</v>
      </c>
      <c r="Q75" s="14"/>
      <c r="R75" s="36">
        <f>IF(P$12=0,0,P75/P$12)</f>
        <v>-23.125456799395902</v>
      </c>
      <c r="S75" s="14"/>
      <c r="T75" s="30">
        <f>+T71-T73</f>
        <v>-1458.1099999999751</v>
      </c>
      <c r="U75" s="14"/>
      <c r="V75" s="36">
        <f>IF(T$12=0,0,T75/T$12)</f>
        <v>-5.1800321485915299E-3</v>
      </c>
      <c r="W75" s="15"/>
      <c r="X75" s="30">
        <f>P75-T75</f>
        <v>-55811.39</v>
      </c>
      <c r="Y75" s="15"/>
      <c r="Z75" s="36">
        <f>IF(T75=0,0,X75/T75)</f>
        <v>38.276529205616143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9" t="s">
        <v>293</v>
      </c>
      <c r="C78" s="29"/>
      <c r="D78" s="35">
        <f>SUM(D75:D77)</f>
        <v>-2116.37</v>
      </c>
      <c r="E78" s="14"/>
      <c r="F78" s="34">
        <f>IF(D$12=0,0,D78/D$12)</f>
        <v>0</v>
      </c>
      <c r="G78" s="14"/>
      <c r="H78" s="35">
        <f>SUM(H75:H77)</f>
        <v>-11719.3</v>
      </c>
      <c r="I78" s="14"/>
      <c r="J78" s="34">
        <f>IF(H$12=0,0,H78/H$12)</f>
        <v>-0.58004190211653694</v>
      </c>
      <c r="K78" s="15"/>
      <c r="L78" s="35">
        <f>+D78-H78</f>
        <v>9602.93</v>
      </c>
      <c r="M78" s="15"/>
      <c r="N78" s="34">
        <f>IF(H78=0,0,L78/H78)</f>
        <v>-0.81941156895036404</v>
      </c>
      <c r="O78" s="28"/>
      <c r="P78" s="35">
        <f>SUM(P75:P77)</f>
        <v>-57269.499999999978</v>
      </c>
      <c r="Q78" s="14"/>
      <c r="R78" s="34">
        <f>IF(P$12=0,0,P78/P$12)</f>
        <v>-23.125456799395902</v>
      </c>
      <c r="S78" s="14"/>
      <c r="T78" s="35">
        <f>SUM(T75:T77)</f>
        <v>-1458.1099999999751</v>
      </c>
      <c r="U78" s="14"/>
      <c r="V78" s="34">
        <f>IF(T$12=0,0,T78/T$12)</f>
        <v>-5.1800321485915299E-3</v>
      </c>
      <c r="W78" s="15"/>
      <c r="X78" s="35">
        <f>+P78-T78</f>
        <v>-55811.39</v>
      </c>
      <c r="Y78" s="15"/>
      <c r="Z78" s="34">
        <f>IF(T78=0,0,X78/T78)</f>
        <v>38.276529205616143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4">
        <v>44295.963243634258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8" t="s">
        <v>56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2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217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","322", " - ", "Beach Hut")</f>
        <v>Department 322 - Beach Hut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46095.740000000005</v>
      </c>
      <c r="I12" s="4"/>
      <c r="J12" s="13"/>
      <c r="K12" s="4"/>
      <c r="L12" s="4">
        <f t="shared" ref="L12:L14" si="0">+D12-H12</f>
        <v>-46095.740000000005</v>
      </c>
      <c r="M12" s="4"/>
      <c r="N12" s="13">
        <f t="shared" ref="N12:N14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689915.82</v>
      </c>
      <c r="U12" s="4"/>
      <c r="V12" s="13"/>
      <c r="W12" s="4"/>
      <c r="X12" s="4">
        <f t="shared" ref="X12:X14" si="2">+P12-T12</f>
        <v>-689915.82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>--4994.66</f>
        <v>4994.66</v>
      </c>
      <c r="I13" s="2"/>
      <c r="J13" s="19"/>
      <c r="K13" s="2"/>
      <c r="L13" s="2">
        <f t="shared" si="0"/>
        <v>-4994.66</v>
      </c>
      <c r="M13" s="2"/>
      <c r="N13" s="19">
        <f t="shared" si="1"/>
        <v>-1</v>
      </c>
      <c r="O13" s="10"/>
      <c r="P13" s="2">
        <f t="shared" ref="P13:P14" si="5">0</f>
        <v>0</v>
      </c>
      <c r="Q13" s="2"/>
      <c r="R13" s="19"/>
      <c r="S13" s="2"/>
      <c r="T13" s="2">
        <f>--85250.21</f>
        <v>85250.21</v>
      </c>
      <c r="U13" s="2"/>
      <c r="V13" s="19"/>
      <c r="W13" s="2"/>
      <c r="X13" s="2">
        <f t="shared" si="2"/>
        <v>-85250.21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--41101.08</f>
        <v>41101.08</v>
      </c>
      <c r="I14" s="2"/>
      <c r="J14" s="19"/>
      <c r="K14" s="2"/>
      <c r="L14" s="2">
        <f t="shared" si="0"/>
        <v>-41101.08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--604665.61</f>
        <v>604665.61</v>
      </c>
      <c r="U14" s="2"/>
      <c r="V14" s="19"/>
      <c r="W14" s="2"/>
      <c r="X14" s="2">
        <f t="shared" si="2"/>
        <v>-604665.61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22125.95</v>
      </c>
      <c r="I16" s="4"/>
      <c r="J16" s="13">
        <f t="shared" ref="J16:J18" si="7">IF(H$12=0,0,H16/H$12)</f>
        <v>0.47999988719131093</v>
      </c>
      <c r="K16" s="4"/>
      <c r="L16" s="4">
        <f t="shared" ref="L16:L18" si="8">+D16-H16</f>
        <v>-22125.95</v>
      </c>
      <c r="M16" s="4"/>
      <c r="N16" s="13">
        <f t="shared" ref="N16:N18" si="9">IF(H16=0,0,L16/H16)</f>
        <v>-1</v>
      </c>
      <c r="O16" s="11"/>
      <c r="P16" s="4">
        <f>SUM(OSRRefP16x_0)</f>
        <v>-1222.33</v>
      </c>
      <c r="Q16" s="4"/>
      <c r="R16" s="13">
        <f t="shared" ref="R16:R18" si="10">IF(P$12=0,0,P16/P$12)</f>
        <v>0</v>
      </c>
      <c r="S16" s="4"/>
      <c r="T16" s="4">
        <f>SUM(OSRRefT16x_0)</f>
        <v>345100.94</v>
      </c>
      <c r="U16" s="4"/>
      <c r="V16" s="13">
        <f t="shared" ref="V16:V18" si="11">IF(T$12=0,0,T16/T$12)</f>
        <v>0.50020731514752048</v>
      </c>
      <c r="W16" s="4"/>
      <c r="X16" s="4">
        <f t="shared" ref="X16:X18" si="12">+P16-T16</f>
        <v>-346323.27</v>
      </c>
      <c r="Y16" s="4"/>
      <c r="Z16" s="13">
        <f t="shared" ref="Z16:Z18" si="13">IF(T16=0,0,X16/T16)</f>
        <v>-1.0035419492047748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>
        <v>25510.89</v>
      </c>
      <c r="I17" s="2"/>
      <c r="J17" s="19">
        <f t="shared" si="7"/>
        <v>0.55343270332573025</v>
      </c>
      <c r="K17" s="2"/>
      <c r="L17" s="2">
        <f t="shared" si="8"/>
        <v>-25510.89</v>
      </c>
      <c r="M17" s="2"/>
      <c r="N17" s="19">
        <f t="shared" si="9"/>
        <v>-1</v>
      </c>
      <c r="O17" s="10"/>
      <c r="P17" s="2">
        <v>-1222.33</v>
      </c>
      <c r="Q17" s="2"/>
      <c r="R17" s="19">
        <f t="shared" si="10"/>
        <v>0</v>
      </c>
      <c r="S17" s="2"/>
      <c r="T17" s="2">
        <v>367445.36</v>
      </c>
      <c r="U17" s="2"/>
      <c r="V17" s="19">
        <f t="shared" si="11"/>
        <v>0.53259448377339713</v>
      </c>
      <c r="W17" s="2"/>
      <c r="X17" s="2">
        <f t="shared" si="12"/>
        <v>-368667.69</v>
      </c>
      <c r="Y17" s="2"/>
      <c r="Z17" s="19">
        <f t="shared" si="13"/>
        <v>-1.0033265626214467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-3384.94</v>
      </c>
      <c r="I18" s="2"/>
      <c r="J18" s="19">
        <f t="shared" si="7"/>
        <v>-7.3432816134419363E-2</v>
      </c>
      <c r="K18" s="2"/>
      <c r="L18" s="2">
        <f t="shared" si="8"/>
        <v>3384.94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-22344.42</v>
      </c>
      <c r="U18" s="2"/>
      <c r="V18" s="19">
        <f t="shared" si="11"/>
        <v>-3.2387168625876706E-2</v>
      </c>
      <c r="W18" s="2"/>
      <c r="X18" s="2">
        <f t="shared" si="12"/>
        <v>22344.42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23969.790000000005</v>
      </c>
      <c r="I20" s="14"/>
      <c r="J20" s="20">
        <f>IF(H$12=0,0,H20/H$12)</f>
        <v>0.52000011280868907</v>
      </c>
      <c r="K20" s="15"/>
      <c r="L20" s="22">
        <f>+D20-H20</f>
        <v>-23969.790000000005</v>
      </c>
      <c r="M20" s="15"/>
      <c r="N20" s="20">
        <f>IF(H20=0,0,L20/H20)</f>
        <v>-1</v>
      </c>
      <c r="O20" s="28"/>
      <c r="P20" s="22">
        <f>P12-P16</f>
        <v>1222.33</v>
      </c>
      <c r="Q20" s="14"/>
      <c r="R20" s="20">
        <f>IF(P$12=0,0,P20/P$12)</f>
        <v>0</v>
      </c>
      <c r="S20" s="14"/>
      <c r="T20" s="22">
        <f>T12-T16</f>
        <v>344814.87999999995</v>
      </c>
      <c r="U20" s="14"/>
      <c r="V20" s="20">
        <f>IF(T$12=0,0,T20/T$12)</f>
        <v>0.49979268485247952</v>
      </c>
      <c r="W20" s="15"/>
      <c r="X20" s="22">
        <f>+P20-T20</f>
        <v>-343592.54999999993</v>
      </c>
      <c r="Y20" s="15"/>
      <c r="Z20" s="20">
        <f>IF(T20=0,0,X20/T20)</f>
        <v>-0.9964551123779809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1796.69</v>
      </c>
      <c r="E22" s="21"/>
      <c r="F22" s="31">
        <f t="shared" ref="F22:F31" si="14">IF(D$12=0,0,D22/D$12)</f>
        <v>0</v>
      </c>
      <c r="G22" s="21"/>
      <c r="H22" s="21">
        <f>SUM(OSRRefH22x_0)</f>
        <v>29808.76</v>
      </c>
      <c r="I22" s="21"/>
      <c r="J22" s="31">
        <f t="shared" ref="J22:J31" si="15">IF(H$12=0,0,H22/H$12)</f>
        <v>0.64667060340066118</v>
      </c>
      <c r="K22" s="4"/>
      <c r="L22" s="21">
        <f t="shared" ref="L22:L31" si="16">+D22-H22</f>
        <v>-28012.07</v>
      </c>
      <c r="M22" s="4"/>
      <c r="N22" s="31">
        <f t="shared" ref="N22:N31" si="17">IF(H22=0,0,L22/H22)</f>
        <v>-0.93972610735904483</v>
      </c>
      <c r="O22" s="11"/>
      <c r="P22" s="21">
        <f>SUM(OSRRefP22x_0)</f>
        <v>22037.660000000003</v>
      </c>
      <c r="Q22" s="21"/>
      <c r="R22" s="31">
        <f t="shared" ref="R22:R31" si="18">IF(P$12=0,0,P22/P$12)</f>
        <v>0</v>
      </c>
      <c r="S22" s="21"/>
      <c r="T22" s="21">
        <f>SUM(OSRRefT22x_0)</f>
        <v>260250.2</v>
      </c>
      <c r="U22" s="21"/>
      <c r="V22" s="31">
        <f t="shared" ref="V22:V31" si="19">IF(T$12=0,0,T22/T$12)</f>
        <v>0.37722022376585018</v>
      </c>
      <c r="W22" s="4"/>
      <c r="X22" s="21">
        <f t="shared" ref="X22:X31" si="20">+P22-T22</f>
        <v>-238212.54</v>
      </c>
      <c r="Y22" s="4"/>
      <c r="Z22" s="31">
        <f t="shared" ref="Z22:Z31" si="21">IF(T22=0,0,X22/T22)</f>
        <v>-0.91532125623726701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2384.2399999999998</v>
      </c>
      <c r="I23" s="1"/>
      <c r="J23" s="5">
        <f t="shared" si="15"/>
        <v>5.1723651686685135E-2</v>
      </c>
      <c r="K23" s="1"/>
      <c r="L23" s="1">
        <f t="shared" si="16"/>
        <v>-2384.2399999999998</v>
      </c>
      <c r="M23" s="1"/>
      <c r="N23" s="5">
        <f t="shared" si="17"/>
        <v>-1</v>
      </c>
      <c r="O23" s="12"/>
      <c r="P23" s="1">
        <f>SUM(OSRRefP22_0x_0)</f>
        <v>1595.9699999999998</v>
      </c>
      <c r="Q23" s="1"/>
      <c r="R23" s="5">
        <f t="shared" si="18"/>
        <v>0</v>
      </c>
      <c r="S23" s="1"/>
      <c r="T23" s="1">
        <f>SUM(OSRRefT22_0x_0)</f>
        <v>21594.22</v>
      </c>
      <c r="U23" s="1"/>
      <c r="V23" s="5">
        <f t="shared" si="19"/>
        <v>3.1299789588822596E-2</v>
      </c>
      <c r="W23" s="1"/>
      <c r="X23" s="1">
        <f t="shared" si="20"/>
        <v>-19998.25</v>
      </c>
      <c r="Y23" s="1"/>
      <c r="Z23" s="5">
        <f t="shared" si="21"/>
        <v>-0.92609272296012535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372.25</v>
      </c>
      <c r="I24" s="2"/>
      <c r="J24" s="7">
        <f t="shared" si="15"/>
        <v>8.0755835571790363E-3</v>
      </c>
      <c r="K24" s="2"/>
      <c r="L24" s="6">
        <f t="shared" si="16"/>
        <v>-372.25</v>
      </c>
      <c r="M24" s="2"/>
      <c r="N24" s="7">
        <f t="shared" si="17"/>
        <v>-1</v>
      </c>
      <c r="O24" s="10"/>
      <c r="P24" s="6">
        <v>159.12</v>
      </c>
      <c r="Q24" s="2"/>
      <c r="R24" s="7">
        <f t="shared" si="18"/>
        <v>0</v>
      </c>
      <c r="S24" s="2"/>
      <c r="T24" s="6">
        <v>4690.7</v>
      </c>
      <c r="U24" s="2"/>
      <c r="V24" s="7">
        <f t="shared" si="19"/>
        <v>6.7989454133694166E-3</v>
      </c>
      <c r="W24" s="2"/>
      <c r="X24" s="6">
        <f t="shared" si="20"/>
        <v>-4531.58</v>
      </c>
      <c r="Y24" s="2"/>
      <c r="Z24" s="7">
        <f t="shared" si="21"/>
        <v>-0.96607755772059611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>
        <v>462.2</v>
      </c>
      <c r="I25" s="2"/>
      <c r="J25" s="7">
        <f t="shared" si="15"/>
        <v>1.0026956937886232E-2</v>
      </c>
      <c r="K25" s="2"/>
      <c r="L25" s="6">
        <f t="shared" si="16"/>
        <v>-462.2</v>
      </c>
      <c r="M25" s="2"/>
      <c r="N25" s="7">
        <f t="shared" si="17"/>
        <v>-1</v>
      </c>
      <c r="O25" s="10"/>
      <c r="P25" s="6"/>
      <c r="Q25" s="2"/>
      <c r="R25" s="7">
        <f t="shared" si="18"/>
        <v>0</v>
      </c>
      <c r="S25" s="2"/>
      <c r="T25" s="6">
        <v>2837.41</v>
      </c>
      <c r="U25" s="2"/>
      <c r="V25" s="7">
        <f t="shared" si="19"/>
        <v>4.1126901539958894E-3</v>
      </c>
      <c r="W25" s="2"/>
      <c r="X25" s="6">
        <f t="shared" si="20"/>
        <v>-2837.41</v>
      </c>
      <c r="Y25" s="2"/>
      <c r="Z25" s="7">
        <f t="shared" si="21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>
        <v>683.68</v>
      </c>
      <c r="I26" s="2"/>
      <c r="J26" s="7">
        <f t="shared" si="15"/>
        <v>1.483173933209446E-2</v>
      </c>
      <c r="K26" s="2"/>
      <c r="L26" s="6">
        <f t="shared" si="16"/>
        <v>-683.68</v>
      </c>
      <c r="M26" s="2"/>
      <c r="N26" s="7">
        <f t="shared" si="17"/>
        <v>-1</v>
      </c>
      <c r="O26" s="10"/>
      <c r="P26" s="6">
        <v>683.68</v>
      </c>
      <c r="Q26" s="2"/>
      <c r="R26" s="7">
        <f t="shared" si="18"/>
        <v>0</v>
      </c>
      <c r="S26" s="2"/>
      <c r="T26" s="6">
        <v>5897.88</v>
      </c>
      <c r="U26" s="2"/>
      <c r="V26" s="7">
        <f t="shared" si="19"/>
        <v>8.5486951147170399E-3</v>
      </c>
      <c r="W26" s="2"/>
      <c r="X26" s="6">
        <f t="shared" si="20"/>
        <v>-5214.2</v>
      </c>
      <c r="Y26" s="2"/>
      <c r="Z26" s="7">
        <f t="shared" si="21"/>
        <v>-0.88408038142519008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63.25</v>
      </c>
      <c r="I27" s="2"/>
      <c r="J27" s="7">
        <f t="shared" si="15"/>
        <v>1.3721441504138993E-3</v>
      </c>
      <c r="K27" s="2"/>
      <c r="L27" s="6">
        <f t="shared" si="16"/>
        <v>-63.25</v>
      </c>
      <c r="M27" s="2"/>
      <c r="N27" s="7">
        <f t="shared" si="17"/>
        <v>-1</v>
      </c>
      <c r="O27" s="10"/>
      <c r="P27" s="6"/>
      <c r="Q27" s="2"/>
      <c r="R27" s="7">
        <f t="shared" si="18"/>
        <v>0</v>
      </c>
      <c r="S27" s="2"/>
      <c r="T27" s="6">
        <v>433.45</v>
      </c>
      <c r="U27" s="2"/>
      <c r="V27" s="7">
        <f t="shared" si="19"/>
        <v>6.2826505413370579E-4</v>
      </c>
      <c r="W27" s="2"/>
      <c r="X27" s="6">
        <f t="shared" si="20"/>
        <v>-433.45</v>
      </c>
      <c r="Y27" s="2"/>
      <c r="Z27" s="7">
        <f t="shared" si="21"/>
        <v>-1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>
        <v>290.58</v>
      </c>
      <c r="I28" s="2"/>
      <c r="J28" s="7">
        <f t="shared" si="15"/>
        <v>6.3038363197987484E-3</v>
      </c>
      <c r="K28" s="2"/>
      <c r="L28" s="6">
        <f t="shared" si="16"/>
        <v>-290.58</v>
      </c>
      <c r="M28" s="2"/>
      <c r="N28" s="7">
        <f t="shared" si="17"/>
        <v>-1</v>
      </c>
      <c r="O28" s="10"/>
      <c r="P28" s="6">
        <v>321.57</v>
      </c>
      <c r="Q28" s="2"/>
      <c r="R28" s="7">
        <f t="shared" si="18"/>
        <v>0</v>
      </c>
      <c r="S28" s="2"/>
      <c r="T28" s="6">
        <v>2481.06</v>
      </c>
      <c r="U28" s="2"/>
      <c r="V28" s="7">
        <f t="shared" si="19"/>
        <v>3.5961778641342072E-3</v>
      </c>
      <c r="W28" s="2"/>
      <c r="X28" s="6">
        <f t="shared" si="20"/>
        <v>-2159.4899999999998</v>
      </c>
      <c r="Y28" s="2"/>
      <c r="Z28" s="7">
        <f t="shared" si="21"/>
        <v>-0.87039007520978928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>
        <v>239.72</v>
      </c>
      <c r="I29" s="2"/>
      <c r="J29" s="7">
        <f t="shared" si="15"/>
        <v>5.2004805650153352E-3</v>
      </c>
      <c r="K29" s="2"/>
      <c r="L29" s="6">
        <f t="shared" si="16"/>
        <v>-239.72</v>
      </c>
      <c r="M29" s="2"/>
      <c r="N29" s="7">
        <f t="shared" si="17"/>
        <v>-1</v>
      </c>
      <c r="O29" s="10"/>
      <c r="P29" s="6">
        <v>239.72</v>
      </c>
      <c r="Q29" s="2"/>
      <c r="R29" s="7">
        <f t="shared" si="18"/>
        <v>0</v>
      </c>
      <c r="S29" s="2"/>
      <c r="T29" s="6">
        <v>2157.48</v>
      </c>
      <c r="U29" s="2"/>
      <c r="V29" s="7">
        <f t="shared" si="19"/>
        <v>3.1271641227186243E-3</v>
      </c>
      <c r="W29" s="2"/>
      <c r="X29" s="6">
        <f t="shared" si="20"/>
        <v>-1917.76</v>
      </c>
      <c r="Y29" s="2"/>
      <c r="Z29" s="7">
        <f t="shared" si="21"/>
        <v>-0.88888888888888884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>
        <v>191.88</v>
      </c>
      <c r="I30" s="2"/>
      <c r="J30" s="7">
        <f t="shared" si="15"/>
        <v>4.1626406257931859E-3</v>
      </c>
      <c r="K30" s="2"/>
      <c r="L30" s="6">
        <f t="shared" si="16"/>
        <v>-191.88</v>
      </c>
      <c r="M30" s="2"/>
      <c r="N30" s="7">
        <f t="shared" si="17"/>
        <v>-1</v>
      </c>
      <c r="O30" s="10"/>
      <c r="P30" s="6">
        <v>191.88</v>
      </c>
      <c r="Q30" s="2"/>
      <c r="R30" s="7">
        <f t="shared" si="18"/>
        <v>0</v>
      </c>
      <c r="S30" s="2"/>
      <c r="T30" s="6">
        <v>1726.92</v>
      </c>
      <c r="U30" s="2"/>
      <c r="V30" s="7">
        <f t="shared" si="19"/>
        <v>2.503087985429875E-3</v>
      </c>
      <c r="W30" s="2"/>
      <c r="X30" s="6">
        <f t="shared" si="20"/>
        <v>-1535.04</v>
      </c>
      <c r="Y30" s="2"/>
      <c r="Z30" s="7">
        <f t="shared" si="21"/>
        <v>-0.88888888888888884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>
        <v>80.680000000000007</v>
      </c>
      <c r="I31" s="2"/>
      <c r="J31" s="7">
        <f t="shared" si="15"/>
        <v>1.7502701985042436E-3</v>
      </c>
      <c r="K31" s="2"/>
      <c r="L31" s="6">
        <f t="shared" si="16"/>
        <v>-80.680000000000007</v>
      </c>
      <c r="M31" s="2"/>
      <c r="N31" s="7">
        <f t="shared" si="17"/>
        <v>-1</v>
      </c>
      <c r="O31" s="10"/>
      <c r="P31" s="6"/>
      <c r="Q31" s="2"/>
      <c r="R31" s="7">
        <f t="shared" si="18"/>
        <v>0</v>
      </c>
      <c r="S31" s="2"/>
      <c r="T31" s="6">
        <v>1369.32</v>
      </c>
      <c r="U31" s="2"/>
      <c r="V31" s="7">
        <f t="shared" si="19"/>
        <v>1.9847638803238343E-3</v>
      </c>
      <c r="W31" s="2"/>
      <c r="X31" s="6">
        <f t="shared" si="20"/>
        <v>-1369.32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21246.859999999997</v>
      </c>
      <c r="I32" s="1"/>
      <c r="J32" s="5">
        <f t="shared" ref="J32:J37" si="23">IF(H$12=0,0,H32/H$12)</f>
        <v>0.46092892748874398</v>
      </c>
      <c r="K32" s="1"/>
      <c r="L32" s="1">
        <f t="shared" ref="L32:L37" si="24">+D32-H32</f>
        <v>-21246.859999999997</v>
      </c>
      <c r="M32" s="1"/>
      <c r="N32" s="5">
        <f t="shared" ref="N32:N37" si="25">IF(H32=0,0,L32/H32)</f>
        <v>-1</v>
      </c>
      <c r="O32" s="12"/>
      <c r="P32" s="1">
        <f>SUM(OSRRefP22_1x_0)</f>
        <v>2080</v>
      </c>
      <c r="Q32" s="1"/>
      <c r="R32" s="5">
        <f t="shared" ref="R32:R37" si="26">IF(P$12=0,0,P32/P$12)</f>
        <v>0</v>
      </c>
      <c r="S32" s="1"/>
      <c r="T32" s="1">
        <f>SUM(OSRRefT22_1x_0)</f>
        <v>157287.34</v>
      </c>
      <c r="U32" s="1"/>
      <c r="V32" s="5">
        <f t="shared" ref="V32:V37" si="27">IF(T$12=0,0,T32/T$12)</f>
        <v>0.22798048028526149</v>
      </c>
      <c r="W32" s="1"/>
      <c r="X32" s="1">
        <f t="shared" ref="X32:X37" si="28">+P32-T32</f>
        <v>-155207.34</v>
      </c>
      <c r="Y32" s="1"/>
      <c r="Z32" s="5">
        <f t="shared" ref="Z32:Z37" si="29">IF(T32=0,0,X32/T32)</f>
        <v>-0.9867757951784295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>
        <v>4160</v>
      </c>
      <c r="I33" s="2"/>
      <c r="J33" s="7">
        <f t="shared" si="23"/>
        <v>9.0246951236708631E-2</v>
      </c>
      <c r="K33" s="2"/>
      <c r="L33" s="6">
        <f t="shared" si="24"/>
        <v>-4160</v>
      </c>
      <c r="M33" s="2"/>
      <c r="N33" s="7">
        <f t="shared" si="25"/>
        <v>-1</v>
      </c>
      <c r="O33" s="10"/>
      <c r="P33" s="6">
        <v>2080</v>
      </c>
      <c r="Q33" s="2"/>
      <c r="R33" s="7">
        <f t="shared" si="26"/>
        <v>0</v>
      </c>
      <c r="S33" s="2"/>
      <c r="T33" s="6">
        <v>34846</v>
      </c>
      <c r="U33" s="2"/>
      <c r="V33" s="7">
        <f t="shared" si="27"/>
        <v>5.0507611203929201E-2</v>
      </c>
      <c r="W33" s="2"/>
      <c r="X33" s="6">
        <f t="shared" si="28"/>
        <v>-32766</v>
      </c>
      <c r="Y33" s="2"/>
      <c r="Z33" s="7">
        <f t="shared" si="29"/>
        <v>-0.94030878723526368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0"/>
      <c r="P34" s="6"/>
      <c r="Q34" s="2"/>
      <c r="R34" s="7">
        <f t="shared" si="26"/>
        <v>0</v>
      </c>
      <c r="S34" s="2"/>
      <c r="T34" s="6">
        <v>9018.76</v>
      </c>
      <c r="U34" s="2"/>
      <c r="V34" s="7">
        <f t="shared" si="27"/>
        <v>1.3072261482567541E-2</v>
      </c>
      <c r="W34" s="2"/>
      <c r="X34" s="6">
        <f t="shared" si="28"/>
        <v>-9018.76</v>
      </c>
      <c r="Y34" s="2"/>
      <c r="Z34" s="7">
        <f t="shared" si="29"/>
        <v>-1</v>
      </c>
    </row>
    <row r="35" spans="1:26" s="23" customFormat="1" hidden="1" outlineLevel="2" x14ac:dyDescent="0.25">
      <c r="A35" s="25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2"/>
        <v>0</v>
      </c>
      <c r="G35" s="2"/>
      <c r="H35" s="6">
        <v>706.07</v>
      </c>
      <c r="I35" s="2"/>
      <c r="J35" s="7">
        <f t="shared" si="23"/>
        <v>1.5317467514351651E-2</v>
      </c>
      <c r="K35" s="2"/>
      <c r="L35" s="6">
        <f t="shared" si="24"/>
        <v>-706.07</v>
      </c>
      <c r="M35" s="2"/>
      <c r="N35" s="7">
        <f t="shared" si="25"/>
        <v>-1</v>
      </c>
      <c r="O35" s="10"/>
      <c r="P35" s="6"/>
      <c r="Q35" s="2"/>
      <c r="R35" s="7">
        <f t="shared" si="26"/>
        <v>0</v>
      </c>
      <c r="S35" s="2"/>
      <c r="T35" s="6">
        <v>1199.43</v>
      </c>
      <c r="U35" s="2"/>
      <c r="V35" s="7">
        <f t="shared" si="27"/>
        <v>1.7385164468326007E-3</v>
      </c>
      <c r="W35" s="2"/>
      <c r="X35" s="6">
        <f t="shared" si="28"/>
        <v>-1199.43</v>
      </c>
      <c r="Y35" s="2"/>
      <c r="Z35" s="7">
        <f t="shared" si="29"/>
        <v>-1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2"/>
        <v>0</v>
      </c>
      <c r="G36" s="2"/>
      <c r="H36" s="6">
        <v>15956.99</v>
      </c>
      <c r="I36" s="2"/>
      <c r="J36" s="7">
        <f t="shared" si="23"/>
        <v>0.34617060058044408</v>
      </c>
      <c r="K36" s="2"/>
      <c r="L36" s="6">
        <f t="shared" si="24"/>
        <v>-15956.99</v>
      </c>
      <c r="M36" s="2"/>
      <c r="N36" s="7">
        <f t="shared" si="25"/>
        <v>-1</v>
      </c>
      <c r="O36" s="10"/>
      <c r="P36" s="6"/>
      <c r="Q36" s="2"/>
      <c r="R36" s="7">
        <f t="shared" si="26"/>
        <v>0</v>
      </c>
      <c r="S36" s="2"/>
      <c r="T36" s="6">
        <v>109564.35</v>
      </c>
      <c r="U36" s="2"/>
      <c r="V36" s="7">
        <f t="shared" si="27"/>
        <v>0.15880828765457214</v>
      </c>
      <c r="W36" s="2"/>
      <c r="X36" s="6">
        <f t="shared" si="28"/>
        <v>-109564.35</v>
      </c>
      <c r="Y36" s="2"/>
      <c r="Z36" s="7">
        <f t="shared" si="29"/>
        <v>-1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2"/>
        <v>0</v>
      </c>
      <c r="G37" s="2"/>
      <c r="H37" s="6">
        <v>423.8</v>
      </c>
      <c r="I37" s="2"/>
      <c r="J37" s="7">
        <f t="shared" si="23"/>
        <v>9.1939081572396924E-3</v>
      </c>
      <c r="K37" s="2"/>
      <c r="L37" s="6">
        <f t="shared" si="24"/>
        <v>-423.8</v>
      </c>
      <c r="M37" s="2"/>
      <c r="N37" s="7">
        <f t="shared" si="25"/>
        <v>-1</v>
      </c>
      <c r="O37" s="10"/>
      <c r="P37" s="6"/>
      <c r="Q37" s="2"/>
      <c r="R37" s="7">
        <f t="shared" si="26"/>
        <v>0</v>
      </c>
      <c r="S37" s="2"/>
      <c r="T37" s="6">
        <v>2658.8</v>
      </c>
      <c r="U37" s="2"/>
      <c r="V37" s="7">
        <f t="shared" si="27"/>
        <v>3.8538034973600119E-3</v>
      </c>
      <c r="W37" s="2"/>
      <c r="X37" s="6">
        <f t="shared" si="28"/>
        <v>-2658.8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2" si="30">IF(D$12=0,0,D38/D$12)</f>
        <v>0</v>
      </c>
      <c r="G38" s="1"/>
      <c r="H38" s="1">
        <f>SUM(OSRRefH22_2x_0)</f>
        <v>9.14</v>
      </c>
      <c r="I38" s="1"/>
      <c r="J38" s="5">
        <f t="shared" ref="J38:J52" si="31">IF(H$12=0,0,H38/H$12)</f>
        <v>1.9828296497680697E-4</v>
      </c>
      <c r="K38" s="1"/>
      <c r="L38" s="1">
        <f t="shared" ref="L38:L52" si="32">+D38-H38</f>
        <v>-9.14</v>
      </c>
      <c r="M38" s="1"/>
      <c r="N38" s="5">
        <f t="shared" ref="N38:N52" si="33">IF(H38=0,0,L38/H38)</f>
        <v>-1</v>
      </c>
      <c r="O38" s="12"/>
      <c r="P38" s="1">
        <f>SUM(OSRRefP22_2x_0)</f>
        <v>0</v>
      </c>
      <c r="Q38" s="1"/>
      <c r="R38" s="5">
        <f t="shared" ref="R38:R52" si="34">IF(P$12=0,0,P38/P$12)</f>
        <v>0</v>
      </c>
      <c r="S38" s="1"/>
      <c r="T38" s="1">
        <f>SUM(OSRRefT22_2x_0)</f>
        <v>262.2</v>
      </c>
      <c r="U38" s="1"/>
      <c r="V38" s="5">
        <f t="shared" ref="V38:V52" si="35">IF(T$12=0,0,T38/T$12)</f>
        <v>3.8004636565661012E-4</v>
      </c>
      <c r="W38" s="1"/>
      <c r="X38" s="1">
        <f t="shared" ref="X38:X52" si="36">+P38-T38</f>
        <v>-262.2</v>
      </c>
      <c r="Y38" s="1"/>
      <c r="Z38" s="5">
        <f t="shared" ref="Z38:Z52" si="37">IF(T38=0,0,X38/T38)</f>
        <v>-1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0"/>
        <v>0</v>
      </c>
      <c r="G39" s="2"/>
      <c r="H39" s="6">
        <v>9.14</v>
      </c>
      <c r="I39" s="2"/>
      <c r="J39" s="7">
        <f t="shared" si="31"/>
        <v>1.9828296497680697E-4</v>
      </c>
      <c r="K39" s="2"/>
      <c r="L39" s="6">
        <f t="shared" si="32"/>
        <v>-9.14</v>
      </c>
      <c r="M39" s="2"/>
      <c r="N39" s="7">
        <f t="shared" si="33"/>
        <v>-1</v>
      </c>
      <c r="O39" s="10"/>
      <c r="P39" s="6"/>
      <c r="Q39" s="2"/>
      <c r="R39" s="7">
        <f t="shared" si="34"/>
        <v>0</v>
      </c>
      <c r="S39" s="2"/>
      <c r="T39" s="6">
        <v>262.2</v>
      </c>
      <c r="U39" s="2"/>
      <c r="V39" s="7">
        <f t="shared" si="35"/>
        <v>3.8004636565661012E-4</v>
      </c>
      <c r="W39" s="2"/>
      <c r="X39" s="6">
        <f t="shared" si="36"/>
        <v>-262.2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-8.2100000000000009</v>
      </c>
      <c r="I40" s="1"/>
      <c r="J40" s="5">
        <f t="shared" si="31"/>
        <v>-1.7810756482052354E-4</v>
      </c>
      <c r="K40" s="1"/>
      <c r="L40" s="1">
        <f t="shared" si="32"/>
        <v>8.2100000000000009</v>
      </c>
      <c r="M40" s="1"/>
      <c r="N40" s="5">
        <f t="shared" si="33"/>
        <v>-1</v>
      </c>
      <c r="O40" s="12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-53.23</v>
      </c>
      <c r="U40" s="1"/>
      <c r="V40" s="5">
        <f t="shared" si="35"/>
        <v>-7.7154340365756508E-5</v>
      </c>
      <c r="W40" s="1"/>
      <c r="X40" s="1">
        <f t="shared" si="36"/>
        <v>53.23</v>
      </c>
      <c r="Y40" s="1"/>
      <c r="Z40" s="5">
        <f t="shared" si="37"/>
        <v>-1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0"/>
        <v>0</v>
      </c>
      <c r="G41" s="2"/>
      <c r="H41" s="6">
        <v>-8.2100000000000009</v>
      </c>
      <c r="I41" s="2"/>
      <c r="J41" s="7">
        <f t="shared" si="31"/>
        <v>-1.7810756482052354E-4</v>
      </c>
      <c r="K41" s="2"/>
      <c r="L41" s="6">
        <f t="shared" si="32"/>
        <v>8.2100000000000009</v>
      </c>
      <c r="M41" s="2"/>
      <c r="N41" s="7">
        <f t="shared" si="33"/>
        <v>-1</v>
      </c>
      <c r="O41" s="10"/>
      <c r="P41" s="6"/>
      <c r="Q41" s="2"/>
      <c r="R41" s="7">
        <f t="shared" si="34"/>
        <v>0</v>
      </c>
      <c r="S41" s="2"/>
      <c r="T41" s="6">
        <v>-53.23</v>
      </c>
      <c r="U41" s="2"/>
      <c r="V41" s="7">
        <f t="shared" si="35"/>
        <v>-7.7154340365756508E-5</v>
      </c>
      <c r="W41" s="2"/>
      <c r="X41" s="6">
        <f t="shared" si="36"/>
        <v>53.23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2433.37</v>
      </c>
      <c r="I42" s="1"/>
      <c r="J42" s="5">
        <f t="shared" si="31"/>
        <v>5.2789476858382131E-2</v>
      </c>
      <c r="K42" s="1"/>
      <c r="L42" s="1">
        <f t="shared" si="32"/>
        <v>-2433.37</v>
      </c>
      <c r="M42" s="1"/>
      <c r="N42" s="5">
        <f t="shared" si="33"/>
        <v>-1</v>
      </c>
      <c r="O42" s="12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25665.63</v>
      </c>
      <c r="U42" s="1"/>
      <c r="V42" s="5">
        <f t="shared" si="35"/>
        <v>3.7201103752049061E-2</v>
      </c>
      <c r="W42" s="1"/>
      <c r="X42" s="1">
        <f t="shared" si="36"/>
        <v>-25665.63</v>
      </c>
      <c r="Y42" s="1"/>
      <c r="Z42" s="5">
        <f t="shared" si="37"/>
        <v>-1</v>
      </c>
    </row>
    <row r="43" spans="1:26" s="23" customFormat="1" hidden="1" outlineLevel="2" x14ac:dyDescent="0.25">
      <c r="A43" s="25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0"/>
        <v>0</v>
      </c>
      <c r="G43" s="2"/>
      <c r="H43" s="6">
        <v>2433.37</v>
      </c>
      <c r="I43" s="2"/>
      <c r="J43" s="7">
        <f t="shared" si="31"/>
        <v>5.2789476858382131E-2</v>
      </c>
      <c r="K43" s="2"/>
      <c r="L43" s="6">
        <f t="shared" si="32"/>
        <v>-2433.37</v>
      </c>
      <c r="M43" s="2"/>
      <c r="N43" s="7">
        <f t="shared" si="33"/>
        <v>-1</v>
      </c>
      <c r="O43" s="10"/>
      <c r="P43" s="6"/>
      <c r="Q43" s="2"/>
      <c r="R43" s="7">
        <f t="shared" si="34"/>
        <v>0</v>
      </c>
      <c r="S43" s="2"/>
      <c r="T43" s="6">
        <v>25665.63</v>
      </c>
      <c r="U43" s="2"/>
      <c r="V43" s="7">
        <f t="shared" si="35"/>
        <v>3.7201103752049061E-2</v>
      </c>
      <c r="W43" s="2"/>
      <c r="X43" s="6">
        <f t="shared" si="36"/>
        <v>-25665.63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2017.34</v>
      </c>
      <c r="E44" s="1"/>
      <c r="F44" s="5">
        <f t="shared" si="30"/>
        <v>0</v>
      </c>
      <c r="G44" s="1"/>
      <c r="H44" s="1">
        <f>SUM(OSRRefH22_5x_0)</f>
        <v>2017.34</v>
      </c>
      <c r="I44" s="1"/>
      <c r="J44" s="5">
        <f t="shared" si="31"/>
        <v>4.376413091535139E-2</v>
      </c>
      <c r="K44" s="1"/>
      <c r="L44" s="1">
        <f t="shared" si="32"/>
        <v>0</v>
      </c>
      <c r="M44" s="1"/>
      <c r="N44" s="5">
        <f t="shared" si="33"/>
        <v>0</v>
      </c>
      <c r="O44" s="12"/>
      <c r="P44" s="1">
        <f>SUM(OSRRefP22_5x_0)</f>
        <v>18156.060000000001</v>
      </c>
      <c r="Q44" s="1"/>
      <c r="R44" s="5">
        <f t="shared" si="34"/>
        <v>0</v>
      </c>
      <c r="S44" s="1"/>
      <c r="T44" s="1">
        <f>SUM(OSRRefT22_5x_0)</f>
        <v>16877.98</v>
      </c>
      <c r="U44" s="1"/>
      <c r="V44" s="5">
        <f t="shared" si="35"/>
        <v>2.4463825166380446E-2</v>
      </c>
      <c r="W44" s="1"/>
      <c r="X44" s="1">
        <f t="shared" si="36"/>
        <v>1278.0800000000017</v>
      </c>
      <c r="Y44" s="1"/>
      <c r="Z44" s="5">
        <f t="shared" si="37"/>
        <v>7.5724701652686036E-2</v>
      </c>
    </row>
    <row r="45" spans="1:26" s="23" customFormat="1" hidden="1" outlineLevel="2" x14ac:dyDescent="0.25">
      <c r="A45" s="25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2017.34</v>
      </c>
      <c r="E45" s="2"/>
      <c r="F45" s="7">
        <f t="shared" si="30"/>
        <v>0</v>
      </c>
      <c r="G45" s="2"/>
      <c r="H45" s="6">
        <v>2017.34</v>
      </c>
      <c r="I45" s="2"/>
      <c r="J45" s="7">
        <f t="shared" si="31"/>
        <v>4.376413091535139E-2</v>
      </c>
      <c r="K45" s="2"/>
      <c r="L45" s="6">
        <f t="shared" si="32"/>
        <v>0</v>
      </c>
      <c r="M45" s="2"/>
      <c r="N45" s="7">
        <f t="shared" si="33"/>
        <v>0</v>
      </c>
      <c r="O45" s="10"/>
      <c r="P45" s="6">
        <v>18156.060000000001</v>
      </c>
      <c r="Q45" s="2"/>
      <c r="R45" s="7">
        <f t="shared" si="34"/>
        <v>0</v>
      </c>
      <c r="S45" s="2"/>
      <c r="T45" s="6">
        <v>16877.98</v>
      </c>
      <c r="U45" s="2"/>
      <c r="V45" s="7">
        <f t="shared" si="35"/>
        <v>2.4463825166380446E-2</v>
      </c>
      <c r="W45" s="2"/>
      <c r="X45" s="6">
        <f t="shared" si="36"/>
        <v>1278.0800000000017</v>
      </c>
      <c r="Y45" s="2"/>
      <c r="Z45" s="7">
        <f t="shared" si="37"/>
        <v>7.5724701652686036E-2</v>
      </c>
    </row>
    <row r="46" spans="1:26" s="26" customFormat="1" outlineLevel="1" collapsed="1" x14ac:dyDescent="0.25">
      <c r="A46" s="27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2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1231.03</v>
      </c>
      <c r="U46" s="1"/>
      <c r="V46" s="5">
        <f t="shared" si="35"/>
        <v>1.7843191362099801E-3</v>
      </c>
      <c r="W46" s="1"/>
      <c r="X46" s="1">
        <f t="shared" si="36"/>
        <v>-1231.03</v>
      </c>
      <c r="Y46" s="1"/>
      <c r="Z46" s="5">
        <f t="shared" si="37"/>
        <v>-1</v>
      </c>
    </row>
    <row r="47" spans="1:26" s="23" customFormat="1" hidden="1" outlineLevel="2" x14ac:dyDescent="0.25">
      <c r="A47" s="25"/>
      <c r="B47" s="10" t="str">
        <f>CONCATENATE("          ", "6279", " - ", "GENERAL EXPENSE")</f>
        <v xml:space="preserve">          6279 - GENERAL EXPENSE</v>
      </c>
      <c r="C47" s="10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0"/>
      <c r="P47" s="6"/>
      <c r="Q47" s="2"/>
      <c r="R47" s="7">
        <f t="shared" si="34"/>
        <v>0</v>
      </c>
      <c r="S47" s="2"/>
      <c r="T47" s="6">
        <v>1231.03</v>
      </c>
      <c r="U47" s="2"/>
      <c r="V47" s="7">
        <f t="shared" si="35"/>
        <v>1.7843191362099801E-3</v>
      </c>
      <c r="W47" s="2"/>
      <c r="X47" s="6">
        <f t="shared" si="36"/>
        <v>-1231.03</v>
      </c>
      <c r="Y47" s="2"/>
      <c r="Z47" s="7">
        <f t="shared" si="37"/>
        <v>-1</v>
      </c>
    </row>
    <row r="48" spans="1:26" s="26" customFormat="1" outlineLevel="1" collapsed="1" x14ac:dyDescent="0.25">
      <c r="A48" s="27"/>
      <c r="B48" s="12" t="str">
        <f>CONCATENATE("     ","Rent                                              ")</f>
        <v xml:space="preserve">     Rent                                              </v>
      </c>
      <c r="C48" s="12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1150</v>
      </c>
      <c r="I48" s="1"/>
      <c r="J48" s="5">
        <f t="shared" si="31"/>
        <v>2.4948075462070896E-2</v>
      </c>
      <c r="K48" s="1"/>
      <c r="L48" s="1">
        <f t="shared" si="32"/>
        <v>-1150</v>
      </c>
      <c r="M48" s="1"/>
      <c r="N48" s="5">
        <f t="shared" si="33"/>
        <v>-1</v>
      </c>
      <c r="O48" s="12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10350</v>
      </c>
      <c r="U48" s="1"/>
      <c r="V48" s="5">
        <f t="shared" si="35"/>
        <v>1.5001830223287242E-2</v>
      </c>
      <c r="W48" s="1"/>
      <c r="X48" s="1">
        <f t="shared" si="36"/>
        <v>-10350</v>
      </c>
      <c r="Y48" s="1"/>
      <c r="Z48" s="5">
        <f t="shared" si="37"/>
        <v>-1</v>
      </c>
    </row>
    <row r="49" spans="1:26" s="23" customFormat="1" hidden="1" outlineLevel="2" x14ac:dyDescent="0.25">
      <c r="A49" s="25"/>
      <c r="B49" s="10" t="str">
        <f>CONCATENATE("          ", "6273", " - ", "RENT")</f>
        <v xml:space="preserve">          6273 - RENT</v>
      </c>
      <c r="C49" s="10"/>
      <c r="D49" s="6"/>
      <c r="E49" s="2"/>
      <c r="F49" s="7">
        <f t="shared" si="30"/>
        <v>0</v>
      </c>
      <c r="G49" s="2"/>
      <c r="H49" s="6">
        <v>1150</v>
      </c>
      <c r="I49" s="2"/>
      <c r="J49" s="7">
        <f t="shared" si="31"/>
        <v>2.4948075462070896E-2</v>
      </c>
      <c r="K49" s="2"/>
      <c r="L49" s="6">
        <f t="shared" si="32"/>
        <v>-1150</v>
      </c>
      <c r="M49" s="2"/>
      <c r="N49" s="7">
        <f t="shared" si="33"/>
        <v>-1</v>
      </c>
      <c r="O49" s="10"/>
      <c r="P49" s="6"/>
      <c r="Q49" s="2"/>
      <c r="R49" s="7">
        <f t="shared" si="34"/>
        <v>0</v>
      </c>
      <c r="S49" s="2"/>
      <c r="T49" s="6">
        <v>10350</v>
      </c>
      <c r="U49" s="2"/>
      <c r="V49" s="7">
        <f t="shared" si="35"/>
        <v>1.5001830223287242E-2</v>
      </c>
      <c r="W49" s="2"/>
      <c r="X49" s="6">
        <f t="shared" si="36"/>
        <v>-10350</v>
      </c>
      <c r="Y49" s="2"/>
      <c r="Z49" s="7">
        <f t="shared" si="37"/>
        <v>-1</v>
      </c>
    </row>
    <row r="50" spans="1:26" s="26" customFormat="1" outlineLevel="1" collapsed="1" x14ac:dyDescent="0.25">
      <c r="A50" s="27"/>
      <c r="B50" s="12" t="str">
        <f>CONCATENATE("     ","Repair and Maintenance                            ")</f>
        <v xml:space="preserve">     Repair and Maintenance                            </v>
      </c>
      <c r="C50" s="12"/>
      <c r="D50" s="1">
        <f>SUM(OSRRefD22_8x_0)</f>
        <v>72.349999999999994</v>
      </c>
      <c r="E50" s="1"/>
      <c r="F50" s="5">
        <f t="shared" si="30"/>
        <v>0</v>
      </c>
      <c r="G50" s="1"/>
      <c r="H50" s="1">
        <f>SUM(OSRRefH22_8x_0)</f>
        <v>340.4</v>
      </c>
      <c r="I50" s="1"/>
      <c r="J50" s="5">
        <f t="shared" si="31"/>
        <v>7.384630336772985E-3</v>
      </c>
      <c r="K50" s="1"/>
      <c r="L50" s="1">
        <f t="shared" si="32"/>
        <v>-268.04999999999995</v>
      </c>
      <c r="M50" s="1"/>
      <c r="N50" s="5">
        <f t="shared" si="33"/>
        <v>-0.78745593419506454</v>
      </c>
      <c r="O50" s="12"/>
      <c r="P50" s="1">
        <f>SUM(OSRRefP22_8x_0)</f>
        <v>295.64999999999998</v>
      </c>
      <c r="Q50" s="1"/>
      <c r="R50" s="5">
        <f t="shared" si="34"/>
        <v>0</v>
      </c>
      <c r="S50" s="1"/>
      <c r="T50" s="1">
        <f>SUM(OSRRefT22_8x_0)</f>
        <v>6214.04</v>
      </c>
      <c r="U50" s="1"/>
      <c r="V50" s="5">
        <f t="shared" si="35"/>
        <v>9.0069539208421107E-3</v>
      </c>
      <c r="W50" s="1"/>
      <c r="X50" s="1">
        <f t="shared" si="36"/>
        <v>-5918.39</v>
      </c>
      <c r="Y50" s="1"/>
      <c r="Z50" s="5">
        <f t="shared" si="37"/>
        <v>-0.9524222566961269</v>
      </c>
    </row>
    <row r="51" spans="1:26" s="23" customFormat="1" hidden="1" outlineLevel="2" x14ac:dyDescent="0.25">
      <c r="A51" s="25"/>
      <c r="B51" s="10" t="str">
        <f>CONCATENATE("          ", "6373", " - ", "MAINTENANCE CONTRACTS")</f>
        <v xml:space="preserve">          6373 - MAINTENANCE CONTRACTS</v>
      </c>
      <c r="C51" s="10"/>
      <c r="D51" s="6">
        <v>72.349999999999994</v>
      </c>
      <c r="E51" s="2"/>
      <c r="F51" s="7">
        <f t="shared" si="30"/>
        <v>0</v>
      </c>
      <c r="G51" s="2"/>
      <c r="H51" s="6">
        <v>72.349999999999994</v>
      </c>
      <c r="I51" s="2"/>
      <c r="J51" s="7">
        <f t="shared" si="31"/>
        <v>1.5695593562441992E-3</v>
      </c>
      <c r="K51" s="2"/>
      <c r="L51" s="6">
        <f t="shared" si="32"/>
        <v>0</v>
      </c>
      <c r="M51" s="2"/>
      <c r="N51" s="7">
        <f t="shared" si="33"/>
        <v>0</v>
      </c>
      <c r="O51" s="10"/>
      <c r="P51" s="6">
        <v>295.64999999999998</v>
      </c>
      <c r="Q51" s="2"/>
      <c r="R51" s="7">
        <f t="shared" si="34"/>
        <v>0</v>
      </c>
      <c r="S51" s="2"/>
      <c r="T51" s="6">
        <v>212.18</v>
      </c>
      <c r="U51" s="2"/>
      <c r="V51" s="7">
        <f t="shared" si="35"/>
        <v>3.075447668383659E-4</v>
      </c>
      <c r="W51" s="2"/>
      <c r="X51" s="6">
        <f t="shared" si="36"/>
        <v>83.46999999999997</v>
      </c>
      <c r="Y51" s="2"/>
      <c r="Z51" s="7">
        <f t="shared" si="37"/>
        <v>0.39339240267697223</v>
      </c>
    </row>
    <row r="52" spans="1:26" s="23" customFormat="1" hidden="1" outlineLevel="2" x14ac:dyDescent="0.25">
      <c r="A52" s="25"/>
      <c r="B52" s="10" t="str">
        <f>CONCATENATE("          ", "6375", " - ", "OUTSIDE REPAIRS &amp; MAINTENANCE")</f>
        <v xml:space="preserve">          6375 - OUTSIDE REPAIRS &amp; MAINTENANCE</v>
      </c>
      <c r="C52" s="10"/>
      <c r="D52" s="6"/>
      <c r="E52" s="2"/>
      <c r="F52" s="7">
        <f t="shared" si="30"/>
        <v>0</v>
      </c>
      <c r="G52" s="2"/>
      <c r="H52" s="6">
        <v>268.05</v>
      </c>
      <c r="I52" s="2"/>
      <c r="J52" s="7">
        <f t="shared" si="31"/>
        <v>5.8150709805287861E-3</v>
      </c>
      <c r="K52" s="2"/>
      <c r="L52" s="6">
        <f t="shared" si="32"/>
        <v>-268.05</v>
      </c>
      <c r="M52" s="2"/>
      <c r="N52" s="7">
        <f t="shared" si="33"/>
        <v>-1</v>
      </c>
      <c r="O52" s="10"/>
      <c r="P52" s="6"/>
      <c r="Q52" s="2"/>
      <c r="R52" s="7">
        <f t="shared" si="34"/>
        <v>0</v>
      </c>
      <c r="S52" s="2"/>
      <c r="T52" s="6">
        <v>6001.86</v>
      </c>
      <c r="U52" s="2"/>
      <c r="V52" s="7">
        <f t="shared" si="35"/>
        <v>8.6994091540037455E-3</v>
      </c>
      <c r="W52" s="2"/>
      <c r="X52" s="6">
        <f t="shared" si="36"/>
        <v>-6001.86</v>
      </c>
      <c r="Y52" s="2"/>
      <c r="Z52" s="7">
        <f t="shared" si="37"/>
        <v>-1</v>
      </c>
    </row>
    <row r="53" spans="1:26" s="26" customFormat="1" outlineLevel="1" collapsed="1" x14ac:dyDescent="0.25">
      <c r="A53" s="27"/>
      <c r="B53" s="12" t="str">
        <f>CONCATENATE("     ","Services                                          ")</f>
        <v xml:space="preserve">     Services                                          </v>
      </c>
      <c r="C53" s="12"/>
      <c r="D53" s="1">
        <f>SUM(OSRRefD22_9x_0)</f>
        <v>0</v>
      </c>
      <c r="E53" s="1"/>
      <c r="F53" s="5">
        <f t="shared" ref="F53:F56" si="38">IF(D$12=0,0,D53/D$12)</f>
        <v>0</v>
      </c>
      <c r="G53" s="1"/>
      <c r="H53" s="1">
        <f>SUM(OSRRefH22_9x_0)</f>
        <v>158.63</v>
      </c>
      <c r="I53" s="1"/>
      <c r="J53" s="5">
        <f t="shared" ref="J53:J56" si="39">IF(H$12=0,0,H53/H$12)</f>
        <v>3.4413158352593967E-3</v>
      </c>
      <c r="K53" s="1"/>
      <c r="L53" s="1">
        <f t="shared" ref="L53:L56" si="40">+D53-H53</f>
        <v>-158.63</v>
      </c>
      <c r="M53" s="1"/>
      <c r="N53" s="5">
        <f t="shared" ref="N53:N56" si="41">IF(H53=0,0,L53/H53)</f>
        <v>-1</v>
      </c>
      <c r="O53" s="12"/>
      <c r="P53" s="1">
        <f>SUM(OSRRefP22_9x_0)</f>
        <v>-1053.52</v>
      </c>
      <c r="Q53" s="1"/>
      <c r="R53" s="5">
        <f t="shared" ref="R53:R56" si="42">IF(P$12=0,0,P53/P$12)</f>
        <v>0</v>
      </c>
      <c r="S53" s="1"/>
      <c r="T53" s="1">
        <f>SUM(OSRRefT22_9x_0)</f>
        <v>4180.5</v>
      </c>
      <c r="U53" s="1"/>
      <c r="V53" s="5">
        <f t="shared" ref="V53:V56" si="43">IF(T$12=0,0,T53/T$12)</f>
        <v>6.0594349032321079E-3</v>
      </c>
      <c r="W53" s="1"/>
      <c r="X53" s="1">
        <f t="shared" ref="X53:X56" si="44">+P53-T53</f>
        <v>-5234.0200000000004</v>
      </c>
      <c r="Y53" s="1"/>
      <c r="Z53" s="5">
        <f t="shared" ref="Z53:Z56" si="45">IF(T53=0,0,X53/T53)</f>
        <v>-1.2520081329984452</v>
      </c>
    </row>
    <row r="54" spans="1:26" s="23" customFormat="1" hidden="1" outlineLevel="2" x14ac:dyDescent="0.25">
      <c r="A54" s="25"/>
      <c r="B54" s="10" t="str">
        <f>CONCATENATE("          ", "6282", " - ", "JANITORIAL/EXTERMINATOR EXPENS")</f>
        <v xml:space="preserve">          6282 - JANITORIAL/EXTERMINATOR EXPENS</v>
      </c>
      <c r="C54" s="10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0"/>
      <c r="P54" s="6">
        <v>-567.28</v>
      </c>
      <c r="Q54" s="2"/>
      <c r="R54" s="7">
        <f t="shared" si="42"/>
        <v>0</v>
      </c>
      <c r="S54" s="2"/>
      <c r="T54" s="6">
        <v>1051.29</v>
      </c>
      <c r="U54" s="2"/>
      <c r="V54" s="7">
        <f t="shared" si="43"/>
        <v>1.5237945985932023E-3</v>
      </c>
      <c r="W54" s="2"/>
      <c r="X54" s="6">
        <f t="shared" si="44"/>
        <v>-1618.57</v>
      </c>
      <c r="Y54" s="2"/>
      <c r="Z54" s="7">
        <f t="shared" si="45"/>
        <v>-1.5396037249474455</v>
      </c>
    </row>
    <row r="55" spans="1:26" s="23" customFormat="1" hidden="1" outlineLevel="2" x14ac:dyDescent="0.25">
      <c r="A55" s="25"/>
      <c r="B55" s="10" t="str">
        <f>CONCATENATE("          ", "6285", " - ", "JANITORIAL SERVICES")</f>
        <v xml:space="preserve">          6285 - JANITORIAL SERVICES</v>
      </c>
      <c r="C55" s="10"/>
      <c r="D55" s="6"/>
      <c r="E55" s="2"/>
      <c r="F55" s="7">
        <f t="shared" si="38"/>
        <v>0</v>
      </c>
      <c r="G55" s="2"/>
      <c r="H55" s="6">
        <v>81.040000000000006</v>
      </c>
      <c r="I55" s="2"/>
      <c r="J55" s="7">
        <f t="shared" si="39"/>
        <v>1.7580800308228048E-3</v>
      </c>
      <c r="K55" s="2"/>
      <c r="L55" s="6">
        <f t="shared" si="40"/>
        <v>-81.040000000000006</v>
      </c>
      <c r="M55" s="2"/>
      <c r="N55" s="7">
        <f t="shared" si="41"/>
        <v>-1</v>
      </c>
      <c r="O55" s="10"/>
      <c r="P55" s="6">
        <v>-486.24</v>
      </c>
      <c r="Q55" s="2"/>
      <c r="R55" s="7">
        <f t="shared" si="42"/>
        <v>0</v>
      </c>
      <c r="S55" s="2"/>
      <c r="T55" s="6">
        <v>597.20000000000005</v>
      </c>
      <c r="U55" s="2"/>
      <c r="V55" s="7">
        <f t="shared" si="43"/>
        <v>8.6561285114465137E-4</v>
      </c>
      <c r="W55" s="2"/>
      <c r="X55" s="6">
        <f t="shared" si="44"/>
        <v>-1083.44</v>
      </c>
      <c r="Y55" s="2"/>
      <c r="Z55" s="7">
        <f t="shared" si="45"/>
        <v>-1.8141995981245813</v>
      </c>
    </row>
    <row r="56" spans="1:26" s="23" customFormat="1" hidden="1" outlineLevel="2" x14ac:dyDescent="0.25">
      <c r="A56" s="25"/>
      <c r="B56" s="10" t="str">
        <f>CONCATENATE("          ", "6286", " - ", "LAUNDRY EXPENSE")</f>
        <v xml:space="preserve">          6286 - LAUNDRY EXPENSE</v>
      </c>
      <c r="C56" s="10"/>
      <c r="D56" s="6"/>
      <c r="E56" s="2"/>
      <c r="F56" s="7">
        <f t="shared" si="38"/>
        <v>0</v>
      </c>
      <c r="G56" s="2"/>
      <c r="H56" s="6">
        <v>77.59</v>
      </c>
      <c r="I56" s="2"/>
      <c r="J56" s="7">
        <f t="shared" si="39"/>
        <v>1.6832358044365921E-3</v>
      </c>
      <c r="K56" s="2"/>
      <c r="L56" s="6">
        <f t="shared" si="40"/>
        <v>-77.59</v>
      </c>
      <c r="M56" s="2"/>
      <c r="N56" s="7">
        <f t="shared" si="41"/>
        <v>-1</v>
      </c>
      <c r="O56" s="10"/>
      <c r="P56" s="6"/>
      <c r="Q56" s="2"/>
      <c r="R56" s="7">
        <f t="shared" si="42"/>
        <v>0</v>
      </c>
      <c r="S56" s="2"/>
      <c r="T56" s="6">
        <v>2532.0100000000002</v>
      </c>
      <c r="U56" s="2"/>
      <c r="V56" s="7">
        <f t="shared" si="43"/>
        <v>3.6700274534942545E-3</v>
      </c>
      <c r="W56" s="2"/>
      <c r="X56" s="6">
        <f t="shared" si="44"/>
        <v>-2532.0100000000002</v>
      </c>
      <c r="Y56" s="2"/>
      <c r="Z56" s="7">
        <f t="shared" si="45"/>
        <v>-1</v>
      </c>
    </row>
    <row r="57" spans="1:26" s="26" customFormat="1" outlineLevel="1" collapsed="1" x14ac:dyDescent="0.25">
      <c r="A57" s="27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SUM(OSRRefD22_10x_0)</f>
        <v>0</v>
      </c>
      <c r="E57" s="1"/>
      <c r="F57" s="5">
        <f t="shared" ref="F57:F64" si="46">IF(D$12=0,0,D57/D$12)</f>
        <v>0</v>
      </c>
      <c r="G57" s="1"/>
      <c r="H57" s="1">
        <f>SUM(OSRRefH22_10x_0)</f>
        <v>-246.29</v>
      </c>
      <c r="I57" s="1"/>
      <c r="J57" s="5">
        <f t="shared" ref="J57:J64" si="47">IF(H$12=0,0,H57/H$12)</f>
        <v>-5.3430100048290786E-3</v>
      </c>
      <c r="K57" s="1"/>
      <c r="L57" s="1">
        <f t="shared" ref="L57:L64" si="48">+D57-H57</f>
        <v>246.29</v>
      </c>
      <c r="M57" s="1"/>
      <c r="N57" s="5">
        <f t="shared" ref="N57:N64" si="49">IF(H57=0,0,L57/H57)</f>
        <v>-1</v>
      </c>
      <c r="O57" s="12"/>
      <c r="P57" s="1">
        <f>SUM(OSRRefP22_10x_0)</f>
        <v>131.30000000000001</v>
      </c>
      <c r="Q57" s="1"/>
      <c r="R57" s="5">
        <f t="shared" ref="R57:R64" si="50">IF(P$12=0,0,P57/P$12)</f>
        <v>0</v>
      </c>
      <c r="S57" s="1"/>
      <c r="T57" s="1">
        <f>SUM(OSRRefT22_10x_0)</f>
        <v>14313.21</v>
      </c>
      <c r="U57" s="1"/>
      <c r="V57" s="5">
        <f t="shared" ref="V57:V64" si="51">IF(T$12=0,0,T57/T$12)</f>
        <v>2.0746313658962047E-2</v>
      </c>
      <c r="W57" s="1"/>
      <c r="X57" s="1">
        <f t="shared" ref="X57:X64" si="52">+P57-T57</f>
        <v>-14181.91</v>
      </c>
      <c r="Y57" s="1"/>
      <c r="Z57" s="5">
        <f t="shared" ref="Z57:Z64" si="53">IF(T57=0,0,X57/T57)</f>
        <v>-0.99082665593532138</v>
      </c>
    </row>
    <row r="58" spans="1:26" s="23" customFormat="1" hidden="1" outlineLevel="2" x14ac:dyDescent="0.25">
      <c r="A58" s="25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46"/>
        <v>0</v>
      </c>
      <c r="G58" s="2"/>
      <c r="H58" s="6"/>
      <c r="I58" s="2"/>
      <c r="J58" s="7">
        <f t="shared" si="47"/>
        <v>0</v>
      </c>
      <c r="K58" s="2"/>
      <c r="L58" s="6">
        <f t="shared" si="48"/>
        <v>0</v>
      </c>
      <c r="M58" s="2"/>
      <c r="N58" s="7">
        <f t="shared" si="49"/>
        <v>0</v>
      </c>
      <c r="O58" s="10"/>
      <c r="P58" s="6"/>
      <c r="Q58" s="2"/>
      <c r="R58" s="7">
        <f t="shared" si="50"/>
        <v>0</v>
      </c>
      <c r="S58" s="2"/>
      <c r="T58" s="6">
        <v>354.71</v>
      </c>
      <c r="U58" s="2"/>
      <c r="V58" s="7">
        <f t="shared" si="51"/>
        <v>5.1413518826108379E-4</v>
      </c>
      <c r="W58" s="2"/>
      <c r="X58" s="6">
        <f t="shared" si="52"/>
        <v>-354.71</v>
      </c>
      <c r="Y58" s="2"/>
      <c r="Z58" s="7">
        <f t="shared" si="53"/>
        <v>-1</v>
      </c>
    </row>
    <row r="59" spans="1:26" s="23" customFormat="1" hidden="1" outlineLevel="2" x14ac:dyDescent="0.25">
      <c r="A59" s="25"/>
      <c r="B59" s="10" t="str">
        <f>CONCATENATE("          ", "6237", " - ", "JANITORIAL SUPPLIES")</f>
        <v xml:space="preserve">          6237 - JANITORIAL SUPPLIES</v>
      </c>
      <c r="C59" s="10"/>
      <c r="D59" s="6"/>
      <c r="E59" s="2"/>
      <c r="F59" s="7">
        <f t="shared" si="46"/>
        <v>0</v>
      </c>
      <c r="G59" s="2"/>
      <c r="H59" s="6"/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0"/>
      <c r="P59" s="6"/>
      <c r="Q59" s="2"/>
      <c r="R59" s="7">
        <f t="shared" si="50"/>
        <v>0</v>
      </c>
      <c r="S59" s="2"/>
      <c r="T59" s="6">
        <v>1709.62</v>
      </c>
      <c r="U59" s="2"/>
      <c r="V59" s="7">
        <f t="shared" si="51"/>
        <v>2.4780124624479549E-3</v>
      </c>
      <c r="W59" s="2"/>
      <c r="X59" s="6">
        <f t="shared" si="52"/>
        <v>-1709.62</v>
      </c>
      <c r="Y59" s="2"/>
      <c r="Z59" s="7">
        <f t="shared" si="53"/>
        <v>-1</v>
      </c>
    </row>
    <row r="60" spans="1:26" s="23" customFormat="1" hidden="1" outlineLevel="2" x14ac:dyDescent="0.25">
      <c r="A60" s="25"/>
      <c r="B60" s="10" t="str">
        <f>CONCATENATE("          ", "6239", " - ", "KITCHEN SUPPLIES")</f>
        <v xml:space="preserve">          6239 - KITCHEN SUPPLIES</v>
      </c>
      <c r="C60" s="10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0"/>
      <c r="P60" s="6"/>
      <c r="Q60" s="2"/>
      <c r="R60" s="7">
        <f t="shared" si="50"/>
        <v>0</v>
      </c>
      <c r="S60" s="2"/>
      <c r="T60" s="6">
        <v>441.2</v>
      </c>
      <c r="U60" s="2"/>
      <c r="V60" s="7">
        <f t="shared" si="51"/>
        <v>6.3949830864872762E-4</v>
      </c>
      <c r="W60" s="2"/>
      <c r="X60" s="6">
        <f t="shared" si="52"/>
        <v>-441.2</v>
      </c>
      <c r="Y60" s="2"/>
      <c r="Z60" s="7">
        <f t="shared" si="53"/>
        <v>-1</v>
      </c>
    </row>
    <row r="61" spans="1:26" s="23" customFormat="1" hidden="1" outlineLevel="2" x14ac:dyDescent="0.25">
      <c r="A61" s="25"/>
      <c r="B61" s="10" t="str">
        <f>CONCATENATE("          ", "6241", " - ", "OFFICE EXPENSE")</f>
        <v xml:space="preserve">          6241 - OFFICE EXPENSE</v>
      </c>
      <c r="C61" s="10"/>
      <c r="D61" s="6"/>
      <c r="E61" s="2"/>
      <c r="F61" s="7">
        <f t="shared" si="46"/>
        <v>0</v>
      </c>
      <c r="G61" s="2"/>
      <c r="H61" s="6">
        <v>33.74</v>
      </c>
      <c r="I61" s="2"/>
      <c r="J61" s="7">
        <f t="shared" si="47"/>
        <v>7.3195484007849748E-4</v>
      </c>
      <c r="K61" s="2"/>
      <c r="L61" s="6">
        <f t="shared" si="48"/>
        <v>-33.74</v>
      </c>
      <c r="M61" s="2"/>
      <c r="N61" s="7">
        <f t="shared" si="49"/>
        <v>-1</v>
      </c>
      <c r="O61" s="10"/>
      <c r="P61" s="6">
        <v>131.30000000000001</v>
      </c>
      <c r="Q61" s="2"/>
      <c r="R61" s="7">
        <f t="shared" si="50"/>
        <v>0</v>
      </c>
      <c r="S61" s="2"/>
      <c r="T61" s="6">
        <v>1564.62</v>
      </c>
      <c r="U61" s="2"/>
      <c r="V61" s="7">
        <f t="shared" si="51"/>
        <v>2.2678418941023851E-3</v>
      </c>
      <c r="W61" s="2"/>
      <c r="X61" s="6">
        <f t="shared" si="52"/>
        <v>-1433.32</v>
      </c>
      <c r="Y61" s="2"/>
      <c r="Z61" s="7">
        <f t="shared" si="53"/>
        <v>-0.91608186013217274</v>
      </c>
    </row>
    <row r="62" spans="1:26" s="23" customFormat="1" hidden="1" outlineLevel="2" x14ac:dyDescent="0.25">
      <c r="A62" s="25"/>
      <c r="B62" s="10" t="str">
        <f>CONCATENATE("          ", "6243", " - ", "PAPER SUPPLIES")</f>
        <v xml:space="preserve">          6243 - PAPER SUPPLIES</v>
      </c>
      <c r="C62" s="10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0"/>
      <c r="P62" s="6"/>
      <c r="Q62" s="2"/>
      <c r="R62" s="7">
        <f t="shared" si="50"/>
        <v>0</v>
      </c>
      <c r="S62" s="2"/>
      <c r="T62" s="6">
        <v>2823.28</v>
      </c>
      <c r="U62" s="2"/>
      <c r="V62" s="7">
        <f t="shared" si="51"/>
        <v>4.0922093944736624E-3</v>
      </c>
      <c r="W62" s="2"/>
      <c r="X62" s="6">
        <f t="shared" si="52"/>
        <v>-2823.28</v>
      </c>
      <c r="Y62" s="2"/>
      <c r="Z62" s="7">
        <f t="shared" si="53"/>
        <v>-1</v>
      </c>
    </row>
    <row r="63" spans="1:26" s="23" customFormat="1" hidden="1" outlineLevel="2" x14ac:dyDescent="0.25">
      <c r="A63" s="25"/>
      <c r="B63" s="10" t="str">
        <f>CONCATENATE("          ", "6247", " - ", "STORE SUPPLIES")</f>
        <v xml:space="preserve">          6247 - STORE SUPPLIES</v>
      </c>
      <c r="C63" s="10"/>
      <c r="D63" s="6"/>
      <c r="E63" s="2"/>
      <c r="F63" s="7">
        <f t="shared" si="46"/>
        <v>0</v>
      </c>
      <c r="G63" s="2"/>
      <c r="H63" s="6">
        <v>-357.62</v>
      </c>
      <c r="I63" s="2"/>
      <c r="J63" s="7">
        <f t="shared" si="47"/>
        <v>-7.7582006493441685E-3</v>
      </c>
      <c r="K63" s="2"/>
      <c r="L63" s="6">
        <f t="shared" si="48"/>
        <v>357.62</v>
      </c>
      <c r="M63" s="2"/>
      <c r="N63" s="7">
        <f t="shared" si="49"/>
        <v>-1</v>
      </c>
      <c r="O63" s="10"/>
      <c r="P63" s="6"/>
      <c r="Q63" s="2"/>
      <c r="R63" s="7">
        <f t="shared" si="50"/>
        <v>0</v>
      </c>
      <c r="S63" s="2"/>
      <c r="T63" s="6">
        <v>7342.19</v>
      </c>
      <c r="U63" s="2"/>
      <c r="V63" s="7">
        <f t="shared" si="51"/>
        <v>1.0642153415180421E-2</v>
      </c>
      <c r="W63" s="2"/>
      <c r="X63" s="6">
        <f t="shared" si="52"/>
        <v>-7342.19</v>
      </c>
      <c r="Y63" s="2"/>
      <c r="Z63" s="7">
        <f t="shared" si="53"/>
        <v>-1</v>
      </c>
    </row>
    <row r="64" spans="1:26" s="23" customFormat="1" hidden="1" outlineLevel="2" x14ac:dyDescent="0.25">
      <c r="A64" s="25"/>
      <c r="B64" s="10" t="str">
        <f>CONCATENATE("          ", "6248", " - ", "UNIFORMS")</f>
        <v xml:space="preserve">          6248 - UNIFORMS</v>
      </c>
      <c r="C64" s="10"/>
      <c r="D64" s="6"/>
      <c r="E64" s="2"/>
      <c r="F64" s="7">
        <f t="shared" si="46"/>
        <v>0</v>
      </c>
      <c r="G64" s="2"/>
      <c r="H64" s="6">
        <v>77.59</v>
      </c>
      <c r="I64" s="2"/>
      <c r="J64" s="7">
        <f t="shared" si="47"/>
        <v>1.6832358044365921E-3</v>
      </c>
      <c r="K64" s="2"/>
      <c r="L64" s="6">
        <f t="shared" si="48"/>
        <v>-77.59</v>
      </c>
      <c r="M64" s="2"/>
      <c r="N64" s="7">
        <f t="shared" si="49"/>
        <v>-1</v>
      </c>
      <c r="O64" s="10"/>
      <c r="P64" s="6"/>
      <c r="Q64" s="2"/>
      <c r="R64" s="7">
        <f t="shared" si="50"/>
        <v>0</v>
      </c>
      <c r="S64" s="2"/>
      <c r="T64" s="6">
        <v>77.59</v>
      </c>
      <c r="U64" s="2"/>
      <c r="V64" s="7">
        <f t="shared" si="51"/>
        <v>1.1246299584781229E-4</v>
      </c>
      <c r="W64" s="2"/>
      <c r="X64" s="6">
        <f t="shared" si="52"/>
        <v>-77.59</v>
      </c>
      <c r="Y64" s="2"/>
      <c r="Z64" s="7">
        <f t="shared" si="53"/>
        <v>-1</v>
      </c>
    </row>
    <row r="65" spans="1:26" s="26" customFormat="1" outlineLevel="1" collapsed="1" x14ac:dyDescent="0.25">
      <c r="A65" s="27"/>
      <c r="B65" s="12" t="str">
        <f>CONCATENATE("     ","Telephone/Data Lines                              ")</f>
        <v xml:space="preserve">     Telephone/Data Lines                              </v>
      </c>
      <c r="C65" s="12"/>
      <c r="D65" s="1">
        <f>SUM(OSRRefD22_11x_0)</f>
        <v>0</v>
      </c>
      <c r="E65" s="1"/>
      <c r="F65" s="5">
        <f t="shared" ref="F65:F68" si="54">IF(D$12=0,0,D65/D$12)</f>
        <v>0</v>
      </c>
      <c r="G65" s="1"/>
      <c r="H65" s="1">
        <f>SUM(OSRRefH22_11x_0)</f>
        <v>115.28</v>
      </c>
      <c r="I65" s="1"/>
      <c r="J65" s="5">
        <f t="shared" ref="J65:J68" si="55">IF(H$12=0,0,H65/H$12)</f>
        <v>2.5008818602326372E-3</v>
      </c>
      <c r="K65" s="1"/>
      <c r="L65" s="1">
        <f t="shared" ref="L65:L68" si="56">+D65-H65</f>
        <v>-115.28</v>
      </c>
      <c r="M65" s="1"/>
      <c r="N65" s="5">
        <f t="shared" ref="N65:N68" si="57">IF(H65=0,0,L65/H65)</f>
        <v>-1</v>
      </c>
      <c r="O65" s="12"/>
      <c r="P65" s="1">
        <f>SUM(OSRRefP22_11x_0)</f>
        <v>85.2</v>
      </c>
      <c r="Q65" s="1"/>
      <c r="R65" s="5">
        <f t="shared" ref="R65:R68" si="58">IF(P$12=0,0,P65/P$12)</f>
        <v>0</v>
      </c>
      <c r="S65" s="1"/>
      <c r="T65" s="1">
        <f>SUM(OSRRefT22_11x_0)</f>
        <v>518.28</v>
      </c>
      <c r="U65" s="1"/>
      <c r="V65" s="5">
        <f t="shared" ref="V65:V68" si="59">IF(T$12=0,0,T65/T$12)</f>
        <v>7.5122208387684174E-4</v>
      </c>
      <c r="W65" s="1"/>
      <c r="X65" s="1">
        <f t="shared" ref="X65:X68" si="60">+P65-T65</f>
        <v>-433.08</v>
      </c>
      <c r="Y65" s="1"/>
      <c r="Z65" s="5">
        <f t="shared" ref="Z65:Z68" si="61">IF(T65=0,0,X65/T65)</f>
        <v>-0.83561009492938176</v>
      </c>
    </row>
    <row r="66" spans="1:26" s="23" customFormat="1" hidden="1" outlineLevel="2" x14ac:dyDescent="0.25">
      <c r="A66" s="25"/>
      <c r="B66" s="10" t="str">
        <f>CONCATENATE("          ", "6309", " - ", "TELEPHONE")</f>
        <v xml:space="preserve">          6309 - TELEPHONE</v>
      </c>
      <c r="C66" s="10"/>
      <c r="D66" s="6"/>
      <c r="E66" s="2"/>
      <c r="F66" s="7">
        <f t="shared" si="54"/>
        <v>0</v>
      </c>
      <c r="G66" s="2"/>
      <c r="H66" s="6">
        <v>115.28</v>
      </c>
      <c r="I66" s="2"/>
      <c r="J66" s="7">
        <f t="shared" si="55"/>
        <v>2.5008818602326372E-3</v>
      </c>
      <c r="K66" s="2"/>
      <c r="L66" s="6">
        <f t="shared" si="56"/>
        <v>-115.28</v>
      </c>
      <c r="M66" s="2"/>
      <c r="N66" s="7">
        <f t="shared" si="57"/>
        <v>-1</v>
      </c>
      <c r="O66" s="10"/>
      <c r="P66" s="6">
        <v>85.2</v>
      </c>
      <c r="Q66" s="2"/>
      <c r="R66" s="7">
        <f t="shared" si="58"/>
        <v>0</v>
      </c>
      <c r="S66" s="2"/>
      <c r="T66" s="6">
        <v>518.28</v>
      </c>
      <c r="U66" s="2"/>
      <c r="V66" s="7">
        <f t="shared" si="59"/>
        <v>7.5122208387684174E-4</v>
      </c>
      <c r="W66" s="2"/>
      <c r="X66" s="6">
        <f t="shared" si="60"/>
        <v>-433.08</v>
      </c>
      <c r="Y66" s="2"/>
      <c r="Z66" s="7">
        <f t="shared" si="61"/>
        <v>-0.83561009492938176</v>
      </c>
    </row>
    <row r="67" spans="1:26" s="26" customFormat="1" outlineLevel="1" collapsed="1" x14ac:dyDescent="0.25">
      <c r="A67" s="27"/>
      <c r="B67" s="12" t="str">
        <f>CONCATENATE("     ","Utilities                                         ")</f>
        <v xml:space="preserve">     Utilities                                         </v>
      </c>
      <c r="C67" s="12"/>
      <c r="D67" s="1">
        <f>SUM(OSRRefD22_12x_0)</f>
        <v>-293</v>
      </c>
      <c r="E67" s="1"/>
      <c r="F67" s="5">
        <f t="shared" si="54"/>
        <v>0</v>
      </c>
      <c r="G67" s="1"/>
      <c r="H67" s="1">
        <f>SUM(OSRRefH22_12x_0)</f>
        <v>208</v>
      </c>
      <c r="I67" s="1"/>
      <c r="J67" s="5">
        <f t="shared" si="55"/>
        <v>4.5123475618354314E-3</v>
      </c>
      <c r="K67" s="1"/>
      <c r="L67" s="1">
        <f t="shared" si="56"/>
        <v>-501</v>
      </c>
      <c r="M67" s="1"/>
      <c r="N67" s="5">
        <f t="shared" si="57"/>
        <v>-2.4086538461538463</v>
      </c>
      <c r="O67" s="12"/>
      <c r="P67" s="1">
        <f>SUM(OSRRefP22_12x_0)</f>
        <v>747</v>
      </c>
      <c r="Q67" s="1"/>
      <c r="R67" s="5">
        <f t="shared" si="58"/>
        <v>0</v>
      </c>
      <c r="S67" s="1"/>
      <c r="T67" s="1">
        <f>SUM(OSRRefT22_12x_0)</f>
        <v>1809</v>
      </c>
      <c r="U67" s="1"/>
      <c r="V67" s="5">
        <f t="shared" si="59"/>
        <v>2.6220590216354221E-3</v>
      </c>
      <c r="W67" s="1"/>
      <c r="X67" s="1">
        <f t="shared" si="60"/>
        <v>-1062</v>
      </c>
      <c r="Y67" s="1"/>
      <c r="Z67" s="5">
        <f t="shared" si="61"/>
        <v>-0.58706467661691542</v>
      </c>
    </row>
    <row r="68" spans="1:26" s="23" customFormat="1" hidden="1" outlineLevel="2" x14ac:dyDescent="0.25">
      <c r="A68" s="25"/>
      <c r="B68" s="10" t="str">
        <f>CONCATENATE("          ", "6274", " - ", "UTILITIES")</f>
        <v xml:space="preserve">          6274 - UTILITIES</v>
      </c>
      <c r="C68" s="10"/>
      <c r="D68" s="6">
        <v>-293</v>
      </c>
      <c r="E68" s="2"/>
      <c r="F68" s="7">
        <f t="shared" si="54"/>
        <v>0</v>
      </c>
      <c r="G68" s="2"/>
      <c r="H68" s="6">
        <v>208</v>
      </c>
      <c r="I68" s="2"/>
      <c r="J68" s="7">
        <f t="shared" si="55"/>
        <v>4.5123475618354314E-3</v>
      </c>
      <c r="K68" s="2"/>
      <c r="L68" s="6">
        <f t="shared" si="56"/>
        <v>-501</v>
      </c>
      <c r="M68" s="2"/>
      <c r="N68" s="7">
        <f t="shared" si="57"/>
        <v>-2.4086538461538463</v>
      </c>
      <c r="O68" s="10"/>
      <c r="P68" s="6">
        <v>747</v>
      </c>
      <c r="Q68" s="2"/>
      <c r="R68" s="7">
        <f t="shared" si="58"/>
        <v>0</v>
      </c>
      <c r="S68" s="2"/>
      <c r="T68" s="6">
        <v>1809</v>
      </c>
      <c r="U68" s="2"/>
      <c r="V68" s="7">
        <f t="shared" si="59"/>
        <v>2.6220590216354221E-3</v>
      </c>
      <c r="W68" s="2"/>
      <c r="X68" s="6">
        <f t="shared" si="60"/>
        <v>-1062</v>
      </c>
      <c r="Y68" s="2"/>
      <c r="Z68" s="7">
        <f t="shared" si="61"/>
        <v>-0.58706467661691542</v>
      </c>
    </row>
    <row r="69" spans="1:26" s="60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4" customFormat="1" x14ac:dyDescent="0.25">
      <c r="A70" s="11"/>
      <c r="B70" s="28" t="s">
        <v>292</v>
      </c>
      <c r="C70" s="11"/>
      <c r="D70" s="4">
        <f>SUM(0)</f>
        <v>0</v>
      </c>
      <c r="E70" s="4"/>
      <c r="F70" s="13">
        <f>IF(D$12=0,0,D70/D$12)</f>
        <v>0</v>
      </c>
      <c r="G70" s="4"/>
      <c r="H70" s="4">
        <f>SUM(0)</f>
        <v>0</v>
      </c>
      <c r="I70" s="4"/>
      <c r="J70" s="13">
        <f>IF(H$12=0,0,H70/H$12)</f>
        <v>0</v>
      </c>
      <c r="K70" s="4"/>
      <c r="L70" s="4">
        <f>+D70-H70</f>
        <v>0</v>
      </c>
      <c r="M70" s="4"/>
      <c r="N70" s="13">
        <f>IF(H70=0,0,L70/H70)</f>
        <v>0</v>
      </c>
      <c r="O70" s="11"/>
      <c r="P70" s="4">
        <f>SUM(0)</f>
        <v>0</v>
      </c>
      <c r="Q70" s="4"/>
      <c r="R70" s="13">
        <f>IF(P$12=0,0,P70/P$12)</f>
        <v>0</v>
      </c>
      <c r="S70" s="4"/>
      <c r="T70" s="4">
        <f>SUM(0)</f>
        <v>0</v>
      </c>
      <c r="U70" s="4"/>
      <c r="V70" s="13">
        <f>IF(T$12=0,0,T70/T$12)</f>
        <v>0</v>
      </c>
      <c r="W70" s="4"/>
      <c r="X70" s="4">
        <f>+P70-T70</f>
        <v>0</v>
      </c>
      <c r="Y70" s="4"/>
      <c r="Z70" s="13">
        <f>IF(T70=0,0,X70/T70)</f>
        <v>0</v>
      </c>
    </row>
    <row r="71" spans="1:26" x14ac:dyDescent="0.25">
      <c r="A71" s="9"/>
      <c r="B71" s="11"/>
      <c r="C71" s="11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1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x14ac:dyDescent="0.25">
      <c r="A72" s="11"/>
      <c r="B72" s="29" t="s">
        <v>276</v>
      </c>
      <c r="C72" s="29"/>
      <c r="D72" s="22">
        <f>+D20-D22+D70</f>
        <v>-1796.69</v>
      </c>
      <c r="E72" s="14"/>
      <c r="F72" s="20">
        <f>IF(D$12=0,0,D72/D$12)</f>
        <v>0</v>
      </c>
      <c r="G72" s="14"/>
      <c r="H72" s="22">
        <f>+H20-H22+H70</f>
        <v>-5838.9699999999939</v>
      </c>
      <c r="I72" s="14"/>
      <c r="J72" s="20">
        <f>IF(H$12=0,0,H72/H$12)</f>
        <v>-0.12667049059197213</v>
      </c>
      <c r="K72" s="15"/>
      <c r="L72" s="22">
        <f>+D72-H72</f>
        <v>4042.2799999999938</v>
      </c>
      <c r="M72" s="15"/>
      <c r="N72" s="20">
        <f>IF(H72=0,0,L72/H72)</f>
        <v>-0.69229333255694037</v>
      </c>
      <c r="O72" s="28"/>
      <c r="P72" s="22">
        <f>+P20-P22+P70</f>
        <v>-20815.330000000002</v>
      </c>
      <c r="Q72" s="14"/>
      <c r="R72" s="20">
        <f>IF(P$12=0,0,P72/P$12)</f>
        <v>0</v>
      </c>
      <c r="S72" s="14"/>
      <c r="T72" s="22">
        <f>+T20-T22+T70</f>
        <v>84564.679999999935</v>
      </c>
      <c r="U72" s="14"/>
      <c r="V72" s="20">
        <f>IF(T$12=0,0,T72/T$12)</f>
        <v>0.12257246108662929</v>
      </c>
      <c r="W72" s="15"/>
      <c r="X72" s="22">
        <f>+P72-T72</f>
        <v>-105380.00999999994</v>
      </c>
      <c r="Y72" s="15"/>
      <c r="Z72" s="20">
        <f>IF(T72=0,0,X72/T72)</f>
        <v>-1.2461468546915806</v>
      </c>
    </row>
    <row r="73" spans="1:26" x14ac:dyDescent="0.25">
      <c r="A73" s="9"/>
      <c r="B73" s="11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x14ac:dyDescent="0.25">
      <c r="A74" s="51"/>
      <c r="B74" s="11" t="s">
        <v>127</v>
      </c>
      <c r="C74" s="11"/>
      <c r="D74" s="4"/>
      <c r="E74" s="4"/>
      <c r="F74" s="13">
        <f>IF(D$12=0,0,D74/D$12)</f>
        <v>0</v>
      </c>
      <c r="G74" s="4"/>
      <c r="H74" s="4">
        <v>8308.15</v>
      </c>
      <c r="I74" s="4"/>
      <c r="J74" s="13">
        <f>IF(H$12=0,0,H74/H$12)</f>
        <v>0.1802368288262646</v>
      </c>
      <c r="K74" s="4"/>
      <c r="L74" s="4">
        <f>+D74-H74</f>
        <v>-8308.15</v>
      </c>
      <c r="M74" s="4"/>
      <c r="N74" s="13">
        <f>IF(H74=0,0,L74/H74)</f>
        <v>-1</v>
      </c>
      <c r="O74" s="11"/>
      <c r="P74" s="4"/>
      <c r="Q74" s="4"/>
      <c r="R74" s="13">
        <f>IF(P$12=0,0,P74/P$12)</f>
        <v>0</v>
      </c>
      <c r="S74" s="4"/>
      <c r="T74" s="4">
        <v>73926.149999999994</v>
      </c>
      <c r="U74" s="4"/>
      <c r="V74" s="13">
        <f>IF(T$12=0,0,T74/T$12)</f>
        <v>0.10715242042137836</v>
      </c>
      <c r="W74" s="4"/>
      <c r="X74" s="4">
        <f>+P74-T74</f>
        <v>-73926.149999999994</v>
      </c>
      <c r="Y74" s="4"/>
      <c r="Z74" s="13">
        <f>IF(T74=0,0,X74/T74)</f>
        <v>-1</v>
      </c>
    </row>
    <row r="75" spans="1:26" x14ac:dyDescent="0.25">
      <c r="A75" s="9"/>
      <c r="B75" s="11"/>
      <c r="C75" s="11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1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ht="15.75" thickBot="1" x14ac:dyDescent="0.3">
      <c r="A76" s="11"/>
      <c r="B76" s="29" t="s">
        <v>125</v>
      </c>
      <c r="C76" s="29"/>
      <c r="D76" s="30">
        <f>+D72-D74</f>
        <v>-1796.69</v>
      </c>
      <c r="E76" s="14"/>
      <c r="F76" s="36">
        <f>IF(D$12=0,0,D76/D$12)</f>
        <v>0</v>
      </c>
      <c r="G76" s="14"/>
      <c r="H76" s="30">
        <f>+H72-H74</f>
        <v>-14147.119999999994</v>
      </c>
      <c r="I76" s="14"/>
      <c r="J76" s="36">
        <f>IF(H$12=0,0,H76/H$12)</f>
        <v>-0.30690731941823673</v>
      </c>
      <c r="K76" s="15"/>
      <c r="L76" s="30">
        <f>D76-H76</f>
        <v>12350.429999999993</v>
      </c>
      <c r="M76" s="15"/>
      <c r="N76" s="36">
        <f>IF(H76=0,0,L76/H76)</f>
        <v>-0.8729995928499934</v>
      </c>
      <c r="O76" s="28"/>
      <c r="P76" s="30">
        <f>+P72-P74</f>
        <v>-20815.330000000002</v>
      </c>
      <c r="Q76" s="14"/>
      <c r="R76" s="36">
        <f>IF(P$12=0,0,P76/P$12)</f>
        <v>0</v>
      </c>
      <c r="S76" s="14"/>
      <c r="T76" s="30">
        <f>+T72-T74</f>
        <v>10638.529999999941</v>
      </c>
      <c r="U76" s="14"/>
      <c r="V76" s="36">
        <f>IF(T$12=0,0,T76/T$12)</f>
        <v>1.542004066525093E-2</v>
      </c>
      <c r="W76" s="15"/>
      <c r="X76" s="30">
        <f>P76-T76</f>
        <v>-31453.859999999942</v>
      </c>
      <c r="Y76" s="15"/>
      <c r="Z76" s="36">
        <f>IF(T76=0,0,X76/T76)</f>
        <v>-2.9565983270245155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ht="15.75" thickBot="1" x14ac:dyDescent="0.3">
      <c r="A79" s="11"/>
      <c r="B79" s="29" t="s">
        <v>293</v>
      </c>
      <c r="C79" s="29"/>
      <c r="D79" s="35">
        <f>SUM(D76:D78)</f>
        <v>-1796.69</v>
      </c>
      <c r="E79" s="14"/>
      <c r="F79" s="34">
        <f>IF(D$12=0,0,D79/D$12)</f>
        <v>0</v>
      </c>
      <c r="G79" s="14"/>
      <c r="H79" s="35">
        <f>SUM(H76:H78)</f>
        <v>-14147.119999999994</v>
      </c>
      <c r="I79" s="14"/>
      <c r="J79" s="34">
        <f>IF(H$12=0,0,H79/H$12)</f>
        <v>-0.30690731941823673</v>
      </c>
      <c r="K79" s="15"/>
      <c r="L79" s="35">
        <f>+D79-H79</f>
        <v>12350.429999999993</v>
      </c>
      <c r="M79" s="15"/>
      <c r="N79" s="34">
        <f>IF(H79=0,0,L79/H79)</f>
        <v>-0.8729995928499934</v>
      </c>
      <c r="O79" s="28"/>
      <c r="P79" s="35">
        <f>SUM(P76:P78)</f>
        <v>-20815.330000000002</v>
      </c>
      <c r="Q79" s="14"/>
      <c r="R79" s="34">
        <f>IF(P$12=0,0,P79/P$12)</f>
        <v>0</v>
      </c>
      <c r="S79" s="14"/>
      <c r="T79" s="35">
        <f>SUM(T76:T78)</f>
        <v>10638.529999999941</v>
      </c>
      <c r="U79" s="14"/>
      <c r="V79" s="34">
        <f>IF(T$12=0,0,T79/T$12)</f>
        <v>1.542004066525093E-2</v>
      </c>
      <c r="W79" s="15"/>
      <c r="X79" s="35">
        <f>+P79-T79</f>
        <v>-31453.859999999942</v>
      </c>
      <c r="Y79" s="15"/>
      <c r="Z79" s="34">
        <f>IF(T79=0,0,X79/T79)</f>
        <v>-2.9565983270245155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4">
        <v>44295.963243634258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8" t="s">
        <v>56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2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","325", " - ", "Outpost C-Store")</f>
        <v>Department 325 - Outpost C-Store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43583.68</v>
      </c>
      <c r="I12" s="4"/>
      <c r="J12" s="13"/>
      <c r="K12" s="4"/>
      <c r="L12" s="4">
        <f t="shared" ref="L12:L14" si="0">+D12-H12</f>
        <v>-43583.68</v>
      </c>
      <c r="M12" s="4"/>
      <c r="N12" s="13">
        <f t="shared" ref="N12:N14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596954.75</v>
      </c>
      <c r="U12" s="4"/>
      <c r="V12" s="13"/>
      <c r="W12" s="4"/>
      <c r="X12" s="4">
        <f t="shared" ref="X12:X14" si="2">+P12-T12</f>
        <v>-596954.75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>--7482.33</f>
        <v>7482.33</v>
      </c>
      <c r="I13" s="2"/>
      <c r="J13" s="19"/>
      <c r="K13" s="2"/>
      <c r="L13" s="2">
        <f t="shared" si="0"/>
        <v>-7482.33</v>
      </c>
      <c r="M13" s="2"/>
      <c r="N13" s="19">
        <f t="shared" si="1"/>
        <v>-1</v>
      </c>
      <c r="O13" s="10"/>
      <c r="P13" s="2">
        <f t="shared" ref="P13:P14" si="5">0</f>
        <v>0</v>
      </c>
      <c r="Q13" s="2"/>
      <c r="R13" s="19"/>
      <c r="S13" s="2"/>
      <c r="T13" s="2">
        <f>--105564.32</f>
        <v>105564.32</v>
      </c>
      <c r="U13" s="2"/>
      <c r="V13" s="19"/>
      <c r="W13" s="2"/>
      <c r="X13" s="2">
        <f t="shared" si="2"/>
        <v>-105564.32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"4132", " - ", "NON-TAXABLE SALES-JUICE")</f>
        <v xml:space="preserve">          4132 - NON-TAXABLE SALES-JUICE</v>
      </c>
      <c r="C14" s="10"/>
      <c r="D14" s="2">
        <f t="shared" si="4"/>
        <v>0</v>
      </c>
      <c r="E14" s="2"/>
      <c r="F14" s="19"/>
      <c r="G14" s="2"/>
      <c r="H14" s="2">
        <f>--36101.35</f>
        <v>36101.35</v>
      </c>
      <c r="I14" s="2"/>
      <c r="J14" s="19"/>
      <c r="K14" s="2"/>
      <c r="L14" s="2">
        <f t="shared" si="0"/>
        <v>-36101.35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--491390.43</f>
        <v>491390.43</v>
      </c>
      <c r="U14" s="2"/>
      <c r="V14" s="19"/>
      <c r="W14" s="2"/>
      <c r="X14" s="2">
        <f t="shared" si="2"/>
        <v>-491390.43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176.4</v>
      </c>
      <c r="E16" s="4"/>
      <c r="F16" s="13">
        <f t="shared" ref="F16:F18" si="6">IF(D$12=0,0,D16/D$12)</f>
        <v>0</v>
      </c>
      <c r="G16" s="4"/>
      <c r="H16" s="4">
        <f>SUM(OSRRefH16x_0)</f>
        <v>20876.89</v>
      </c>
      <c r="I16" s="4"/>
      <c r="J16" s="13">
        <f t="shared" ref="J16:J18" si="7">IF(H$12=0,0,H16/H$12)</f>
        <v>0.47900705034545038</v>
      </c>
      <c r="K16" s="4"/>
      <c r="L16" s="4">
        <f t="shared" ref="L16:L18" si="8">+D16-H16</f>
        <v>-20700.489999999998</v>
      </c>
      <c r="M16" s="4"/>
      <c r="N16" s="13">
        <f t="shared" ref="N16:N18" si="9">IF(H16=0,0,L16/H16)</f>
        <v>-0.99155046561053861</v>
      </c>
      <c r="O16" s="11"/>
      <c r="P16" s="4">
        <f>SUM(OSRRefP16x_0)</f>
        <v>10817.64</v>
      </c>
      <c r="Q16" s="4"/>
      <c r="R16" s="13">
        <f t="shared" ref="R16:R18" si="10">IF(P$12=0,0,P16/P$12)</f>
        <v>0</v>
      </c>
      <c r="S16" s="4"/>
      <c r="T16" s="4">
        <f>SUM(OSRRefT16x_0)</f>
        <v>276760.69</v>
      </c>
      <c r="U16" s="4"/>
      <c r="V16" s="13">
        <f t="shared" ref="V16:V18" si="11">IF(T$12=0,0,T16/T$12)</f>
        <v>0.46362088583766192</v>
      </c>
      <c r="W16" s="4"/>
      <c r="X16" s="4">
        <f t="shared" ref="X16:X18" si="12">+P16-T16</f>
        <v>-265943.05</v>
      </c>
      <c r="Y16" s="4"/>
      <c r="Z16" s="13">
        <f t="shared" ref="Z16:Z18" si="13">IF(T16=0,0,X16/T16)</f>
        <v>-0.96091337971443846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176.4</v>
      </c>
      <c r="E17" s="2"/>
      <c r="F17" s="19">
        <f t="shared" si="6"/>
        <v>0</v>
      </c>
      <c r="G17" s="2"/>
      <c r="H17" s="2">
        <v>20862.34</v>
      </c>
      <c r="I17" s="2"/>
      <c r="J17" s="19">
        <f t="shared" si="7"/>
        <v>0.4786732097886181</v>
      </c>
      <c r="K17" s="2"/>
      <c r="L17" s="2">
        <f t="shared" si="8"/>
        <v>-20685.939999999999</v>
      </c>
      <c r="M17" s="2"/>
      <c r="N17" s="19">
        <f t="shared" si="9"/>
        <v>-0.99154457266059315</v>
      </c>
      <c r="O17" s="10"/>
      <c r="P17" s="2">
        <v>-811.36</v>
      </c>
      <c r="Q17" s="2"/>
      <c r="R17" s="19">
        <f t="shared" si="10"/>
        <v>0</v>
      </c>
      <c r="S17" s="2"/>
      <c r="T17" s="2">
        <v>282727.40000000002</v>
      </c>
      <c r="U17" s="2"/>
      <c r="V17" s="19">
        <f t="shared" si="11"/>
        <v>0.47361613254605983</v>
      </c>
      <c r="W17" s="2"/>
      <c r="X17" s="2">
        <f t="shared" si="12"/>
        <v>-283538.76</v>
      </c>
      <c r="Y17" s="2"/>
      <c r="Z17" s="19">
        <f t="shared" si="13"/>
        <v>-1.002869760766024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14.55</v>
      </c>
      <c r="I18" s="2"/>
      <c r="J18" s="19">
        <f t="shared" si="7"/>
        <v>3.3384055683228218E-4</v>
      </c>
      <c r="K18" s="2"/>
      <c r="L18" s="2">
        <f t="shared" si="8"/>
        <v>-14.55</v>
      </c>
      <c r="M18" s="2"/>
      <c r="N18" s="19">
        <f t="shared" si="9"/>
        <v>-1</v>
      </c>
      <c r="O18" s="10"/>
      <c r="P18" s="2">
        <v>11629</v>
      </c>
      <c r="Q18" s="2"/>
      <c r="R18" s="19">
        <f t="shared" si="10"/>
        <v>0</v>
      </c>
      <c r="S18" s="2"/>
      <c r="T18" s="2">
        <v>-5966.71</v>
      </c>
      <c r="U18" s="2"/>
      <c r="V18" s="19">
        <f t="shared" si="11"/>
        <v>-9.9952467083979143E-3</v>
      </c>
      <c r="W18" s="2"/>
      <c r="X18" s="2">
        <f t="shared" si="12"/>
        <v>17595.71</v>
      </c>
      <c r="Y18" s="2"/>
      <c r="Z18" s="19">
        <f t="shared" si="13"/>
        <v>-2.9489802588025897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-176.4</v>
      </c>
      <c r="E20" s="14"/>
      <c r="F20" s="20">
        <f>IF(D$12=0,0,D20/D$12)</f>
        <v>0</v>
      </c>
      <c r="G20" s="14"/>
      <c r="H20" s="22">
        <f>H12-H16</f>
        <v>22706.79</v>
      </c>
      <c r="I20" s="14"/>
      <c r="J20" s="20">
        <f>IF(H$12=0,0,H20/H$12)</f>
        <v>0.52099294965454956</v>
      </c>
      <c r="K20" s="15"/>
      <c r="L20" s="22">
        <f>+D20-H20</f>
        <v>-22883.190000000002</v>
      </c>
      <c r="M20" s="15"/>
      <c r="N20" s="20">
        <f>IF(H20=0,0,L20/H20)</f>
        <v>-1.0077686013743026</v>
      </c>
      <c r="O20" s="28"/>
      <c r="P20" s="22">
        <f>P12-P16</f>
        <v>-10817.64</v>
      </c>
      <c r="Q20" s="14"/>
      <c r="R20" s="20">
        <f>IF(P$12=0,0,P20/P$12)</f>
        <v>0</v>
      </c>
      <c r="S20" s="14"/>
      <c r="T20" s="22">
        <f>T12-T16</f>
        <v>320194.06</v>
      </c>
      <c r="U20" s="14"/>
      <c r="V20" s="20">
        <f>IF(T$12=0,0,T20/T$12)</f>
        <v>0.53637911416233808</v>
      </c>
      <c r="W20" s="15"/>
      <c r="X20" s="22">
        <f>+P20-T20</f>
        <v>-331011.7</v>
      </c>
      <c r="Y20" s="15"/>
      <c r="Z20" s="20">
        <f>IF(T20=0,0,X20/T20)</f>
        <v>-1.0337846367293635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8951.6200000000008</v>
      </c>
      <c r="E22" s="21"/>
      <c r="F22" s="31">
        <f t="shared" ref="F22:F31" si="14">IF(D$12=0,0,D22/D$12)</f>
        <v>0</v>
      </c>
      <c r="G22" s="21"/>
      <c r="H22" s="21">
        <f>SUM(OSRRefH22x_0)</f>
        <v>32833.819999999992</v>
      </c>
      <c r="I22" s="21"/>
      <c r="J22" s="31">
        <f t="shared" ref="J22:J31" si="15">IF(H$12=0,0,H22/H$12)</f>
        <v>0.75335125441449624</v>
      </c>
      <c r="K22" s="4"/>
      <c r="L22" s="21">
        <f t="shared" ref="L22:L31" si="16">+D22-H22</f>
        <v>-23882.19999999999</v>
      </c>
      <c r="M22" s="4"/>
      <c r="N22" s="31">
        <f t="shared" ref="N22:N31" si="17">IF(H22=0,0,L22/H22)</f>
        <v>-0.72736586848560403</v>
      </c>
      <c r="O22" s="11"/>
      <c r="P22" s="21">
        <f>SUM(OSRRefP22x_0)</f>
        <v>100467.34000000001</v>
      </c>
      <c r="Q22" s="21"/>
      <c r="R22" s="31">
        <f t="shared" ref="R22:R31" si="18">IF(P$12=0,0,P22/P$12)</f>
        <v>0</v>
      </c>
      <c r="S22" s="21"/>
      <c r="T22" s="21">
        <f>SUM(OSRRefT22x_0)</f>
        <v>278773.78999999998</v>
      </c>
      <c r="U22" s="21"/>
      <c r="V22" s="31">
        <f t="shared" ref="V22:V31" si="19">IF(T$12=0,0,T22/T$12)</f>
        <v>0.46699316824265152</v>
      </c>
      <c r="W22" s="4"/>
      <c r="X22" s="21">
        <f t="shared" ref="X22:X31" si="20">+P22-T22</f>
        <v>-178306.44999999995</v>
      </c>
      <c r="Y22" s="4"/>
      <c r="Z22" s="31">
        <f t="shared" ref="Z22:Z31" si="21">IF(T22=0,0,X22/T22)</f>
        <v>-0.63960980693342784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3946.3300000000004</v>
      </c>
      <c r="I23" s="1"/>
      <c r="J23" s="5">
        <f t="shared" si="15"/>
        <v>9.0546048429136786E-2</v>
      </c>
      <c r="K23" s="1"/>
      <c r="L23" s="1">
        <f t="shared" si="16"/>
        <v>-3946.3300000000004</v>
      </c>
      <c r="M23" s="1"/>
      <c r="N23" s="5">
        <f t="shared" si="17"/>
        <v>-1</v>
      </c>
      <c r="O23" s="12"/>
      <c r="P23" s="1">
        <f>SUM(OSRRefP22_0x_0)</f>
        <v>2889.72</v>
      </c>
      <c r="Q23" s="1"/>
      <c r="R23" s="5">
        <f t="shared" si="18"/>
        <v>0</v>
      </c>
      <c r="S23" s="1"/>
      <c r="T23" s="1">
        <f>SUM(OSRRefT22_0x_0)</f>
        <v>34482.619999999995</v>
      </c>
      <c r="U23" s="1"/>
      <c r="V23" s="5">
        <f t="shared" si="19"/>
        <v>5.7764210771419432E-2</v>
      </c>
      <c r="W23" s="1"/>
      <c r="X23" s="1">
        <f t="shared" si="20"/>
        <v>-31592.899999999994</v>
      </c>
      <c r="Y23" s="1"/>
      <c r="Z23" s="5">
        <f t="shared" si="21"/>
        <v>-0.91619778311508804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624.87</v>
      </c>
      <c r="I24" s="2"/>
      <c r="J24" s="7">
        <f t="shared" si="15"/>
        <v>1.4337247336617743E-2</v>
      </c>
      <c r="K24" s="2"/>
      <c r="L24" s="6">
        <f t="shared" si="16"/>
        <v>-624.87</v>
      </c>
      <c r="M24" s="2"/>
      <c r="N24" s="7">
        <f t="shared" si="17"/>
        <v>-1</v>
      </c>
      <c r="O24" s="10"/>
      <c r="P24" s="6">
        <v>159.12</v>
      </c>
      <c r="Q24" s="2"/>
      <c r="R24" s="7">
        <f t="shared" si="18"/>
        <v>0</v>
      </c>
      <c r="S24" s="2"/>
      <c r="T24" s="6">
        <v>5239.8</v>
      </c>
      <c r="U24" s="2"/>
      <c r="V24" s="7">
        <f t="shared" si="19"/>
        <v>8.7775497221523075E-3</v>
      </c>
      <c r="W24" s="2"/>
      <c r="X24" s="6">
        <f t="shared" si="20"/>
        <v>-5080.68</v>
      </c>
      <c r="Y24" s="2"/>
      <c r="Z24" s="7">
        <f t="shared" si="21"/>
        <v>-0.96963242871865341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>
        <v>344.64</v>
      </c>
      <c r="I25" s="2"/>
      <c r="J25" s="7">
        <f t="shared" si="15"/>
        <v>7.9075470451324889E-3</v>
      </c>
      <c r="K25" s="2"/>
      <c r="L25" s="6">
        <f t="shared" si="16"/>
        <v>-344.64</v>
      </c>
      <c r="M25" s="2"/>
      <c r="N25" s="7">
        <f t="shared" si="17"/>
        <v>-1</v>
      </c>
      <c r="O25" s="10"/>
      <c r="P25" s="6"/>
      <c r="Q25" s="2"/>
      <c r="R25" s="7">
        <f t="shared" si="18"/>
        <v>0</v>
      </c>
      <c r="S25" s="2"/>
      <c r="T25" s="6">
        <v>1874.25</v>
      </c>
      <c r="U25" s="2"/>
      <c r="V25" s="7">
        <f t="shared" si="19"/>
        <v>3.1396852106462007E-3</v>
      </c>
      <c r="W25" s="2"/>
      <c r="X25" s="6">
        <f t="shared" si="20"/>
        <v>-1874.25</v>
      </c>
      <c r="Y25" s="2"/>
      <c r="Z25" s="7">
        <f t="shared" si="21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>
        <v>1915.63</v>
      </c>
      <c r="I26" s="2"/>
      <c r="J26" s="7">
        <f t="shared" si="15"/>
        <v>4.3952919992070426E-2</v>
      </c>
      <c r="K26" s="2"/>
      <c r="L26" s="6">
        <f t="shared" si="16"/>
        <v>-1915.63</v>
      </c>
      <c r="M26" s="2"/>
      <c r="N26" s="7">
        <f t="shared" si="17"/>
        <v>-1</v>
      </c>
      <c r="O26" s="10"/>
      <c r="P26" s="6">
        <v>1915.63</v>
      </c>
      <c r="Q26" s="2"/>
      <c r="R26" s="7">
        <f t="shared" si="18"/>
        <v>0</v>
      </c>
      <c r="S26" s="2"/>
      <c r="T26" s="6">
        <v>17109.46</v>
      </c>
      <c r="U26" s="2"/>
      <c r="V26" s="7">
        <f t="shared" si="19"/>
        <v>2.8661234373292113E-2</v>
      </c>
      <c r="W26" s="2"/>
      <c r="X26" s="6">
        <f t="shared" si="20"/>
        <v>-15193.829999999998</v>
      </c>
      <c r="Y26" s="2"/>
      <c r="Z26" s="7">
        <f t="shared" si="21"/>
        <v>-0.88803679368022126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47.16</v>
      </c>
      <c r="I27" s="2"/>
      <c r="J27" s="7">
        <f t="shared" si="15"/>
        <v>1.0820564027636031E-3</v>
      </c>
      <c r="K27" s="2"/>
      <c r="L27" s="6">
        <f t="shared" si="16"/>
        <v>-47.16</v>
      </c>
      <c r="M27" s="2"/>
      <c r="N27" s="7">
        <f t="shared" si="17"/>
        <v>-1</v>
      </c>
      <c r="O27" s="10"/>
      <c r="P27" s="6"/>
      <c r="Q27" s="2"/>
      <c r="R27" s="7">
        <f t="shared" si="18"/>
        <v>0</v>
      </c>
      <c r="S27" s="2"/>
      <c r="T27" s="6">
        <v>292.74</v>
      </c>
      <c r="U27" s="2"/>
      <c r="V27" s="7">
        <f t="shared" si="19"/>
        <v>4.9038892813902562E-4</v>
      </c>
      <c r="W27" s="2"/>
      <c r="X27" s="6">
        <f t="shared" si="20"/>
        <v>-292.74</v>
      </c>
      <c r="Y27" s="2"/>
      <c r="Z27" s="7">
        <f t="shared" si="21"/>
        <v>-1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>
        <v>425.19</v>
      </c>
      <c r="I28" s="2"/>
      <c r="J28" s="7">
        <f t="shared" si="15"/>
        <v>9.755715900997804E-3</v>
      </c>
      <c r="K28" s="2"/>
      <c r="L28" s="6">
        <f t="shared" si="16"/>
        <v>-425.19</v>
      </c>
      <c r="M28" s="2"/>
      <c r="N28" s="7">
        <f t="shared" si="17"/>
        <v>-1</v>
      </c>
      <c r="O28" s="10"/>
      <c r="P28" s="6">
        <v>458.89</v>
      </c>
      <c r="Q28" s="2"/>
      <c r="R28" s="7">
        <f t="shared" si="18"/>
        <v>0</v>
      </c>
      <c r="S28" s="2"/>
      <c r="T28" s="6">
        <v>4107.38</v>
      </c>
      <c r="U28" s="2"/>
      <c r="V28" s="7">
        <f t="shared" si="19"/>
        <v>6.8805550169422393E-3</v>
      </c>
      <c r="W28" s="2"/>
      <c r="X28" s="6">
        <f t="shared" si="20"/>
        <v>-3648.4900000000002</v>
      </c>
      <c r="Y28" s="2"/>
      <c r="Z28" s="7">
        <f t="shared" si="21"/>
        <v>-0.88827671167508249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>
        <v>304.2</v>
      </c>
      <c r="I29" s="2"/>
      <c r="J29" s="7">
        <f t="shared" si="15"/>
        <v>6.9796767964522494E-3</v>
      </c>
      <c r="K29" s="2"/>
      <c r="L29" s="6">
        <f t="shared" si="16"/>
        <v>-304.2</v>
      </c>
      <c r="M29" s="2"/>
      <c r="N29" s="7">
        <f t="shared" si="17"/>
        <v>-1</v>
      </c>
      <c r="O29" s="10"/>
      <c r="P29" s="6">
        <v>152.1</v>
      </c>
      <c r="Q29" s="2"/>
      <c r="R29" s="7">
        <f t="shared" si="18"/>
        <v>0</v>
      </c>
      <c r="S29" s="2"/>
      <c r="T29" s="6">
        <v>2737.8</v>
      </c>
      <c r="U29" s="2"/>
      <c r="V29" s="7">
        <f t="shared" si="19"/>
        <v>4.5862772680843903E-3</v>
      </c>
      <c r="W29" s="2"/>
      <c r="X29" s="6">
        <f t="shared" si="20"/>
        <v>-2585.7000000000003</v>
      </c>
      <c r="Y29" s="2"/>
      <c r="Z29" s="7">
        <f t="shared" si="21"/>
        <v>-0.94444444444444453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>
        <v>191.88</v>
      </c>
      <c r="I30" s="2"/>
      <c r="J30" s="7">
        <f t="shared" si="15"/>
        <v>4.4025653639160342E-3</v>
      </c>
      <c r="K30" s="2"/>
      <c r="L30" s="6">
        <f t="shared" si="16"/>
        <v>-191.88</v>
      </c>
      <c r="M30" s="2"/>
      <c r="N30" s="7">
        <f t="shared" si="17"/>
        <v>-1</v>
      </c>
      <c r="O30" s="10"/>
      <c r="P30" s="6">
        <v>203.98</v>
      </c>
      <c r="Q30" s="2"/>
      <c r="R30" s="7">
        <f t="shared" si="18"/>
        <v>0</v>
      </c>
      <c r="S30" s="2"/>
      <c r="T30" s="6">
        <v>1726.92</v>
      </c>
      <c r="U30" s="2"/>
      <c r="V30" s="7">
        <f t="shared" si="19"/>
        <v>2.8928825844840001E-3</v>
      </c>
      <c r="W30" s="2"/>
      <c r="X30" s="6">
        <f t="shared" si="20"/>
        <v>-1522.94</v>
      </c>
      <c r="Y30" s="2"/>
      <c r="Z30" s="7">
        <f t="shared" si="21"/>
        <v>-0.88188219489032493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>
        <v>92.76</v>
      </c>
      <c r="I31" s="2"/>
      <c r="J31" s="7">
        <f t="shared" si="15"/>
        <v>2.1283195911864258E-3</v>
      </c>
      <c r="K31" s="2"/>
      <c r="L31" s="6">
        <f t="shared" si="16"/>
        <v>-92.76</v>
      </c>
      <c r="M31" s="2"/>
      <c r="N31" s="7">
        <f t="shared" si="17"/>
        <v>-1</v>
      </c>
      <c r="O31" s="10"/>
      <c r="P31" s="6"/>
      <c r="Q31" s="2"/>
      <c r="R31" s="7">
        <f t="shared" si="18"/>
        <v>0</v>
      </c>
      <c r="S31" s="2"/>
      <c r="T31" s="6">
        <v>1394.27</v>
      </c>
      <c r="U31" s="2"/>
      <c r="V31" s="7">
        <f t="shared" si="19"/>
        <v>2.3356376676791665E-3</v>
      </c>
      <c r="W31" s="2"/>
      <c r="X31" s="6">
        <f t="shared" si="20"/>
        <v>-1394.27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14763.060000000001</v>
      </c>
      <c r="I32" s="1"/>
      <c r="J32" s="5">
        <f t="shared" ref="J32:J37" si="23">IF(H$12=0,0,H32/H$12)</f>
        <v>0.33872908391397882</v>
      </c>
      <c r="K32" s="1"/>
      <c r="L32" s="1">
        <f t="shared" ref="L32:L37" si="24">+D32-H32</f>
        <v>-14763.060000000001</v>
      </c>
      <c r="M32" s="1"/>
      <c r="N32" s="5">
        <f t="shared" ref="N32:N37" si="25">IF(H32=0,0,L32/H32)</f>
        <v>-1</v>
      </c>
      <c r="O32" s="12"/>
      <c r="P32" s="1">
        <f>SUM(OSRRefP22_1x_0)</f>
        <v>884</v>
      </c>
      <c r="Q32" s="1"/>
      <c r="R32" s="5">
        <f t="shared" ref="R32:R37" si="26">IF(P$12=0,0,P32/P$12)</f>
        <v>0</v>
      </c>
      <c r="S32" s="1"/>
      <c r="T32" s="1">
        <f>SUM(OSRRefT22_1x_0)</f>
        <v>102571.43000000001</v>
      </c>
      <c r="U32" s="1"/>
      <c r="V32" s="5">
        <f t="shared" ref="V32:V37" si="27">IF(T$12=0,0,T32/T$12)</f>
        <v>0.17182446408207658</v>
      </c>
      <c r="W32" s="1"/>
      <c r="X32" s="1">
        <f t="shared" ref="X32:X37" si="28">+P32-T32</f>
        <v>-101687.43000000001</v>
      </c>
      <c r="Y32" s="1"/>
      <c r="Z32" s="5">
        <f t="shared" ref="Z32:Z37" si="29">IF(T32=0,0,X32/T32)</f>
        <v>-0.99138161571891903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>
        <v>3744</v>
      </c>
      <c r="I33" s="2"/>
      <c r="J33" s="7">
        <f t="shared" si="23"/>
        <v>8.5903714417873853E-2</v>
      </c>
      <c r="K33" s="2"/>
      <c r="L33" s="6">
        <f t="shared" si="24"/>
        <v>-3744</v>
      </c>
      <c r="M33" s="2"/>
      <c r="N33" s="7">
        <f t="shared" si="25"/>
        <v>-1</v>
      </c>
      <c r="O33" s="10"/>
      <c r="P33" s="6">
        <v>884</v>
      </c>
      <c r="Q33" s="2"/>
      <c r="R33" s="7">
        <f t="shared" si="26"/>
        <v>0</v>
      </c>
      <c r="S33" s="2"/>
      <c r="T33" s="6">
        <v>34352</v>
      </c>
      <c r="U33" s="2"/>
      <c r="V33" s="7">
        <f t="shared" si="27"/>
        <v>5.7545400216683092E-2</v>
      </c>
      <c r="W33" s="2"/>
      <c r="X33" s="6">
        <f t="shared" si="28"/>
        <v>-33468</v>
      </c>
      <c r="Y33" s="2"/>
      <c r="Z33" s="7">
        <f t="shared" si="29"/>
        <v>-0.97426641825803451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0"/>
      <c r="P34" s="6"/>
      <c r="Q34" s="2"/>
      <c r="R34" s="7">
        <f t="shared" si="26"/>
        <v>0</v>
      </c>
      <c r="S34" s="2"/>
      <c r="T34" s="6">
        <v>254.64</v>
      </c>
      <c r="U34" s="2"/>
      <c r="V34" s="7">
        <f t="shared" si="27"/>
        <v>4.2656499508547338E-4</v>
      </c>
      <c r="W34" s="2"/>
      <c r="X34" s="6">
        <f t="shared" si="28"/>
        <v>-254.64</v>
      </c>
      <c r="Y34" s="2"/>
      <c r="Z34" s="7">
        <f t="shared" si="29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2"/>
        <v>0</v>
      </c>
      <c r="G35" s="2"/>
      <c r="H35" s="6">
        <v>4008.03</v>
      </c>
      <c r="I35" s="2"/>
      <c r="J35" s="7">
        <f t="shared" si="23"/>
        <v>9.1961715945050995E-2</v>
      </c>
      <c r="K35" s="2"/>
      <c r="L35" s="6">
        <f t="shared" si="24"/>
        <v>-4008.03</v>
      </c>
      <c r="M35" s="2"/>
      <c r="N35" s="7">
        <f t="shared" si="25"/>
        <v>-1</v>
      </c>
      <c r="O35" s="10"/>
      <c r="P35" s="6"/>
      <c r="Q35" s="2"/>
      <c r="R35" s="7">
        <f t="shared" si="26"/>
        <v>0</v>
      </c>
      <c r="S35" s="2"/>
      <c r="T35" s="6">
        <v>23945.94</v>
      </c>
      <c r="U35" s="2"/>
      <c r="V35" s="7">
        <f t="shared" si="27"/>
        <v>4.0113492689353755E-2</v>
      </c>
      <c r="W35" s="2"/>
      <c r="X35" s="6">
        <f t="shared" si="28"/>
        <v>-23945.94</v>
      </c>
      <c r="Y35" s="2"/>
      <c r="Z35" s="7">
        <f t="shared" si="29"/>
        <v>-1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2"/>
        <v>0</v>
      </c>
      <c r="G36" s="2"/>
      <c r="H36" s="6">
        <v>6426.87</v>
      </c>
      <c r="I36" s="2"/>
      <c r="J36" s="7">
        <f t="shared" si="23"/>
        <v>0.14746047144252161</v>
      </c>
      <c r="K36" s="2"/>
      <c r="L36" s="6">
        <f t="shared" si="24"/>
        <v>-6426.87</v>
      </c>
      <c r="M36" s="2"/>
      <c r="N36" s="7">
        <f t="shared" si="25"/>
        <v>-1</v>
      </c>
      <c r="O36" s="10"/>
      <c r="P36" s="6"/>
      <c r="Q36" s="2"/>
      <c r="R36" s="7">
        <f t="shared" si="26"/>
        <v>0</v>
      </c>
      <c r="S36" s="2"/>
      <c r="T36" s="6">
        <v>40507.550000000003</v>
      </c>
      <c r="U36" s="2"/>
      <c r="V36" s="7">
        <f t="shared" si="27"/>
        <v>6.7856985810063497E-2</v>
      </c>
      <c r="W36" s="2"/>
      <c r="X36" s="6">
        <f t="shared" si="28"/>
        <v>-40507.550000000003</v>
      </c>
      <c r="Y36" s="2"/>
      <c r="Z36" s="7">
        <f t="shared" si="29"/>
        <v>-1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2"/>
        <v>0</v>
      </c>
      <c r="G37" s="2"/>
      <c r="H37" s="6">
        <v>584.16</v>
      </c>
      <c r="I37" s="2"/>
      <c r="J37" s="7">
        <f t="shared" si="23"/>
        <v>1.3403182108532367E-2</v>
      </c>
      <c r="K37" s="2"/>
      <c r="L37" s="6">
        <f t="shared" si="24"/>
        <v>-584.16</v>
      </c>
      <c r="M37" s="2"/>
      <c r="N37" s="7">
        <f t="shared" si="25"/>
        <v>-1</v>
      </c>
      <c r="O37" s="10"/>
      <c r="P37" s="6"/>
      <c r="Q37" s="2"/>
      <c r="R37" s="7">
        <f t="shared" si="26"/>
        <v>0</v>
      </c>
      <c r="S37" s="2"/>
      <c r="T37" s="6">
        <v>3511.3</v>
      </c>
      <c r="U37" s="2"/>
      <c r="V37" s="7">
        <f t="shared" si="27"/>
        <v>5.882020370890759E-3</v>
      </c>
      <c r="W37" s="2"/>
      <c r="X37" s="6">
        <f t="shared" si="28"/>
        <v>-3511.3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46" si="30">IF(D$12=0,0,D38/D$12)</f>
        <v>0</v>
      </c>
      <c r="G38" s="1"/>
      <c r="H38" s="1">
        <f>SUM(OSRRefH22_2x_0)</f>
        <v>0</v>
      </c>
      <c r="I38" s="1"/>
      <c r="J38" s="5">
        <f t="shared" ref="J38:J46" si="31">IF(H$12=0,0,H38/H$12)</f>
        <v>0</v>
      </c>
      <c r="K38" s="1"/>
      <c r="L38" s="1">
        <f t="shared" ref="L38:L46" si="32">+D38-H38</f>
        <v>0</v>
      </c>
      <c r="M38" s="1"/>
      <c r="N38" s="5">
        <f t="shared" ref="N38:N46" si="33">IF(H38=0,0,L38/H38)</f>
        <v>0</v>
      </c>
      <c r="O38" s="12"/>
      <c r="P38" s="1">
        <f>SUM(OSRRefP22_2x_0)</f>
        <v>0</v>
      </c>
      <c r="Q38" s="1"/>
      <c r="R38" s="5">
        <f t="shared" ref="R38:R46" si="34">IF(P$12=0,0,P38/P$12)</f>
        <v>0</v>
      </c>
      <c r="S38" s="1"/>
      <c r="T38" s="1">
        <f>SUM(OSRRefT22_2x_0)</f>
        <v>968.17</v>
      </c>
      <c r="U38" s="1"/>
      <c r="V38" s="5">
        <f t="shared" ref="V38:V46" si="35">IF(T$12=0,0,T38/T$12)</f>
        <v>1.6218482221642427E-3</v>
      </c>
      <c r="W38" s="1"/>
      <c r="X38" s="1">
        <f t="shared" ref="X38:X46" si="36">+P38-T38</f>
        <v>-968.17</v>
      </c>
      <c r="Y38" s="1"/>
      <c r="Z38" s="5">
        <f t="shared" ref="Z38:Z46" si="37">IF(T38=0,0,X38/T38)</f>
        <v>-1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0"/>
        <v>0</v>
      </c>
      <c r="G39" s="2"/>
      <c r="H39" s="6"/>
      <c r="I39" s="2"/>
      <c r="J39" s="7">
        <f t="shared" si="31"/>
        <v>0</v>
      </c>
      <c r="K39" s="2"/>
      <c r="L39" s="6">
        <f t="shared" si="32"/>
        <v>0</v>
      </c>
      <c r="M39" s="2"/>
      <c r="N39" s="7">
        <f t="shared" si="33"/>
        <v>0</v>
      </c>
      <c r="O39" s="10"/>
      <c r="P39" s="6"/>
      <c r="Q39" s="2"/>
      <c r="R39" s="7">
        <f t="shared" si="34"/>
        <v>0</v>
      </c>
      <c r="S39" s="2"/>
      <c r="T39" s="6">
        <v>968.17</v>
      </c>
      <c r="U39" s="2"/>
      <c r="V39" s="7">
        <f t="shared" si="35"/>
        <v>1.6218482221642427E-3</v>
      </c>
      <c r="W39" s="2"/>
      <c r="X39" s="6">
        <f t="shared" si="36"/>
        <v>-968.17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-18.88</v>
      </c>
      <c r="I40" s="1"/>
      <c r="J40" s="5">
        <f t="shared" si="31"/>
        <v>-4.3318967099611593E-4</v>
      </c>
      <c r="K40" s="1"/>
      <c r="L40" s="1">
        <f t="shared" si="32"/>
        <v>18.88</v>
      </c>
      <c r="M40" s="1"/>
      <c r="N40" s="5">
        <f t="shared" si="33"/>
        <v>-1</v>
      </c>
      <c r="O40" s="12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-84.11</v>
      </c>
      <c r="U40" s="1"/>
      <c r="V40" s="5">
        <f t="shared" si="35"/>
        <v>-1.4089845168331435E-4</v>
      </c>
      <c r="W40" s="1"/>
      <c r="X40" s="1">
        <f t="shared" si="36"/>
        <v>84.11</v>
      </c>
      <c r="Y40" s="1"/>
      <c r="Z40" s="5">
        <f t="shared" si="37"/>
        <v>-1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0"/>
        <v>0</v>
      </c>
      <c r="G41" s="2"/>
      <c r="H41" s="6">
        <v>-18.88</v>
      </c>
      <c r="I41" s="2"/>
      <c r="J41" s="7">
        <f t="shared" si="31"/>
        <v>-4.3318967099611593E-4</v>
      </c>
      <c r="K41" s="2"/>
      <c r="L41" s="6">
        <f t="shared" si="32"/>
        <v>18.88</v>
      </c>
      <c r="M41" s="2"/>
      <c r="N41" s="7">
        <f t="shared" si="33"/>
        <v>-1</v>
      </c>
      <c r="O41" s="10"/>
      <c r="P41" s="6"/>
      <c r="Q41" s="2"/>
      <c r="R41" s="7">
        <f t="shared" si="34"/>
        <v>0</v>
      </c>
      <c r="S41" s="2"/>
      <c r="T41" s="6">
        <v>-84.11</v>
      </c>
      <c r="U41" s="2"/>
      <c r="V41" s="7">
        <f t="shared" si="35"/>
        <v>-1.4089845168331435E-4</v>
      </c>
      <c r="W41" s="2"/>
      <c r="X41" s="6">
        <f t="shared" si="36"/>
        <v>84.11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2235.8000000000002</v>
      </c>
      <c r="I42" s="1"/>
      <c r="J42" s="5">
        <f t="shared" si="31"/>
        <v>5.1299018348152342E-2</v>
      </c>
      <c r="K42" s="1"/>
      <c r="L42" s="1">
        <f t="shared" si="32"/>
        <v>-2235.8000000000002</v>
      </c>
      <c r="M42" s="1"/>
      <c r="N42" s="5">
        <f t="shared" si="33"/>
        <v>-1</v>
      </c>
      <c r="O42" s="12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22867.9</v>
      </c>
      <c r="U42" s="1"/>
      <c r="V42" s="5">
        <f t="shared" si="35"/>
        <v>3.8307593666019074E-2</v>
      </c>
      <c r="W42" s="1"/>
      <c r="X42" s="1">
        <f t="shared" si="36"/>
        <v>-22867.9</v>
      </c>
      <c r="Y42" s="1"/>
      <c r="Z42" s="5">
        <f t="shared" si="37"/>
        <v>-1</v>
      </c>
    </row>
    <row r="43" spans="1:26" s="23" customFormat="1" hidden="1" outlineLevel="2" x14ac:dyDescent="0.25">
      <c r="A43" s="25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0"/>
        <v>0</v>
      </c>
      <c r="G43" s="2"/>
      <c r="H43" s="6">
        <v>2235.8000000000002</v>
      </c>
      <c r="I43" s="2"/>
      <c r="J43" s="7">
        <f t="shared" si="31"/>
        <v>5.1299018348152342E-2</v>
      </c>
      <c r="K43" s="2"/>
      <c r="L43" s="6">
        <f t="shared" si="32"/>
        <v>-2235.8000000000002</v>
      </c>
      <c r="M43" s="2"/>
      <c r="N43" s="7">
        <f t="shared" si="33"/>
        <v>-1</v>
      </c>
      <c r="O43" s="10"/>
      <c r="P43" s="6"/>
      <c r="Q43" s="2"/>
      <c r="R43" s="7">
        <f t="shared" si="34"/>
        <v>0</v>
      </c>
      <c r="S43" s="2"/>
      <c r="T43" s="6">
        <v>22867.9</v>
      </c>
      <c r="U43" s="2"/>
      <c r="V43" s="7">
        <f t="shared" si="35"/>
        <v>3.8307593666019074E-2</v>
      </c>
      <c r="W43" s="2"/>
      <c r="X43" s="6">
        <f t="shared" si="36"/>
        <v>-22867.9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5471.21</v>
      </c>
      <c r="E44" s="1"/>
      <c r="F44" s="5">
        <f t="shared" si="30"/>
        <v>0</v>
      </c>
      <c r="G44" s="1"/>
      <c r="H44" s="1">
        <f>SUM(OSRRefH22_5x_0)</f>
        <v>5671.26</v>
      </c>
      <c r="I44" s="1"/>
      <c r="J44" s="5">
        <f t="shared" si="31"/>
        <v>0.13012347741172844</v>
      </c>
      <c r="K44" s="1"/>
      <c r="L44" s="1">
        <f t="shared" si="32"/>
        <v>-200.05000000000018</v>
      </c>
      <c r="M44" s="1"/>
      <c r="N44" s="5">
        <f t="shared" si="33"/>
        <v>-3.5274348204808133E-2</v>
      </c>
      <c r="O44" s="12"/>
      <c r="P44" s="1">
        <f>SUM(OSRRefP22_5x_0)</f>
        <v>49686.39</v>
      </c>
      <c r="Q44" s="1"/>
      <c r="R44" s="5">
        <f t="shared" si="34"/>
        <v>0</v>
      </c>
      <c r="S44" s="1"/>
      <c r="T44" s="1">
        <f>SUM(OSRRefT22_5x_0)</f>
        <v>49472.479999999996</v>
      </c>
      <c r="U44" s="1"/>
      <c r="V44" s="5">
        <f t="shared" si="35"/>
        <v>8.2874757257564324E-2</v>
      </c>
      <c r="W44" s="1"/>
      <c r="X44" s="1">
        <f t="shared" si="36"/>
        <v>213.91000000000349</v>
      </c>
      <c r="Y44" s="1"/>
      <c r="Z44" s="5">
        <f t="shared" si="37"/>
        <v>4.3238180095277919E-3</v>
      </c>
    </row>
    <row r="45" spans="1:26" s="23" customFormat="1" hidden="1" outlineLevel="2" x14ac:dyDescent="0.25">
      <c r="A45" s="25"/>
      <c r="B45" s="10" t="str">
        <f>CONCATENATE("          ", "6321", " - ", "BUILDING DEPRECIATION")</f>
        <v xml:space="preserve">          6321 - BUILDING DEPRECIATION</v>
      </c>
      <c r="C45" s="10"/>
      <c r="D45" s="6">
        <v>5080.51</v>
      </c>
      <c r="E45" s="2"/>
      <c r="F45" s="7">
        <f t="shared" si="30"/>
        <v>0</v>
      </c>
      <c r="G45" s="2"/>
      <c r="H45" s="6">
        <v>5080.51</v>
      </c>
      <c r="I45" s="2"/>
      <c r="J45" s="7">
        <f t="shared" si="31"/>
        <v>0.11656909191697443</v>
      </c>
      <c r="K45" s="2"/>
      <c r="L45" s="6">
        <f t="shared" si="32"/>
        <v>0</v>
      </c>
      <c r="M45" s="2"/>
      <c r="N45" s="7">
        <f t="shared" si="33"/>
        <v>0</v>
      </c>
      <c r="O45" s="10"/>
      <c r="P45" s="6">
        <v>45724.59</v>
      </c>
      <c r="Q45" s="2"/>
      <c r="R45" s="7">
        <f t="shared" si="34"/>
        <v>0</v>
      </c>
      <c r="S45" s="2"/>
      <c r="T45" s="6">
        <v>45724.59</v>
      </c>
      <c r="U45" s="2"/>
      <c r="V45" s="7">
        <f t="shared" si="35"/>
        <v>7.6596408689268314E-2</v>
      </c>
      <c r="W45" s="2"/>
      <c r="X45" s="6">
        <f t="shared" si="36"/>
        <v>0</v>
      </c>
      <c r="Y45" s="2"/>
      <c r="Z45" s="7">
        <f t="shared" si="37"/>
        <v>0</v>
      </c>
    </row>
    <row r="46" spans="1:26" s="23" customFormat="1" hidden="1" outlineLevel="2" x14ac:dyDescent="0.25">
      <c r="A46" s="25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390.7</v>
      </c>
      <c r="E46" s="2"/>
      <c r="F46" s="7">
        <f t="shared" si="30"/>
        <v>0</v>
      </c>
      <c r="G46" s="2"/>
      <c r="H46" s="6">
        <v>590.75</v>
      </c>
      <c r="I46" s="2"/>
      <c r="J46" s="7">
        <f t="shared" si="31"/>
        <v>1.3554385494754E-2</v>
      </c>
      <c r="K46" s="2"/>
      <c r="L46" s="6">
        <f t="shared" si="32"/>
        <v>-200.05</v>
      </c>
      <c r="M46" s="2"/>
      <c r="N46" s="7">
        <f t="shared" si="33"/>
        <v>-0.33863732543377068</v>
      </c>
      <c r="O46" s="10"/>
      <c r="P46" s="6">
        <v>3961.8</v>
      </c>
      <c r="Q46" s="2"/>
      <c r="R46" s="7">
        <f t="shared" si="34"/>
        <v>0</v>
      </c>
      <c r="S46" s="2"/>
      <c r="T46" s="6">
        <v>3747.89</v>
      </c>
      <c r="U46" s="2"/>
      <c r="V46" s="7">
        <f t="shared" si="35"/>
        <v>6.2783485682960053E-3</v>
      </c>
      <c r="W46" s="2"/>
      <c r="X46" s="6">
        <f t="shared" si="36"/>
        <v>213.91000000000031</v>
      </c>
      <c r="Y46" s="2"/>
      <c r="Z46" s="7">
        <f t="shared" si="37"/>
        <v>5.707478074329831E-2</v>
      </c>
    </row>
    <row r="47" spans="1:26" s="26" customFormat="1" outlineLevel="1" collapsed="1" x14ac:dyDescent="0.25">
      <c r="A47" s="27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ref="F47:F60" si="38">IF(D$12=0,0,D47/D$12)</f>
        <v>0</v>
      </c>
      <c r="G47" s="1"/>
      <c r="H47" s="1">
        <f>SUM(OSRRefH22_6x_0)</f>
        <v>27.01</v>
      </c>
      <c r="I47" s="1"/>
      <c r="J47" s="5">
        <f t="shared" ref="J47:J60" si="39">IF(H$12=0,0,H47/H$12)</f>
        <v>6.1972738419518504E-4</v>
      </c>
      <c r="K47" s="1"/>
      <c r="L47" s="1">
        <f t="shared" ref="L47:L60" si="40">+D47-H47</f>
        <v>-27.01</v>
      </c>
      <c r="M47" s="1"/>
      <c r="N47" s="5">
        <f t="shared" ref="N47:N60" si="41">IF(H47=0,0,L47/H47)</f>
        <v>-1</v>
      </c>
      <c r="O47" s="12"/>
      <c r="P47" s="1">
        <f>SUM(OSRRefP22_6x_0)</f>
        <v>0</v>
      </c>
      <c r="Q47" s="1"/>
      <c r="R47" s="5">
        <f t="shared" ref="R47:R60" si="42">IF(P$12=0,0,P47/P$12)</f>
        <v>0</v>
      </c>
      <c r="S47" s="1"/>
      <c r="T47" s="1">
        <f>SUM(OSRRefT22_6x_0)</f>
        <v>101.58</v>
      </c>
      <c r="U47" s="1"/>
      <c r="V47" s="5">
        <f t="shared" ref="V47:V60" si="43">IF(T$12=0,0,T47/T$12)</f>
        <v>1.7016365143254157E-4</v>
      </c>
      <c r="W47" s="1"/>
      <c r="X47" s="1">
        <f t="shared" ref="X47:X60" si="44">+P47-T47</f>
        <v>-101.58</v>
      </c>
      <c r="Y47" s="1"/>
      <c r="Z47" s="5">
        <f t="shared" ref="Z47:Z60" si="45">IF(T47=0,0,X47/T47)</f>
        <v>-1</v>
      </c>
    </row>
    <row r="48" spans="1:26" s="23" customFormat="1" hidden="1" outlineLevel="2" x14ac:dyDescent="0.25">
      <c r="A48" s="25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8"/>
        <v>0</v>
      </c>
      <c r="G48" s="2"/>
      <c r="H48" s="6">
        <v>27.01</v>
      </c>
      <c r="I48" s="2"/>
      <c r="J48" s="7">
        <f t="shared" si="39"/>
        <v>6.1972738419518504E-4</v>
      </c>
      <c r="K48" s="2"/>
      <c r="L48" s="6">
        <f t="shared" si="40"/>
        <v>-27.01</v>
      </c>
      <c r="M48" s="2"/>
      <c r="N48" s="7">
        <f t="shared" si="41"/>
        <v>-1</v>
      </c>
      <c r="O48" s="10"/>
      <c r="P48" s="6"/>
      <c r="Q48" s="2"/>
      <c r="R48" s="7">
        <f t="shared" si="42"/>
        <v>0</v>
      </c>
      <c r="S48" s="2"/>
      <c r="T48" s="6">
        <v>101.58</v>
      </c>
      <c r="U48" s="2"/>
      <c r="V48" s="7">
        <f t="shared" si="43"/>
        <v>1.7016365143254157E-4</v>
      </c>
      <c r="W48" s="2"/>
      <c r="X48" s="6">
        <f t="shared" si="44"/>
        <v>-101.58</v>
      </c>
      <c r="Y48" s="2"/>
      <c r="Z48" s="7">
        <f t="shared" si="45"/>
        <v>-1</v>
      </c>
    </row>
    <row r="49" spans="1:26" s="26" customFormat="1" outlineLevel="1" collapsed="1" x14ac:dyDescent="0.25">
      <c r="A49" s="27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8"/>
        <v>0</v>
      </c>
      <c r="G49" s="1"/>
      <c r="H49" s="1">
        <f>SUM(OSRRefH22_7x_0)</f>
        <v>36.270000000000003</v>
      </c>
      <c r="I49" s="1"/>
      <c r="J49" s="5">
        <f t="shared" si="39"/>
        <v>8.3219223342315292E-4</v>
      </c>
      <c r="K49" s="1"/>
      <c r="L49" s="1">
        <f t="shared" si="40"/>
        <v>-36.270000000000003</v>
      </c>
      <c r="M49" s="1"/>
      <c r="N49" s="5">
        <f t="shared" si="41"/>
        <v>-1</v>
      </c>
      <c r="O49" s="12"/>
      <c r="P49" s="1">
        <f>SUM(OSRRefP22_7x_0)</f>
        <v>428.95</v>
      </c>
      <c r="Q49" s="1"/>
      <c r="R49" s="5">
        <f t="shared" si="42"/>
        <v>0</v>
      </c>
      <c r="S49" s="1"/>
      <c r="T49" s="1">
        <f>SUM(OSRRefT22_7x_0)</f>
        <v>901.58</v>
      </c>
      <c r="U49" s="1"/>
      <c r="V49" s="5">
        <f t="shared" si="43"/>
        <v>1.5102987286724832E-3</v>
      </c>
      <c r="W49" s="1"/>
      <c r="X49" s="1">
        <f t="shared" si="44"/>
        <v>-472.63000000000005</v>
      </c>
      <c r="Y49" s="1"/>
      <c r="Z49" s="5">
        <f t="shared" si="45"/>
        <v>-0.52422413984338612</v>
      </c>
    </row>
    <row r="50" spans="1:26" s="23" customFormat="1" hidden="1" outlineLevel="2" x14ac:dyDescent="0.25">
      <c r="A50" s="25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8"/>
        <v>0</v>
      </c>
      <c r="G50" s="2"/>
      <c r="H50" s="6">
        <v>36.270000000000003</v>
      </c>
      <c r="I50" s="2"/>
      <c r="J50" s="7">
        <f t="shared" si="39"/>
        <v>8.3219223342315292E-4</v>
      </c>
      <c r="K50" s="2"/>
      <c r="L50" s="6">
        <f t="shared" si="40"/>
        <v>-36.270000000000003</v>
      </c>
      <c r="M50" s="2"/>
      <c r="N50" s="7">
        <f t="shared" si="41"/>
        <v>-1</v>
      </c>
      <c r="O50" s="10"/>
      <c r="P50" s="6">
        <v>428.95</v>
      </c>
      <c r="Q50" s="2"/>
      <c r="R50" s="7">
        <f t="shared" si="42"/>
        <v>0</v>
      </c>
      <c r="S50" s="2"/>
      <c r="T50" s="6">
        <v>901.58</v>
      </c>
      <c r="U50" s="2"/>
      <c r="V50" s="7">
        <f t="shared" si="43"/>
        <v>1.5102987286724832E-3</v>
      </c>
      <c r="W50" s="2"/>
      <c r="X50" s="6">
        <f t="shared" si="44"/>
        <v>-472.63000000000005</v>
      </c>
      <c r="Y50" s="2"/>
      <c r="Z50" s="7">
        <f t="shared" si="45"/>
        <v>-0.52422413984338612</v>
      </c>
    </row>
    <row r="51" spans="1:26" s="26" customFormat="1" outlineLevel="1" collapsed="1" x14ac:dyDescent="0.25">
      <c r="A51" s="27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8"/>
        <v>0</v>
      </c>
      <c r="G51" s="1"/>
      <c r="H51" s="1">
        <f>SUM(OSRRefH22_8x_0)</f>
        <v>37</v>
      </c>
      <c r="I51" s="1"/>
      <c r="J51" s="5">
        <f t="shared" si="39"/>
        <v>8.4894162218518486E-4</v>
      </c>
      <c r="K51" s="1"/>
      <c r="L51" s="1">
        <f t="shared" si="40"/>
        <v>-37</v>
      </c>
      <c r="M51" s="1"/>
      <c r="N51" s="5">
        <f t="shared" si="41"/>
        <v>-1</v>
      </c>
      <c r="O51" s="12"/>
      <c r="P51" s="1">
        <f>SUM(OSRRefP22_8x_0)</f>
        <v>914.55</v>
      </c>
      <c r="Q51" s="1"/>
      <c r="R51" s="5">
        <f t="shared" si="42"/>
        <v>0</v>
      </c>
      <c r="S51" s="1"/>
      <c r="T51" s="1">
        <f>SUM(OSRRefT22_8x_0)</f>
        <v>1345.73</v>
      </c>
      <c r="U51" s="1"/>
      <c r="V51" s="5">
        <f t="shared" si="43"/>
        <v>2.2543249718676331E-3</v>
      </c>
      <c r="W51" s="1"/>
      <c r="X51" s="1">
        <f t="shared" si="44"/>
        <v>-431.18000000000006</v>
      </c>
      <c r="Y51" s="1"/>
      <c r="Z51" s="5">
        <f t="shared" si="45"/>
        <v>-0.32040602498272319</v>
      </c>
    </row>
    <row r="52" spans="1:26" s="23" customFormat="1" hidden="1" outlineLevel="2" x14ac:dyDescent="0.25">
      <c r="A52" s="25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8"/>
        <v>0</v>
      </c>
      <c r="G52" s="2"/>
      <c r="H52" s="6">
        <v>37</v>
      </c>
      <c r="I52" s="2"/>
      <c r="J52" s="7">
        <f t="shared" si="39"/>
        <v>8.4894162218518486E-4</v>
      </c>
      <c r="K52" s="2"/>
      <c r="L52" s="6">
        <f t="shared" si="40"/>
        <v>-37</v>
      </c>
      <c r="M52" s="2"/>
      <c r="N52" s="7">
        <f t="shared" si="41"/>
        <v>-1</v>
      </c>
      <c r="O52" s="10"/>
      <c r="P52" s="6">
        <v>914.55</v>
      </c>
      <c r="Q52" s="2"/>
      <c r="R52" s="7">
        <f t="shared" si="42"/>
        <v>0</v>
      </c>
      <c r="S52" s="2"/>
      <c r="T52" s="6">
        <v>1345.73</v>
      </c>
      <c r="U52" s="2"/>
      <c r="V52" s="7">
        <f t="shared" si="43"/>
        <v>2.2543249718676331E-3</v>
      </c>
      <c r="W52" s="2"/>
      <c r="X52" s="6">
        <f t="shared" si="44"/>
        <v>-431.18000000000006</v>
      </c>
      <c r="Y52" s="2"/>
      <c r="Z52" s="7">
        <f t="shared" si="45"/>
        <v>-0.32040602498272319</v>
      </c>
    </row>
    <row r="53" spans="1:26" s="26" customFormat="1" outlineLevel="1" collapsed="1" x14ac:dyDescent="0.25">
      <c r="A53" s="27"/>
      <c r="B53" s="12" t="str">
        <f>CONCATENATE("     ","Insurance                                         ")</f>
        <v xml:space="preserve">     Insurance                                         </v>
      </c>
      <c r="C53" s="12"/>
      <c r="D53" s="1">
        <f>SUM(OSRRefD22_9x_0)</f>
        <v>243.54</v>
      </c>
      <c r="E53" s="1"/>
      <c r="F53" s="5">
        <f t="shared" si="38"/>
        <v>0</v>
      </c>
      <c r="G53" s="1"/>
      <c r="H53" s="1">
        <f>SUM(OSRRefH22_9x_0)</f>
        <v>243.54</v>
      </c>
      <c r="I53" s="1"/>
      <c r="J53" s="5">
        <f t="shared" si="39"/>
        <v>5.5878714234318897E-3</v>
      </c>
      <c r="K53" s="1"/>
      <c r="L53" s="1">
        <f t="shared" si="40"/>
        <v>0</v>
      </c>
      <c r="M53" s="1"/>
      <c r="N53" s="5">
        <f t="shared" si="41"/>
        <v>0</v>
      </c>
      <c r="O53" s="12"/>
      <c r="P53" s="1">
        <f>SUM(OSRRefP22_9x_0)</f>
        <v>2191.86</v>
      </c>
      <c r="Q53" s="1"/>
      <c r="R53" s="5">
        <f t="shared" si="42"/>
        <v>0</v>
      </c>
      <c r="S53" s="1"/>
      <c r="T53" s="1">
        <f>SUM(OSRRefT22_9x_0)</f>
        <v>2191.86</v>
      </c>
      <c r="U53" s="1"/>
      <c r="V53" s="5">
        <f t="shared" si="43"/>
        <v>3.6717355879989232E-3</v>
      </c>
      <c r="W53" s="1"/>
      <c r="X53" s="1">
        <f t="shared" si="44"/>
        <v>0</v>
      </c>
      <c r="Y53" s="1"/>
      <c r="Z53" s="5">
        <f t="shared" si="45"/>
        <v>0</v>
      </c>
    </row>
    <row r="54" spans="1:26" s="23" customFormat="1" hidden="1" outlineLevel="2" x14ac:dyDescent="0.25">
      <c r="A54" s="25"/>
      <c r="B54" s="10" t="str">
        <f>CONCATENATE("          ", "6314", " - ", "LIABILITY INSURANCE")</f>
        <v xml:space="preserve">          6314 - LIABILITY INSURANCE</v>
      </c>
      <c r="C54" s="10"/>
      <c r="D54" s="6">
        <v>243.54</v>
      </c>
      <c r="E54" s="2"/>
      <c r="F54" s="7">
        <f t="shared" si="38"/>
        <v>0</v>
      </c>
      <c r="G54" s="2"/>
      <c r="H54" s="6">
        <v>243.54</v>
      </c>
      <c r="I54" s="2"/>
      <c r="J54" s="7">
        <f t="shared" si="39"/>
        <v>5.5878714234318897E-3</v>
      </c>
      <c r="K54" s="2"/>
      <c r="L54" s="6">
        <f t="shared" si="40"/>
        <v>0</v>
      </c>
      <c r="M54" s="2"/>
      <c r="N54" s="7">
        <f t="shared" si="41"/>
        <v>0</v>
      </c>
      <c r="O54" s="10"/>
      <c r="P54" s="6">
        <v>2191.86</v>
      </c>
      <c r="Q54" s="2"/>
      <c r="R54" s="7">
        <f t="shared" si="42"/>
        <v>0</v>
      </c>
      <c r="S54" s="2"/>
      <c r="T54" s="6">
        <v>2191.86</v>
      </c>
      <c r="U54" s="2"/>
      <c r="V54" s="7">
        <f t="shared" si="43"/>
        <v>3.6717355879989232E-3</v>
      </c>
      <c r="W54" s="2"/>
      <c r="X54" s="6">
        <f t="shared" si="44"/>
        <v>0</v>
      </c>
      <c r="Y54" s="2"/>
      <c r="Z54" s="7">
        <f t="shared" si="45"/>
        <v>0</v>
      </c>
    </row>
    <row r="55" spans="1:26" s="26" customFormat="1" outlineLevel="1" collapsed="1" x14ac:dyDescent="0.25">
      <c r="A55" s="27"/>
      <c r="B55" s="12" t="str">
        <f>CONCATENATE("     ","Interest                                          ")</f>
        <v xml:space="preserve">     Interest                                          </v>
      </c>
      <c r="C55" s="12"/>
      <c r="D55" s="1">
        <f>SUM(OSRRefD22_10x_0)</f>
        <v>4044</v>
      </c>
      <c r="E55" s="1"/>
      <c r="F55" s="5">
        <f t="shared" si="38"/>
        <v>0</v>
      </c>
      <c r="G55" s="1"/>
      <c r="H55" s="1">
        <f>SUM(OSRRefH22_10x_0)</f>
        <v>4175</v>
      </c>
      <c r="I55" s="1"/>
      <c r="J55" s="5">
        <f t="shared" si="39"/>
        <v>9.5792737097922895E-2</v>
      </c>
      <c r="K55" s="1"/>
      <c r="L55" s="1">
        <f t="shared" si="40"/>
        <v>-131</v>
      </c>
      <c r="M55" s="1"/>
      <c r="N55" s="5">
        <f t="shared" si="41"/>
        <v>-3.1377245508982035E-2</v>
      </c>
      <c r="O55" s="12"/>
      <c r="P55" s="1">
        <f>SUM(OSRRefP22_10x_0)</f>
        <v>36133.85</v>
      </c>
      <c r="Q55" s="1"/>
      <c r="R55" s="5">
        <f t="shared" si="42"/>
        <v>0</v>
      </c>
      <c r="S55" s="1"/>
      <c r="T55" s="1">
        <f>SUM(OSRRefT22_10x_0)</f>
        <v>37368.949999999997</v>
      </c>
      <c r="U55" s="1"/>
      <c r="V55" s="5">
        <f t="shared" si="43"/>
        <v>6.2599300868281887E-2</v>
      </c>
      <c r="W55" s="1"/>
      <c r="X55" s="1">
        <f t="shared" si="44"/>
        <v>-1235.0999999999985</v>
      </c>
      <c r="Y55" s="1"/>
      <c r="Z55" s="5">
        <f t="shared" si="45"/>
        <v>-3.3051503989274485E-2</v>
      </c>
    </row>
    <row r="56" spans="1:26" s="23" customFormat="1" hidden="1" outlineLevel="2" x14ac:dyDescent="0.25">
      <c r="A56" s="25"/>
      <c r="B56" s="10" t="str">
        <f>CONCATENATE("          ", "6401", " - ", "INTEREST EXPENSE")</f>
        <v xml:space="preserve">          6401 - INTEREST EXPENSE</v>
      </c>
      <c r="C56" s="10"/>
      <c r="D56" s="6">
        <v>4044</v>
      </c>
      <c r="E56" s="2"/>
      <c r="F56" s="7">
        <f t="shared" si="38"/>
        <v>0</v>
      </c>
      <c r="G56" s="2"/>
      <c r="H56" s="6">
        <v>4175</v>
      </c>
      <c r="I56" s="2"/>
      <c r="J56" s="7">
        <f t="shared" si="39"/>
        <v>9.5792737097922895E-2</v>
      </c>
      <c r="K56" s="2"/>
      <c r="L56" s="6">
        <f t="shared" si="40"/>
        <v>-131</v>
      </c>
      <c r="M56" s="2"/>
      <c r="N56" s="7">
        <f t="shared" si="41"/>
        <v>-3.1377245508982035E-2</v>
      </c>
      <c r="O56" s="10"/>
      <c r="P56" s="6">
        <v>36133.85</v>
      </c>
      <c r="Q56" s="2"/>
      <c r="R56" s="7">
        <f t="shared" si="42"/>
        <v>0</v>
      </c>
      <c r="S56" s="2"/>
      <c r="T56" s="6">
        <v>37368.949999999997</v>
      </c>
      <c r="U56" s="2"/>
      <c r="V56" s="7">
        <f t="shared" si="43"/>
        <v>6.2599300868281887E-2</v>
      </c>
      <c r="W56" s="2"/>
      <c r="X56" s="6">
        <f t="shared" si="44"/>
        <v>-1235.0999999999985</v>
      </c>
      <c r="Y56" s="2"/>
      <c r="Z56" s="7">
        <f t="shared" si="45"/>
        <v>-3.3051503989274485E-2</v>
      </c>
    </row>
    <row r="57" spans="1:26" s="26" customFormat="1" outlineLevel="1" collapsed="1" x14ac:dyDescent="0.25">
      <c r="A57" s="27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SUM(OSRRefD22_11x_0)</f>
        <v>233.51999999999998</v>
      </c>
      <c r="E57" s="1"/>
      <c r="F57" s="5">
        <f t="shared" si="38"/>
        <v>0</v>
      </c>
      <c r="G57" s="1"/>
      <c r="H57" s="1">
        <f>SUM(OSRRefH22_11x_0)</f>
        <v>108.52</v>
      </c>
      <c r="I57" s="1"/>
      <c r="J57" s="5">
        <f t="shared" si="39"/>
        <v>2.4899228335009799E-3</v>
      </c>
      <c r="K57" s="1"/>
      <c r="L57" s="1">
        <f t="shared" si="40"/>
        <v>124.99999999999999</v>
      </c>
      <c r="M57" s="1"/>
      <c r="N57" s="5">
        <f t="shared" si="41"/>
        <v>1.1518614080353851</v>
      </c>
      <c r="O57" s="12"/>
      <c r="P57" s="1">
        <f>SUM(OSRRefP22_11x_0)</f>
        <v>637.16000000000008</v>
      </c>
      <c r="Q57" s="1"/>
      <c r="R57" s="5">
        <f t="shared" si="42"/>
        <v>0</v>
      </c>
      <c r="S57" s="1"/>
      <c r="T57" s="1">
        <f>SUM(OSRRefT22_11x_0)</f>
        <v>1046.19</v>
      </c>
      <c r="U57" s="1"/>
      <c r="V57" s="5">
        <f t="shared" si="43"/>
        <v>1.7525448955720681E-3</v>
      </c>
      <c r="W57" s="1"/>
      <c r="X57" s="1">
        <f t="shared" si="44"/>
        <v>-409.03</v>
      </c>
      <c r="Y57" s="1"/>
      <c r="Z57" s="5">
        <f t="shared" si="45"/>
        <v>-0.39097104732409976</v>
      </c>
    </row>
    <row r="58" spans="1:26" s="23" customFormat="1" hidden="1" outlineLevel="2" x14ac:dyDescent="0.25">
      <c r="A58" s="25"/>
      <c r="B58" s="10" t="str">
        <f>CONCATENATE("          ", "6371", " - ", "COMPUTER SOFTWARE MAINTENANCE")</f>
        <v xml:space="preserve">          6371 - COMPUTER SOFTWARE MAINTENANCE</v>
      </c>
      <c r="C58" s="10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0"/>
      <c r="P58" s="6"/>
      <c r="Q58" s="2"/>
      <c r="R58" s="7">
        <f t="shared" si="42"/>
        <v>0</v>
      </c>
      <c r="S58" s="2"/>
      <c r="T58" s="6">
        <v>437.31</v>
      </c>
      <c r="U58" s="2"/>
      <c r="V58" s="7">
        <f t="shared" si="43"/>
        <v>7.3256808828474861E-4</v>
      </c>
      <c r="W58" s="2"/>
      <c r="X58" s="6">
        <f t="shared" si="44"/>
        <v>-437.31</v>
      </c>
      <c r="Y58" s="2"/>
      <c r="Z58" s="7">
        <f t="shared" si="45"/>
        <v>-1</v>
      </c>
    </row>
    <row r="59" spans="1:26" s="23" customFormat="1" hidden="1" outlineLevel="2" x14ac:dyDescent="0.25">
      <c r="A59" s="25"/>
      <c r="B59" s="10" t="str">
        <f>CONCATENATE("          ", "6373", " - ", "MAINTENANCE CONTRACTS")</f>
        <v xml:space="preserve">          6373 - MAINTENANCE CONTRACTS</v>
      </c>
      <c r="C59" s="10"/>
      <c r="D59" s="6">
        <v>108.52</v>
      </c>
      <c r="E59" s="2"/>
      <c r="F59" s="7">
        <f t="shared" si="38"/>
        <v>0</v>
      </c>
      <c r="G59" s="2"/>
      <c r="H59" s="6">
        <v>108.52</v>
      </c>
      <c r="I59" s="2"/>
      <c r="J59" s="7">
        <f t="shared" si="39"/>
        <v>2.4899228335009799E-3</v>
      </c>
      <c r="K59" s="2"/>
      <c r="L59" s="6">
        <f t="shared" si="40"/>
        <v>0</v>
      </c>
      <c r="M59" s="2"/>
      <c r="N59" s="7">
        <f t="shared" si="41"/>
        <v>0</v>
      </c>
      <c r="O59" s="10"/>
      <c r="P59" s="6">
        <v>404.16</v>
      </c>
      <c r="Q59" s="2"/>
      <c r="R59" s="7">
        <f t="shared" si="42"/>
        <v>0</v>
      </c>
      <c r="S59" s="2"/>
      <c r="T59" s="6">
        <v>318.26</v>
      </c>
      <c r="U59" s="2"/>
      <c r="V59" s="7">
        <f t="shared" si="43"/>
        <v>5.3313923710297968E-4</v>
      </c>
      <c r="W59" s="2"/>
      <c r="X59" s="6">
        <f t="shared" si="44"/>
        <v>85.900000000000034</v>
      </c>
      <c r="Y59" s="2"/>
      <c r="Z59" s="7">
        <f t="shared" si="45"/>
        <v>0.26990510903035264</v>
      </c>
    </row>
    <row r="60" spans="1:26" s="23" customFormat="1" hidden="1" outlineLevel="2" x14ac:dyDescent="0.25">
      <c r="A60" s="25"/>
      <c r="B60" s="10" t="str">
        <f>CONCATENATE("          ", "6375", " - ", "OUTSIDE REPAIRS &amp; MAINTENANCE")</f>
        <v xml:space="preserve">          6375 - OUTSIDE REPAIRS &amp; MAINTENANCE</v>
      </c>
      <c r="C60" s="10"/>
      <c r="D60" s="6">
        <v>125</v>
      </c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125</v>
      </c>
      <c r="M60" s="2"/>
      <c r="N60" s="7">
        <f t="shared" si="41"/>
        <v>0</v>
      </c>
      <c r="O60" s="10"/>
      <c r="P60" s="6">
        <v>233</v>
      </c>
      <c r="Q60" s="2"/>
      <c r="R60" s="7">
        <f t="shared" si="42"/>
        <v>0</v>
      </c>
      <c r="S60" s="2"/>
      <c r="T60" s="6">
        <v>290.62</v>
      </c>
      <c r="U60" s="2"/>
      <c r="V60" s="7">
        <f t="shared" si="43"/>
        <v>4.8683757018433979E-4</v>
      </c>
      <c r="W60" s="2"/>
      <c r="X60" s="6">
        <f t="shared" si="44"/>
        <v>-57.620000000000005</v>
      </c>
      <c r="Y60" s="2"/>
      <c r="Z60" s="7">
        <f t="shared" si="45"/>
        <v>-0.19826577661551167</v>
      </c>
    </row>
    <row r="61" spans="1:26" s="26" customFormat="1" outlineLevel="1" collapsed="1" x14ac:dyDescent="0.25">
      <c r="A61" s="27"/>
      <c r="B61" s="12" t="str">
        <f>CONCATENATE("     ","Services                                          ")</f>
        <v xml:space="preserve">     Services                                          </v>
      </c>
      <c r="C61" s="12"/>
      <c r="D61" s="1">
        <f>SUM(OSRRefD22_12x_0)</f>
        <v>-123.65</v>
      </c>
      <c r="E61" s="1"/>
      <c r="F61" s="5">
        <f t="shared" ref="F61:F64" si="46">IF(D$12=0,0,D61/D$12)</f>
        <v>0</v>
      </c>
      <c r="G61" s="1"/>
      <c r="H61" s="1">
        <f>SUM(OSRRefH22_12x_0)</f>
        <v>446.35</v>
      </c>
      <c r="I61" s="1"/>
      <c r="J61" s="5">
        <f t="shared" ref="J61:J64" si="47">IF(H$12=0,0,H61/H$12)</f>
        <v>1.0241218731415062E-2</v>
      </c>
      <c r="K61" s="1"/>
      <c r="L61" s="1">
        <f t="shared" ref="L61:L64" si="48">+D61-H61</f>
        <v>-570</v>
      </c>
      <c r="M61" s="1"/>
      <c r="N61" s="5">
        <f t="shared" ref="N61:N64" si="49">IF(H61=0,0,L61/H61)</f>
        <v>-1.2770247563571189</v>
      </c>
      <c r="O61" s="12"/>
      <c r="P61" s="1">
        <f>SUM(OSRRefP22_12x_0)</f>
        <v>1661.75</v>
      </c>
      <c r="Q61" s="1"/>
      <c r="R61" s="5">
        <f t="shared" ref="R61:R64" si="50">IF(P$12=0,0,P61/P$12)</f>
        <v>0</v>
      </c>
      <c r="S61" s="1"/>
      <c r="T61" s="1">
        <f>SUM(OSRRefT22_12x_0)</f>
        <v>4998.24</v>
      </c>
      <c r="U61" s="1"/>
      <c r="V61" s="5">
        <f t="shared" ref="V61:V64" si="51">IF(T$12=0,0,T61/T$12)</f>
        <v>8.3728959355797057E-3</v>
      </c>
      <c r="W61" s="1"/>
      <c r="X61" s="1">
        <f t="shared" ref="X61:X64" si="52">+P61-T61</f>
        <v>-3336.49</v>
      </c>
      <c r="Y61" s="1"/>
      <c r="Z61" s="5">
        <f t="shared" ref="Z61:Z64" si="53">IF(T61=0,0,X61/T61)</f>
        <v>-0.66753297160600533</v>
      </c>
    </row>
    <row r="62" spans="1:26" s="23" customFormat="1" hidden="1" outlineLevel="2" x14ac:dyDescent="0.25">
      <c r="A62" s="25"/>
      <c r="B62" s="10" t="str">
        <f>CONCATENATE("          ", "6282", " - ", "JANITORIAL/EXTERMINATOR EXPENS")</f>
        <v xml:space="preserve">          6282 - JANITORIAL/EXTERMINATOR EXPENS</v>
      </c>
      <c r="C62" s="10"/>
      <c r="D62" s="6">
        <v>157.35</v>
      </c>
      <c r="E62" s="2"/>
      <c r="F62" s="7">
        <f t="shared" si="46"/>
        <v>0</v>
      </c>
      <c r="G62" s="2"/>
      <c r="H62" s="6">
        <v>157.35</v>
      </c>
      <c r="I62" s="2"/>
      <c r="J62" s="7">
        <f t="shared" si="47"/>
        <v>3.6102963311037523E-3</v>
      </c>
      <c r="K62" s="2"/>
      <c r="L62" s="6">
        <f t="shared" si="48"/>
        <v>0</v>
      </c>
      <c r="M62" s="2"/>
      <c r="N62" s="7">
        <f t="shared" si="49"/>
        <v>0</v>
      </c>
      <c r="O62" s="10"/>
      <c r="P62" s="6">
        <v>786.75</v>
      </c>
      <c r="Q62" s="2"/>
      <c r="R62" s="7">
        <f t="shared" si="50"/>
        <v>0</v>
      </c>
      <c r="S62" s="2"/>
      <c r="T62" s="6">
        <v>1573.5</v>
      </c>
      <c r="U62" s="2"/>
      <c r="V62" s="7">
        <f t="shared" si="51"/>
        <v>2.6358781800463102E-3</v>
      </c>
      <c r="W62" s="2"/>
      <c r="X62" s="6">
        <f t="shared" si="52"/>
        <v>-786.75</v>
      </c>
      <c r="Y62" s="2"/>
      <c r="Z62" s="7">
        <f t="shared" si="53"/>
        <v>-0.5</v>
      </c>
    </row>
    <row r="63" spans="1:26" s="23" customFormat="1" hidden="1" outlineLevel="2" x14ac:dyDescent="0.25">
      <c r="A63" s="25"/>
      <c r="B63" s="10" t="str">
        <f>CONCATENATE("          ", "6284", " - ", "TRASH REMOVAL EXPENSE")</f>
        <v xml:space="preserve">          6284 - TRASH REMOVAL EXPENSE</v>
      </c>
      <c r="C63" s="10"/>
      <c r="D63" s="6">
        <v>-281</v>
      </c>
      <c r="E63" s="2"/>
      <c r="F63" s="7">
        <f t="shared" si="46"/>
        <v>0</v>
      </c>
      <c r="G63" s="2"/>
      <c r="H63" s="6">
        <v>289</v>
      </c>
      <c r="I63" s="2"/>
      <c r="J63" s="7">
        <f t="shared" si="47"/>
        <v>6.6309224003113093E-3</v>
      </c>
      <c r="K63" s="2"/>
      <c r="L63" s="6">
        <f t="shared" si="48"/>
        <v>-570</v>
      </c>
      <c r="M63" s="2"/>
      <c r="N63" s="7">
        <f t="shared" si="49"/>
        <v>-1.972318339100346</v>
      </c>
      <c r="O63" s="10"/>
      <c r="P63" s="6">
        <v>875</v>
      </c>
      <c r="Q63" s="2"/>
      <c r="R63" s="7">
        <f t="shared" si="50"/>
        <v>0</v>
      </c>
      <c r="S63" s="2"/>
      <c r="T63" s="6">
        <v>2600</v>
      </c>
      <c r="U63" s="2"/>
      <c r="V63" s="7">
        <f t="shared" si="51"/>
        <v>4.3554390010298099E-3</v>
      </c>
      <c r="W63" s="2"/>
      <c r="X63" s="6">
        <f t="shared" si="52"/>
        <v>-1725</v>
      </c>
      <c r="Y63" s="2"/>
      <c r="Z63" s="7">
        <f t="shared" si="53"/>
        <v>-0.66346153846153844</v>
      </c>
    </row>
    <row r="64" spans="1:26" s="23" customFormat="1" hidden="1" outlineLevel="2" x14ac:dyDescent="0.25">
      <c r="A64" s="25"/>
      <c r="B64" s="10" t="str">
        <f>CONCATENATE("          ", "6286", " - ", "LAUNDRY EXPENSE")</f>
        <v xml:space="preserve">          6286 - LAUNDRY EXPENSE</v>
      </c>
      <c r="C64" s="10"/>
      <c r="D64" s="6"/>
      <c r="E64" s="2"/>
      <c r="F64" s="7">
        <f t="shared" si="46"/>
        <v>0</v>
      </c>
      <c r="G64" s="2"/>
      <c r="H64" s="6"/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0"/>
      <c r="P64" s="6"/>
      <c r="Q64" s="2"/>
      <c r="R64" s="7">
        <f t="shared" si="50"/>
        <v>0</v>
      </c>
      <c r="S64" s="2"/>
      <c r="T64" s="6">
        <v>824.74</v>
      </c>
      <c r="U64" s="2"/>
      <c r="V64" s="7">
        <f t="shared" si="51"/>
        <v>1.3815787545035868E-3</v>
      </c>
      <c r="W64" s="2"/>
      <c r="X64" s="6">
        <f t="shared" si="52"/>
        <v>-824.74</v>
      </c>
      <c r="Y64" s="2"/>
      <c r="Z64" s="7">
        <f t="shared" si="53"/>
        <v>-1</v>
      </c>
    </row>
    <row r="65" spans="1:26" s="26" customFormat="1" outlineLevel="1" collapsed="1" x14ac:dyDescent="0.25">
      <c r="A65" s="27"/>
      <c r="B65" s="12" t="str">
        <f>CONCATENATE("     ","Subscriptions &amp; Dues                              ")</f>
        <v xml:space="preserve">     Subscriptions &amp; Dues                              </v>
      </c>
      <c r="C65" s="12"/>
      <c r="D65" s="1">
        <f>SUM(OSRRefD22_13x_0)</f>
        <v>0</v>
      </c>
      <c r="E65" s="1"/>
      <c r="F65" s="5">
        <f t="shared" ref="F65:F72" si="54">IF(D$12=0,0,D65/D$12)</f>
        <v>0</v>
      </c>
      <c r="G65" s="1"/>
      <c r="H65" s="1">
        <f>SUM(OSRRefH22_13x_0)</f>
        <v>0</v>
      </c>
      <c r="I65" s="1"/>
      <c r="J65" s="5">
        <f t="shared" ref="J65:J72" si="55">IF(H$12=0,0,H65/H$12)</f>
        <v>0</v>
      </c>
      <c r="K65" s="1"/>
      <c r="L65" s="1">
        <f t="shared" ref="L65:L72" si="56">+D65-H65</f>
        <v>0</v>
      </c>
      <c r="M65" s="1"/>
      <c r="N65" s="5">
        <f t="shared" ref="N65:N72" si="57">IF(H65=0,0,L65/H65)</f>
        <v>0</v>
      </c>
      <c r="O65" s="12"/>
      <c r="P65" s="1">
        <f>SUM(OSRRefP22_13x_0)</f>
        <v>0</v>
      </c>
      <c r="Q65" s="1"/>
      <c r="R65" s="5">
        <f t="shared" ref="R65:R72" si="58">IF(P$12=0,0,P65/P$12)</f>
        <v>0</v>
      </c>
      <c r="S65" s="1"/>
      <c r="T65" s="1">
        <f>SUM(OSRRefT22_13x_0)</f>
        <v>1411.2</v>
      </c>
      <c r="U65" s="1"/>
      <c r="V65" s="5">
        <f t="shared" ref="V65:V72" si="59">IF(T$12=0,0,T65/T$12)</f>
        <v>2.3639982762512571E-3</v>
      </c>
      <c r="W65" s="1"/>
      <c r="X65" s="1">
        <f t="shared" ref="X65:X72" si="60">+P65-T65</f>
        <v>-1411.2</v>
      </c>
      <c r="Y65" s="1"/>
      <c r="Z65" s="5">
        <f t="shared" ref="Z65:Z72" si="61">IF(T65=0,0,X65/T65)</f>
        <v>-1</v>
      </c>
    </row>
    <row r="66" spans="1:26" s="23" customFormat="1" hidden="1" outlineLevel="2" x14ac:dyDescent="0.25">
      <c r="A66" s="25"/>
      <c r="B66" s="10" t="str">
        <f>CONCATENATE("          ", "6275", " - ", "SUBSCRIPTIONS")</f>
        <v xml:space="preserve">          6275 - SUBSCRIPTIONS</v>
      </c>
      <c r="C66" s="10"/>
      <c r="D66" s="6"/>
      <c r="E66" s="2"/>
      <c r="F66" s="7">
        <f t="shared" si="54"/>
        <v>0</v>
      </c>
      <c r="G66" s="2"/>
      <c r="H66" s="6"/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0"/>
      <c r="P66" s="6"/>
      <c r="Q66" s="2"/>
      <c r="R66" s="7">
        <f t="shared" si="58"/>
        <v>0</v>
      </c>
      <c r="S66" s="2"/>
      <c r="T66" s="6">
        <v>1411.2</v>
      </c>
      <c r="U66" s="2"/>
      <c r="V66" s="7">
        <f t="shared" si="59"/>
        <v>2.3639982762512571E-3</v>
      </c>
      <c r="W66" s="2"/>
      <c r="X66" s="6">
        <f t="shared" si="60"/>
        <v>-1411.2</v>
      </c>
      <c r="Y66" s="2"/>
      <c r="Z66" s="7">
        <f t="shared" si="61"/>
        <v>-1</v>
      </c>
    </row>
    <row r="67" spans="1:26" s="26" customFormat="1" outlineLevel="1" collapsed="1" x14ac:dyDescent="0.25">
      <c r="A67" s="27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SUM(OSRRefD22_14x_0)</f>
        <v>0</v>
      </c>
      <c r="E67" s="1"/>
      <c r="F67" s="5">
        <f t="shared" si="54"/>
        <v>0</v>
      </c>
      <c r="G67" s="1"/>
      <c r="H67" s="1">
        <f>SUM(OSRRefH22_14x_0)</f>
        <v>149.19</v>
      </c>
      <c r="I67" s="1"/>
      <c r="J67" s="5">
        <f t="shared" si="55"/>
        <v>3.4230702868596687E-3</v>
      </c>
      <c r="K67" s="1"/>
      <c r="L67" s="1">
        <f t="shared" si="56"/>
        <v>-149.19</v>
      </c>
      <c r="M67" s="1"/>
      <c r="N67" s="5">
        <f t="shared" si="57"/>
        <v>-1</v>
      </c>
      <c r="O67" s="12"/>
      <c r="P67" s="1">
        <f>SUM(OSRRefP22_14x_0)</f>
        <v>634.24</v>
      </c>
      <c r="Q67" s="1"/>
      <c r="R67" s="5">
        <f t="shared" si="58"/>
        <v>0</v>
      </c>
      <c r="S67" s="1"/>
      <c r="T67" s="1">
        <f>SUM(OSRRefT22_14x_0)</f>
        <v>10919.900000000001</v>
      </c>
      <c r="U67" s="1"/>
      <c r="V67" s="5">
        <f t="shared" si="59"/>
        <v>1.8292676287440551E-2</v>
      </c>
      <c r="W67" s="1"/>
      <c r="X67" s="1">
        <f t="shared" si="60"/>
        <v>-10285.660000000002</v>
      </c>
      <c r="Y67" s="1"/>
      <c r="Z67" s="5">
        <f t="shared" si="61"/>
        <v>-0.94191888204104435</v>
      </c>
    </row>
    <row r="68" spans="1:26" s="23" customFormat="1" hidden="1" outlineLevel="2" x14ac:dyDescent="0.25">
      <c r="A68" s="25"/>
      <c r="B68" s="10" t="str">
        <f>CONCATENATE("          ", "6234", " - ", "EXPENDABLE SUPPLIES &amp; EQUIPMEN")</f>
        <v xml:space="preserve">          6234 - EXPENDABLE SUPPLIES &amp; EQUIPMEN</v>
      </c>
      <c r="C68" s="10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0"/>
      <c r="P68" s="6">
        <v>316.67</v>
      </c>
      <c r="Q68" s="2"/>
      <c r="R68" s="7">
        <f t="shared" si="58"/>
        <v>0</v>
      </c>
      <c r="S68" s="2"/>
      <c r="T68" s="6">
        <v>28.22</v>
      </c>
      <c r="U68" s="2"/>
      <c r="V68" s="7">
        <f t="shared" si="59"/>
        <v>4.7273264849638937E-5</v>
      </c>
      <c r="W68" s="2"/>
      <c r="X68" s="6">
        <f t="shared" si="60"/>
        <v>288.45000000000005</v>
      </c>
      <c r="Y68" s="2"/>
      <c r="Z68" s="7">
        <f t="shared" si="61"/>
        <v>10.221474131821406</v>
      </c>
    </row>
    <row r="69" spans="1:26" s="23" customFormat="1" hidden="1" outlineLevel="2" x14ac:dyDescent="0.25">
      <c r="A69" s="25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54"/>
        <v>0</v>
      </c>
      <c r="G69" s="2"/>
      <c r="H69" s="6"/>
      <c r="I69" s="2"/>
      <c r="J69" s="7">
        <f t="shared" si="55"/>
        <v>0</v>
      </c>
      <c r="K69" s="2"/>
      <c r="L69" s="6">
        <f t="shared" si="56"/>
        <v>0</v>
      </c>
      <c r="M69" s="2"/>
      <c r="N69" s="7">
        <f t="shared" si="57"/>
        <v>0</v>
      </c>
      <c r="O69" s="10"/>
      <c r="P69" s="6">
        <v>317.57</v>
      </c>
      <c r="Q69" s="2"/>
      <c r="R69" s="7">
        <f t="shared" si="58"/>
        <v>0</v>
      </c>
      <c r="S69" s="2"/>
      <c r="T69" s="6">
        <v>1422.57</v>
      </c>
      <c r="U69" s="2"/>
      <c r="V69" s="7">
        <f t="shared" si="59"/>
        <v>2.3830449460365295E-3</v>
      </c>
      <c r="W69" s="2"/>
      <c r="X69" s="6">
        <f t="shared" si="60"/>
        <v>-1105</v>
      </c>
      <c r="Y69" s="2"/>
      <c r="Z69" s="7">
        <f t="shared" si="61"/>
        <v>-0.77676318212812023</v>
      </c>
    </row>
    <row r="70" spans="1:26" s="23" customFormat="1" hidden="1" outlineLevel="2" x14ac:dyDescent="0.25">
      <c r="A70" s="25"/>
      <c r="B70" s="10" t="str">
        <f>CONCATENATE("          ", "6241", " - ", "OFFICE EXPENSE")</f>
        <v xml:space="preserve">          6241 - OFFICE EXPENSE</v>
      </c>
      <c r="C70" s="10"/>
      <c r="D70" s="6"/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0"/>
      <c r="P70" s="6"/>
      <c r="Q70" s="2"/>
      <c r="R70" s="7">
        <f t="shared" si="58"/>
        <v>0</v>
      </c>
      <c r="S70" s="2"/>
      <c r="T70" s="6">
        <v>484.03</v>
      </c>
      <c r="U70" s="2"/>
      <c r="V70" s="7">
        <f t="shared" si="59"/>
        <v>8.1083197679556113E-4</v>
      </c>
      <c r="W70" s="2"/>
      <c r="X70" s="6">
        <f t="shared" si="60"/>
        <v>-484.03</v>
      </c>
      <c r="Y70" s="2"/>
      <c r="Z70" s="7">
        <f t="shared" si="61"/>
        <v>-1</v>
      </c>
    </row>
    <row r="71" spans="1:26" s="23" customFormat="1" hidden="1" outlineLevel="2" x14ac:dyDescent="0.25">
      <c r="A71" s="25"/>
      <c r="B71" s="10" t="str">
        <f>CONCATENATE("          ", "6243", " - ", "PAPER SUPPLIES")</f>
        <v xml:space="preserve">          6243 - PAPER SUPPLIES</v>
      </c>
      <c r="C71" s="10"/>
      <c r="D71" s="6"/>
      <c r="E71" s="2"/>
      <c r="F71" s="7">
        <f t="shared" si="54"/>
        <v>0</v>
      </c>
      <c r="G71" s="2"/>
      <c r="H71" s="6">
        <v>127.44</v>
      </c>
      <c r="I71" s="2"/>
      <c r="J71" s="7">
        <f t="shared" si="55"/>
        <v>2.9240302792237828E-3</v>
      </c>
      <c r="K71" s="2"/>
      <c r="L71" s="6">
        <f t="shared" si="56"/>
        <v>-127.44</v>
      </c>
      <c r="M71" s="2"/>
      <c r="N71" s="7">
        <f t="shared" si="57"/>
        <v>-1</v>
      </c>
      <c r="O71" s="10"/>
      <c r="P71" s="6"/>
      <c r="Q71" s="2"/>
      <c r="R71" s="7">
        <f t="shared" si="58"/>
        <v>0</v>
      </c>
      <c r="S71" s="2"/>
      <c r="T71" s="6">
        <v>1399.73</v>
      </c>
      <c r="U71" s="2"/>
      <c r="V71" s="7">
        <f t="shared" si="59"/>
        <v>2.3447840895813293E-3</v>
      </c>
      <c r="W71" s="2"/>
      <c r="X71" s="6">
        <f t="shared" si="60"/>
        <v>-1399.73</v>
      </c>
      <c r="Y71" s="2"/>
      <c r="Z71" s="7">
        <f t="shared" si="61"/>
        <v>-1</v>
      </c>
    </row>
    <row r="72" spans="1:26" s="23" customFormat="1" hidden="1" outlineLevel="2" x14ac:dyDescent="0.25">
      <c r="A72" s="25"/>
      <c r="B72" s="10" t="str">
        <f>CONCATENATE("          ", "6247", " - ", "STORE SUPPLIES")</f>
        <v xml:space="preserve">          6247 - STORE SUPPLIES</v>
      </c>
      <c r="C72" s="10"/>
      <c r="D72" s="6"/>
      <c r="E72" s="2"/>
      <c r="F72" s="7">
        <f t="shared" si="54"/>
        <v>0</v>
      </c>
      <c r="G72" s="2"/>
      <c r="H72" s="6">
        <v>21.75</v>
      </c>
      <c r="I72" s="2"/>
      <c r="J72" s="7">
        <f t="shared" si="55"/>
        <v>4.990400076358857E-4</v>
      </c>
      <c r="K72" s="2"/>
      <c r="L72" s="6">
        <f t="shared" si="56"/>
        <v>-21.75</v>
      </c>
      <c r="M72" s="2"/>
      <c r="N72" s="7">
        <f t="shared" si="57"/>
        <v>-1</v>
      </c>
      <c r="O72" s="10"/>
      <c r="P72" s="6"/>
      <c r="Q72" s="2"/>
      <c r="R72" s="7">
        <f t="shared" si="58"/>
        <v>0</v>
      </c>
      <c r="S72" s="2"/>
      <c r="T72" s="6">
        <v>7585.35</v>
      </c>
      <c r="U72" s="2"/>
      <c r="V72" s="7">
        <f t="shared" si="59"/>
        <v>1.2706742010177489E-2</v>
      </c>
      <c r="W72" s="2"/>
      <c r="X72" s="6">
        <f t="shared" si="60"/>
        <v>-7585.35</v>
      </c>
      <c r="Y72" s="2"/>
      <c r="Z72" s="7">
        <f t="shared" si="61"/>
        <v>-1</v>
      </c>
    </row>
    <row r="73" spans="1:26" s="26" customFormat="1" outlineLevel="1" collapsed="1" x14ac:dyDescent="0.25">
      <c r="A73" s="27"/>
      <c r="B73" s="12" t="str">
        <f>CONCATENATE("     ","Telephone/Data Lines                              ")</f>
        <v xml:space="preserve">     Telephone/Data Lines                              </v>
      </c>
      <c r="C73" s="12"/>
      <c r="D73" s="1">
        <f>SUM(OSRRefD22_15x_0)</f>
        <v>22</v>
      </c>
      <c r="E73" s="1"/>
      <c r="F73" s="5">
        <f t="shared" ref="F73:F78" si="62">IF(D$12=0,0,D73/D$12)</f>
        <v>0</v>
      </c>
      <c r="G73" s="1"/>
      <c r="H73" s="1">
        <f>SUM(OSRRefH22_15x_0)</f>
        <v>135.37</v>
      </c>
      <c r="I73" s="1"/>
      <c r="J73" s="5">
        <f t="shared" ref="J73:J78" si="63">IF(H$12=0,0,H73/H$12)</f>
        <v>3.1059791187894184E-3</v>
      </c>
      <c r="K73" s="1"/>
      <c r="L73" s="1">
        <f t="shared" ref="L73:L78" si="64">+D73-H73</f>
        <v>-113.37</v>
      </c>
      <c r="M73" s="1"/>
      <c r="N73" s="5">
        <f t="shared" ref="N73:N78" si="65">IF(H73=0,0,L73/H73)</f>
        <v>-0.83748245549235434</v>
      </c>
      <c r="O73" s="12"/>
      <c r="P73" s="1">
        <f>SUM(OSRRefP22_15x_0)</f>
        <v>953.87</v>
      </c>
      <c r="Q73" s="1"/>
      <c r="R73" s="5">
        <f t="shared" ref="R73:R78" si="66">IF(P$12=0,0,P73/P$12)</f>
        <v>0</v>
      </c>
      <c r="S73" s="1"/>
      <c r="T73" s="1">
        <f>SUM(OSRRefT22_15x_0)</f>
        <v>546.07000000000005</v>
      </c>
      <c r="U73" s="1"/>
      <c r="V73" s="5">
        <f t="shared" ref="V73:V78" si="67">IF(T$12=0,0,T73/T$12)</f>
        <v>9.1475945203551873E-4</v>
      </c>
      <c r="W73" s="1"/>
      <c r="X73" s="1">
        <f t="shared" ref="X73:X78" si="68">+P73-T73</f>
        <v>407.79999999999995</v>
      </c>
      <c r="Y73" s="1"/>
      <c r="Z73" s="5">
        <f t="shared" ref="Z73:Z78" si="69">IF(T73=0,0,X73/T73)</f>
        <v>0.74679070448843543</v>
      </c>
    </row>
    <row r="74" spans="1:26" s="23" customFormat="1" hidden="1" outlineLevel="2" x14ac:dyDescent="0.25">
      <c r="A74" s="25"/>
      <c r="B74" s="10" t="str">
        <f>CONCATENATE("          ", "6309", " - ", "TELEPHONE")</f>
        <v xml:space="preserve">          6309 - TELEPHONE</v>
      </c>
      <c r="C74" s="10"/>
      <c r="D74" s="6">
        <v>22</v>
      </c>
      <c r="E74" s="2"/>
      <c r="F74" s="7">
        <f t="shared" si="62"/>
        <v>0</v>
      </c>
      <c r="G74" s="2"/>
      <c r="H74" s="6">
        <v>135.37</v>
      </c>
      <c r="I74" s="2"/>
      <c r="J74" s="7">
        <f t="shared" si="63"/>
        <v>3.1059791187894184E-3</v>
      </c>
      <c r="K74" s="2"/>
      <c r="L74" s="6">
        <f t="shared" si="64"/>
        <v>-113.37</v>
      </c>
      <c r="M74" s="2"/>
      <c r="N74" s="7">
        <f t="shared" si="65"/>
        <v>-0.83748245549235434</v>
      </c>
      <c r="O74" s="10"/>
      <c r="P74" s="6">
        <v>953.87</v>
      </c>
      <c r="Q74" s="2"/>
      <c r="R74" s="7">
        <f t="shared" si="66"/>
        <v>0</v>
      </c>
      <c r="S74" s="2"/>
      <c r="T74" s="6">
        <v>546.07000000000005</v>
      </c>
      <c r="U74" s="2"/>
      <c r="V74" s="7">
        <f t="shared" si="67"/>
        <v>9.1475945203551873E-4</v>
      </c>
      <c r="W74" s="2"/>
      <c r="X74" s="6">
        <f t="shared" si="68"/>
        <v>407.79999999999995</v>
      </c>
      <c r="Y74" s="2"/>
      <c r="Z74" s="7">
        <f t="shared" si="69"/>
        <v>0.74679070448843543</v>
      </c>
    </row>
    <row r="75" spans="1:26" s="26" customFormat="1" outlineLevel="1" collapsed="1" x14ac:dyDescent="0.25">
      <c r="A75" s="27"/>
      <c r="B75" s="12" t="str">
        <f>CONCATENATE("     ","Training                                          ")</f>
        <v xml:space="preserve">     Training                                          </v>
      </c>
      <c r="C75" s="12"/>
      <c r="D75" s="1">
        <f>SUM(OSRRefD22_16x_0)</f>
        <v>0</v>
      </c>
      <c r="E75" s="1"/>
      <c r="F75" s="5">
        <f t="shared" si="62"/>
        <v>0</v>
      </c>
      <c r="G75" s="1"/>
      <c r="H75" s="1">
        <f>SUM(OSRRefH22_16x_0)</f>
        <v>0</v>
      </c>
      <c r="I75" s="1"/>
      <c r="J75" s="5">
        <f t="shared" si="63"/>
        <v>0</v>
      </c>
      <c r="K75" s="1"/>
      <c r="L75" s="1">
        <f t="shared" si="64"/>
        <v>0</v>
      </c>
      <c r="M75" s="1"/>
      <c r="N75" s="5">
        <f t="shared" si="65"/>
        <v>0</v>
      </c>
      <c r="O75" s="12"/>
      <c r="P75" s="1">
        <f>SUM(OSRRefP22_16x_0)</f>
        <v>0</v>
      </c>
      <c r="Q75" s="1"/>
      <c r="R75" s="5">
        <f t="shared" si="66"/>
        <v>0</v>
      </c>
      <c r="S75" s="1"/>
      <c r="T75" s="1">
        <f>SUM(OSRRefT22_16x_0)</f>
        <v>14</v>
      </c>
      <c r="U75" s="1"/>
      <c r="V75" s="5">
        <f t="shared" si="67"/>
        <v>2.3452363851698979E-5</v>
      </c>
      <c r="W75" s="1"/>
      <c r="X75" s="1">
        <f t="shared" si="68"/>
        <v>-14</v>
      </c>
      <c r="Y75" s="1"/>
      <c r="Z75" s="5">
        <f t="shared" si="69"/>
        <v>-1</v>
      </c>
    </row>
    <row r="76" spans="1:26" s="23" customFormat="1" hidden="1" outlineLevel="2" x14ac:dyDescent="0.25">
      <c r="A76" s="25"/>
      <c r="B76" s="10" t="str">
        <f>CONCATENATE("          ", "6376", " - ", "TRAINING")</f>
        <v xml:space="preserve">          6376 - TRAINING</v>
      </c>
      <c r="C76" s="10"/>
      <c r="D76" s="6"/>
      <c r="E76" s="2"/>
      <c r="F76" s="7">
        <f t="shared" si="62"/>
        <v>0</v>
      </c>
      <c r="G76" s="2"/>
      <c r="H76" s="6"/>
      <c r="I76" s="2"/>
      <c r="J76" s="7">
        <f t="shared" si="63"/>
        <v>0</v>
      </c>
      <c r="K76" s="2"/>
      <c r="L76" s="6">
        <f t="shared" si="64"/>
        <v>0</v>
      </c>
      <c r="M76" s="2"/>
      <c r="N76" s="7">
        <f t="shared" si="65"/>
        <v>0</v>
      </c>
      <c r="O76" s="10"/>
      <c r="P76" s="6"/>
      <c r="Q76" s="2"/>
      <c r="R76" s="7">
        <f t="shared" si="66"/>
        <v>0</v>
      </c>
      <c r="S76" s="2"/>
      <c r="T76" s="6">
        <v>14</v>
      </c>
      <c r="U76" s="2"/>
      <c r="V76" s="7">
        <f t="shared" si="67"/>
        <v>2.3452363851698979E-5</v>
      </c>
      <c r="W76" s="2"/>
      <c r="X76" s="6">
        <f t="shared" si="68"/>
        <v>-14</v>
      </c>
      <c r="Y76" s="2"/>
      <c r="Z76" s="7">
        <f t="shared" si="69"/>
        <v>-1</v>
      </c>
    </row>
    <row r="77" spans="1:26" s="26" customFormat="1" outlineLevel="1" collapsed="1" x14ac:dyDescent="0.25">
      <c r="A77" s="27"/>
      <c r="B77" s="12" t="str">
        <f>CONCATENATE("     ","Utilities                                         ")</f>
        <v xml:space="preserve">     Utilities                                         </v>
      </c>
      <c r="C77" s="12"/>
      <c r="D77" s="1">
        <f>SUM(OSRRefD22_17x_0)</f>
        <v>-939</v>
      </c>
      <c r="E77" s="1"/>
      <c r="F77" s="5">
        <f t="shared" si="62"/>
        <v>0</v>
      </c>
      <c r="G77" s="1"/>
      <c r="H77" s="1">
        <f>SUM(OSRRefH22_17x_0)</f>
        <v>878</v>
      </c>
      <c r="I77" s="1"/>
      <c r="J77" s="5">
        <f t="shared" si="63"/>
        <v>2.0145155250772765E-2</v>
      </c>
      <c r="K77" s="1"/>
      <c r="L77" s="1">
        <f t="shared" si="64"/>
        <v>-1817</v>
      </c>
      <c r="M77" s="1"/>
      <c r="N77" s="5">
        <f t="shared" si="65"/>
        <v>-2.0694760820045559</v>
      </c>
      <c r="O77" s="12"/>
      <c r="P77" s="1">
        <f>SUM(OSRRefP22_17x_0)</f>
        <v>3451</v>
      </c>
      <c r="Q77" s="1"/>
      <c r="R77" s="5">
        <f t="shared" si="66"/>
        <v>0</v>
      </c>
      <c r="S77" s="1"/>
      <c r="T77" s="1">
        <f>SUM(OSRRefT22_17x_0)</f>
        <v>7650</v>
      </c>
      <c r="U77" s="1"/>
      <c r="V77" s="5">
        <f t="shared" si="67"/>
        <v>1.2815041676106941E-2</v>
      </c>
      <c r="W77" s="1"/>
      <c r="X77" s="1">
        <f t="shared" si="68"/>
        <v>-4199</v>
      </c>
      <c r="Y77" s="1"/>
      <c r="Z77" s="5">
        <f t="shared" si="69"/>
        <v>-0.54888888888888887</v>
      </c>
    </row>
    <row r="78" spans="1:26" s="23" customFormat="1" hidden="1" outlineLevel="2" x14ac:dyDescent="0.25">
      <c r="A78" s="25"/>
      <c r="B78" s="10" t="str">
        <f>CONCATENATE("          ", "6274", " - ", "UTILITIES")</f>
        <v xml:space="preserve">          6274 - UTILITIES</v>
      </c>
      <c r="C78" s="10"/>
      <c r="D78" s="6">
        <v>-939</v>
      </c>
      <c r="E78" s="2"/>
      <c r="F78" s="7">
        <f t="shared" si="62"/>
        <v>0</v>
      </c>
      <c r="G78" s="2"/>
      <c r="H78" s="6">
        <v>878</v>
      </c>
      <c r="I78" s="2"/>
      <c r="J78" s="7">
        <f t="shared" si="63"/>
        <v>2.0145155250772765E-2</v>
      </c>
      <c r="K78" s="2"/>
      <c r="L78" s="6">
        <f t="shared" si="64"/>
        <v>-1817</v>
      </c>
      <c r="M78" s="2"/>
      <c r="N78" s="7">
        <f t="shared" si="65"/>
        <v>-2.0694760820045559</v>
      </c>
      <c r="O78" s="10"/>
      <c r="P78" s="6">
        <v>3451</v>
      </c>
      <c r="Q78" s="2"/>
      <c r="R78" s="7">
        <f t="shared" si="66"/>
        <v>0</v>
      </c>
      <c r="S78" s="2"/>
      <c r="T78" s="6">
        <v>7650</v>
      </c>
      <c r="U78" s="2"/>
      <c r="V78" s="7">
        <f t="shared" si="67"/>
        <v>1.2815041676106941E-2</v>
      </c>
      <c r="W78" s="2"/>
      <c r="X78" s="6">
        <f t="shared" si="68"/>
        <v>-4199</v>
      </c>
      <c r="Y78" s="2"/>
      <c r="Z78" s="7">
        <f t="shared" si="69"/>
        <v>-0.54888888888888887</v>
      </c>
    </row>
    <row r="79" spans="1:26" s="60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4" customFormat="1" x14ac:dyDescent="0.25">
      <c r="A80" s="11"/>
      <c r="B80" s="28" t="s">
        <v>292</v>
      </c>
      <c r="C80" s="11"/>
      <c r="D80" s="4">
        <f>SUM(0)</f>
        <v>0</v>
      </c>
      <c r="E80" s="4"/>
      <c r="F80" s="13">
        <f>IF(D$12=0,0,D80/D$12)</f>
        <v>0</v>
      </c>
      <c r="G80" s="4"/>
      <c r="H80" s="4">
        <f>SUM(0)</f>
        <v>0</v>
      </c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1"/>
      <c r="P80" s="4">
        <f>SUM(0)</f>
        <v>0</v>
      </c>
      <c r="Q80" s="4"/>
      <c r="R80" s="13">
        <f>IF(P$12=0,0,P80/P$12)</f>
        <v>0</v>
      </c>
      <c r="S80" s="4"/>
      <c r="T80" s="4">
        <f>SUM(0)</f>
        <v>0</v>
      </c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25">
      <c r="A81" s="9"/>
      <c r="B81" s="11"/>
      <c r="C81" s="11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1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4" customFormat="1" x14ac:dyDescent="0.25">
      <c r="A82" s="11"/>
      <c r="B82" s="29" t="s">
        <v>276</v>
      </c>
      <c r="C82" s="29"/>
      <c r="D82" s="22">
        <f>+D20-D22+D80</f>
        <v>-9128.02</v>
      </c>
      <c r="E82" s="14"/>
      <c r="F82" s="20">
        <f>IF(D$12=0,0,D82/D$12)</f>
        <v>0</v>
      </c>
      <c r="G82" s="14"/>
      <c r="H82" s="22">
        <f>+H20-H22+H80</f>
        <v>-10127.029999999992</v>
      </c>
      <c r="I82" s="14"/>
      <c r="J82" s="20">
        <f>IF(H$12=0,0,H82/H$12)</f>
        <v>-0.23235830475994665</v>
      </c>
      <c r="K82" s="15"/>
      <c r="L82" s="22">
        <f>+D82-H82</f>
        <v>999.00999999999112</v>
      </c>
      <c r="M82" s="15"/>
      <c r="N82" s="20">
        <f>IF(H82=0,0,L82/H82)</f>
        <v>-9.8647876030780193E-2</v>
      </c>
      <c r="O82" s="28"/>
      <c r="P82" s="22">
        <f>+P20-P22+P80</f>
        <v>-111284.98000000001</v>
      </c>
      <c r="Q82" s="14"/>
      <c r="R82" s="20">
        <f>IF(P$12=0,0,P82/P$12)</f>
        <v>0</v>
      </c>
      <c r="S82" s="14"/>
      <c r="T82" s="22">
        <f>+T20-T22+T80</f>
        <v>41420.270000000019</v>
      </c>
      <c r="U82" s="14"/>
      <c r="V82" s="20">
        <f>IF(T$12=0,0,T82/T$12)</f>
        <v>6.9385945919686567E-2</v>
      </c>
      <c r="W82" s="15"/>
      <c r="X82" s="22">
        <f>+P82-T82</f>
        <v>-152705.25000000003</v>
      </c>
      <c r="Y82" s="15"/>
      <c r="Z82" s="20">
        <f>IF(T82=0,0,X82/T82)</f>
        <v>-3.6867275370247454</v>
      </c>
    </row>
    <row r="83" spans="1:26" x14ac:dyDescent="0.25">
      <c r="A83" s="9"/>
      <c r="B83" s="11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x14ac:dyDescent="0.25">
      <c r="A84" s="51"/>
      <c r="B84" s="11" t="s">
        <v>127</v>
      </c>
      <c r="C84" s="11"/>
      <c r="D84" s="4"/>
      <c r="E84" s="4"/>
      <c r="F84" s="13">
        <f>IF(D$12=0,0,D84/D$12)</f>
        <v>0</v>
      </c>
      <c r="G84" s="4"/>
      <c r="H84" s="4">
        <v>7565.7</v>
      </c>
      <c r="I84" s="4"/>
      <c r="J84" s="13">
        <f>IF(H$12=0,0,H84/H$12)</f>
        <v>0.17359020624233656</v>
      </c>
      <c r="K84" s="4"/>
      <c r="L84" s="4">
        <f>+D84-H84</f>
        <v>-7565.7</v>
      </c>
      <c r="M84" s="4"/>
      <c r="N84" s="13">
        <f>IF(H84=0,0,L84/H84)</f>
        <v>-1</v>
      </c>
      <c r="O84" s="11"/>
      <c r="P84" s="4"/>
      <c r="Q84" s="4"/>
      <c r="R84" s="13">
        <f>IF(P$12=0,0,P84/P$12)</f>
        <v>0</v>
      </c>
      <c r="S84" s="4"/>
      <c r="T84" s="4">
        <v>63965.15</v>
      </c>
      <c r="U84" s="4"/>
      <c r="V84" s="13">
        <f>IF(T$12=0,0,T84/T$12)</f>
        <v>0.10715242654489306</v>
      </c>
      <c r="W84" s="4"/>
      <c r="X84" s="4">
        <f>+P84-T84</f>
        <v>-63965.15</v>
      </c>
      <c r="Y84" s="4"/>
      <c r="Z84" s="13">
        <f>IF(T84=0,0,X84/T84)</f>
        <v>-1</v>
      </c>
    </row>
    <row r="85" spans="1:26" x14ac:dyDescent="0.25">
      <c r="A85" s="9"/>
      <c r="B85" s="11"/>
      <c r="C85" s="11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1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ht="15.75" thickBot="1" x14ac:dyDescent="0.3">
      <c r="A86" s="11"/>
      <c r="B86" s="29" t="s">
        <v>125</v>
      </c>
      <c r="C86" s="29"/>
      <c r="D86" s="30">
        <f>+D82-D84</f>
        <v>-9128.02</v>
      </c>
      <c r="E86" s="14"/>
      <c r="F86" s="36">
        <f>IF(D$12=0,0,D86/D$12)</f>
        <v>0</v>
      </c>
      <c r="G86" s="14"/>
      <c r="H86" s="30">
        <f>+H82-H84</f>
        <v>-17692.729999999992</v>
      </c>
      <c r="I86" s="14"/>
      <c r="J86" s="36">
        <f>IF(H$12=0,0,H86/H$12)</f>
        <v>-0.40594851100228324</v>
      </c>
      <c r="K86" s="15"/>
      <c r="L86" s="30">
        <f>D86-H86</f>
        <v>8564.7099999999919</v>
      </c>
      <c r="M86" s="15"/>
      <c r="N86" s="36">
        <f>IF(H86=0,0,L86/H86)</f>
        <v>-0.48408074955080393</v>
      </c>
      <c r="O86" s="28"/>
      <c r="P86" s="30">
        <f>+P82-P84</f>
        <v>-111284.98000000001</v>
      </c>
      <c r="Q86" s="14"/>
      <c r="R86" s="36">
        <f>IF(P$12=0,0,P86/P$12)</f>
        <v>0</v>
      </c>
      <c r="S86" s="14"/>
      <c r="T86" s="30">
        <f>+T82-T84</f>
        <v>-22544.879999999983</v>
      </c>
      <c r="U86" s="14"/>
      <c r="V86" s="36">
        <f>IF(T$12=0,0,T86/T$12)</f>
        <v>-3.7766480625206489E-2</v>
      </c>
      <c r="W86" s="15"/>
      <c r="X86" s="30">
        <f>P86-T86</f>
        <v>-88740.100000000035</v>
      </c>
      <c r="Y86" s="15"/>
      <c r="Z86" s="36">
        <f>IF(T86=0,0,X86/T86)</f>
        <v>3.9361531309991493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ht="15.75" thickBot="1" x14ac:dyDescent="0.3">
      <c r="A89" s="11"/>
      <c r="B89" s="29" t="s">
        <v>293</v>
      </c>
      <c r="C89" s="29"/>
      <c r="D89" s="35">
        <f>SUM(D86:D88)</f>
        <v>-9128.02</v>
      </c>
      <c r="E89" s="14"/>
      <c r="F89" s="34">
        <f>IF(D$12=0,0,D89/D$12)</f>
        <v>0</v>
      </c>
      <c r="G89" s="14"/>
      <c r="H89" s="35">
        <f>SUM(H86:H88)</f>
        <v>-17692.729999999992</v>
      </c>
      <c r="I89" s="14"/>
      <c r="J89" s="34">
        <f>IF(H$12=0,0,H89/H$12)</f>
        <v>-0.40594851100228324</v>
      </c>
      <c r="K89" s="15"/>
      <c r="L89" s="35">
        <f>+D89-H89</f>
        <v>8564.7099999999919</v>
      </c>
      <c r="M89" s="15"/>
      <c r="N89" s="34">
        <f>IF(H89=0,0,L89/H89)</f>
        <v>-0.48408074955080393</v>
      </c>
      <c r="O89" s="28"/>
      <c r="P89" s="35">
        <f>SUM(P86:P88)</f>
        <v>-111284.98000000001</v>
      </c>
      <c r="Q89" s="14"/>
      <c r="R89" s="34">
        <f>IF(P$12=0,0,P89/P$12)</f>
        <v>0</v>
      </c>
      <c r="S89" s="14"/>
      <c r="T89" s="35">
        <f>SUM(T86:T88)</f>
        <v>-22544.879999999983</v>
      </c>
      <c r="U89" s="14"/>
      <c r="V89" s="34">
        <f>IF(T$12=0,0,T89/T$12)</f>
        <v>-3.7766480625206489E-2</v>
      </c>
      <c r="W89" s="15"/>
      <c r="X89" s="35">
        <f>+P89-T89</f>
        <v>-88740.100000000035</v>
      </c>
      <c r="Y89" s="15"/>
      <c r="Z89" s="34">
        <f>IF(T89=0,0,X89/T89)</f>
        <v>3.9361531309991493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4">
        <v>44295.963243634258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8" t="s">
        <v>56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2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","326", " - ", "2nd Street Store")</f>
        <v>Department 326 - 2nd Street 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24047.499999999993</v>
      </c>
      <c r="E12" s="4"/>
      <c r="F12" s="13"/>
      <c r="G12" s="4"/>
      <c r="H12" s="4">
        <f>SUM(OSRRefH13x_0)</f>
        <v>26933.38</v>
      </c>
      <c r="I12" s="4"/>
      <c r="J12" s="13"/>
      <c r="K12" s="4"/>
      <c r="L12" s="4">
        <f t="shared" ref="L12:L38" si="0">+D12-H12</f>
        <v>-2885.8800000000083</v>
      </c>
      <c r="M12" s="4"/>
      <c r="N12" s="13">
        <f t="shared" ref="N12:N38" si="1">IF(H12=0,0,L12/H12)</f>
        <v>-0.10714882424708701</v>
      </c>
      <c r="O12" s="11"/>
      <c r="P12" s="4">
        <f>SUM(OSRRefP13x_0)</f>
        <v>208285.91999999998</v>
      </c>
      <c r="Q12" s="4"/>
      <c r="R12" s="13"/>
      <c r="S12" s="4"/>
      <c r="T12" s="4">
        <f>SUM(OSRRefT13x_0)</f>
        <v>429840.87</v>
      </c>
      <c r="U12" s="4"/>
      <c r="V12" s="13"/>
      <c r="W12" s="4"/>
      <c r="X12" s="4">
        <f t="shared" ref="X12:X38" si="2">+P12-T12</f>
        <v>-221554.95</v>
      </c>
      <c r="Y12" s="4"/>
      <c r="Z12" s="13">
        <f t="shared" ref="Z12:Z38" si="3">IF(T12=0,0,X12/T12)</f>
        <v>-0.51543481661015622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-458.77</f>
        <v>-458.77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-458.77</v>
      </c>
      <c r="M13" s="2"/>
      <c r="N13" s="19">
        <f t="shared" si="1"/>
        <v>0</v>
      </c>
      <c r="O13" s="10"/>
      <c r="P13" s="2">
        <f>-5502.51</f>
        <v>-5502.51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-5502.51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"4025", " - ", "TAXABLE SALES-TEST FORMS")</f>
        <v xml:space="preserve">          4025 - TAXABLE SALES-TEST FORMS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"4026", " - ", "TAXABLE SALES-WRITING INSTRUME")</f>
        <v xml:space="preserve">          4026 - TAXABLE SALES-WRITING INSTRUME</v>
      </c>
      <c r="C15" s="10"/>
      <c r="D15" s="2">
        <f>--16.37</f>
        <v>16.37</v>
      </c>
      <c r="E15" s="2"/>
      <c r="F15" s="19"/>
      <c r="G15" s="2"/>
      <c r="H15" s="2">
        <f>--4.44</f>
        <v>4.4400000000000004</v>
      </c>
      <c r="I15" s="2"/>
      <c r="J15" s="19"/>
      <c r="K15" s="2"/>
      <c r="L15" s="2">
        <f t="shared" si="0"/>
        <v>11.93</v>
      </c>
      <c r="M15" s="2"/>
      <c r="N15" s="19">
        <f t="shared" si="1"/>
        <v>2.6869369369369367</v>
      </c>
      <c r="O15" s="10"/>
      <c r="P15" s="2">
        <f>--225.25</f>
        <v>225.25</v>
      </c>
      <c r="Q15" s="2"/>
      <c r="R15" s="19"/>
      <c r="S15" s="2"/>
      <c r="T15" s="2">
        <f>--229.51</f>
        <v>229.51</v>
      </c>
      <c r="U15" s="2"/>
      <c r="V15" s="19"/>
      <c r="W15" s="2"/>
      <c r="X15" s="2">
        <f t="shared" si="2"/>
        <v>-4.2599999999999909</v>
      </c>
      <c r="Y15" s="2"/>
      <c r="Z15" s="19">
        <f t="shared" si="3"/>
        <v>-1.8561282732778489E-2</v>
      </c>
    </row>
    <row r="16" spans="1:26" s="23" customFormat="1" hidden="1" outlineLevel="1" x14ac:dyDescent="0.25">
      <c r="A16" s="44"/>
      <c r="B16" s="10" t="str">
        <f>CONCATENATE("          ", "4027", " - ", "TAXABLE SALES-SCHOOL SUPPLIES")</f>
        <v xml:space="preserve">          4027 - TAXABLE SALES-SCHOOL SUPPLIES</v>
      </c>
      <c r="C16" s="10"/>
      <c r="D16" s="2">
        <f>--59.17</f>
        <v>59.17</v>
      </c>
      <c r="E16" s="2"/>
      <c r="F16" s="19"/>
      <c r="G16" s="2"/>
      <c r="H16" s="2">
        <f t="shared" ref="H16:H17" si="5">0</f>
        <v>0</v>
      </c>
      <c r="I16" s="2"/>
      <c r="J16" s="19"/>
      <c r="K16" s="2"/>
      <c r="L16" s="2">
        <f t="shared" si="0"/>
        <v>59.17</v>
      </c>
      <c r="M16" s="2"/>
      <c r="N16" s="19">
        <f t="shared" si="1"/>
        <v>0</v>
      </c>
      <c r="O16" s="10"/>
      <c r="P16" s="2">
        <f>--393.05</f>
        <v>393.05</v>
      </c>
      <c r="Q16" s="2"/>
      <c r="R16" s="19"/>
      <c r="S16" s="2"/>
      <c r="T16" s="2">
        <f>--161.59</f>
        <v>161.59</v>
      </c>
      <c r="U16" s="2"/>
      <c r="V16" s="19"/>
      <c r="W16" s="2"/>
      <c r="X16" s="2">
        <f t="shared" si="2"/>
        <v>231.46</v>
      </c>
      <c r="Y16" s="2"/>
      <c r="Z16" s="19">
        <f t="shared" si="3"/>
        <v>1.4323906182313262</v>
      </c>
    </row>
    <row r="17" spans="1:26" s="23" customFormat="1" hidden="1" outlineLevel="1" x14ac:dyDescent="0.25">
      <c r="A17" s="44"/>
      <c r="B17" s="10" t="str">
        <f>CONCATENATE("          ", "4028", " - ", "TAXABLE SALES-ART/TECH")</f>
        <v xml:space="preserve">          4028 - TAXABLE SALES-ART/TECH</v>
      </c>
      <c r="C17" s="10"/>
      <c r="D17" s="2">
        <f>0</f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--29.24</f>
        <v>29.24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29.24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"4040", " - ", "TAXABLE SALES-LOGO CLOTHING")</f>
        <v xml:space="preserve">          4040 - TAXABLE SALES-LOGO CLOTHING</v>
      </c>
      <c r="C18" s="10"/>
      <c r="D18" s="2">
        <f>--19717.6</f>
        <v>19717.599999999999</v>
      </c>
      <c r="E18" s="2"/>
      <c r="F18" s="19"/>
      <c r="G18" s="2"/>
      <c r="H18" s="2">
        <f>--22909.58</f>
        <v>22909.58</v>
      </c>
      <c r="I18" s="2"/>
      <c r="J18" s="19"/>
      <c r="K18" s="2"/>
      <c r="L18" s="2">
        <f t="shared" si="0"/>
        <v>-3191.9800000000032</v>
      </c>
      <c r="M18" s="2"/>
      <c r="N18" s="19">
        <f t="shared" si="1"/>
        <v>-0.13932948574351878</v>
      </c>
      <c r="O18" s="10"/>
      <c r="P18" s="2">
        <f>--173457.64</f>
        <v>173457.64</v>
      </c>
      <c r="Q18" s="2"/>
      <c r="R18" s="19"/>
      <c r="S18" s="2"/>
      <c r="T18" s="2">
        <f>--361873.67</f>
        <v>361873.67</v>
      </c>
      <c r="U18" s="2"/>
      <c r="V18" s="19"/>
      <c r="W18" s="2"/>
      <c r="X18" s="2">
        <f t="shared" si="2"/>
        <v>-188416.02999999997</v>
      </c>
      <c r="Y18" s="2"/>
      <c r="Z18" s="19">
        <f t="shared" si="3"/>
        <v>-0.52066797233410211</v>
      </c>
    </row>
    <row r="19" spans="1:26" s="23" customFormat="1" hidden="1" outlineLevel="1" x14ac:dyDescent="0.25">
      <c r="A19" s="44"/>
      <c r="B19" s="10" t="str">
        <f>CONCATENATE("          ", "4041", " - ", "TAXABLE SALES-LOGO GIFTS")</f>
        <v xml:space="preserve">          4041 - TAXABLE SALES-LOGO GIFTS</v>
      </c>
      <c r="C19" s="10"/>
      <c r="D19" s="2">
        <f>--2923.25</f>
        <v>2923.25</v>
      </c>
      <c r="E19" s="2"/>
      <c r="F19" s="19"/>
      <c r="G19" s="2"/>
      <c r="H19" s="2">
        <f>--3624.21</f>
        <v>3624.21</v>
      </c>
      <c r="I19" s="2"/>
      <c r="J19" s="19"/>
      <c r="K19" s="2"/>
      <c r="L19" s="2">
        <f t="shared" si="0"/>
        <v>-700.96</v>
      </c>
      <c r="M19" s="2"/>
      <c r="N19" s="19">
        <f t="shared" si="1"/>
        <v>-0.19341042599628611</v>
      </c>
      <c r="O19" s="10"/>
      <c r="P19" s="2">
        <f>--26837.34</f>
        <v>26837.34</v>
      </c>
      <c r="Q19" s="2"/>
      <c r="R19" s="19"/>
      <c r="S19" s="2"/>
      <c r="T19" s="2">
        <f>--48550.34</f>
        <v>48550.34</v>
      </c>
      <c r="U19" s="2"/>
      <c r="V19" s="19"/>
      <c r="W19" s="2"/>
      <c r="X19" s="2">
        <f t="shared" si="2"/>
        <v>-21712.999999999996</v>
      </c>
      <c r="Y19" s="2"/>
      <c r="Z19" s="19">
        <f t="shared" si="3"/>
        <v>-0.44722652817673364</v>
      </c>
    </row>
    <row r="20" spans="1:26" s="23" customFormat="1" hidden="1" outlineLevel="1" x14ac:dyDescent="0.25">
      <c r="A20" s="44"/>
      <c r="B20" s="10" t="str">
        <f>CONCATENATE("          ", "4042", " - ", "TAXABLE SALES-EVERYDAY GIFTS")</f>
        <v xml:space="preserve">          4042 - TAXABLE SALES-EVERYDAY GIFTS</v>
      </c>
      <c r="C20" s="10"/>
      <c r="D20" s="2">
        <f>--1309.35</f>
        <v>1309.3499999999999</v>
      </c>
      <c r="E20" s="2"/>
      <c r="F20" s="19"/>
      <c r="G20" s="2"/>
      <c r="H20" s="2">
        <f>--973.42</f>
        <v>973.42</v>
      </c>
      <c r="I20" s="2"/>
      <c r="J20" s="19"/>
      <c r="K20" s="2"/>
      <c r="L20" s="2">
        <f t="shared" si="0"/>
        <v>335.92999999999995</v>
      </c>
      <c r="M20" s="2"/>
      <c r="N20" s="19">
        <f t="shared" si="1"/>
        <v>0.34510283330936281</v>
      </c>
      <c r="O20" s="10"/>
      <c r="P20" s="2">
        <f>--8219.03</f>
        <v>8219.0300000000007</v>
      </c>
      <c r="Q20" s="2"/>
      <c r="R20" s="19"/>
      <c r="S20" s="2"/>
      <c r="T20" s="2">
        <f>--30701.57</f>
        <v>30701.57</v>
      </c>
      <c r="U20" s="2"/>
      <c r="V20" s="19"/>
      <c r="W20" s="2"/>
      <c r="X20" s="2">
        <f t="shared" si="2"/>
        <v>-22482.54</v>
      </c>
      <c r="Y20" s="2"/>
      <c r="Z20" s="19">
        <f t="shared" si="3"/>
        <v>-0.73229284365587821</v>
      </c>
    </row>
    <row r="21" spans="1:26" s="23" customFormat="1" hidden="1" outlineLevel="1" x14ac:dyDescent="0.25">
      <c r="A21" s="44"/>
      <c r="B21" s="10" t="str">
        <f>CONCATENATE("          ", "4043", " - ", "TAXABLE SALES-CARDS")</f>
        <v xml:space="preserve">          4043 - TAXABLE SALES-CARDS</v>
      </c>
      <c r="C21" s="10"/>
      <c r="D21" s="2">
        <f>--1132.96</f>
        <v>1132.96</v>
      </c>
      <c r="E21" s="2"/>
      <c r="F21" s="19"/>
      <c r="G21" s="2"/>
      <c r="H21" s="2">
        <f>--29.97</f>
        <v>29.97</v>
      </c>
      <c r="I21" s="2"/>
      <c r="J21" s="19"/>
      <c r="K21" s="2"/>
      <c r="L21" s="2">
        <f t="shared" si="0"/>
        <v>1102.99</v>
      </c>
      <c r="M21" s="2"/>
      <c r="N21" s="19">
        <f t="shared" si="1"/>
        <v>36.803136469803135</v>
      </c>
      <c r="O21" s="10"/>
      <c r="P21" s="2">
        <f>--10689.9</f>
        <v>10689.9</v>
      </c>
      <c r="Q21" s="2"/>
      <c r="R21" s="19"/>
      <c r="S21" s="2"/>
      <c r="T21" s="2">
        <f>--1544.02</f>
        <v>1544.02</v>
      </c>
      <c r="U21" s="2"/>
      <c r="V21" s="19"/>
      <c r="W21" s="2"/>
      <c r="X21" s="2">
        <f t="shared" si="2"/>
        <v>9145.8799999999992</v>
      </c>
      <c r="Y21" s="2"/>
      <c r="Z21" s="19">
        <f t="shared" si="3"/>
        <v>5.9234206810792598</v>
      </c>
    </row>
    <row r="22" spans="1:26" s="23" customFormat="1" hidden="1" outlineLevel="1" x14ac:dyDescent="0.25">
      <c r="A22" s="44"/>
      <c r="B22" s="10" t="str">
        <f>CONCATENATE("          ", "4044", " - ", "TAXABLE SALES-ACCESSORIES")</f>
        <v xml:space="preserve">          4044 - TAXABLE SALES-ACCESSORIES</v>
      </c>
      <c r="C22" s="10"/>
      <c r="D22" s="2">
        <f>--140.64</f>
        <v>140.63999999999999</v>
      </c>
      <c r="E22" s="2"/>
      <c r="F22" s="19"/>
      <c r="G22" s="2"/>
      <c r="H22" s="2">
        <f>--240.45</f>
        <v>240.45</v>
      </c>
      <c r="I22" s="2"/>
      <c r="J22" s="19"/>
      <c r="K22" s="2"/>
      <c r="L22" s="2">
        <f t="shared" si="0"/>
        <v>-99.81</v>
      </c>
      <c r="M22" s="2"/>
      <c r="N22" s="19">
        <f t="shared" si="1"/>
        <v>-0.41509669369931379</v>
      </c>
      <c r="O22" s="10"/>
      <c r="P22" s="2">
        <f>--2311.39</f>
        <v>2311.39</v>
      </c>
      <c r="Q22" s="2"/>
      <c r="R22" s="19"/>
      <c r="S22" s="2"/>
      <c r="T22" s="2">
        <f>--4101.55</f>
        <v>4101.55</v>
      </c>
      <c r="U22" s="2"/>
      <c r="V22" s="19"/>
      <c r="W22" s="2"/>
      <c r="X22" s="2">
        <f t="shared" si="2"/>
        <v>-1790.1600000000003</v>
      </c>
      <c r="Y22" s="2"/>
      <c r="Z22" s="19">
        <f t="shared" si="3"/>
        <v>-0.43645938730479944</v>
      </c>
    </row>
    <row r="23" spans="1:26" s="23" customFormat="1" hidden="1" outlineLevel="1" x14ac:dyDescent="0.25">
      <c r="A23" s="44"/>
      <c r="B23" s="10" t="str">
        <f>CONCATENATE("          ", "4045", " - ", "TAXABLE SALES-SPECIAL ORDERS")</f>
        <v xml:space="preserve">          4045 - TAXABLE SALES-SPECIAL ORDERS</v>
      </c>
      <c r="C23" s="10"/>
      <c r="D23" s="2">
        <f t="shared" ref="D23:D25" si="6">0</f>
        <v>0</v>
      </c>
      <c r="E23" s="2"/>
      <c r="F23" s="19"/>
      <c r="G23" s="2"/>
      <c r="H23" s="2">
        <f t="shared" ref="H23:H26" si="7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>--326.37</f>
        <v>326.37</v>
      </c>
      <c r="Q23" s="2"/>
      <c r="R23" s="19"/>
      <c r="S23" s="2"/>
      <c r="T23" s="2">
        <f>--467.6</f>
        <v>467.6</v>
      </c>
      <c r="U23" s="2"/>
      <c r="V23" s="19"/>
      <c r="W23" s="2"/>
      <c r="X23" s="2">
        <f t="shared" si="2"/>
        <v>-141.23000000000002</v>
      </c>
      <c r="Y23" s="2"/>
      <c r="Z23" s="19">
        <f t="shared" si="3"/>
        <v>-0.30203165098374679</v>
      </c>
    </row>
    <row r="24" spans="1:26" s="23" customFormat="1" hidden="1" outlineLevel="1" x14ac:dyDescent="0.25">
      <c r="A24" s="44"/>
      <c r="B24" s="10" t="str">
        <f>CONCATENATE("          ", "4092", " - ", "TAXABLE SALES-GRAD MERCH")</f>
        <v xml:space="preserve">          4092 - TAXABLE SALES-GRAD MERCH</v>
      </c>
      <c r="C24" s="10"/>
      <c r="D24" s="2">
        <f t="shared" si="6"/>
        <v>0</v>
      </c>
      <c r="E24" s="2"/>
      <c r="F24" s="19"/>
      <c r="G24" s="2"/>
      <c r="H24" s="2">
        <f t="shared" si="7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ref="P24:P25" si="8">0</f>
        <v>0</v>
      </c>
      <c r="Q24" s="2"/>
      <c r="R24" s="19"/>
      <c r="S24" s="2"/>
      <c r="T24" s="2">
        <f>-39.95</f>
        <v>-39.950000000000003</v>
      </c>
      <c r="U24" s="2"/>
      <c r="V24" s="19"/>
      <c r="W24" s="2"/>
      <c r="X24" s="2">
        <f t="shared" si="2"/>
        <v>39.950000000000003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"4095", " - ", "TAXABLE SALES-CUSTOMER SERVICE")</f>
        <v xml:space="preserve">          4095 - TAXABLE SALES-CUSTOMER SERVICE</v>
      </c>
      <c r="C25" s="10"/>
      <c r="D25" s="2">
        <f t="shared" si="6"/>
        <v>0</v>
      </c>
      <c r="E25" s="2"/>
      <c r="F25" s="19"/>
      <c r="G25" s="2"/>
      <c r="H25" s="2">
        <f t="shared" si="7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 t="shared" si="8"/>
        <v>0</v>
      </c>
      <c r="Q25" s="2"/>
      <c r="R25" s="19"/>
      <c r="S25" s="2"/>
      <c r="T25" s="2">
        <f>--29.7</f>
        <v>29.7</v>
      </c>
      <c r="U25" s="2"/>
      <c r="V25" s="19"/>
      <c r="W25" s="2"/>
      <c r="X25" s="2">
        <f t="shared" si="2"/>
        <v>-29.7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"4131", " - ", "NON-TAXABLE SALES-FOOD")</f>
        <v xml:space="preserve">          4131 - NON-TAXABLE SALES-FOOD</v>
      </c>
      <c r="C26" s="10"/>
      <c r="D26" s="2">
        <f>--3</f>
        <v>3</v>
      </c>
      <c r="E26" s="2"/>
      <c r="F26" s="19"/>
      <c r="G26" s="2"/>
      <c r="H26" s="2">
        <f t="shared" si="7"/>
        <v>0</v>
      </c>
      <c r="I26" s="2"/>
      <c r="J26" s="19"/>
      <c r="K26" s="2"/>
      <c r="L26" s="2">
        <f t="shared" si="0"/>
        <v>3</v>
      </c>
      <c r="M26" s="2"/>
      <c r="N26" s="19">
        <f t="shared" si="1"/>
        <v>0</v>
      </c>
      <c r="O26" s="10"/>
      <c r="P26" s="2">
        <f>--45</f>
        <v>45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45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"4137", " - ", "NON-TAXABLE SALES-WATER")</f>
        <v xml:space="preserve">          4137 - NON-TAXABLE SALES-WATER</v>
      </c>
      <c r="C27" s="10"/>
      <c r="D27" s="2">
        <f>0</f>
        <v>0</v>
      </c>
      <c r="E27" s="2"/>
      <c r="F27" s="19"/>
      <c r="G27" s="2"/>
      <c r="H27" s="2">
        <f>--7.5</f>
        <v>7.5</v>
      </c>
      <c r="I27" s="2"/>
      <c r="J27" s="19"/>
      <c r="K27" s="2"/>
      <c r="L27" s="2">
        <f t="shared" si="0"/>
        <v>-7.5</v>
      </c>
      <c r="M27" s="2"/>
      <c r="N27" s="19">
        <f t="shared" si="1"/>
        <v>-1</v>
      </c>
      <c r="O27" s="10"/>
      <c r="P27" s="2">
        <f>--9</f>
        <v>9</v>
      </c>
      <c r="Q27" s="2"/>
      <c r="R27" s="19"/>
      <c r="S27" s="2"/>
      <c r="T27" s="2">
        <f>--123</f>
        <v>123</v>
      </c>
      <c r="U27" s="2"/>
      <c r="V27" s="19"/>
      <c r="W27" s="2"/>
      <c r="X27" s="2">
        <f t="shared" si="2"/>
        <v>-114</v>
      </c>
      <c r="Y27" s="2"/>
      <c r="Z27" s="19">
        <f t="shared" si="3"/>
        <v>-0.92682926829268297</v>
      </c>
    </row>
    <row r="28" spans="1:26" s="23" customFormat="1" hidden="1" outlineLevel="1" x14ac:dyDescent="0.25">
      <c r="A28" s="44"/>
      <c r="B28" s="10" t="str">
        <f>CONCATENATE("          ", "4140", " - ", "NON-TAXABLE SALES-LOGO CLOTHIN")</f>
        <v xml:space="preserve">          4140 - NON-TAXABLE SALES-LOGO CLOTHIN</v>
      </c>
      <c r="C28" s="10"/>
      <c r="D28" s="2">
        <f>--33.71</f>
        <v>33.71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33.71</v>
      </c>
      <c r="M28" s="2"/>
      <c r="N28" s="19">
        <f t="shared" si="1"/>
        <v>0</v>
      </c>
      <c r="O28" s="10"/>
      <c r="P28" s="2">
        <f>--199.49</f>
        <v>199.49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199.49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"4142", " - ", "NON-TAXABLE SALES-EVERYDAY GIF")</f>
        <v xml:space="preserve">          4142 - NON-TAXABLE SALES-EVERYDAY GIF</v>
      </c>
      <c r="C29" s="10"/>
      <c r="D29" s="2">
        <f t="shared" ref="D29:D32" si="9">0</f>
        <v>0</v>
      </c>
      <c r="E29" s="2"/>
      <c r="F29" s="19"/>
      <c r="G29" s="2"/>
      <c r="H29" s="2">
        <f>--14.54</f>
        <v>14.54</v>
      </c>
      <c r="I29" s="2"/>
      <c r="J29" s="19"/>
      <c r="K29" s="2"/>
      <c r="L29" s="2">
        <f t="shared" si="0"/>
        <v>-14.54</v>
      </c>
      <c r="M29" s="2"/>
      <c r="N29" s="19">
        <f t="shared" si="1"/>
        <v>-1</v>
      </c>
      <c r="O29" s="10"/>
      <c r="P29" s="2">
        <f>0</f>
        <v>0</v>
      </c>
      <c r="Q29" s="2"/>
      <c r="R29" s="19"/>
      <c r="S29" s="2"/>
      <c r="T29" s="2">
        <f>--591.86</f>
        <v>591.86</v>
      </c>
      <c r="U29" s="2"/>
      <c r="V29" s="19"/>
      <c r="W29" s="2"/>
      <c r="X29" s="2">
        <f t="shared" si="2"/>
        <v>-591.86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"4145", " - ", "NON-TAXABLE SALES-SPECIAL ORDE")</f>
        <v xml:space="preserve">          4145 - NON-TAXABLE SALES-SPECIAL ORDE</v>
      </c>
      <c r="C30" s="10"/>
      <c r="D30" s="2">
        <f t="shared" si="9"/>
        <v>0</v>
      </c>
      <c r="E30" s="2"/>
      <c r="F30" s="19"/>
      <c r="G30" s="2"/>
      <c r="H30" s="2">
        <f t="shared" ref="H30:H32" si="10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--7</f>
        <v>7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7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"4226", " - ", "SALES RETURN TAXABLE-WRITING I")</f>
        <v xml:space="preserve">          4226 - SALES RETURN TAXABLE-WRITING I</v>
      </c>
      <c r="C31" s="10"/>
      <c r="D31" s="2">
        <f t="shared" si="9"/>
        <v>0</v>
      </c>
      <c r="E31" s="2"/>
      <c r="F31" s="19"/>
      <c r="G31" s="2"/>
      <c r="H31" s="2">
        <f t="shared" si="10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-27.85</f>
        <v>-27.85</v>
      </c>
      <c r="Q31" s="2"/>
      <c r="R31" s="19"/>
      <c r="S31" s="2"/>
      <c r="T31" s="2">
        <f>-134.8</f>
        <v>-134.80000000000001</v>
      </c>
      <c r="U31" s="2"/>
      <c r="V31" s="19"/>
      <c r="W31" s="2"/>
      <c r="X31" s="2">
        <f t="shared" si="2"/>
        <v>106.95000000000002</v>
      </c>
      <c r="Y31" s="2"/>
      <c r="Z31" s="19">
        <f t="shared" si="3"/>
        <v>-0.79339762611275966</v>
      </c>
    </row>
    <row r="32" spans="1:26" s="23" customFormat="1" hidden="1" outlineLevel="1" x14ac:dyDescent="0.25">
      <c r="A32" s="44"/>
      <c r="B32" s="10" t="str">
        <f>CONCATENATE("          ", "4227", " - ", "SALES RETURN TAXABLE-SCHOOL SU")</f>
        <v xml:space="preserve">          4227 - SALES RETURN TAXABLE-SCHOOL SU</v>
      </c>
      <c r="C32" s="10"/>
      <c r="D32" s="2">
        <f t="shared" si="9"/>
        <v>0</v>
      </c>
      <c r="E32" s="2"/>
      <c r="F32" s="19"/>
      <c r="G32" s="2"/>
      <c r="H32" s="2">
        <f t="shared" si="10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-43.21</f>
        <v>-43.21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-43.21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"4240", " - ", "SALES RETURN TAXABLE-LOGO CLOT")</f>
        <v xml:space="preserve">          4240 - SALES RETURN TAXABLE-LOGO CLOT</v>
      </c>
      <c r="C33" s="10"/>
      <c r="D33" s="2">
        <f>-615.04</f>
        <v>-615.04</v>
      </c>
      <c r="E33" s="2"/>
      <c r="F33" s="19"/>
      <c r="G33" s="2"/>
      <c r="H33" s="2">
        <f>-862.73</f>
        <v>-862.73</v>
      </c>
      <c r="I33" s="2"/>
      <c r="J33" s="19"/>
      <c r="K33" s="2"/>
      <c r="L33" s="2">
        <f t="shared" si="0"/>
        <v>247.69000000000005</v>
      </c>
      <c r="M33" s="2"/>
      <c r="N33" s="19">
        <f t="shared" si="1"/>
        <v>-0.28710025152712904</v>
      </c>
      <c r="O33" s="10"/>
      <c r="P33" s="2">
        <f>-7951.32</f>
        <v>-7951.32</v>
      </c>
      <c r="Q33" s="2"/>
      <c r="R33" s="19"/>
      <c r="S33" s="2"/>
      <c r="T33" s="2">
        <f>-16122.19</f>
        <v>-16122.19</v>
      </c>
      <c r="U33" s="2"/>
      <c r="V33" s="19"/>
      <c r="W33" s="2"/>
      <c r="X33" s="2">
        <f t="shared" si="2"/>
        <v>8170.8700000000008</v>
      </c>
      <c r="Y33" s="2"/>
      <c r="Z33" s="19">
        <f t="shared" si="3"/>
        <v>-0.50680893848788533</v>
      </c>
    </row>
    <row r="34" spans="1:26" s="23" customFormat="1" hidden="1" outlineLevel="1" x14ac:dyDescent="0.25">
      <c r="A34" s="44"/>
      <c r="B34" s="10" t="str">
        <f>CONCATENATE("          ", "4241", " - ", "SALES RETURN TAXABLE-LOGO GIFT")</f>
        <v xml:space="preserve">          4241 - SALES RETURN TAXABLE-LOGO GIFT</v>
      </c>
      <c r="C34" s="10"/>
      <c r="D34" s="2">
        <f>-171.84</f>
        <v>-171.84</v>
      </c>
      <c r="E34" s="2"/>
      <c r="F34" s="19"/>
      <c r="G34" s="2"/>
      <c r="H34" s="2">
        <f>-6.95</f>
        <v>-6.95</v>
      </c>
      <c r="I34" s="2"/>
      <c r="J34" s="19"/>
      <c r="K34" s="2"/>
      <c r="L34" s="2">
        <f t="shared" si="0"/>
        <v>-164.89000000000001</v>
      </c>
      <c r="M34" s="2"/>
      <c r="N34" s="19">
        <f t="shared" si="1"/>
        <v>23.725179856115108</v>
      </c>
      <c r="O34" s="10"/>
      <c r="P34" s="2">
        <f>-562.95</f>
        <v>-562.95000000000005</v>
      </c>
      <c r="Q34" s="2"/>
      <c r="R34" s="19"/>
      <c r="S34" s="2"/>
      <c r="T34" s="2">
        <f>-1260.11</f>
        <v>-1260.1099999999999</v>
      </c>
      <c r="U34" s="2"/>
      <c r="V34" s="19"/>
      <c r="W34" s="2"/>
      <c r="X34" s="2">
        <f t="shared" si="2"/>
        <v>697.15999999999985</v>
      </c>
      <c r="Y34" s="2"/>
      <c r="Z34" s="19">
        <f t="shared" si="3"/>
        <v>-0.55325328741141644</v>
      </c>
    </row>
    <row r="35" spans="1:26" s="23" customFormat="1" hidden="1" outlineLevel="1" x14ac:dyDescent="0.25">
      <c r="A35" s="44"/>
      <c r="B35" s="10" t="str">
        <f>CONCATENATE("          ", "4242", " - ", "SALES RETURN TAXABLE-EVERYDAY")</f>
        <v xml:space="preserve">          4242 - SALES RETURN TAXABLE-EVERYDAY</v>
      </c>
      <c r="C35" s="10"/>
      <c r="D35" s="2">
        <f>-29.95</f>
        <v>-29.95</v>
      </c>
      <c r="E35" s="2"/>
      <c r="F35" s="19"/>
      <c r="G35" s="2"/>
      <c r="H35" s="2">
        <f>-1.05</f>
        <v>-1.05</v>
      </c>
      <c r="I35" s="2"/>
      <c r="J35" s="19"/>
      <c r="K35" s="2"/>
      <c r="L35" s="2">
        <f t="shared" si="0"/>
        <v>-28.9</v>
      </c>
      <c r="M35" s="2"/>
      <c r="N35" s="19">
        <f t="shared" si="1"/>
        <v>27.523809523809522</v>
      </c>
      <c r="O35" s="10"/>
      <c r="P35" s="2">
        <f>-326.06</f>
        <v>-326.06</v>
      </c>
      <c r="Q35" s="2"/>
      <c r="R35" s="19"/>
      <c r="S35" s="2"/>
      <c r="T35" s="2">
        <f>-850.31</f>
        <v>-850.31</v>
      </c>
      <c r="U35" s="2"/>
      <c r="V35" s="19"/>
      <c r="W35" s="2"/>
      <c r="X35" s="2">
        <f t="shared" si="2"/>
        <v>524.25</v>
      </c>
      <c r="Y35" s="2"/>
      <c r="Z35" s="19">
        <f t="shared" si="3"/>
        <v>-0.61653985017229018</v>
      </c>
    </row>
    <row r="36" spans="1:26" s="23" customFormat="1" hidden="1" outlineLevel="1" x14ac:dyDescent="0.25">
      <c r="A36" s="44"/>
      <c r="B36" s="10" t="str">
        <f>CONCATENATE("          ", "4244", " - ", "SALES RETURN TAXABLE-ACCESSORI")</f>
        <v xml:space="preserve">          4244 - SALES RETURN TAXABLE-ACCESSORI</v>
      </c>
      <c r="C36" s="10"/>
      <c r="D36" s="2">
        <f>-12.95</f>
        <v>-12.95</v>
      </c>
      <c r="E36" s="2"/>
      <c r="F36" s="19"/>
      <c r="G36" s="2"/>
      <c r="H36" s="2">
        <f t="shared" ref="H36:H38" si="11">0</f>
        <v>0</v>
      </c>
      <c r="I36" s="2"/>
      <c r="J36" s="19"/>
      <c r="K36" s="2"/>
      <c r="L36" s="2">
        <f t="shared" si="0"/>
        <v>-12.95</v>
      </c>
      <c r="M36" s="2"/>
      <c r="N36" s="19">
        <f t="shared" si="1"/>
        <v>0</v>
      </c>
      <c r="O36" s="10"/>
      <c r="P36" s="2">
        <f>-42.88</f>
        <v>-42.88</v>
      </c>
      <c r="Q36" s="2"/>
      <c r="R36" s="19"/>
      <c r="S36" s="2"/>
      <c r="T36" s="2">
        <f>-130.8</f>
        <v>-130.80000000000001</v>
      </c>
      <c r="U36" s="2"/>
      <c r="V36" s="19"/>
      <c r="W36" s="2"/>
      <c r="X36" s="2">
        <f t="shared" si="2"/>
        <v>87.920000000000016</v>
      </c>
      <c r="Y36" s="2"/>
      <c r="Z36" s="19">
        <f t="shared" si="3"/>
        <v>-0.67217125382262999</v>
      </c>
    </row>
    <row r="37" spans="1:26" s="23" customFormat="1" hidden="1" outlineLevel="1" x14ac:dyDescent="0.25">
      <c r="A37" s="44"/>
      <c r="B37" s="10" t="str">
        <f>CONCATENATE("          ", "4245", " - ", "SALES RETURN TAXABLE-SPECIAL O")</f>
        <v xml:space="preserve">          4245 - SALES RETURN TAXABLE-SPECIAL O</v>
      </c>
      <c r="C37" s="10"/>
      <c r="D37" s="2">
        <f t="shared" ref="D37:D38" si="12">0</f>
        <v>0</v>
      </c>
      <c r="E37" s="2"/>
      <c r="F37" s="19"/>
      <c r="G37" s="2"/>
      <c r="H37" s="2">
        <f t="shared" si="11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-7</f>
        <v>-7</v>
      </c>
      <c r="Q37" s="2"/>
      <c r="R37" s="19"/>
      <c r="S37" s="2"/>
      <c r="T37" s="2">
        <f>-9.99</f>
        <v>-9.99</v>
      </c>
      <c r="U37" s="2"/>
      <c r="V37" s="19"/>
      <c r="W37" s="2"/>
      <c r="X37" s="2">
        <f t="shared" si="2"/>
        <v>2.99</v>
      </c>
      <c r="Y37" s="2"/>
      <c r="Z37" s="19">
        <f t="shared" si="3"/>
        <v>-0.29929929929929933</v>
      </c>
    </row>
    <row r="38" spans="1:26" s="23" customFormat="1" hidden="1" outlineLevel="1" x14ac:dyDescent="0.25">
      <c r="A38" s="44"/>
      <c r="B38" s="10" t="str">
        <f>CONCATENATE("          ", "4295", " - ", "SALES RETURN TAXABLE-CUSTOMER")</f>
        <v xml:space="preserve">          4295 - SALES RETURN TAXABLE-CUSTOMER</v>
      </c>
      <c r="C38" s="10"/>
      <c r="D38" s="2">
        <f t="shared" si="12"/>
        <v>0</v>
      </c>
      <c r="E38" s="2"/>
      <c r="F38" s="19"/>
      <c r="G38" s="2"/>
      <c r="H38" s="2">
        <f t="shared" si="11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>0</f>
        <v>0</v>
      </c>
      <c r="Q38" s="2"/>
      <c r="R38" s="19"/>
      <c r="S38" s="2"/>
      <c r="T38" s="2">
        <f>--0.99</f>
        <v>0.99</v>
      </c>
      <c r="U38" s="2"/>
      <c r="V38" s="19"/>
      <c r="W38" s="2"/>
      <c r="X38" s="2">
        <f t="shared" si="2"/>
        <v>-0.99</v>
      </c>
      <c r="Y38" s="2"/>
      <c r="Z38" s="19">
        <f t="shared" si="3"/>
        <v>-1</v>
      </c>
    </row>
    <row r="39" spans="1:26" x14ac:dyDescent="0.25">
      <c r="A39" s="9"/>
      <c r="B39" s="11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collapsed="1" x14ac:dyDescent="0.25">
      <c r="A40" s="11"/>
      <c r="B40" s="28" t="s">
        <v>256</v>
      </c>
      <c r="C40" s="11"/>
      <c r="D40" s="4">
        <f>SUM(OSRRefD16x_0)</f>
        <v>10821</v>
      </c>
      <c r="E40" s="4"/>
      <c r="F40" s="13">
        <f t="shared" ref="F40:F57" si="13">IF(D$12=0,0,D40/D$12)</f>
        <v>0.4499844058633955</v>
      </c>
      <c r="G40" s="4"/>
      <c r="H40" s="4">
        <f>SUM(OSRRefH16x_0)</f>
        <v>11524.12</v>
      </c>
      <c r="I40" s="4"/>
      <c r="J40" s="13">
        <f t="shared" ref="J40:J57" si="14">IF(H$12=0,0,H40/H$12)</f>
        <v>0.42787500120668109</v>
      </c>
      <c r="K40" s="4"/>
      <c r="L40" s="4">
        <f t="shared" ref="L40:L57" si="15">+D40-H40</f>
        <v>-703.1200000000008</v>
      </c>
      <c r="M40" s="4"/>
      <c r="N40" s="13">
        <f t="shared" ref="N40:N57" si="16">IF(H40=0,0,L40/H40)</f>
        <v>-6.1012901635873348E-2</v>
      </c>
      <c r="O40" s="11"/>
      <c r="P40" s="4">
        <f>SUM(OSRRefP16x_0)</f>
        <v>93095</v>
      </c>
      <c r="Q40" s="4"/>
      <c r="R40" s="13">
        <f t="shared" ref="R40:R57" si="17">IF(P$12=0,0,P40/P$12)</f>
        <v>0.44695772042584542</v>
      </c>
      <c r="S40" s="4"/>
      <c r="T40" s="4">
        <f>SUM(OSRRefT16x_0)</f>
        <v>183317.93000000002</v>
      </c>
      <c r="U40" s="4"/>
      <c r="V40" s="13">
        <f t="shared" ref="V40:V57" si="18">IF(T$12=0,0,T40/T$12)</f>
        <v>0.42647859427606322</v>
      </c>
      <c r="W40" s="4"/>
      <c r="X40" s="4">
        <f t="shared" ref="X40:X57" si="19">+P40-T40</f>
        <v>-90222.930000000022</v>
      </c>
      <c r="Y40" s="4"/>
      <c r="Z40" s="13">
        <f t="shared" ref="Z40:Z57" si="20">IF(T40=0,0,X40/T40)</f>
        <v>-0.49216642365534025</v>
      </c>
    </row>
    <row r="41" spans="1:26" s="23" customFormat="1" hidden="1" outlineLevel="1" x14ac:dyDescent="0.25">
      <c r="A41" s="44"/>
      <c r="B41" s="10" t="str">
        <f>CONCATENATE("          ", "5025", " - ", "PURCHASES @ COST-TEST FORMS")</f>
        <v xml:space="preserve">          5025 - PURCHASES @ COST-TEST FORMS</v>
      </c>
      <c r="C41" s="10"/>
      <c r="D41" s="2"/>
      <c r="E41" s="2"/>
      <c r="F41" s="19">
        <f t="shared" si="13"/>
        <v>0</v>
      </c>
      <c r="G41" s="2"/>
      <c r="H41" s="2"/>
      <c r="I41" s="2"/>
      <c r="J41" s="19">
        <f t="shared" si="14"/>
        <v>0</v>
      </c>
      <c r="K41" s="2"/>
      <c r="L41" s="2">
        <f t="shared" si="15"/>
        <v>0</v>
      </c>
      <c r="M41" s="2"/>
      <c r="N41" s="19">
        <f t="shared" si="16"/>
        <v>0</v>
      </c>
      <c r="O41" s="10"/>
      <c r="P41" s="2"/>
      <c r="Q41" s="2"/>
      <c r="R41" s="19">
        <f t="shared" si="17"/>
        <v>0</v>
      </c>
      <c r="S41" s="2"/>
      <c r="T41" s="2">
        <v>6.06</v>
      </c>
      <c r="U41" s="2"/>
      <c r="V41" s="19">
        <f t="shared" si="18"/>
        <v>1.4098240588429853E-5</v>
      </c>
      <c r="W41" s="2"/>
      <c r="X41" s="2">
        <f t="shared" si="19"/>
        <v>-6.06</v>
      </c>
      <c r="Y41" s="2"/>
      <c r="Z41" s="19">
        <f t="shared" si="20"/>
        <v>-1</v>
      </c>
    </row>
    <row r="42" spans="1:26" s="23" customFormat="1" hidden="1" outlineLevel="1" x14ac:dyDescent="0.25">
      <c r="A42" s="44"/>
      <c r="B42" s="10" t="str">
        <f>CONCATENATE("          ", "5026", " - ", "PURCHASES @ COST-WRITING INSTR")</f>
        <v xml:space="preserve">          5026 - PURCHASES @ COST-WRITING INSTR</v>
      </c>
      <c r="C42" s="10"/>
      <c r="D42" s="2"/>
      <c r="E42" s="2"/>
      <c r="F42" s="19">
        <f t="shared" si="13"/>
        <v>0</v>
      </c>
      <c r="G42" s="2"/>
      <c r="H42" s="2"/>
      <c r="I42" s="2"/>
      <c r="J42" s="19">
        <f t="shared" si="14"/>
        <v>0</v>
      </c>
      <c r="K42" s="2"/>
      <c r="L42" s="2">
        <f t="shared" si="15"/>
        <v>0</v>
      </c>
      <c r="M42" s="2"/>
      <c r="N42" s="19">
        <f t="shared" si="16"/>
        <v>0</v>
      </c>
      <c r="O42" s="10"/>
      <c r="P42" s="2"/>
      <c r="Q42" s="2"/>
      <c r="R42" s="19">
        <f t="shared" si="17"/>
        <v>0</v>
      </c>
      <c r="S42" s="2"/>
      <c r="T42" s="2">
        <v>1198.07</v>
      </c>
      <c r="U42" s="2"/>
      <c r="V42" s="19">
        <f t="shared" si="18"/>
        <v>2.7872407758713124E-3</v>
      </c>
      <c r="W42" s="2"/>
      <c r="X42" s="2">
        <f t="shared" si="19"/>
        <v>-1198.07</v>
      </c>
      <c r="Y42" s="2"/>
      <c r="Z42" s="19">
        <f t="shared" si="20"/>
        <v>-1</v>
      </c>
    </row>
    <row r="43" spans="1:26" s="23" customFormat="1" hidden="1" outlineLevel="1" x14ac:dyDescent="0.25">
      <c r="A43" s="44"/>
      <c r="B43" s="10" t="str">
        <f>CONCATENATE("          ", "5027", " - ", "PURCHASES @ COST-SCHOOL SUPPLI")</f>
        <v xml:space="preserve">          5027 - PURCHASES @ COST-SCHOOL SUPPLI</v>
      </c>
      <c r="C43" s="10"/>
      <c r="D43" s="2"/>
      <c r="E43" s="2"/>
      <c r="F43" s="19">
        <f t="shared" si="13"/>
        <v>0</v>
      </c>
      <c r="G43" s="2"/>
      <c r="H43" s="2"/>
      <c r="I43" s="2"/>
      <c r="J43" s="19">
        <f t="shared" si="14"/>
        <v>0</v>
      </c>
      <c r="K43" s="2"/>
      <c r="L43" s="2">
        <f t="shared" si="15"/>
        <v>0</v>
      </c>
      <c r="M43" s="2"/>
      <c r="N43" s="19">
        <f t="shared" si="16"/>
        <v>0</v>
      </c>
      <c r="O43" s="10"/>
      <c r="P43" s="2"/>
      <c r="Q43" s="2"/>
      <c r="R43" s="19">
        <f t="shared" si="17"/>
        <v>0</v>
      </c>
      <c r="S43" s="2"/>
      <c r="T43" s="2">
        <v>325.45</v>
      </c>
      <c r="U43" s="2"/>
      <c r="V43" s="19">
        <f t="shared" si="18"/>
        <v>7.5714065998424022E-4</v>
      </c>
      <c r="W43" s="2"/>
      <c r="X43" s="2">
        <f t="shared" si="19"/>
        <v>-325.45</v>
      </c>
      <c r="Y43" s="2"/>
      <c r="Z43" s="19">
        <f t="shared" si="20"/>
        <v>-1</v>
      </c>
    </row>
    <row r="44" spans="1:26" s="23" customFormat="1" hidden="1" outlineLevel="1" x14ac:dyDescent="0.25">
      <c r="A44" s="44"/>
      <c r="B44" s="10" t="str">
        <f>CONCATENATE("          ", "5037", " - ", "PURCHASES @ COST-WATER")</f>
        <v xml:space="preserve">          5037 - PURCHASES @ COST-WATER</v>
      </c>
      <c r="C44" s="10"/>
      <c r="D44" s="2"/>
      <c r="E44" s="2"/>
      <c r="F44" s="19">
        <f t="shared" si="13"/>
        <v>0</v>
      </c>
      <c r="G44" s="2"/>
      <c r="H44" s="2"/>
      <c r="I44" s="2"/>
      <c r="J44" s="19">
        <f t="shared" si="14"/>
        <v>0</v>
      </c>
      <c r="K44" s="2"/>
      <c r="L44" s="2">
        <f t="shared" si="15"/>
        <v>0</v>
      </c>
      <c r="M44" s="2"/>
      <c r="N44" s="19">
        <f t="shared" si="16"/>
        <v>0</v>
      </c>
      <c r="O44" s="10"/>
      <c r="P44" s="2"/>
      <c r="Q44" s="2"/>
      <c r="R44" s="19">
        <f t="shared" si="17"/>
        <v>0</v>
      </c>
      <c r="S44" s="2"/>
      <c r="T44" s="2">
        <v>29.76</v>
      </c>
      <c r="U44" s="2"/>
      <c r="V44" s="19">
        <f t="shared" si="18"/>
        <v>6.9234924077833738E-5</v>
      </c>
      <c r="W44" s="2"/>
      <c r="X44" s="2">
        <f t="shared" si="19"/>
        <v>-29.76</v>
      </c>
      <c r="Y44" s="2"/>
      <c r="Z44" s="19">
        <f t="shared" si="20"/>
        <v>-1</v>
      </c>
    </row>
    <row r="45" spans="1:26" s="23" customFormat="1" hidden="1" outlineLevel="1" x14ac:dyDescent="0.25">
      <c r="A45" s="44"/>
      <c r="B45" s="10" t="str">
        <f>CONCATENATE("          ", "5040", " - ", "PURCHASES @ COST-LOGO CLOTHING")</f>
        <v xml:space="preserve">          5040 - PURCHASES @ COST-LOGO CLOTHING</v>
      </c>
      <c r="C45" s="10"/>
      <c r="D45" s="2"/>
      <c r="E45" s="2"/>
      <c r="F45" s="19">
        <f t="shared" si="13"/>
        <v>0</v>
      </c>
      <c r="G45" s="2"/>
      <c r="H45" s="2">
        <v>5279.63</v>
      </c>
      <c r="I45" s="2"/>
      <c r="J45" s="19">
        <f t="shared" si="14"/>
        <v>0.19602552668844386</v>
      </c>
      <c r="K45" s="2"/>
      <c r="L45" s="2">
        <f t="shared" si="15"/>
        <v>-5279.63</v>
      </c>
      <c r="M45" s="2"/>
      <c r="N45" s="19">
        <f t="shared" si="16"/>
        <v>-1</v>
      </c>
      <c r="O45" s="10"/>
      <c r="P45" s="2">
        <v>0</v>
      </c>
      <c r="Q45" s="2"/>
      <c r="R45" s="19">
        <f t="shared" si="17"/>
        <v>0</v>
      </c>
      <c r="S45" s="2"/>
      <c r="T45" s="2">
        <v>195724.82</v>
      </c>
      <c r="U45" s="2"/>
      <c r="V45" s="19">
        <f t="shared" si="18"/>
        <v>0.4553425084962256</v>
      </c>
      <c r="W45" s="2"/>
      <c r="X45" s="2">
        <f t="shared" si="19"/>
        <v>-195724.82</v>
      </c>
      <c r="Y45" s="2"/>
      <c r="Z45" s="19">
        <f t="shared" si="20"/>
        <v>-1</v>
      </c>
    </row>
    <row r="46" spans="1:26" s="23" customFormat="1" hidden="1" outlineLevel="1" x14ac:dyDescent="0.25">
      <c r="A46" s="44"/>
      <c r="B46" s="10" t="str">
        <f>CONCATENATE("          ", "5041", " - ", "PURCHASES @ COST-LOGO GIFTS")</f>
        <v xml:space="preserve">          5041 - PURCHASES @ COST-LOGO GIFTS</v>
      </c>
      <c r="C46" s="10"/>
      <c r="D46" s="2"/>
      <c r="E46" s="2"/>
      <c r="F46" s="19">
        <f t="shared" si="13"/>
        <v>0</v>
      </c>
      <c r="G46" s="2"/>
      <c r="H46" s="2">
        <v>946.37</v>
      </c>
      <c r="I46" s="2"/>
      <c r="J46" s="19">
        <f t="shared" si="14"/>
        <v>3.5137439118298558E-2</v>
      </c>
      <c r="K46" s="2"/>
      <c r="L46" s="2">
        <f t="shared" si="15"/>
        <v>-946.37</v>
      </c>
      <c r="M46" s="2"/>
      <c r="N46" s="19">
        <f t="shared" si="16"/>
        <v>-1</v>
      </c>
      <c r="O46" s="10"/>
      <c r="P46" s="2">
        <v>207.6</v>
      </c>
      <c r="Q46" s="2"/>
      <c r="R46" s="19">
        <f t="shared" si="17"/>
        <v>9.9670683452822927E-4</v>
      </c>
      <c r="S46" s="2"/>
      <c r="T46" s="2">
        <v>25927.26</v>
      </c>
      <c r="U46" s="2"/>
      <c r="V46" s="19">
        <f t="shared" si="18"/>
        <v>6.0318275458543527E-2</v>
      </c>
      <c r="W46" s="2"/>
      <c r="X46" s="2">
        <f t="shared" si="19"/>
        <v>-25719.66</v>
      </c>
      <c r="Y46" s="2"/>
      <c r="Z46" s="19">
        <f t="shared" si="20"/>
        <v>-0.99199298344676612</v>
      </c>
    </row>
    <row r="47" spans="1:26" s="23" customFormat="1" hidden="1" outlineLevel="1" x14ac:dyDescent="0.25">
      <c r="A47" s="44"/>
      <c r="B47" s="10" t="str">
        <f>CONCATENATE("          ", "5042", " - ", "PURCHASES @ COST-EVERYDAY GIFT")</f>
        <v xml:space="preserve">          5042 - PURCHASES @ COST-EVERYDAY GIFT</v>
      </c>
      <c r="C47" s="10"/>
      <c r="D47" s="2"/>
      <c r="E47" s="2"/>
      <c r="F47" s="19">
        <f t="shared" si="13"/>
        <v>0</v>
      </c>
      <c r="G47" s="2"/>
      <c r="H47" s="2">
        <v>967.68</v>
      </c>
      <c r="I47" s="2"/>
      <c r="J47" s="19">
        <f t="shared" si="14"/>
        <v>3.5928650618674667E-2</v>
      </c>
      <c r="K47" s="2"/>
      <c r="L47" s="2">
        <f t="shared" si="15"/>
        <v>-967.68</v>
      </c>
      <c r="M47" s="2"/>
      <c r="N47" s="19">
        <f t="shared" si="16"/>
        <v>-1</v>
      </c>
      <c r="O47" s="10"/>
      <c r="P47" s="2">
        <v>7946.04</v>
      </c>
      <c r="Q47" s="2"/>
      <c r="R47" s="19">
        <f t="shared" si="17"/>
        <v>3.8149674255465761E-2</v>
      </c>
      <c r="S47" s="2"/>
      <c r="T47" s="2">
        <v>20517.63</v>
      </c>
      <c r="U47" s="2"/>
      <c r="V47" s="19">
        <f t="shared" si="18"/>
        <v>4.7733083175641261E-2</v>
      </c>
      <c r="W47" s="2"/>
      <c r="X47" s="2">
        <f t="shared" si="19"/>
        <v>-12571.59</v>
      </c>
      <c r="Y47" s="2"/>
      <c r="Z47" s="19">
        <f t="shared" si="20"/>
        <v>-0.61272135231993163</v>
      </c>
    </row>
    <row r="48" spans="1:26" s="23" customFormat="1" hidden="1" outlineLevel="1" x14ac:dyDescent="0.25">
      <c r="A48" s="44"/>
      <c r="B48" s="10" t="str">
        <f>CONCATENATE("          ", "5043", " - ", "PURCHASES @ COST-CARDS")</f>
        <v xml:space="preserve">          5043 - PURCHASES @ COST-CARDS</v>
      </c>
      <c r="C48" s="10"/>
      <c r="D48" s="2"/>
      <c r="E48" s="2"/>
      <c r="F48" s="19">
        <f t="shared" si="13"/>
        <v>0</v>
      </c>
      <c r="G48" s="2"/>
      <c r="H48" s="2"/>
      <c r="I48" s="2"/>
      <c r="J48" s="19">
        <f t="shared" si="14"/>
        <v>0</v>
      </c>
      <c r="K48" s="2"/>
      <c r="L48" s="2">
        <f t="shared" si="15"/>
        <v>0</v>
      </c>
      <c r="M48" s="2"/>
      <c r="N48" s="19">
        <f t="shared" si="16"/>
        <v>0</v>
      </c>
      <c r="O48" s="10"/>
      <c r="P48" s="2"/>
      <c r="Q48" s="2"/>
      <c r="R48" s="19">
        <f t="shared" si="17"/>
        <v>0</v>
      </c>
      <c r="S48" s="2"/>
      <c r="T48" s="2">
        <v>154.47</v>
      </c>
      <c r="U48" s="2"/>
      <c r="V48" s="19">
        <f t="shared" si="18"/>
        <v>3.5936554846448173E-4</v>
      </c>
      <c r="W48" s="2"/>
      <c r="X48" s="2">
        <f t="shared" si="19"/>
        <v>-154.47</v>
      </c>
      <c r="Y48" s="2"/>
      <c r="Z48" s="19">
        <f t="shared" si="20"/>
        <v>-1</v>
      </c>
    </row>
    <row r="49" spans="1:26" s="23" customFormat="1" hidden="1" outlineLevel="1" x14ac:dyDescent="0.25">
      <c r="A49" s="44"/>
      <c r="B49" s="10" t="str">
        <f>CONCATENATE("          ", "5044", " - ", "PURCHASES @ COST-ACCESSORIES")</f>
        <v xml:space="preserve">          5044 - PURCHASES @ COST-ACCESSORIES</v>
      </c>
      <c r="C49" s="10"/>
      <c r="D49" s="2"/>
      <c r="E49" s="2"/>
      <c r="F49" s="19">
        <f t="shared" si="13"/>
        <v>0</v>
      </c>
      <c r="G49" s="2"/>
      <c r="H49" s="2">
        <v>80.930000000000007</v>
      </c>
      <c r="I49" s="2"/>
      <c r="J49" s="19">
        <f t="shared" si="14"/>
        <v>3.0048215262993357E-3</v>
      </c>
      <c r="K49" s="2"/>
      <c r="L49" s="2">
        <f t="shared" si="15"/>
        <v>-80.930000000000007</v>
      </c>
      <c r="M49" s="2"/>
      <c r="N49" s="19">
        <f t="shared" si="16"/>
        <v>-1</v>
      </c>
      <c r="O49" s="10"/>
      <c r="P49" s="2"/>
      <c r="Q49" s="2"/>
      <c r="R49" s="19">
        <f t="shared" si="17"/>
        <v>0</v>
      </c>
      <c r="S49" s="2"/>
      <c r="T49" s="2">
        <v>-4381.05</v>
      </c>
      <c r="U49" s="2"/>
      <c r="V49" s="19">
        <f t="shared" si="18"/>
        <v>-1.0192260219462146E-2</v>
      </c>
      <c r="W49" s="2"/>
      <c r="X49" s="2">
        <f t="shared" si="19"/>
        <v>4381.05</v>
      </c>
      <c r="Y49" s="2"/>
      <c r="Z49" s="19">
        <f t="shared" si="20"/>
        <v>-1</v>
      </c>
    </row>
    <row r="50" spans="1:26" s="23" customFormat="1" hidden="1" outlineLevel="1" x14ac:dyDescent="0.25">
      <c r="A50" s="44"/>
      <c r="B50" s="10" t="str">
        <f>CONCATENATE("          ", "5045", " - ", "PURCHASES @ COST-SPECIAL ORDER")</f>
        <v xml:space="preserve">          5045 - PURCHASES @ COST-SPECIAL ORDER</v>
      </c>
      <c r="C50" s="10"/>
      <c r="D50" s="2"/>
      <c r="E50" s="2"/>
      <c r="F50" s="19">
        <f t="shared" si="13"/>
        <v>0</v>
      </c>
      <c r="G50" s="2"/>
      <c r="H50" s="2"/>
      <c r="I50" s="2"/>
      <c r="J50" s="19">
        <f t="shared" si="14"/>
        <v>0</v>
      </c>
      <c r="K50" s="2"/>
      <c r="L50" s="2">
        <f t="shared" si="15"/>
        <v>0</v>
      </c>
      <c r="M50" s="2"/>
      <c r="N50" s="19">
        <f t="shared" si="16"/>
        <v>0</v>
      </c>
      <c r="O50" s="10"/>
      <c r="P50" s="2"/>
      <c r="Q50" s="2"/>
      <c r="R50" s="19">
        <f t="shared" si="17"/>
        <v>0</v>
      </c>
      <c r="S50" s="2"/>
      <c r="T50" s="2">
        <v>-998.2</v>
      </c>
      <c r="U50" s="2"/>
      <c r="V50" s="19">
        <f t="shared" si="18"/>
        <v>-2.3222547451106734E-3</v>
      </c>
      <c r="W50" s="2"/>
      <c r="X50" s="2">
        <f t="shared" si="19"/>
        <v>998.2</v>
      </c>
      <c r="Y50" s="2"/>
      <c r="Z50" s="19">
        <f t="shared" si="20"/>
        <v>-1</v>
      </c>
    </row>
    <row r="51" spans="1:26" s="23" customFormat="1" hidden="1" outlineLevel="1" x14ac:dyDescent="0.25">
      <c r="A51" s="44"/>
      <c r="B51" s="10" t="str">
        <f>CONCATENATE("          ", "5083", " - ", "PURCHASES @ COST-COMPUTER EQUI")</f>
        <v xml:space="preserve">          5083 - PURCHASES @ COST-COMPUTER EQUI</v>
      </c>
      <c r="C51" s="10"/>
      <c r="D51" s="2"/>
      <c r="E51" s="2"/>
      <c r="F51" s="19">
        <f t="shared" si="13"/>
        <v>0</v>
      </c>
      <c r="G51" s="2"/>
      <c r="H51" s="2"/>
      <c r="I51" s="2"/>
      <c r="J51" s="19">
        <f t="shared" si="14"/>
        <v>0</v>
      </c>
      <c r="K51" s="2"/>
      <c r="L51" s="2">
        <f t="shared" si="15"/>
        <v>0</v>
      </c>
      <c r="M51" s="2"/>
      <c r="N51" s="19">
        <f t="shared" si="16"/>
        <v>0</v>
      </c>
      <c r="O51" s="10"/>
      <c r="P51" s="2"/>
      <c r="Q51" s="2"/>
      <c r="R51" s="19">
        <f t="shared" si="17"/>
        <v>0</v>
      </c>
      <c r="S51" s="2"/>
      <c r="T51" s="2">
        <v>90.35</v>
      </c>
      <c r="U51" s="2"/>
      <c r="V51" s="19">
        <f t="shared" si="18"/>
        <v>2.1019406553871901E-4</v>
      </c>
      <c r="W51" s="2"/>
      <c r="X51" s="2">
        <f t="shared" si="19"/>
        <v>-90.35</v>
      </c>
      <c r="Y51" s="2"/>
      <c r="Z51" s="19">
        <f t="shared" si="20"/>
        <v>-1</v>
      </c>
    </row>
    <row r="52" spans="1:26" s="23" customFormat="1" hidden="1" outlineLevel="1" x14ac:dyDescent="0.25">
      <c r="A52" s="44"/>
      <c r="B52" s="10" t="str">
        <f>CONCATENATE("          ", "5086", " - ", "PURCHASES @ COST-COMPUTER SUPP")</f>
        <v xml:space="preserve">          5086 - PURCHASES @ COST-COMPUTER SUPP</v>
      </c>
      <c r="C52" s="10"/>
      <c r="D52" s="2"/>
      <c r="E52" s="2"/>
      <c r="F52" s="19">
        <f t="shared" si="13"/>
        <v>0</v>
      </c>
      <c r="G52" s="2"/>
      <c r="H52" s="2"/>
      <c r="I52" s="2"/>
      <c r="J52" s="19">
        <f t="shared" si="14"/>
        <v>0</v>
      </c>
      <c r="K52" s="2"/>
      <c r="L52" s="2">
        <f t="shared" si="15"/>
        <v>0</v>
      </c>
      <c r="M52" s="2"/>
      <c r="N52" s="19">
        <f t="shared" si="16"/>
        <v>0</v>
      </c>
      <c r="O52" s="10"/>
      <c r="P52" s="2">
        <v>13.21</v>
      </c>
      <c r="Q52" s="2"/>
      <c r="R52" s="19">
        <f t="shared" si="17"/>
        <v>6.3422433931203812E-5</v>
      </c>
      <c r="S52" s="2"/>
      <c r="T52" s="2">
        <v>0</v>
      </c>
      <c r="U52" s="2"/>
      <c r="V52" s="19">
        <f t="shared" si="18"/>
        <v>0</v>
      </c>
      <c r="W52" s="2"/>
      <c r="X52" s="2">
        <f t="shared" si="19"/>
        <v>13.21</v>
      </c>
      <c r="Y52" s="2"/>
      <c r="Z52" s="19">
        <f t="shared" si="20"/>
        <v>0</v>
      </c>
    </row>
    <row r="53" spans="1:26" s="23" customFormat="1" hidden="1" outlineLevel="1" x14ac:dyDescent="0.25">
      <c r="A53" s="44"/>
      <c r="B53" s="10" t="str">
        <f>CONCATENATE("          ", "5092", " - ", "PURCHASES @ COST-GRAD MERCH")</f>
        <v xml:space="preserve">          5092 - PURCHASES @ COST-GRAD MERCH</v>
      </c>
      <c r="C53" s="10"/>
      <c r="D53" s="2"/>
      <c r="E53" s="2"/>
      <c r="F53" s="19">
        <f t="shared" si="13"/>
        <v>0</v>
      </c>
      <c r="G53" s="2"/>
      <c r="H53" s="2"/>
      <c r="I53" s="2"/>
      <c r="J53" s="19">
        <f t="shared" si="14"/>
        <v>0</v>
      </c>
      <c r="K53" s="2"/>
      <c r="L53" s="2">
        <f t="shared" si="15"/>
        <v>0</v>
      </c>
      <c r="M53" s="2"/>
      <c r="N53" s="19">
        <f t="shared" si="16"/>
        <v>0</v>
      </c>
      <c r="O53" s="10"/>
      <c r="P53" s="2"/>
      <c r="Q53" s="2"/>
      <c r="R53" s="19">
        <f t="shared" si="17"/>
        <v>0</v>
      </c>
      <c r="S53" s="2"/>
      <c r="T53" s="2">
        <v>-60.35</v>
      </c>
      <c r="U53" s="2"/>
      <c r="V53" s="19">
        <f t="shared" si="18"/>
        <v>-1.4040079529896728E-4</v>
      </c>
      <c r="W53" s="2"/>
      <c r="X53" s="2">
        <f t="shared" si="19"/>
        <v>60.35</v>
      </c>
      <c r="Y53" s="2"/>
      <c r="Z53" s="19">
        <f t="shared" si="20"/>
        <v>-1</v>
      </c>
    </row>
    <row r="54" spans="1:26" s="23" customFormat="1" hidden="1" outlineLevel="1" x14ac:dyDescent="0.25">
      <c r="A54" s="44"/>
      <c r="B54" s="10" t="str">
        <f>CONCATENATE("          ", "5095", " - ", "PURCHASES @ COST-CUSTOMER SERV")</f>
        <v xml:space="preserve">          5095 - PURCHASES @ COST-CUSTOMER SERV</v>
      </c>
      <c r="C54" s="10"/>
      <c r="D54" s="2"/>
      <c r="E54" s="2"/>
      <c r="F54" s="19">
        <f t="shared" si="13"/>
        <v>0</v>
      </c>
      <c r="G54" s="2"/>
      <c r="H54" s="2"/>
      <c r="I54" s="2"/>
      <c r="J54" s="19">
        <f t="shared" si="14"/>
        <v>0</v>
      </c>
      <c r="K54" s="2"/>
      <c r="L54" s="2">
        <f t="shared" si="15"/>
        <v>0</v>
      </c>
      <c r="M54" s="2"/>
      <c r="N54" s="19">
        <f t="shared" si="16"/>
        <v>0</v>
      </c>
      <c r="O54" s="10"/>
      <c r="P54" s="2"/>
      <c r="Q54" s="2"/>
      <c r="R54" s="19">
        <f t="shared" si="17"/>
        <v>0</v>
      </c>
      <c r="S54" s="2"/>
      <c r="T54" s="2">
        <v>-11.85</v>
      </c>
      <c r="U54" s="2"/>
      <c r="V54" s="19">
        <f t="shared" si="18"/>
        <v>-2.7568341744701939E-5</v>
      </c>
      <c r="W54" s="2"/>
      <c r="X54" s="2">
        <f t="shared" si="19"/>
        <v>11.85</v>
      </c>
      <c r="Y54" s="2"/>
      <c r="Z54" s="19">
        <f t="shared" si="20"/>
        <v>-1</v>
      </c>
    </row>
    <row r="55" spans="1:26" s="23" customFormat="1" hidden="1" outlineLevel="1" x14ac:dyDescent="0.25">
      <c r="A55" s="44"/>
      <c r="B55" s="10" t="str">
        <f>CONCATENATE("          ", "5200", " - ", "PURCHASES OFFSET")</f>
        <v xml:space="preserve">          5200 - PURCHASES OFFSET</v>
      </c>
      <c r="C55" s="10"/>
      <c r="D55" s="2"/>
      <c r="E55" s="2"/>
      <c r="F55" s="19">
        <f t="shared" si="13"/>
        <v>0</v>
      </c>
      <c r="G55" s="2"/>
      <c r="H55" s="2">
        <v>-7297</v>
      </c>
      <c r="I55" s="2"/>
      <c r="J55" s="19">
        <f t="shared" si="14"/>
        <v>-0.27092774839251516</v>
      </c>
      <c r="K55" s="2"/>
      <c r="L55" s="2">
        <f t="shared" si="15"/>
        <v>7297</v>
      </c>
      <c r="M55" s="2"/>
      <c r="N55" s="19">
        <f t="shared" si="16"/>
        <v>-1</v>
      </c>
      <c r="O55" s="10"/>
      <c r="P55" s="2">
        <v>-8166.85</v>
      </c>
      <c r="Q55" s="2"/>
      <c r="R55" s="19">
        <f t="shared" si="17"/>
        <v>-3.9209803523925196E-2</v>
      </c>
      <c r="S55" s="2"/>
      <c r="T55" s="2">
        <v>-200418</v>
      </c>
      <c r="U55" s="2"/>
      <c r="V55" s="19">
        <f t="shared" si="18"/>
        <v>-0.46626092116368556</v>
      </c>
      <c r="W55" s="2"/>
      <c r="X55" s="2">
        <f t="shared" si="19"/>
        <v>192251.15</v>
      </c>
      <c r="Y55" s="2"/>
      <c r="Z55" s="19">
        <f t="shared" si="20"/>
        <v>-0.95925091558642439</v>
      </c>
    </row>
    <row r="56" spans="1:26" s="23" customFormat="1" hidden="1" outlineLevel="1" x14ac:dyDescent="0.25">
      <c r="A56" s="44"/>
      <c r="B56" s="10" t="str">
        <f>CONCATENATE("          ", "5300", " - ", "COG$ OFFSET")</f>
        <v xml:space="preserve">          5300 - COG$ OFFSET</v>
      </c>
      <c r="C56" s="10"/>
      <c r="D56" s="2">
        <v>10821</v>
      </c>
      <c r="E56" s="2"/>
      <c r="F56" s="19">
        <f t="shared" si="13"/>
        <v>0.4499844058633955</v>
      </c>
      <c r="G56" s="2"/>
      <c r="H56" s="2">
        <v>11524</v>
      </c>
      <c r="I56" s="2"/>
      <c r="J56" s="19">
        <f t="shared" si="14"/>
        <v>0.4278705457688563</v>
      </c>
      <c r="K56" s="2"/>
      <c r="L56" s="2">
        <f t="shared" si="15"/>
        <v>-703</v>
      </c>
      <c r="M56" s="2"/>
      <c r="N56" s="19">
        <f t="shared" si="16"/>
        <v>-6.1003123915307184E-2</v>
      </c>
      <c r="O56" s="10"/>
      <c r="P56" s="2">
        <v>93095</v>
      </c>
      <c r="Q56" s="2"/>
      <c r="R56" s="19">
        <f t="shared" si="17"/>
        <v>0.44695772042584542</v>
      </c>
      <c r="S56" s="2"/>
      <c r="T56" s="2">
        <v>145191</v>
      </c>
      <c r="U56" s="2"/>
      <c r="V56" s="19">
        <f t="shared" si="18"/>
        <v>0.33777848997932652</v>
      </c>
      <c r="W56" s="2"/>
      <c r="X56" s="2">
        <f t="shared" si="19"/>
        <v>-52096</v>
      </c>
      <c r="Y56" s="2"/>
      <c r="Z56" s="19">
        <f t="shared" si="20"/>
        <v>-0.35881011908451627</v>
      </c>
    </row>
    <row r="57" spans="1:26" s="23" customFormat="1" hidden="1" outlineLevel="1" x14ac:dyDescent="0.25">
      <c r="A57" s="44"/>
      <c r="B57" s="10" t="str">
        <f>CONCATENATE("          ", "5540", " - ", "FREIGHT-IN-LOGO CLOTHING")</f>
        <v xml:space="preserve">          5540 - FREIGHT-IN-LOGO CLOTHING</v>
      </c>
      <c r="C57" s="10"/>
      <c r="D57" s="2"/>
      <c r="E57" s="2"/>
      <c r="F57" s="19">
        <f t="shared" si="13"/>
        <v>0</v>
      </c>
      <c r="G57" s="2"/>
      <c r="H57" s="2">
        <v>22.51</v>
      </c>
      <c r="I57" s="2"/>
      <c r="J57" s="19">
        <f t="shared" si="14"/>
        <v>8.3576587862347761E-4</v>
      </c>
      <c r="K57" s="2"/>
      <c r="L57" s="2">
        <f t="shared" si="15"/>
        <v>-22.51</v>
      </c>
      <c r="M57" s="2"/>
      <c r="N57" s="19">
        <f t="shared" si="16"/>
        <v>-1</v>
      </c>
      <c r="O57" s="10"/>
      <c r="P57" s="2"/>
      <c r="Q57" s="2"/>
      <c r="R57" s="19">
        <f t="shared" si="17"/>
        <v>0</v>
      </c>
      <c r="S57" s="2"/>
      <c r="T57" s="2">
        <v>22.51</v>
      </c>
      <c r="U57" s="2"/>
      <c r="V57" s="19">
        <f t="shared" si="18"/>
        <v>5.2368217103227063E-5</v>
      </c>
      <c r="W57" s="2"/>
      <c r="X57" s="2">
        <f t="shared" si="19"/>
        <v>-22.51</v>
      </c>
      <c r="Y57" s="2"/>
      <c r="Z57" s="19">
        <f t="shared" si="20"/>
        <v>-1</v>
      </c>
    </row>
    <row r="58" spans="1:26" x14ac:dyDescent="0.25">
      <c r="A58" s="9"/>
      <c r="B58" s="11"/>
      <c r="C58" s="11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1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4" customFormat="1" x14ac:dyDescent="0.25">
      <c r="A59" s="11"/>
      <c r="B59" s="29" t="s">
        <v>107</v>
      </c>
      <c r="C59" s="29"/>
      <c r="D59" s="22">
        <f>D12-D40</f>
        <v>13226.499999999993</v>
      </c>
      <c r="E59" s="14"/>
      <c r="F59" s="20">
        <f>IF(D$12=0,0,D59/D$12)</f>
        <v>0.5500155941366045</v>
      </c>
      <c r="G59" s="14"/>
      <c r="H59" s="22">
        <f>H12-H40</f>
        <v>15409.26</v>
      </c>
      <c r="I59" s="14"/>
      <c r="J59" s="20">
        <f>IF(H$12=0,0,H59/H$12)</f>
        <v>0.57212499879331891</v>
      </c>
      <c r="K59" s="15"/>
      <c r="L59" s="22">
        <f>+D59-H59</f>
        <v>-2182.7600000000075</v>
      </c>
      <c r="M59" s="15"/>
      <c r="N59" s="20">
        <f>IF(H59=0,0,L59/H59)</f>
        <v>-0.14165248688126539</v>
      </c>
      <c r="O59" s="28"/>
      <c r="P59" s="22">
        <f>P12-P40</f>
        <v>115190.91999999998</v>
      </c>
      <c r="Q59" s="14"/>
      <c r="R59" s="20">
        <f>IF(P$12=0,0,P59/P$12)</f>
        <v>0.55304227957415453</v>
      </c>
      <c r="S59" s="14"/>
      <c r="T59" s="22">
        <f>T12-T40</f>
        <v>246522.93999999997</v>
      </c>
      <c r="U59" s="14"/>
      <c r="V59" s="20">
        <f>IF(T$12=0,0,T59/T$12)</f>
        <v>0.57352140572393684</v>
      </c>
      <c r="W59" s="15"/>
      <c r="X59" s="22">
        <f>+P59-T59</f>
        <v>-131332.01999999999</v>
      </c>
      <c r="Y59" s="15"/>
      <c r="Z59" s="20">
        <f>IF(T59=0,0,X59/T59)</f>
        <v>-0.53273752130329133</v>
      </c>
    </row>
    <row r="60" spans="1:26" x14ac:dyDescent="0.25">
      <c r="A60" s="9"/>
      <c r="B60" s="11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4" customFormat="1" x14ac:dyDescent="0.25">
      <c r="A61" s="11"/>
      <c r="B61" s="28" t="s">
        <v>294</v>
      </c>
      <c r="C61" s="11"/>
      <c r="D61" s="21">
        <f>SUM(OSRRefD22x_0)</f>
        <v>20947.410000000003</v>
      </c>
      <c r="E61" s="21"/>
      <c r="F61" s="31">
        <f t="shared" ref="F61:F70" si="21">IF(D$12=0,0,D61/D$12)</f>
        <v>0.87108472814221893</v>
      </c>
      <c r="G61" s="21"/>
      <c r="H61" s="21">
        <f>SUM(OSRRefH22x_0)</f>
        <v>27711.16</v>
      </c>
      <c r="I61" s="21"/>
      <c r="J61" s="31">
        <f t="shared" ref="J61:J70" si="22">IF(H$12=0,0,H61/H$12)</f>
        <v>1.0288779202610292</v>
      </c>
      <c r="K61" s="4"/>
      <c r="L61" s="21">
        <f t="shared" ref="L61:L70" si="23">+D61-H61</f>
        <v>-6763.7499999999964</v>
      </c>
      <c r="M61" s="4"/>
      <c r="N61" s="31">
        <f t="shared" ref="N61:N70" si="24">IF(H61=0,0,L61/H61)</f>
        <v>-0.24408036329045757</v>
      </c>
      <c r="O61" s="11"/>
      <c r="P61" s="21">
        <f>SUM(OSRRefP22x_0)</f>
        <v>192787.84</v>
      </c>
      <c r="Q61" s="21"/>
      <c r="R61" s="31">
        <f t="shared" ref="R61:R70" si="25">IF(P$12=0,0,P61/P$12)</f>
        <v>0.92559228199390531</v>
      </c>
      <c r="S61" s="21"/>
      <c r="T61" s="21">
        <f>SUM(OSRRefT22x_0)</f>
        <v>283553.67</v>
      </c>
      <c r="U61" s="21"/>
      <c r="V61" s="31">
        <f t="shared" ref="V61:V70" si="26">IF(T$12=0,0,T61/T$12)</f>
        <v>0.65967126392611286</v>
      </c>
      <c r="W61" s="4"/>
      <c r="X61" s="21">
        <f t="shared" ref="X61:X70" si="27">+P61-T61</f>
        <v>-90765.829999999987</v>
      </c>
      <c r="Y61" s="4"/>
      <c r="Z61" s="31">
        <f t="shared" ref="Z61:Z70" si="28">IF(T61=0,0,X61/T61)</f>
        <v>-0.32010105882247969</v>
      </c>
    </row>
    <row r="62" spans="1:26" s="26" customFormat="1" outlineLevel="1" collapsed="1" x14ac:dyDescent="0.25">
      <c r="A62" s="27"/>
      <c r="B62" s="12" t="str">
        <f>CONCATENATE("     ","*Benefits                                         ")</f>
        <v xml:space="preserve">     *Benefits                                         </v>
      </c>
      <c r="C62" s="12"/>
      <c r="D62" s="1">
        <f>SUM(OSRRefD22_0x_0)</f>
        <v>3784.05</v>
      </c>
      <c r="E62" s="1"/>
      <c r="F62" s="5">
        <f t="shared" si="21"/>
        <v>0.15735731365006764</v>
      </c>
      <c r="G62" s="1"/>
      <c r="H62" s="1">
        <f>SUM(OSRRefH22_0x_0)</f>
        <v>2776.22</v>
      </c>
      <c r="I62" s="1"/>
      <c r="J62" s="5">
        <f t="shared" si="22"/>
        <v>0.10307729664824837</v>
      </c>
      <c r="K62" s="1"/>
      <c r="L62" s="1">
        <f t="shared" si="23"/>
        <v>1007.8300000000004</v>
      </c>
      <c r="M62" s="1"/>
      <c r="N62" s="5">
        <f t="shared" si="24"/>
        <v>0.36302238295235983</v>
      </c>
      <c r="O62" s="12"/>
      <c r="P62" s="1">
        <f>SUM(OSRRefP22_0x_0)</f>
        <v>43278.75</v>
      </c>
      <c r="Q62" s="1"/>
      <c r="R62" s="5">
        <f t="shared" si="25"/>
        <v>0.20778528860712239</v>
      </c>
      <c r="S62" s="1"/>
      <c r="T62" s="1">
        <f>SUM(OSRRefT22_0x_0)</f>
        <v>19356.07</v>
      </c>
      <c r="U62" s="1"/>
      <c r="V62" s="5">
        <f t="shared" si="26"/>
        <v>4.503078080965172E-2</v>
      </c>
      <c r="W62" s="1"/>
      <c r="X62" s="1">
        <f t="shared" si="27"/>
        <v>23922.68</v>
      </c>
      <c r="Y62" s="1"/>
      <c r="Z62" s="5">
        <f t="shared" si="28"/>
        <v>1.2359265078086616</v>
      </c>
    </row>
    <row r="63" spans="1:26" s="23" customFormat="1" hidden="1" outlineLevel="2" x14ac:dyDescent="0.25">
      <c r="A63" s="25"/>
      <c r="B63" s="10" t="str">
        <f>CONCATENATE("          ", "6111", " - ", "F.I.C.A.")</f>
        <v xml:space="preserve">          6111 - F.I.C.A.</v>
      </c>
      <c r="C63" s="10"/>
      <c r="D63" s="6">
        <v>564.38</v>
      </c>
      <c r="E63" s="2"/>
      <c r="F63" s="7">
        <f t="shared" si="21"/>
        <v>2.3469383511799571E-2</v>
      </c>
      <c r="G63" s="2"/>
      <c r="H63" s="6">
        <v>555.48</v>
      </c>
      <c r="I63" s="2"/>
      <c r="J63" s="7">
        <f t="shared" si="22"/>
        <v>2.0624221690704991E-2</v>
      </c>
      <c r="K63" s="2"/>
      <c r="L63" s="6">
        <f t="shared" si="23"/>
        <v>8.8999999999999773</v>
      </c>
      <c r="M63" s="2"/>
      <c r="N63" s="7">
        <f t="shared" si="24"/>
        <v>1.6022179016346182E-2</v>
      </c>
      <c r="O63" s="10"/>
      <c r="P63" s="6">
        <v>6097.25</v>
      </c>
      <c r="Q63" s="2"/>
      <c r="R63" s="7">
        <f t="shared" si="25"/>
        <v>2.9273462171614868E-2</v>
      </c>
      <c r="S63" s="2"/>
      <c r="T63" s="6">
        <v>4013.28</v>
      </c>
      <c r="U63" s="2"/>
      <c r="V63" s="7">
        <f t="shared" si="26"/>
        <v>9.3366645195930298E-3</v>
      </c>
      <c r="W63" s="2"/>
      <c r="X63" s="6">
        <f t="shared" si="27"/>
        <v>2083.9699999999998</v>
      </c>
      <c r="Y63" s="2"/>
      <c r="Z63" s="7">
        <f t="shared" si="28"/>
        <v>0.51926852848542826</v>
      </c>
    </row>
    <row r="64" spans="1:26" s="23" customFormat="1" hidden="1" outlineLevel="2" x14ac:dyDescent="0.25">
      <c r="A64" s="25"/>
      <c r="B64" s="10" t="str">
        <f>CONCATENATE("          ", "6112", " - ", "COMPENSATION INSURANCE")</f>
        <v xml:space="preserve">          6112 - COMPENSATION INSURANCE</v>
      </c>
      <c r="C64" s="10"/>
      <c r="D64" s="6">
        <v>158.82</v>
      </c>
      <c r="E64" s="2"/>
      <c r="F64" s="7">
        <f t="shared" si="21"/>
        <v>6.6044287347957189E-3</v>
      </c>
      <c r="G64" s="2"/>
      <c r="H64" s="6">
        <v>281.92</v>
      </c>
      <c r="I64" s="2"/>
      <c r="J64" s="7">
        <f t="shared" si="22"/>
        <v>1.0467308596247482E-2</v>
      </c>
      <c r="K64" s="2"/>
      <c r="L64" s="6">
        <f t="shared" si="23"/>
        <v>-123.10000000000002</v>
      </c>
      <c r="M64" s="2"/>
      <c r="N64" s="7">
        <f t="shared" si="24"/>
        <v>-0.43664869466515327</v>
      </c>
      <c r="O64" s="10"/>
      <c r="P64" s="6">
        <v>2073.85</v>
      </c>
      <c r="Q64" s="2"/>
      <c r="R64" s="7">
        <f t="shared" si="25"/>
        <v>9.9567459960807729E-3</v>
      </c>
      <c r="S64" s="2"/>
      <c r="T64" s="6">
        <v>1644.67</v>
      </c>
      <c r="U64" s="2"/>
      <c r="V64" s="7">
        <f t="shared" si="26"/>
        <v>3.8262299255070837E-3</v>
      </c>
      <c r="W64" s="2"/>
      <c r="X64" s="6">
        <f t="shared" si="27"/>
        <v>429.17999999999984</v>
      </c>
      <c r="Y64" s="2"/>
      <c r="Z64" s="7">
        <f t="shared" si="28"/>
        <v>0.26095204509111242</v>
      </c>
    </row>
    <row r="65" spans="1:26" s="23" customFormat="1" hidden="1" outlineLevel="2" x14ac:dyDescent="0.25">
      <c r="A65" s="25"/>
      <c r="B65" s="10" t="str">
        <f>CONCATENATE("          ", "6113", " - ", "GROUP INSURANCE")</f>
        <v xml:space="preserve">          6113 - GROUP INSURANCE</v>
      </c>
      <c r="C65" s="10"/>
      <c r="D65" s="6">
        <v>1994.68</v>
      </c>
      <c r="E65" s="2"/>
      <c r="F65" s="7">
        <f t="shared" si="21"/>
        <v>8.2947499740097755E-2</v>
      </c>
      <c r="G65" s="2"/>
      <c r="H65" s="6">
        <v>988.45</v>
      </c>
      <c r="I65" s="2"/>
      <c r="J65" s="7">
        <f t="shared" si="22"/>
        <v>3.6699812648839474E-2</v>
      </c>
      <c r="K65" s="2"/>
      <c r="L65" s="6">
        <f t="shared" si="23"/>
        <v>1006.23</v>
      </c>
      <c r="M65" s="2"/>
      <c r="N65" s="7">
        <f t="shared" si="24"/>
        <v>1.0179877586119681</v>
      </c>
      <c r="O65" s="10"/>
      <c r="P65" s="6">
        <v>22288.9</v>
      </c>
      <c r="Q65" s="2"/>
      <c r="R65" s="7">
        <f t="shared" si="25"/>
        <v>0.10701107400826711</v>
      </c>
      <c r="S65" s="2"/>
      <c r="T65" s="6">
        <v>8309.11</v>
      </c>
      <c r="U65" s="2"/>
      <c r="V65" s="7">
        <f t="shared" si="26"/>
        <v>1.9330665322727456E-2</v>
      </c>
      <c r="W65" s="2"/>
      <c r="X65" s="6">
        <f t="shared" si="27"/>
        <v>13979.79</v>
      </c>
      <c r="Y65" s="2"/>
      <c r="Z65" s="7">
        <f t="shared" si="28"/>
        <v>1.6824653903968054</v>
      </c>
    </row>
    <row r="66" spans="1:26" s="23" customFormat="1" hidden="1" outlineLevel="2" x14ac:dyDescent="0.25">
      <c r="A66" s="25"/>
      <c r="B66" s="10" t="str">
        <f>CONCATENATE("          ", "6114", " - ", "STATE UNEMPLOYMENT INSURANCE")</f>
        <v xml:space="preserve">          6114 - STATE UNEMPLOYMENT INSURANCE</v>
      </c>
      <c r="C66" s="10"/>
      <c r="D66" s="6">
        <v>22.32</v>
      </c>
      <c r="E66" s="2"/>
      <c r="F66" s="7">
        <f t="shared" si="21"/>
        <v>9.2816301070797408E-4</v>
      </c>
      <c r="G66" s="2"/>
      <c r="H66" s="6">
        <v>38.58</v>
      </c>
      <c r="I66" s="2"/>
      <c r="J66" s="7">
        <f t="shared" si="22"/>
        <v>1.432423260652766E-3</v>
      </c>
      <c r="K66" s="2"/>
      <c r="L66" s="6">
        <f t="shared" si="23"/>
        <v>-16.259999999999998</v>
      </c>
      <c r="M66" s="2"/>
      <c r="N66" s="7">
        <f t="shared" si="24"/>
        <v>-0.42146189735614303</v>
      </c>
      <c r="O66" s="10"/>
      <c r="P66" s="6">
        <v>265.12</v>
      </c>
      <c r="Q66" s="2"/>
      <c r="R66" s="7">
        <f t="shared" si="25"/>
        <v>1.2728656838637965E-3</v>
      </c>
      <c r="S66" s="2"/>
      <c r="T66" s="6">
        <v>257.77</v>
      </c>
      <c r="U66" s="2"/>
      <c r="V66" s="7">
        <f t="shared" si="26"/>
        <v>5.9968704232336021E-4</v>
      </c>
      <c r="W66" s="2"/>
      <c r="X66" s="6">
        <f t="shared" si="27"/>
        <v>7.3500000000000227</v>
      </c>
      <c r="Y66" s="2"/>
      <c r="Z66" s="7">
        <f t="shared" si="28"/>
        <v>2.8513791364394706E-2</v>
      </c>
    </row>
    <row r="67" spans="1:26" s="23" customFormat="1" hidden="1" outlineLevel="2" x14ac:dyDescent="0.25">
      <c r="A67" s="25"/>
      <c r="B67" s="10" t="str">
        <f>CONCATENATE("          ", "6115", " - ", "P.E.R.S.")</f>
        <v xml:space="preserve">          6115 - P.E.R.S.</v>
      </c>
      <c r="C67" s="10"/>
      <c r="D67" s="6">
        <v>362.12</v>
      </c>
      <c r="E67" s="2"/>
      <c r="F67" s="7">
        <f t="shared" si="21"/>
        <v>1.505852999272274E-2</v>
      </c>
      <c r="G67" s="2"/>
      <c r="H67" s="6">
        <v>163.61000000000001</v>
      </c>
      <c r="I67" s="2"/>
      <c r="J67" s="7">
        <f t="shared" si="22"/>
        <v>6.0746181875427447E-3</v>
      </c>
      <c r="K67" s="2"/>
      <c r="L67" s="6">
        <f t="shared" si="23"/>
        <v>198.51</v>
      </c>
      <c r="M67" s="2"/>
      <c r="N67" s="7">
        <f t="shared" si="24"/>
        <v>1.2133121447344293</v>
      </c>
      <c r="O67" s="10"/>
      <c r="P67" s="6">
        <v>3494.45</v>
      </c>
      <c r="Q67" s="2"/>
      <c r="R67" s="7">
        <f t="shared" si="25"/>
        <v>1.6777178217327413E-2</v>
      </c>
      <c r="S67" s="2"/>
      <c r="T67" s="6">
        <v>1706.91</v>
      </c>
      <c r="U67" s="2"/>
      <c r="V67" s="7">
        <f t="shared" si="26"/>
        <v>3.9710276968311555E-3</v>
      </c>
      <c r="W67" s="2"/>
      <c r="X67" s="6">
        <f t="shared" si="27"/>
        <v>1787.5399999999997</v>
      </c>
      <c r="Y67" s="2"/>
      <c r="Z67" s="7">
        <f t="shared" si="28"/>
        <v>1.0472374056042788</v>
      </c>
    </row>
    <row r="68" spans="1:26" s="23" customFormat="1" hidden="1" outlineLevel="2" x14ac:dyDescent="0.25">
      <c r="A68" s="25"/>
      <c r="B68" s="10" t="str">
        <f>CONCATENATE("          ", "6118", " - ", "VACATION")</f>
        <v xml:space="preserve">          6118 - VACATION</v>
      </c>
      <c r="C68" s="10"/>
      <c r="D68" s="6">
        <v>342.56</v>
      </c>
      <c r="E68" s="2"/>
      <c r="F68" s="7">
        <f t="shared" si="21"/>
        <v>1.4245139827424893E-2</v>
      </c>
      <c r="G68" s="2"/>
      <c r="H68" s="6">
        <v>506.21</v>
      </c>
      <c r="I68" s="2"/>
      <c r="J68" s="7">
        <f t="shared" si="22"/>
        <v>1.8794893177165286E-2</v>
      </c>
      <c r="K68" s="2"/>
      <c r="L68" s="6">
        <f t="shared" si="23"/>
        <v>-163.64999999999998</v>
      </c>
      <c r="M68" s="2"/>
      <c r="N68" s="7">
        <f t="shared" si="24"/>
        <v>-0.32328480274984689</v>
      </c>
      <c r="O68" s="10"/>
      <c r="P68" s="6">
        <v>4269.62</v>
      </c>
      <c r="Q68" s="2"/>
      <c r="R68" s="7">
        <f t="shared" si="25"/>
        <v>2.0498841208277545E-2</v>
      </c>
      <c r="S68" s="2"/>
      <c r="T68" s="6">
        <v>2103.0500000000002</v>
      </c>
      <c r="U68" s="2"/>
      <c r="V68" s="7">
        <f t="shared" si="26"/>
        <v>4.8926245659236646E-3</v>
      </c>
      <c r="W68" s="2"/>
      <c r="X68" s="6">
        <f t="shared" si="27"/>
        <v>2166.5699999999997</v>
      </c>
      <c r="Y68" s="2"/>
      <c r="Z68" s="7">
        <f t="shared" si="28"/>
        <v>1.0302037516939682</v>
      </c>
    </row>
    <row r="69" spans="1:26" s="23" customFormat="1" hidden="1" outlineLevel="2" x14ac:dyDescent="0.25">
      <c r="A69" s="25"/>
      <c r="B69" s="10" t="str">
        <f>CONCATENATE("          ", "6119", " - ", "SICK LEAVE")</f>
        <v xml:space="preserve">          6119 - SICK LEAVE</v>
      </c>
      <c r="C69" s="10"/>
      <c r="D69" s="6">
        <v>216.08</v>
      </c>
      <c r="E69" s="2"/>
      <c r="F69" s="7">
        <f t="shared" si="21"/>
        <v>8.9855494334130405E-3</v>
      </c>
      <c r="G69" s="2"/>
      <c r="H69" s="6">
        <v>241.97</v>
      </c>
      <c r="I69" s="2"/>
      <c r="J69" s="7">
        <f t="shared" si="22"/>
        <v>8.9840190870956408E-3</v>
      </c>
      <c r="K69" s="2"/>
      <c r="L69" s="6">
        <f t="shared" si="23"/>
        <v>-25.889999999999986</v>
      </c>
      <c r="M69" s="2"/>
      <c r="N69" s="7">
        <f t="shared" si="24"/>
        <v>-0.10699673513245438</v>
      </c>
      <c r="O69" s="10"/>
      <c r="P69" s="6">
        <v>3443.75</v>
      </c>
      <c r="Q69" s="2"/>
      <c r="R69" s="7">
        <f t="shared" si="25"/>
        <v>1.65337628198776E-2</v>
      </c>
      <c r="S69" s="2"/>
      <c r="T69" s="6">
        <v>831.78</v>
      </c>
      <c r="U69" s="2"/>
      <c r="V69" s="7">
        <f t="shared" si="26"/>
        <v>1.935088210667357E-3</v>
      </c>
      <c r="W69" s="2"/>
      <c r="X69" s="6">
        <f t="shared" si="27"/>
        <v>2611.9700000000003</v>
      </c>
      <c r="Y69" s="2"/>
      <c r="Z69" s="7">
        <f t="shared" si="28"/>
        <v>3.1402173651686747</v>
      </c>
    </row>
    <row r="70" spans="1:26" s="23" customFormat="1" hidden="1" outlineLevel="2" x14ac:dyDescent="0.25">
      <c r="A70" s="25"/>
      <c r="B70" s="10" t="str">
        <f>CONCATENATE("          ", "6156", " - ", "EMPLOYEE MEALS")</f>
        <v xml:space="preserve">          6156 - EMPLOYEE MEALS</v>
      </c>
      <c r="C70" s="10"/>
      <c r="D70" s="6">
        <v>123.09</v>
      </c>
      <c r="E70" s="2"/>
      <c r="F70" s="7">
        <f t="shared" si="21"/>
        <v>5.118619399105938E-3</v>
      </c>
      <c r="G70" s="2"/>
      <c r="H70" s="6"/>
      <c r="I70" s="2"/>
      <c r="J70" s="7">
        <f t="shared" si="22"/>
        <v>0</v>
      </c>
      <c r="K70" s="2"/>
      <c r="L70" s="6">
        <f t="shared" si="23"/>
        <v>123.09</v>
      </c>
      <c r="M70" s="2"/>
      <c r="N70" s="7">
        <f t="shared" si="24"/>
        <v>0</v>
      </c>
      <c r="O70" s="10"/>
      <c r="P70" s="6">
        <v>1345.81</v>
      </c>
      <c r="Q70" s="2"/>
      <c r="R70" s="7">
        <f t="shared" si="25"/>
        <v>6.4613585018132771E-3</v>
      </c>
      <c r="S70" s="2"/>
      <c r="T70" s="6">
        <v>489.5</v>
      </c>
      <c r="U70" s="2"/>
      <c r="V70" s="7">
        <f t="shared" si="26"/>
        <v>1.1387935260786161E-3</v>
      </c>
      <c r="W70" s="2"/>
      <c r="X70" s="6">
        <f t="shared" si="27"/>
        <v>856.31</v>
      </c>
      <c r="Y70" s="2"/>
      <c r="Z70" s="7">
        <f t="shared" si="28"/>
        <v>1.7493564862104187</v>
      </c>
    </row>
    <row r="71" spans="1:26" s="26" customFormat="1" outlineLevel="1" collapsed="1" x14ac:dyDescent="0.25">
      <c r="A71" s="27"/>
      <c r="B71" s="12" t="str">
        <f>CONCATENATE("     ","*Payroll                                          ")</f>
        <v xml:space="preserve">     *Payroll                                          </v>
      </c>
      <c r="C71" s="12"/>
      <c r="D71" s="1">
        <f>SUM(OSRRefD22_1x_0)</f>
        <v>8658.17</v>
      </c>
      <c r="E71" s="1"/>
      <c r="F71" s="5">
        <f t="shared" ref="F71:F77" si="29">IF(D$12=0,0,D71/D$12)</f>
        <v>0.36004449526977866</v>
      </c>
      <c r="G71" s="1"/>
      <c r="H71" s="1">
        <f>SUM(OSRRefH22_1x_0)</f>
        <v>13576.32</v>
      </c>
      <c r="I71" s="1"/>
      <c r="J71" s="5">
        <f t="shared" ref="J71:J77" si="30">IF(H$12=0,0,H71/H$12)</f>
        <v>0.50407041373938211</v>
      </c>
      <c r="K71" s="1"/>
      <c r="L71" s="1">
        <f t="shared" ref="L71:L77" si="31">+D71-H71</f>
        <v>-4918.1499999999996</v>
      </c>
      <c r="M71" s="1"/>
      <c r="N71" s="5">
        <f t="shared" ref="N71:N77" si="32">IF(H71=0,0,L71/H71)</f>
        <v>-0.36225943407344552</v>
      </c>
      <c r="O71" s="12"/>
      <c r="P71" s="1">
        <f>SUM(OSRRefP22_1x_0)</f>
        <v>74450.049999999988</v>
      </c>
      <c r="Q71" s="1"/>
      <c r="R71" s="5">
        <f t="shared" ref="R71:R77" si="33">IF(P$12=0,0,P71/P$12)</f>
        <v>0.35744158798636028</v>
      </c>
      <c r="S71" s="1"/>
      <c r="T71" s="1">
        <f>SUM(OSRRefT22_1x_0)</f>
        <v>103936.20999999999</v>
      </c>
      <c r="U71" s="1"/>
      <c r="V71" s="5">
        <f t="shared" ref="V71:V77" si="34">IF(T$12=0,0,T71/T$12)</f>
        <v>0.24180159974085291</v>
      </c>
      <c r="W71" s="1"/>
      <c r="X71" s="1">
        <f t="shared" ref="X71:X77" si="35">+P71-T71</f>
        <v>-29486.160000000003</v>
      </c>
      <c r="Y71" s="1"/>
      <c r="Z71" s="5">
        <f t="shared" ref="Z71:Z77" si="36">IF(T71=0,0,X71/T71)</f>
        <v>-0.28369477778726016</v>
      </c>
    </row>
    <row r="72" spans="1:26" s="23" customFormat="1" hidden="1" outlineLevel="2" x14ac:dyDescent="0.25">
      <c r="A72" s="25"/>
      <c r="B72" s="10" t="str">
        <f>CONCATENATE("          ", "6002", " - ", "STAFF SALARIES")</f>
        <v xml:space="preserve">          6002 - STAFF SALARIES</v>
      </c>
      <c r="C72" s="10"/>
      <c r="D72" s="6">
        <v>4759.62</v>
      </c>
      <c r="E72" s="2"/>
      <c r="F72" s="7">
        <f t="shared" si="29"/>
        <v>0.19792577190976199</v>
      </c>
      <c r="G72" s="2"/>
      <c r="H72" s="6">
        <v>3485.11</v>
      </c>
      <c r="I72" s="2"/>
      <c r="J72" s="7">
        <f t="shared" si="30"/>
        <v>0.12939742431139353</v>
      </c>
      <c r="K72" s="2"/>
      <c r="L72" s="6">
        <f t="shared" si="31"/>
        <v>1274.5099999999998</v>
      </c>
      <c r="M72" s="2"/>
      <c r="N72" s="7">
        <f t="shared" si="32"/>
        <v>0.36570151300819764</v>
      </c>
      <c r="O72" s="10"/>
      <c r="P72" s="6">
        <v>42854.879999999997</v>
      </c>
      <c r="Q72" s="2"/>
      <c r="R72" s="7">
        <f t="shared" si="33"/>
        <v>0.20575024946477419</v>
      </c>
      <c r="S72" s="2"/>
      <c r="T72" s="6">
        <v>19938.060000000001</v>
      </c>
      <c r="U72" s="2"/>
      <c r="V72" s="7">
        <f t="shared" si="34"/>
        <v>4.6384746987879498E-2</v>
      </c>
      <c r="W72" s="2"/>
      <c r="X72" s="6">
        <f t="shared" si="35"/>
        <v>22916.819999999996</v>
      </c>
      <c r="Y72" s="2"/>
      <c r="Z72" s="7">
        <f t="shared" si="36"/>
        <v>1.1494006939491603</v>
      </c>
    </row>
    <row r="73" spans="1:26" s="23" customFormat="1" hidden="1" outlineLevel="2" x14ac:dyDescent="0.25">
      <c r="A73" s="25"/>
      <c r="B73" s="10" t="str">
        <f>CONCATENATE("          ", "6004", " - ", "STAFF HOURLY")</f>
        <v xml:space="preserve">          6004 - STAFF HOURLY</v>
      </c>
      <c r="C73" s="10"/>
      <c r="D73" s="6"/>
      <c r="E73" s="2"/>
      <c r="F73" s="7">
        <f t="shared" si="29"/>
        <v>0</v>
      </c>
      <c r="G73" s="2"/>
      <c r="H73" s="6"/>
      <c r="I73" s="2"/>
      <c r="J73" s="7">
        <f t="shared" si="30"/>
        <v>0</v>
      </c>
      <c r="K73" s="2"/>
      <c r="L73" s="6">
        <f t="shared" si="31"/>
        <v>0</v>
      </c>
      <c r="M73" s="2"/>
      <c r="N73" s="7">
        <f t="shared" si="32"/>
        <v>0</v>
      </c>
      <c r="O73" s="10"/>
      <c r="P73" s="6">
        <v>3456.21</v>
      </c>
      <c r="Q73" s="2"/>
      <c r="R73" s="7">
        <f t="shared" si="33"/>
        <v>1.6593584434319901E-2</v>
      </c>
      <c r="S73" s="2"/>
      <c r="T73" s="6"/>
      <c r="U73" s="2"/>
      <c r="V73" s="7">
        <f t="shared" si="34"/>
        <v>0</v>
      </c>
      <c r="W73" s="2"/>
      <c r="X73" s="6">
        <f t="shared" si="35"/>
        <v>3456.21</v>
      </c>
      <c r="Y73" s="2"/>
      <c r="Z73" s="7">
        <f t="shared" si="36"/>
        <v>0</v>
      </c>
    </row>
    <row r="74" spans="1:26" s="23" customFormat="1" hidden="1" outlineLevel="2" x14ac:dyDescent="0.25">
      <c r="A74" s="25"/>
      <c r="B74" s="10" t="str">
        <f>CONCATENATE("          ", "6005", " - ", "TEMPORARY WAGES-HOURLY")</f>
        <v xml:space="preserve">          6005 - TEMPORARY WAGES-HOURLY</v>
      </c>
      <c r="C74" s="10"/>
      <c r="D74" s="6">
        <v>2356.65</v>
      </c>
      <c r="E74" s="2"/>
      <c r="F74" s="7">
        <f t="shared" si="29"/>
        <v>9.7999792078178632E-2</v>
      </c>
      <c r="G74" s="2"/>
      <c r="H74" s="6">
        <v>3660.26</v>
      </c>
      <c r="I74" s="2"/>
      <c r="J74" s="7">
        <f t="shared" si="30"/>
        <v>0.13590050710308174</v>
      </c>
      <c r="K74" s="2"/>
      <c r="L74" s="6">
        <f t="shared" si="31"/>
        <v>-1303.6100000000001</v>
      </c>
      <c r="M74" s="2"/>
      <c r="N74" s="7">
        <f t="shared" si="32"/>
        <v>-0.35615229519214481</v>
      </c>
      <c r="O74" s="10"/>
      <c r="P74" s="6">
        <v>13965.45</v>
      </c>
      <c r="Q74" s="2"/>
      <c r="R74" s="7">
        <f t="shared" si="33"/>
        <v>6.7049419375059066E-2</v>
      </c>
      <c r="S74" s="2"/>
      <c r="T74" s="6">
        <v>11485.07</v>
      </c>
      <c r="U74" s="2"/>
      <c r="V74" s="7">
        <f t="shared" si="34"/>
        <v>2.6719353141082185E-2</v>
      </c>
      <c r="W74" s="2"/>
      <c r="X74" s="6">
        <f t="shared" si="35"/>
        <v>2480.380000000001</v>
      </c>
      <c r="Y74" s="2"/>
      <c r="Z74" s="7">
        <f t="shared" si="36"/>
        <v>0.21596559707515942</v>
      </c>
    </row>
    <row r="75" spans="1:26" s="23" customFormat="1" hidden="1" outlineLevel="2" x14ac:dyDescent="0.25">
      <c r="A75" s="25"/>
      <c r="B75" s="10" t="str">
        <f>CONCATENATE("          ", "6006", " - ", "TEMPORARY PART TIME")</f>
        <v xml:space="preserve">          6006 - TEMPORARY PART TIME</v>
      </c>
      <c r="C75" s="10"/>
      <c r="D75" s="6">
        <v>203.51</v>
      </c>
      <c r="E75" s="2"/>
      <c r="F75" s="7">
        <f t="shared" si="29"/>
        <v>8.4628339744256178E-3</v>
      </c>
      <c r="G75" s="2"/>
      <c r="H75" s="6"/>
      <c r="I75" s="2"/>
      <c r="J75" s="7">
        <f t="shared" si="30"/>
        <v>0</v>
      </c>
      <c r="K75" s="2"/>
      <c r="L75" s="6">
        <f t="shared" si="31"/>
        <v>203.51</v>
      </c>
      <c r="M75" s="2"/>
      <c r="N75" s="7">
        <f t="shared" si="32"/>
        <v>0</v>
      </c>
      <c r="O75" s="10"/>
      <c r="P75" s="6">
        <v>507.15</v>
      </c>
      <c r="Q75" s="2"/>
      <c r="R75" s="7">
        <f t="shared" si="33"/>
        <v>2.4348741383959129E-3</v>
      </c>
      <c r="S75" s="2"/>
      <c r="T75" s="6">
        <v>316.16000000000003</v>
      </c>
      <c r="U75" s="2"/>
      <c r="V75" s="7">
        <f t="shared" si="34"/>
        <v>7.3552801063333053E-4</v>
      </c>
      <c r="W75" s="2"/>
      <c r="X75" s="6">
        <f t="shared" si="35"/>
        <v>190.98999999999995</v>
      </c>
      <c r="Y75" s="2"/>
      <c r="Z75" s="7">
        <f t="shared" si="36"/>
        <v>0.60409286437246945</v>
      </c>
    </row>
    <row r="76" spans="1:26" s="23" customFormat="1" hidden="1" outlineLevel="2" x14ac:dyDescent="0.25">
      <c r="A76" s="25"/>
      <c r="B76" s="10" t="str">
        <f>CONCATENATE("          ", "6007", " - ", "STUDENT HOURLY")</f>
        <v xml:space="preserve">          6007 - STUDENT HOURLY</v>
      </c>
      <c r="C76" s="10"/>
      <c r="D76" s="6">
        <v>1338.39</v>
      </c>
      <c r="E76" s="2"/>
      <c r="F76" s="7">
        <f t="shared" si="29"/>
        <v>5.5656097307412437E-2</v>
      </c>
      <c r="G76" s="2"/>
      <c r="H76" s="6">
        <v>6430.95</v>
      </c>
      <c r="I76" s="2"/>
      <c r="J76" s="7">
        <f t="shared" si="30"/>
        <v>0.23877248232490686</v>
      </c>
      <c r="K76" s="2"/>
      <c r="L76" s="6">
        <f t="shared" si="31"/>
        <v>-5092.5599999999995</v>
      </c>
      <c r="M76" s="2"/>
      <c r="N76" s="7">
        <f t="shared" si="32"/>
        <v>-0.79188300328878314</v>
      </c>
      <c r="O76" s="10"/>
      <c r="P76" s="6">
        <v>11747.33</v>
      </c>
      <c r="Q76" s="2"/>
      <c r="R76" s="7">
        <f t="shared" si="33"/>
        <v>5.6400019742092987E-2</v>
      </c>
      <c r="S76" s="2"/>
      <c r="T76" s="6">
        <v>72196.92</v>
      </c>
      <c r="U76" s="2"/>
      <c r="V76" s="7">
        <f t="shared" si="34"/>
        <v>0.16796197160125792</v>
      </c>
      <c r="W76" s="2"/>
      <c r="X76" s="6">
        <f t="shared" si="35"/>
        <v>-60449.59</v>
      </c>
      <c r="Y76" s="2"/>
      <c r="Z76" s="7">
        <f t="shared" si="36"/>
        <v>-0.83728765714659292</v>
      </c>
    </row>
    <row r="77" spans="1:26" s="23" customFormat="1" hidden="1" outlineLevel="2" x14ac:dyDescent="0.25">
      <c r="A77" s="25"/>
      <c r="B77" s="10" t="str">
        <f>CONCATENATE("          ", "6008", " - ", "STUDENT HOURLY-FICA EXEMPT")</f>
        <v xml:space="preserve">          6008 - STUDENT HOURLY-FICA EXEMPT</v>
      </c>
      <c r="C77" s="10"/>
      <c r="D77" s="6"/>
      <c r="E77" s="2"/>
      <c r="F77" s="7">
        <f t="shared" si="29"/>
        <v>0</v>
      </c>
      <c r="G77" s="2"/>
      <c r="H77" s="6"/>
      <c r="I77" s="2"/>
      <c r="J77" s="7">
        <f t="shared" si="30"/>
        <v>0</v>
      </c>
      <c r="K77" s="2"/>
      <c r="L77" s="6">
        <f t="shared" si="31"/>
        <v>0</v>
      </c>
      <c r="M77" s="2"/>
      <c r="N77" s="7">
        <f t="shared" si="32"/>
        <v>0</v>
      </c>
      <c r="O77" s="10"/>
      <c r="P77" s="6">
        <v>1919.03</v>
      </c>
      <c r="Q77" s="2"/>
      <c r="R77" s="7">
        <f t="shared" si="33"/>
        <v>9.2134408317182462E-3</v>
      </c>
      <c r="S77" s="2"/>
      <c r="T77" s="6"/>
      <c r="U77" s="2"/>
      <c r="V77" s="7">
        <f t="shared" si="34"/>
        <v>0</v>
      </c>
      <c r="W77" s="2"/>
      <c r="X77" s="6">
        <f t="shared" si="35"/>
        <v>1919.03</v>
      </c>
      <c r="Y77" s="2"/>
      <c r="Z77" s="7">
        <f t="shared" si="36"/>
        <v>0</v>
      </c>
    </row>
    <row r="78" spans="1:26" s="26" customFormat="1" outlineLevel="1" collapsed="1" x14ac:dyDescent="0.25">
      <c r="A78" s="27"/>
      <c r="B78" s="12" t="str">
        <f>CONCATENATE("     ","Advertising/Promo                                 ")</f>
        <v xml:space="preserve">     Advertising/Promo                                 </v>
      </c>
      <c r="C78" s="12"/>
      <c r="D78" s="1">
        <f>SUM(OSRRefD22_2x_0)</f>
        <v>0</v>
      </c>
      <c r="E78" s="1"/>
      <c r="F78" s="5">
        <f t="shared" ref="F78:F86" si="37">IF(D$12=0,0,D78/D$12)</f>
        <v>0</v>
      </c>
      <c r="G78" s="1"/>
      <c r="H78" s="1">
        <f>SUM(OSRRefH22_2x_0)</f>
        <v>0</v>
      </c>
      <c r="I78" s="1"/>
      <c r="J78" s="5">
        <f t="shared" ref="J78:J86" si="38">IF(H$12=0,0,H78/H$12)</f>
        <v>0</v>
      </c>
      <c r="K78" s="1"/>
      <c r="L78" s="1">
        <f t="shared" ref="L78:L86" si="39">+D78-H78</f>
        <v>0</v>
      </c>
      <c r="M78" s="1"/>
      <c r="N78" s="5">
        <f t="shared" ref="N78:N86" si="40">IF(H78=0,0,L78/H78)</f>
        <v>0</v>
      </c>
      <c r="O78" s="12"/>
      <c r="P78" s="1">
        <f>SUM(OSRRefP22_2x_0)</f>
        <v>1024.2</v>
      </c>
      <c r="Q78" s="1"/>
      <c r="R78" s="5">
        <f t="shared" ref="R78:R86" si="41">IF(P$12=0,0,P78/P$12)</f>
        <v>4.9172790940453402E-3</v>
      </c>
      <c r="S78" s="1"/>
      <c r="T78" s="1">
        <f>SUM(OSRRefT22_2x_0)</f>
        <v>2838.98</v>
      </c>
      <c r="U78" s="1"/>
      <c r="V78" s="5">
        <f t="shared" ref="V78:V86" si="42">IF(T$12=0,0,T78/T$12)</f>
        <v>6.6047232781750141E-3</v>
      </c>
      <c r="W78" s="1"/>
      <c r="X78" s="1">
        <f t="shared" ref="X78:X86" si="43">+P78-T78</f>
        <v>-1814.78</v>
      </c>
      <c r="Y78" s="1"/>
      <c r="Z78" s="5">
        <f t="shared" ref="Z78:Z86" si="44">IF(T78=0,0,X78/T78)</f>
        <v>-0.63923662723936059</v>
      </c>
    </row>
    <row r="79" spans="1:26" s="23" customFormat="1" hidden="1" outlineLevel="2" x14ac:dyDescent="0.25">
      <c r="A79" s="25"/>
      <c r="B79" s="10" t="str">
        <f>CONCATENATE("          ", "6362", " - ", "ADVERTISING EXPENSE")</f>
        <v xml:space="preserve">          6362 - ADVERTISING EXPENSE</v>
      </c>
      <c r="C79" s="10"/>
      <c r="D79" s="6"/>
      <c r="E79" s="2"/>
      <c r="F79" s="7">
        <f t="shared" si="37"/>
        <v>0</v>
      </c>
      <c r="G79" s="2"/>
      <c r="H79" s="6"/>
      <c r="I79" s="2"/>
      <c r="J79" s="7">
        <f t="shared" si="38"/>
        <v>0</v>
      </c>
      <c r="K79" s="2"/>
      <c r="L79" s="6">
        <f t="shared" si="39"/>
        <v>0</v>
      </c>
      <c r="M79" s="2"/>
      <c r="N79" s="7">
        <f t="shared" si="40"/>
        <v>0</v>
      </c>
      <c r="O79" s="10"/>
      <c r="P79" s="6">
        <v>1024.2</v>
      </c>
      <c r="Q79" s="2"/>
      <c r="R79" s="7">
        <f t="shared" si="41"/>
        <v>4.9172790940453402E-3</v>
      </c>
      <c r="S79" s="2"/>
      <c r="T79" s="6">
        <v>2838.98</v>
      </c>
      <c r="U79" s="2"/>
      <c r="V79" s="7">
        <f t="shared" si="42"/>
        <v>6.6047232781750141E-3</v>
      </c>
      <c r="W79" s="2"/>
      <c r="X79" s="6">
        <f t="shared" si="43"/>
        <v>-1814.78</v>
      </c>
      <c r="Y79" s="2"/>
      <c r="Z79" s="7">
        <f t="shared" si="44"/>
        <v>-0.63923662723936059</v>
      </c>
    </row>
    <row r="80" spans="1:26" s="26" customFormat="1" outlineLevel="1" collapsed="1" x14ac:dyDescent="0.25">
      <c r="A80" s="27"/>
      <c r="B80" s="12" t="str">
        <f>CONCATENATE("     ","Bad Debts/Over/Short                              ")</f>
        <v xml:space="preserve">     Bad Debts/Over/Short                              </v>
      </c>
      <c r="C80" s="12"/>
      <c r="D80" s="1">
        <f>SUM(OSRRefD22_3x_0)</f>
        <v>-20.41</v>
      </c>
      <c r="E80" s="1"/>
      <c r="F80" s="5">
        <f t="shared" si="37"/>
        <v>-8.4873687493502471E-4</v>
      </c>
      <c r="G80" s="1"/>
      <c r="H80" s="1">
        <f>SUM(OSRRefH22_3x_0)</f>
        <v>-0.03</v>
      </c>
      <c r="I80" s="1"/>
      <c r="J80" s="5">
        <f t="shared" si="38"/>
        <v>-1.1138594561841106E-6</v>
      </c>
      <c r="K80" s="1"/>
      <c r="L80" s="1">
        <f t="shared" si="39"/>
        <v>-20.38</v>
      </c>
      <c r="M80" s="1"/>
      <c r="N80" s="5">
        <f t="shared" si="40"/>
        <v>679.33333333333337</v>
      </c>
      <c r="O80" s="12"/>
      <c r="P80" s="1">
        <f>SUM(OSRRefP22_3x_0)</f>
        <v>-23.36</v>
      </c>
      <c r="Q80" s="1"/>
      <c r="R80" s="5">
        <f t="shared" si="41"/>
        <v>-1.1215352434768515E-4</v>
      </c>
      <c r="S80" s="1"/>
      <c r="T80" s="1">
        <f>SUM(OSRRefT22_3x_0)</f>
        <v>44.45</v>
      </c>
      <c r="U80" s="1"/>
      <c r="V80" s="5">
        <f t="shared" si="42"/>
        <v>1.0341036207189884E-4</v>
      </c>
      <c r="W80" s="1"/>
      <c r="X80" s="1">
        <f t="shared" si="43"/>
        <v>-67.81</v>
      </c>
      <c r="Y80" s="1"/>
      <c r="Z80" s="5">
        <f t="shared" si="44"/>
        <v>-1.5255343082114736</v>
      </c>
    </row>
    <row r="81" spans="1:26" s="23" customFormat="1" hidden="1" outlineLevel="2" x14ac:dyDescent="0.25">
      <c r="A81" s="25"/>
      <c r="B81" s="10" t="str">
        <f>CONCATENATE("          ", "6272", " - ", "CASH (OVER/SHORT)")</f>
        <v xml:space="preserve">          6272 - CASH (OVER/SHORT)</v>
      </c>
      <c r="C81" s="10"/>
      <c r="D81" s="6">
        <v>-20.41</v>
      </c>
      <c r="E81" s="2"/>
      <c r="F81" s="7">
        <f t="shared" si="37"/>
        <v>-8.4873687493502471E-4</v>
      </c>
      <c r="G81" s="2"/>
      <c r="H81" s="6">
        <v>-0.03</v>
      </c>
      <c r="I81" s="2"/>
      <c r="J81" s="7">
        <f t="shared" si="38"/>
        <v>-1.1138594561841106E-6</v>
      </c>
      <c r="K81" s="2"/>
      <c r="L81" s="6">
        <f t="shared" si="39"/>
        <v>-20.38</v>
      </c>
      <c r="M81" s="2"/>
      <c r="N81" s="7">
        <f t="shared" si="40"/>
        <v>679.33333333333337</v>
      </c>
      <c r="O81" s="10"/>
      <c r="P81" s="6">
        <v>-23.36</v>
      </c>
      <c r="Q81" s="2"/>
      <c r="R81" s="7">
        <f t="shared" si="41"/>
        <v>-1.1215352434768515E-4</v>
      </c>
      <c r="S81" s="2"/>
      <c r="T81" s="6">
        <v>44.45</v>
      </c>
      <c r="U81" s="2"/>
      <c r="V81" s="7">
        <f t="shared" si="42"/>
        <v>1.0341036207189884E-4</v>
      </c>
      <c r="W81" s="2"/>
      <c r="X81" s="6">
        <f t="shared" si="43"/>
        <v>-67.81</v>
      </c>
      <c r="Y81" s="2"/>
      <c r="Z81" s="7">
        <f t="shared" si="44"/>
        <v>-1.5255343082114736</v>
      </c>
    </row>
    <row r="82" spans="1:26" s="26" customFormat="1" outlineLevel="1" collapsed="1" x14ac:dyDescent="0.25">
      <c r="A82" s="27"/>
      <c r="B82" s="12" t="str">
        <f>CONCATENATE("     ","Bank/card Fees                                    ")</f>
        <v xml:space="preserve">     Bank/card Fees                                    </v>
      </c>
      <c r="C82" s="12"/>
      <c r="D82" s="1">
        <f>SUM(OSRRefD22_4x_0)</f>
        <v>470.17</v>
      </c>
      <c r="E82" s="1"/>
      <c r="F82" s="5">
        <f t="shared" si="37"/>
        <v>1.9551720553072052E-2</v>
      </c>
      <c r="G82" s="1"/>
      <c r="H82" s="1">
        <f>SUM(OSRRefH22_4x_0)</f>
        <v>347.43</v>
      </c>
      <c r="I82" s="1"/>
      <c r="J82" s="5">
        <f t="shared" si="38"/>
        <v>1.2899606362068184E-2</v>
      </c>
      <c r="K82" s="1"/>
      <c r="L82" s="1">
        <f t="shared" si="39"/>
        <v>122.74000000000001</v>
      </c>
      <c r="M82" s="1"/>
      <c r="N82" s="5">
        <f t="shared" si="40"/>
        <v>0.35327979736925424</v>
      </c>
      <c r="O82" s="12"/>
      <c r="P82" s="1">
        <f>SUM(OSRRefP22_4x_0)</f>
        <v>3337.9</v>
      </c>
      <c r="Q82" s="1"/>
      <c r="R82" s="5">
        <f t="shared" si="41"/>
        <v>1.6025567162677154E-2</v>
      </c>
      <c r="S82" s="1"/>
      <c r="T82" s="1">
        <f>SUM(OSRRefT22_4x_0)</f>
        <v>6147.88</v>
      </c>
      <c r="U82" s="1"/>
      <c r="V82" s="5">
        <f t="shared" si="42"/>
        <v>1.4302688341385499E-2</v>
      </c>
      <c r="W82" s="1"/>
      <c r="X82" s="1">
        <f t="shared" si="43"/>
        <v>-2809.98</v>
      </c>
      <c r="Y82" s="1"/>
      <c r="Z82" s="5">
        <f t="shared" si="44"/>
        <v>-0.45706487439572663</v>
      </c>
    </row>
    <row r="83" spans="1:26" s="23" customFormat="1" hidden="1" outlineLevel="2" x14ac:dyDescent="0.25">
      <c r="A83" s="25"/>
      <c r="B83" s="10" t="str">
        <f>CONCATENATE("          ", "6381", " - ", "BANK/CREDIT CARD FEES")</f>
        <v xml:space="preserve">          6381 - BANK/CREDIT CARD FEES</v>
      </c>
      <c r="C83" s="10"/>
      <c r="D83" s="6">
        <v>470.17</v>
      </c>
      <c r="E83" s="2"/>
      <c r="F83" s="7">
        <f t="shared" si="37"/>
        <v>1.9551720553072052E-2</v>
      </c>
      <c r="G83" s="2"/>
      <c r="H83" s="6">
        <v>347.43</v>
      </c>
      <c r="I83" s="2"/>
      <c r="J83" s="7">
        <f t="shared" si="38"/>
        <v>1.2899606362068184E-2</v>
      </c>
      <c r="K83" s="2"/>
      <c r="L83" s="6">
        <f t="shared" si="39"/>
        <v>122.74000000000001</v>
      </c>
      <c r="M83" s="2"/>
      <c r="N83" s="7">
        <f t="shared" si="40"/>
        <v>0.35327979736925424</v>
      </c>
      <c r="O83" s="10"/>
      <c r="P83" s="6">
        <v>3337.9</v>
      </c>
      <c r="Q83" s="2"/>
      <c r="R83" s="7">
        <f t="shared" si="41"/>
        <v>1.6025567162677154E-2</v>
      </c>
      <c r="S83" s="2"/>
      <c r="T83" s="6">
        <v>6147.88</v>
      </c>
      <c r="U83" s="2"/>
      <c r="V83" s="7">
        <f t="shared" si="42"/>
        <v>1.4302688341385499E-2</v>
      </c>
      <c r="W83" s="2"/>
      <c r="X83" s="6">
        <f t="shared" si="43"/>
        <v>-2809.98</v>
      </c>
      <c r="Y83" s="2"/>
      <c r="Z83" s="7">
        <f t="shared" si="44"/>
        <v>-0.45706487439572663</v>
      </c>
    </row>
    <row r="84" spans="1:26" s="26" customFormat="1" outlineLevel="1" collapsed="1" x14ac:dyDescent="0.25">
      <c r="A84" s="27"/>
      <c r="B84" s="12" t="str">
        <f>CONCATENATE("     ","Discounts and Markdowns                           ")</f>
        <v xml:space="preserve">     Discounts and Markdowns                           </v>
      </c>
      <c r="C84" s="12"/>
      <c r="D84" s="1">
        <f>SUM(OSRRefD22_5x_0)</f>
        <v>0</v>
      </c>
      <c r="E84" s="1"/>
      <c r="F84" s="5">
        <f t="shared" si="37"/>
        <v>0</v>
      </c>
      <c r="G84" s="1"/>
      <c r="H84" s="1">
        <f>SUM(OSRRefH22_5x_0)</f>
        <v>2330.0300000000002</v>
      </c>
      <c r="I84" s="1"/>
      <c r="J84" s="5">
        <f t="shared" si="38"/>
        <v>8.6510864956422115E-2</v>
      </c>
      <c r="K84" s="1"/>
      <c r="L84" s="1">
        <f t="shared" si="39"/>
        <v>-2330.0300000000002</v>
      </c>
      <c r="M84" s="1"/>
      <c r="N84" s="5">
        <f t="shared" si="40"/>
        <v>-1</v>
      </c>
      <c r="O84" s="12"/>
      <c r="P84" s="1">
        <f>SUM(OSRRefP22_5x_0)</f>
        <v>0</v>
      </c>
      <c r="Q84" s="1"/>
      <c r="R84" s="5">
        <f t="shared" si="41"/>
        <v>0</v>
      </c>
      <c r="S84" s="1"/>
      <c r="T84" s="1">
        <f>SUM(OSRRefT22_5x_0)</f>
        <v>68571.64</v>
      </c>
      <c r="U84" s="1"/>
      <c r="V84" s="5">
        <f t="shared" si="42"/>
        <v>0.15952796671009903</v>
      </c>
      <c r="W84" s="1"/>
      <c r="X84" s="1">
        <f t="shared" si="43"/>
        <v>-68571.64</v>
      </c>
      <c r="Y84" s="1"/>
      <c r="Z84" s="5">
        <f t="shared" si="44"/>
        <v>-1</v>
      </c>
    </row>
    <row r="85" spans="1:26" s="23" customFormat="1" hidden="1" outlineLevel="2" x14ac:dyDescent="0.25">
      <c r="A85" s="25"/>
      <c r="B85" s="10" t="str">
        <f>CONCATENATE("          ", "6382", " - ", "DISCOUNTS/MARK DOWNS")</f>
        <v xml:space="preserve">          6382 - DISCOUNTS/MARK DOWNS</v>
      </c>
      <c r="C85" s="10"/>
      <c r="D85" s="6">
        <v>0</v>
      </c>
      <c r="E85" s="2"/>
      <c r="F85" s="7">
        <f t="shared" si="37"/>
        <v>0</v>
      </c>
      <c r="G85" s="2"/>
      <c r="H85" s="6">
        <v>2330.0300000000002</v>
      </c>
      <c r="I85" s="2"/>
      <c r="J85" s="7">
        <f t="shared" si="38"/>
        <v>8.6510864956422115E-2</v>
      </c>
      <c r="K85" s="2"/>
      <c r="L85" s="6">
        <f t="shared" si="39"/>
        <v>-2330.0300000000002</v>
      </c>
      <c r="M85" s="2"/>
      <c r="N85" s="7">
        <f t="shared" si="40"/>
        <v>-1</v>
      </c>
      <c r="O85" s="10"/>
      <c r="P85" s="6">
        <v>0</v>
      </c>
      <c r="Q85" s="2"/>
      <c r="R85" s="7">
        <f t="shared" si="41"/>
        <v>0</v>
      </c>
      <c r="S85" s="2"/>
      <c r="T85" s="6">
        <v>68571.64</v>
      </c>
      <c r="U85" s="2"/>
      <c r="V85" s="7">
        <f t="shared" si="42"/>
        <v>0.15952796671009903</v>
      </c>
      <c r="W85" s="2"/>
      <c r="X85" s="6">
        <f t="shared" si="43"/>
        <v>-68571.64</v>
      </c>
      <c r="Y85" s="2"/>
      <c r="Z85" s="7">
        <f t="shared" si="44"/>
        <v>-1</v>
      </c>
    </row>
    <row r="86" spans="1:26" s="23" customFormat="1" hidden="1" outlineLevel="2" x14ac:dyDescent="0.25">
      <c r="A86" s="25"/>
      <c r="B86" s="10" t="str">
        <f>CONCATENATE("          ", "9175", " - ", "EARNED DISCOUNTS")</f>
        <v xml:space="preserve">          9175 - EARNED DISCOUNTS</v>
      </c>
      <c r="C86" s="10"/>
      <c r="D86" s="6"/>
      <c r="E86" s="2"/>
      <c r="F86" s="7">
        <f t="shared" si="37"/>
        <v>0</v>
      </c>
      <c r="G86" s="2"/>
      <c r="H86" s="6"/>
      <c r="I86" s="2"/>
      <c r="J86" s="7">
        <f t="shared" si="38"/>
        <v>0</v>
      </c>
      <c r="K86" s="2"/>
      <c r="L86" s="6">
        <f t="shared" si="39"/>
        <v>0</v>
      </c>
      <c r="M86" s="2"/>
      <c r="N86" s="7">
        <f t="shared" si="40"/>
        <v>0</v>
      </c>
      <c r="O86" s="10"/>
      <c r="P86" s="6"/>
      <c r="Q86" s="2"/>
      <c r="R86" s="7">
        <f t="shared" si="41"/>
        <v>0</v>
      </c>
      <c r="S86" s="2"/>
      <c r="T86" s="6">
        <v>0</v>
      </c>
      <c r="U86" s="2"/>
      <c r="V86" s="7">
        <f t="shared" si="42"/>
        <v>0</v>
      </c>
      <c r="W86" s="2"/>
      <c r="X86" s="6">
        <f t="shared" si="43"/>
        <v>0</v>
      </c>
      <c r="Y86" s="2"/>
      <c r="Z86" s="7">
        <f t="shared" si="44"/>
        <v>0</v>
      </c>
    </row>
    <row r="87" spans="1:26" s="26" customFormat="1" outlineLevel="1" collapsed="1" x14ac:dyDescent="0.25">
      <c r="A87" s="27"/>
      <c r="B87" s="12" t="str">
        <f>CONCATENATE("     ","Employees' Appreciation                           ")</f>
        <v xml:space="preserve">     Employees' Appreciation                           </v>
      </c>
      <c r="C87" s="12"/>
      <c r="D87" s="1">
        <f>SUM(OSRRefD22_6x_0)</f>
        <v>0</v>
      </c>
      <c r="E87" s="1"/>
      <c r="F87" s="5">
        <f t="shared" ref="F87:F102" si="45">IF(D$12=0,0,D87/D$12)</f>
        <v>0</v>
      </c>
      <c r="G87" s="1"/>
      <c r="H87" s="1">
        <f>SUM(OSRRefH22_6x_0)</f>
        <v>0</v>
      </c>
      <c r="I87" s="1"/>
      <c r="J87" s="5">
        <f t="shared" ref="J87:J102" si="46">IF(H$12=0,0,H87/H$12)</f>
        <v>0</v>
      </c>
      <c r="K87" s="1"/>
      <c r="L87" s="1">
        <f t="shared" ref="L87:L102" si="47">+D87-H87</f>
        <v>0</v>
      </c>
      <c r="M87" s="1"/>
      <c r="N87" s="5">
        <f t="shared" ref="N87:N102" si="48">IF(H87=0,0,L87/H87)</f>
        <v>0</v>
      </c>
      <c r="O87" s="12"/>
      <c r="P87" s="1">
        <f>SUM(OSRRefP22_6x_0)</f>
        <v>0</v>
      </c>
      <c r="Q87" s="1"/>
      <c r="R87" s="5">
        <f t="shared" ref="R87:R102" si="49">IF(P$12=0,0,P87/P$12)</f>
        <v>0</v>
      </c>
      <c r="S87" s="1"/>
      <c r="T87" s="1">
        <f>SUM(OSRRefT22_6x_0)</f>
        <v>120.93</v>
      </c>
      <c r="U87" s="1"/>
      <c r="V87" s="5">
        <f t="shared" ref="V87:V102" si="50">IF(T$12=0,0,T87/T$12)</f>
        <v>2.8133667233643932E-4</v>
      </c>
      <c r="W87" s="1"/>
      <c r="X87" s="1">
        <f t="shared" ref="X87:X102" si="51">+P87-T87</f>
        <v>-120.93</v>
      </c>
      <c r="Y87" s="1"/>
      <c r="Z87" s="5">
        <f t="shared" ref="Z87:Z102" si="52">IF(T87=0,0,X87/T87)</f>
        <v>-1</v>
      </c>
    </row>
    <row r="88" spans="1:26" s="23" customFormat="1" hidden="1" outlineLevel="2" x14ac:dyDescent="0.25">
      <c r="A88" s="25"/>
      <c r="B88" s="10" t="str">
        <f>CONCATENATE("          ", "6277", " - ", "EMPLOYEE APPRECIATION")</f>
        <v xml:space="preserve">          6277 - EMPLOYEE APPRECIATION</v>
      </c>
      <c r="C88" s="10"/>
      <c r="D88" s="6"/>
      <c r="E88" s="2"/>
      <c r="F88" s="7">
        <f t="shared" si="45"/>
        <v>0</v>
      </c>
      <c r="G88" s="2"/>
      <c r="H88" s="6"/>
      <c r="I88" s="2"/>
      <c r="J88" s="7">
        <f t="shared" si="46"/>
        <v>0</v>
      </c>
      <c r="K88" s="2"/>
      <c r="L88" s="6">
        <f t="shared" si="47"/>
        <v>0</v>
      </c>
      <c r="M88" s="2"/>
      <c r="N88" s="7">
        <f t="shared" si="48"/>
        <v>0</v>
      </c>
      <c r="O88" s="10"/>
      <c r="P88" s="6"/>
      <c r="Q88" s="2"/>
      <c r="R88" s="7">
        <f t="shared" si="49"/>
        <v>0</v>
      </c>
      <c r="S88" s="2"/>
      <c r="T88" s="6">
        <v>120.93</v>
      </c>
      <c r="U88" s="2"/>
      <c r="V88" s="7">
        <f t="shared" si="50"/>
        <v>2.8133667233643932E-4</v>
      </c>
      <c r="W88" s="2"/>
      <c r="X88" s="6">
        <f t="shared" si="51"/>
        <v>-120.93</v>
      </c>
      <c r="Y88" s="2"/>
      <c r="Z88" s="7">
        <f t="shared" si="52"/>
        <v>-1</v>
      </c>
    </row>
    <row r="89" spans="1:26" s="26" customFormat="1" outlineLevel="1" collapsed="1" x14ac:dyDescent="0.25">
      <c r="A89" s="27"/>
      <c r="B89" s="12" t="str">
        <f>CONCATENATE("     ","General                                           ")</f>
        <v xml:space="preserve">     General                                           </v>
      </c>
      <c r="C89" s="12"/>
      <c r="D89" s="1">
        <f>SUM(OSRRefD22_7x_0)</f>
        <v>0</v>
      </c>
      <c r="E89" s="1"/>
      <c r="F89" s="5">
        <f t="shared" si="45"/>
        <v>0</v>
      </c>
      <c r="G89" s="1"/>
      <c r="H89" s="1">
        <f>SUM(OSRRefH22_7x_0)</f>
        <v>0</v>
      </c>
      <c r="I89" s="1"/>
      <c r="J89" s="5">
        <f t="shared" si="46"/>
        <v>0</v>
      </c>
      <c r="K89" s="1"/>
      <c r="L89" s="1">
        <f t="shared" si="47"/>
        <v>0</v>
      </c>
      <c r="M89" s="1"/>
      <c r="N89" s="5">
        <f t="shared" si="48"/>
        <v>0</v>
      </c>
      <c r="O89" s="12"/>
      <c r="P89" s="1">
        <f>SUM(OSRRefP22_7x_0)</f>
        <v>1285.46</v>
      </c>
      <c r="Q89" s="1"/>
      <c r="R89" s="5">
        <f t="shared" si="49"/>
        <v>6.1716125602729174E-3</v>
      </c>
      <c r="S89" s="1"/>
      <c r="T89" s="1">
        <f>SUM(OSRRefT22_7x_0)</f>
        <v>1271.44</v>
      </c>
      <c r="U89" s="1"/>
      <c r="V89" s="5">
        <f t="shared" si="50"/>
        <v>2.9579318504543324E-3</v>
      </c>
      <c r="W89" s="1"/>
      <c r="X89" s="1">
        <f t="shared" si="51"/>
        <v>14.019999999999982</v>
      </c>
      <c r="Y89" s="1"/>
      <c r="Z89" s="5">
        <f t="shared" si="52"/>
        <v>1.1026867174227633E-2</v>
      </c>
    </row>
    <row r="90" spans="1:26" s="23" customFormat="1" hidden="1" outlineLevel="2" x14ac:dyDescent="0.25">
      <c r="A90" s="25"/>
      <c r="B90" s="10" t="str">
        <f>CONCATENATE("          ", "6279", " - ", "GENERAL EXPENSE")</f>
        <v xml:space="preserve">          6279 - GENERAL EXPENSE</v>
      </c>
      <c r="C90" s="10"/>
      <c r="D90" s="6"/>
      <c r="E90" s="2"/>
      <c r="F90" s="7">
        <f t="shared" si="45"/>
        <v>0</v>
      </c>
      <c r="G90" s="2"/>
      <c r="H90" s="6"/>
      <c r="I90" s="2"/>
      <c r="J90" s="7">
        <f t="shared" si="46"/>
        <v>0</v>
      </c>
      <c r="K90" s="2"/>
      <c r="L90" s="6">
        <f t="shared" si="47"/>
        <v>0</v>
      </c>
      <c r="M90" s="2"/>
      <c r="N90" s="7">
        <f t="shared" si="48"/>
        <v>0</v>
      </c>
      <c r="O90" s="10"/>
      <c r="P90" s="6">
        <v>1285.46</v>
      </c>
      <c r="Q90" s="2"/>
      <c r="R90" s="7">
        <f t="shared" si="49"/>
        <v>6.1716125602729174E-3</v>
      </c>
      <c r="S90" s="2"/>
      <c r="T90" s="6">
        <v>1271.44</v>
      </c>
      <c r="U90" s="2"/>
      <c r="V90" s="7">
        <f t="shared" si="50"/>
        <v>2.9579318504543324E-3</v>
      </c>
      <c r="W90" s="2"/>
      <c r="X90" s="6">
        <f t="shared" si="51"/>
        <v>14.019999999999982</v>
      </c>
      <c r="Y90" s="2"/>
      <c r="Z90" s="7">
        <f t="shared" si="52"/>
        <v>1.1026867174227633E-2</v>
      </c>
    </row>
    <row r="91" spans="1:26" s="26" customFormat="1" outlineLevel="1" collapsed="1" x14ac:dyDescent="0.25">
      <c r="A91" s="27"/>
      <c r="B91" s="12" t="str">
        <f>CONCATENATE("     ","Insurance                                         ")</f>
        <v xml:space="preserve">     Insurance                                         </v>
      </c>
      <c r="C91" s="12"/>
      <c r="D91" s="1">
        <f>SUM(OSRRefD22_8x_0)</f>
        <v>161.18</v>
      </c>
      <c r="E91" s="1"/>
      <c r="F91" s="5">
        <f t="shared" si="45"/>
        <v>6.7025678344942328E-3</v>
      </c>
      <c r="G91" s="1"/>
      <c r="H91" s="1">
        <f>SUM(OSRRefH22_8x_0)</f>
        <v>161.18</v>
      </c>
      <c r="I91" s="1"/>
      <c r="J91" s="5">
        <f t="shared" si="46"/>
        <v>5.9843955715918312E-3</v>
      </c>
      <c r="K91" s="1"/>
      <c r="L91" s="1">
        <f t="shared" si="47"/>
        <v>0</v>
      </c>
      <c r="M91" s="1"/>
      <c r="N91" s="5">
        <f t="shared" si="48"/>
        <v>0</v>
      </c>
      <c r="O91" s="12"/>
      <c r="P91" s="1">
        <f>SUM(OSRRefP22_8x_0)</f>
        <v>1450.62</v>
      </c>
      <c r="Q91" s="1"/>
      <c r="R91" s="5">
        <f t="shared" si="49"/>
        <v>6.9645610226557802E-3</v>
      </c>
      <c r="S91" s="1"/>
      <c r="T91" s="1">
        <f>SUM(OSRRefT22_8x_0)</f>
        <v>1450.62</v>
      </c>
      <c r="U91" s="1"/>
      <c r="V91" s="5">
        <f t="shared" si="50"/>
        <v>3.3747837891729558E-3</v>
      </c>
      <c r="W91" s="1"/>
      <c r="X91" s="1">
        <f t="shared" si="51"/>
        <v>0</v>
      </c>
      <c r="Y91" s="1"/>
      <c r="Z91" s="5">
        <f t="shared" si="52"/>
        <v>0</v>
      </c>
    </row>
    <row r="92" spans="1:26" s="23" customFormat="1" hidden="1" outlineLevel="2" x14ac:dyDescent="0.25">
      <c r="A92" s="25"/>
      <c r="B92" s="10" t="str">
        <f>CONCATENATE("          ", "6314", " - ", "LIABILITY INSURANCE")</f>
        <v xml:space="preserve">          6314 - LIABILITY INSURANCE</v>
      </c>
      <c r="C92" s="10"/>
      <c r="D92" s="6">
        <v>161.18</v>
      </c>
      <c r="E92" s="2"/>
      <c r="F92" s="7">
        <f t="shared" si="45"/>
        <v>6.7025678344942328E-3</v>
      </c>
      <c r="G92" s="2"/>
      <c r="H92" s="6">
        <v>161.18</v>
      </c>
      <c r="I92" s="2"/>
      <c r="J92" s="7">
        <f t="shared" si="46"/>
        <v>5.9843955715918312E-3</v>
      </c>
      <c r="K92" s="2"/>
      <c r="L92" s="6">
        <f t="shared" si="47"/>
        <v>0</v>
      </c>
      <c r="M92" s="2"/>
      <c r="N92" s="7">
        <f t="shared" si="48"/>
        <v>0</v>
      </c>
      <c r="O92" s="10"/>
      <c r="P92" s="6">
        <v>1450.62</v>
      </c>
      <c r="Q92" s="2"/>
      <c r="R92" s="7">
        <f t="shared" si="49"/>
        <v>6.9645610226557802E-3</v>
      </c>
      <c r="S92" s="2"/>
      <c r="T92" s="6">
        <v>1450.62</v>
      </c>
      <c r="U92" s="2"/>
      <c r="V92" s="7">
        <f t="shared" si="50"/>
        <v>3.3747837891729558E-3</v>
      </c>
      <c r="W92" s="2"/>
      <c r="X92" s="6">
        <f t="shared" si="51"/>
        <v>0</v>
      </c>
      <c r="Y92" s="2"/>
      <c r="Z92" s="7">
        <f t="shared" si="52"/>
        <v>0</v>
      </c>
    </row>
    <row r="93" spans="1:26" s="26" customFormat="1" outlineLevel="1" collapsed="1" x14ac:dyDescent="0.25">
      <c r="A93" s="27"/>
      <c r="B93" s="12" t="str">
        <f>CONCATENATE("     ","Inventory Adjustment                              ")</f>
        <v xml:space="preserve">     Inventory Adjustment                              </v>
      </c>
      <c r="C93" s="12"/>
      <c r="D93" s="1">
        <f>SUM(OSRRefD22_9x_0)</f>
        <v>100</v>
      </c>
      <c r="E93" s="1"/>
      <c r="F93" s="5">
        <f t="shared" si="45"/>
        <v>4.1584364279031094E-3</v>
      </c>
      <c r="G93" s="1"/>
      <c r="H93" s="1">
        <f>SUM(OSRRefH22_9x_0)</f>
        <v>600</v>
      </c>
      <c r="I93" s="1"/>
      <c r="J93" s="5">
        <f t="shared" si="46"/>
        <v>2.227718912368221E-2</v>
      </c>
      <c r="K93" s="1"/>
      <c r="L93" s="1">
        <f t="shared" si="47"/>
        <v>-500</v>
      </c>
      <c r="M93" s="1"/>
      <c r="N93" s="5">
        <f t="shared" si="48"/>
        <v>-0.83333333333333337</v>
      </c>
      <c r="O93" s="12"/>
      <c r="P93" s="1">
        <f>SUM(OSRRefP22_9x_0)</f>
        <v>900</v>
      </c>
      <c r="Q93" s="1"/>
      <c r="R93" s="5">
        <f t="shared" si="49"/>
        <v>4.3209833866830749E-3</v>
      </c>
      <c r="S93" s="1"/>
      <c r="T93" s="1">
        <f>SUM(OSRRefT22_9x_0)</f>
        <v>3000</v>
      </c>
      <c r="U93" s="1"/>
      <c r="V93" s="5">
        <f t="shared" si="50"/>
        <v>6.9793270239751747E-3</v>
      </c>
      <c r="W93" s="1"/>
      <c r="X93" s="1">
        <f t="shared" si="51"/>
        <v>-2100</v>
      </c>
      <c r="Y93" s="1"/>
      <c r="Z93" s="5">
        <f t="shared" si="52"/>
        <v>-0.7</v>
      </c>
    </row>
    <row r="94" spans="1:26" s="23" customFormat="1" hidden="1" outlineLevel="2" x14ac:dyDescent="0.25">
      <c r="A94" s="25"/>
      <c r="B94" s="10" t="str">
        <f>CONCATENATE("          ", "6408", " - ", "INVENTORY ADJUSTMENT")</f>
        <v xml:space="preserve">          6408 - INVENTORY ADJUSTMENT</v>
      </c>
      <c r="C94" s="10"/>
      <c r="D94" s="6">
        <v>100</v>
      </c>
      <c r="E94" s="2"/>
      <c r="F94" s="7">
        <f t="shared" si="45"/>
        <v>4.1584364279031094E-3</v>
      </c>
      <c r="G94" s="2"/>
      <c r="H94" s="6">
        <v>600</v>
      </c>
      <c r="I94" s="2"/>
      <c r="J94" s="7">
        <f t="shared" si="46"/>
        <v>2.227718912368221E-2</v>
      </c>
      <c r="K94" s="2"/>
      <c r="L94" s="6">
        <f t="shared" si="47"/>
        <v>-500</v>
      </c>
      <c r="M94" s="2"/>
      <c r="N94" s="7">
        <f t="shared" si="48"/>
        <v>-0.83333333333333337</v>
      </c>
      <c r="O94" s="10"/>
      <c r="P94" s="6">
        <v>900</v>
      </c>
      <c r="Q94" s="2"/>
      <c r="R94" s="7">
        <f t="shared" si="49"/>
        <v>4.3209833866830749E-3</v>
      </c>
      <c r="S94" s="2"/>
      <c r="T94" s="6">
        <v>3000</v>
      </c>
      <c r="U94" s="2"/>
      <c r="V94" s="7">
        <f t="shared" si="50"/>
        <v>6.9793270239751747E-3</v>
      </c>
      <c r="W94" s="2"/>
      <c r="X94" s="6">
        <f t="shared" si="51"/>
        <v>-2100</v>
      </c>
      <c r="Y94" s="2"/>
      <c r="Z94" s="7">
        <f t="shared" si="52"/>
        <v>-0.7</v>
      </c>
    </row>
    <row r="95" spans="1:26" s="26" customFormat="1" outlineLevel="1" collapsed="1" x14ac:dyDescent="0.25">
      <c r="A95" s="27"/>
      <c r="B95" s="12" t="str">
        <f>CONCATENATE("     ","Professional Services                             ")</f>
        <v xml:space="preserve">     Professional Services                             </v>
      </c>
      <c r="C95" s="12"/>
      <c r="D95" s="1">
        <f>SUM(OSRRefD22_10x_0)</f>
        <v>0</v>
      </c>
      <c r="E95" s="1"/>
      <c r="F95" s="5">
        <f t="shared" si="45"/>
        <v>0</v>
      </c>
      <c r="G95" s="1"/>
      <c r="H95" s="1">
        <f>SUM(OSRRefH22_10x_0)</f>
        <v>0</v>
      </c>
      <c r="I95" s="1"/>
      <c r="J95" s="5">
        <f t="shared" si="46"/>
        <v>0</v>
      </c>
      <c r="K95" s="1"/>
      <c r="L95" s="1">
        <f t="shared" si="47"/>
        <v>0</v>
      </c>
      <c r="M95" s="1"/>
      <c r="N95" s="5">
        <f t="shared" si="48"/>
        <v>0</v>
      </c>
      <c r="O95" s="12"/>
      <c r="P95" s="1">
        <f>SUM(OSRRefP22_10x_0)</f>
        <v>0</v>
      </c>
      <c r="Q95" s="1"/>
      <c r="R95" s="5">
        <f t="shared" si="49"/>
        <v>0</v>
      </c>
      <c r="S95" s="1"/>
      <c r="T95" s="1">
        <f>SUM(OSRRefT22_10x_0)</f>
        <v>750</v>
      </c>
      <c r="U95" s="1"/>
      <c r="V95" s="5">
        <f t="shared" si="50"/>
        <v>1.7448317559937937E-3</v>
      </c>
      <c r="W95" s="1"/>
      <c r="X95" s="1">
        <f t="shared" si="51"/>
        <v>-750</v>
      </c>
      <c r="Y95" s="1"/>
      <c r="Z95" s="5">
        <f t="shared" si="52"/>
        <v>-1</v>
      </c>
    </row>
    <row r="96" spans="1:26" s="23" customFormat="1" hidden="1" outlineLevel="2" x14ac:dyDescent="0.25">
      <c r="A96" s="25"/>
      <c r="B96" s="10" t="str">
        <f>CONCATENATE("          ", "6336", " - ", "PROFESSIONAL SERVICES")</f>
        <v xml:space="preserve">          6336 - PROFESSIONAL SERVICES</v>
      </c>
      <c r="C96" s="10"/>
      <c r="D96" s="6"/>
      <c r="E96" s="2"/>
      <c r="F96" s="7">
        <f t="shared" si="45"/>
        <v>0</v>
      </c>
      <c r="G96" s="2"/>
      <c r="H96" s="6"/>
      <c r="I96" s="2"/>
      <c r="J96" s="7">
        <f t="shared" si="46"/>
        <v>0</v>
      </c>
      <c r="K96" s="2"/>
      <c r="L96" s="6">
        <f t="shared" si="47"/>
        <v>0</v>
      </c>
      <c r="M96" s="2"/>
      <c r="N96" s="7">
        <f t="shared" si="48"/>
        <v>0</v>
      </c>
      <c r="O96" s="10"/>
      <c r="P96" s="6"/>
      <c r="Q96" s="2"/>
      <c r="R96" s="7">
        <f t="shared" si="49"/>
        <v>0</v>
      </c>
      <c r="S96" s="2"/>
      <c r="T96" s="6">
        <v>750</v>
      </c>
      <c r="U96" s="2"/>
      <c r="V96" s="7">
        <f t="shared" si="50"/>
        <v>1.7448317559937937E-3</v>
      </c>
      <c r="W96" s="2"/>
      <c r="X96" s="6">
        <f t="shared" si="51"/>
        <v>-750</v>
      </c>
      <c r="Y96" s="2"/>
      <c r="Z96" s="7">
        <f t="shared" si="52"/>
        <v>-1</v>
      </c>
    </row>
    <row r="97" spans="1:26" s="26" customFormat="1" outlineLevel="1" collapsed="1" x14ac:dyDescent="0.25">
      <c r="A97" s="27"/>
      <c r="B97" s="12" t="str">
        <f>CONCATENATE("     ","Rent                                              ")</f>
        <v xml:space="preserve">     Rent                                              </v>
      </c>
      <c r="C97" s="12"/>
      <c r="D97" s="1">
        <f>SUM(OSRRefD22_11x_0)</f>
        <v>6900</v>
      </c>
      <c r="E97" s="1"/>
      <c r="F97" s="5">
        <f t="shared" si="45"/>
        <v>0.28693211352531456</v>
      </c>
      <c r="G97" s="1"/>
      <c r="H97" s="1">
        <f>SUM(OSRRefH22_11x_0)</f>
        <v>6900</v>
      </c>
      <c r="I97" s="1"/>
      <c r="J97" s="5">
        <f t="shared" si="46"/>
        <v>0.2561876749223454</v>
      </c>
      <c r="K97" s="1"/>
      <c r="L97" s="1">
        <f t="shared" si="47"/>
        <v>0</v>
      </c>
      <c r="M97" s="1"/>
      <c r="N97" s="5">
        <f t="shared" si="48"/>
        <v>0</v>
      </c>
      <c r="O97" s="12"/>
      <c r="P97" s="1">
        <f>SUM(OSRRefP22_11x_0)</f>
        <v>62100</v>
      </c>
      <c r="Q97" s="1"/>
      <c r="R97" s="5">
        <f t="shared" si="49"/>
        <v>0.29814785368113217</v>
      </c>
      <c r="S97" s="1"/>
      <c r="T97" s="1">
        <f>SUM(OSRRefT22_11x_0)</f>
        <v>62100</v>
      </c>
      <c r="U97" s="1"/>
      <c r="V97" s="5">
        <f t="shared" si="50"/>
        <v>0.14447206939628612</v>
      </c>
      <c r="W97" s="1"/>
      <c r="X97" s="1">
        <f t="shared" si="51"/>
        <v>0</v>
      </c>
      <c r="Y97" s="1"/>
      <c r="Z97" s="5">
        <f t="shared" si="52"/>
        <v>0</v>
      </c>
    </row>
    <row r="98" spans="1:26" s="23" customFormat="1" hidden="1" outlineLevel="2" x14ac:dyDescent="0.25">
      <c r="A98" s="25"/>
      <c r="B98" s="10" t="str">
        <f>CONCATENATE("          ", "6273", " - ", "RENT")</f>
        <v xml:space="preserve">          6273 - RENT</v>
      </c>
      <c r="C98" s="10"/>
      <c r="D98" s="6">
        <v>6900</v>
      </c>
      <c r="E98" s="2"/>
      <c r="F98" s="7">
        <f t="shared" si="45"/>
        <v>0.28693211352531456</v>
      </c>
      <c r="G98" s="2"/>
      <c r="H98" s="6">
        <v>6900</v>
      </c>
      <c r="I98" s="2"/>
      <c r="J98" s="7">
        <f t="shared" si="46"/>
        <v>0.2561876749223454</v>
      </c>
      <c r="K98" s="2"/>
      <c r="L98" s="6">
        <f t="shared" si="47"/>
        <v>0</v>
      </c>
      <c r="M98" s="2"/>
      <c r="N98" s="7">
        <f t="shared" si="48"/>
        <v>0</v>
      </c>
      <c r="O98" s="10"/>
      <c r="P98" s="6">
        <v>62100</v>
      </c>
      <c r="Q98" s="2"/>
      <c r="R98" s="7">
        <f t="shared" si="49"/>
        <v>0.29814785368113217</v>
      </c>
      <c r="S98" s="2"/>
      <c r="T98" s="6">
        <v>62100</v>
      </c>
      <c r="U98" s="2"/>
      <c r="V98" s="7">
        <f t="shared" si="50"/>
        <v>0.14447206939628612</v>
      </c>
      <c r="W98" s="2"/>
      <c r="X98" s="6">
        <f t="shared" si="51"/>
        <v>0</v>
      </c>
      <c r="Y98" s="2"/>
      <c r="Z98" s="7">
        <f t="shared" si="52"/>
        <v>0</v>
      </c>
    </row>
    <row r="99" spans="1:26" s="26" customFormat="1" outlineLevel="1" collapsed="1" x14ac:dyDescent="0.25">
      <c r="A99" s="27"/>
      <c r="B99" s="12" t="str">
        <f>CONCATENATE("     ","Repair and Maintenance                            ")</f>
        <v xml:space="preserve">     Repair and Maintenance                            </v>
      </c>
      <c r="C99" s="12"/>
      <c r="D99" s="1">
        <f>SUM(OSRRefD22_12x_0)</f>
        <v>213.79</v>
      </c>
      <c r="E99" s="1"/>
      <c r="F99" s="5">
        <f t="shared" si="45"/>
        <v>8.8903212392140579E-3</v>
      </c>
      <c r="G99" s="1"/>
      <c r="H99" s="1">
        <f>SUM(OSRRefH22_12x_0)</f>
        <v>48.23</v>
      </c>
      <c r="I99" s="1"/>
      <c r="J99" s="5">
        <f t="shared" si="46"/>
        <v>1.790714719058655E-3</v>
      </c>
      <c r="K99" s="1"/>
      <c r="L99" s="1">
        <f t="shared" si="47"/>
        <v>165.56</v>
      </c>
      <c r="M99" s="1"/>
      <c r="N99" s="5">
        <f t="shared" si="48"/>
        <v>3.4327182251710555</v>
      </c>
      <c r="O99" s="12"/>
      <c r="P99" s="1">
        <f>SUM(OSRRefP22_12x_0)</f>
        <v>309.70999999999998</v>
      </c>
      <c r="Q99" s="1"/>
      <c r="R99" s="5">
        <f t="shared" si="49"/>
        <v>1.4869464052106834E-3</v>
      </c>
      <c r="S99" s="1"/>
      <c r="T99" s="1">
        <f>SUM(OSRRefT22_12x_0)</f>
        <v>323.98</v>
      </c>
      <c r="U99" s="1"/>
      <c r="V99" s="5">
        <f t="shared" si="50"/>
        <v>7.5372078974249247E-4</v>
      </c>
      <c r="W99" s="1"/>
      <c r="X99" s="1">
        <f t="shared" si="51"/>
        <v>-14.270000000000039</v>
      </c>
      <c r="Y99" s="1"/>
      <c r="Z99" s="5">
        <f t="shared" si="52"/>
        <v>-4.4045928761034747E-2</v>
      </c>
    </row>
    <row r="100" spans="1:26" s="23" customFormat="1" hidden="1" outlineLevel="2" x14ac:dyDescent="0.25">
      <c r="A100" s="25"/>
      <c r="B100" s="10" t="str">
        <f>CONCATENATE("          ", "6372", " - ", "COMPUTER HARDWARE MAINTENANCE")</f>
        <v xml:space="preserve">          6372 - COMPUTER HARDWARE MAINTENANCE</v>
      </c>
      <c r="C100" s="10"/>
      <c r="D100" s="6"/>
      <c r="E100" s="2"/>
      <c r="F100" s="7">
        <f t="shared" si="45"/>
        <v>0</v>
      </c>
      <c r="G100" s="2"/>
      <c r="H100" s="6"/>
      <c r="I100" s="2"/>
      <c r="J100" s="7">
        <f t="shared" si="46"/>
        <v>0</v>
      </c>
      <c r="K100" s="2"/>
      <c r="L100" s="6">
        <f t="shared" si="47"/>
        <v>0</v>
      </c>
      <c r="M100" s="2"/>
      <c r="N100" s="7">
        <f t="shared" si="48"/>
        <v>0</v>
      </c>
      <c r="O100" s="10"/>
      <c r="P100" s="6">
        <v>-0.52</v>
      </c>
      <c r="Q100" s="2"/>
      <c r="R100" s="7">
        <f t="shared" si="49"/>
        <v>-2.4965681789724437E-6</v>
      </c>
      <c r="S100" s="2"/>
      <c r="T100" s="6"/>
      <c r="U100" s="2"/>
      <c r="V100" s="7">
        <f t="shared" si="50"/>
        <v>0</v>
      </c>
      <c r="W100" s="2"/>
      <c r="X100" s="6">
        <f t="shared" si="51"/>
        <v>-0.52</v>
      </c>
      <c r="Y100" s="2"/>
      <c r="Z100" s="7">
        <f t="shared" si="52"/>
        <v>0</v>
      </c>
    </row>
    <row r="101" spans="1:26" s="23" customFormat="1" hidden="1" outlineLevel="2" x14ac:dyDescent="0.25">
      <c r="A101" s="25"/>
      <c r="B101" s="10" t="str">
        <f>CONCATENATE("          ", "6373", " - ", "MAINTENANCE CONTRACTS")</f>
        <v xml:space="preserve">          6373 - MAINTENANCE CONTRACTS</v>
      </c>
      <c r="C101" s="10"/>
      <c r="D101" s="6">
        <v>48.23</v>
      </c>
      <c r="E101" s="2"/>
      <c r="F101" s="7">
        <f t="shared" si="45"/>
        <v>2.0056138891776697E-3</v>
      </c>
      <c r="G101" s="2"/>
      <c r="H101" s="6">
        <v>48.23</v>
      </c>
      <c r="I101" s="2"/>
      <c r="J101" s="7">
        <f t="shared" si="46"/>
        <v>1.790714719058655E-3</v>
      </c>
      <c r="K101" s="2"/>
      <c r="L101" s="6">
        <f t="shared" si="47"/>
        <v>0</v>
      </c>
      <c r="M101" s="2"/>
      <c r="N101" s="7">
        <f t="shared" si="48"/>
        <v>0</v>
      </c>
      <c r="O101" s="10"/>
      <c r="P101" s="6">
        <v>144.66999999999999</v>
      </c>
      <c r="Q101" s="2"/>
      <c r="R101" s="7">
        <f t="shared" si="49"/>
        <v>6.9457407394604492E-4</v>
      </c>
      <c r="S101" s="2"/>
      <c r="T101" s="6">
        <v>141.44999999999999</v>
      </c>
      <c r="U101" s="2"/>
      <c r="V101" s="7">
        <f t="shared" si="50"/>
        <v>3.2907526918042948E-4</v>
      </c>
      <c r="W101" s="2"/>
      <c r="X101" s="6">
        <f t="shared" si="51"/>
        <v>3.2199999999999989</v>
      </c>
      <c r="Y101" s="2"/>
      <c r="Z101" s="7">
        <f t="shared" si="52"/>
        <v>2.2764227642276418E-2</v>
      </c>
    </row>
    <row r="102" spans="1:26" s="23" customFormat="1" hidden="1" outlineLevel="2" x14ac:dyDescent="0.25">
      <c r="A102" s="25"/>
      <c r="B102" s="10" t="str">
        <f>CONCATENATE("          ", "6375", " - ", "OUTSIDE REPAIRS &amp; MAINTENANCE")</f>
        <v xml:space="preserve">          6375 - OUTSIDE REPAIRS &amp; MAINTENANCE</v>
      </c>
      <c r="C102" s="10"/>
      <c r="D102" s="6">
        <v>165.56</v>
      </c>
      <c r="E102" s="2"/>
      <c r="F102" s="7">
        <f t="shared" si="45"/>
        <v>6.8847073500363882E-3</v>
      </c>
      <c r="G102" s="2"/>
      <c r="H102" s="6"/>
      <c r="I102" s="2"/>
      <c r="J102" s="7">
        <f t="shared" si="46"/>
        <v>0</v>
      </c>
      <c r="K102" s="2"/>
      <c r="L102" s="6">
        <f t="shared" si="47"/>
        <v>165.56</v>
      </c>
      <c r="M102" s="2"/>
      <c r="N102" s="7">
        <f t="shared" si="48"/>
        <v>0</v>
      </c>
      <c r="O102" s="10"/>
      <c r="P102" s="6">
        <v>165.56</v>
      </c>
      <c r="Q102" s="2"/>
      <c r="R102" s="7">
        <f t="shared" si="49"/>
        <v>7.9486889944361107E-4</v>
      </c>
      <c r="S102" s="2"/>
      <c r="T102" s="6">
        <v>182.53</v>
      </c>
      <c r="U102" s="2"/>
      <c r="V102" s="7">
        <f t="shared" si="50"/>
        <v>4.2464552056206288E-4</v>
      </c>
      <c r="W102" s="2"/>
      <c r="X102" s="6">
        <f t="shared" si="51"/>
        <v>-16.97</v>
      </c>
      <c r="Y102" s="2"/>
      <c r="Z102" s="7">
        <f t="shared" si="52"/>
        <v>-9.2971018462718449E-2</v>
      </c>
    </row>
    <row r="103" spans="1:26" s="26" customFormat="1" outlineLevel="1" collapsed="1" x14ac:dyDescent="0.25">
      <c r="A103" s="27"/>
      <c r="B103" s="12" t="str">
        <f>CONCATENATE("     ","Services                                          ")</f>
        <v xml:space="preserve">     Services                                          </v>
      </c>
      <c r="C103" s="12"/>
      <c r="D103" s="1">
        <f>SUM(OSRRefD22_13x_0)</f>
        <v>250.83999999999997</v>
      </c>
      <c r="E103" s="1"/>
      <c r="F103" s="5">
        <f t="shared" ref="F103:F106" si="53">IF(D$12=0,0,D103/D$12)</f>
        <v>1.0431021935752158E-2</v>
      </c>
      <c r="G103" s="1"/>
      <c r="H103" s="1">
        <f>SUM(OSRRefH22_13x_0)</f>
        <v>250.18</v>
      </c>
      <c r="I103" s="1"/>
      <c r="J103" s="5">
        <f t="shared" ref="J103:J106" si="54">IF(H$12=0,0,H103/H$12)</f>
        <v>9.2888452916046922E-3</v>
      </c>
      <c r="K103" s="1"/>
      <c r="L103" s="1">
        <f t="shared" ref="L103:L106" si="55">+D103-H103</f>
        <v>0.65999999999996817</v>
      </c>
      <c r="M103" s="1"/>
      <c r="N103" s="5">
        <f t="shared" ref="N103:N106" si="56">IF(H103=0,0,L103/H103)</f>
        <v>2.6381005675912071E-3</v>
      </c>
      <c r="O103" s="12"/>
      <c r="P103" s="1">
        <f>SUM(OSRRefP22_13x_0)</f>
        <v>607.34</v>
      </c>
      <c r="Q103" s="1"/>
      <c r="R103" s="5">
        <f t="shared" ref="R103:R106" si="57">IF(P$12=0,0,P103/P$12)</f>
        <v>2.9158956111867769E-3</v>
      </c>
      <c r="S103" s="1"/>
      <c r="T103" s="1">
        <f>SUM(OSRRefT22_13x_0)</f>
        <v>2631.36</v>
      </c>
      <c r="U103" s="1"/>
      <c r="V103" s="5">
        <f t="shared" ref="V103:V106" si="58">IF(T$12=0,0,T103/T$12)</f>
        <v>6.1217073192691056E-3</v>
      </c>
      <c r="W103" s="1"/>
      <c r="X103" s="1">
        <f t="shared" ref="X103:X106" si="59">+P103-T103</f>
        <v>-2024.02</v>
      </c>
      <c r="Y103" s="1"/>
      <c r="Z103" s="5">
        <f t="shared" ref="Z103:Z106" si="60">IF(T103=0,0,X103/T103)</f>
        <v>-0.7691915967408488</v>
      </c>
    </row>
    <row r="104" spans="1:26" s="23" customFormat="1" hidden="1" outlineLevel="2" x14ac:dyDescent="0.25">
      <c r="A104" s="25"/>
      <c r="B104" s="10" t="str">
        <f>CONCATENATE("          ", "6283", " - ", "PLANT SERVICE")</f>
        <v xml:space="preserve">          6283 - PLANT SERVICE</v>
      </c>
      <c r="C104" s="10"/>
      <c r="D104" s="6"/>
      <c r="E104" s="2"/>
      <c r="F104" s="7">
        <f t="shared" si="53"/>
        <v>0</v>
      </c>
      <c r="G104" s="2"/>
      <c r="H104" s="6"/>
      <c r="I104" s="2"/>
      <c r="J104" s="7">
        <f t="shared" si="54"/>
        <v>0</v>
      </c>
      <c r="K104" s="2"/>
      <c r="L104" s="6">
        <f t="shared" si="55"/>
        <v>0</v>
      </c>
      <c r="M104" s="2"/>
      <c r="N104" s="7">
        <f t="shared" si="56"/>
        <v>0</v>
      </c>
      <c r="O104" s="10"/>
      <c r="P104" s="6">
        <v>41.31</v>
      </c>
      <c r="Q104" s="2"/>
      <c r="R104" s="7">
        <f t="shared" si="57"/>
        <v>1.9833313744875317E-4</v>
      </c>
      <c r="S104" s="2"/>
      <c r="T104" s="6">
        <v>178.65</v>
      </c>
      <c r="U104" s="2"/>
      <c r="V104" s="7">
        <f t="shared" si="58"/>
        <v>4.1561892427772166E-4</v>
      </c>
      <c r="W104" s="2"/>
      <c r="X104" s="6">
        <f t="shared" si="59"/>
        <v>-137.34</v>
      </c>
      <c r="Y104" s="2"/>
      <c r="Z104" s="7">
        <f t="shared" si="60"/>
        <v>-0.7687657430730479</v>
      </c>
    </row>
    <row r="105" spans="1:26" s="23" customFormat="1" hidden="1" outlineLevel="2" x14ac:dyDescent="0.25">
      <c r="A105" s="25"/>
      <c r="B105" s="10" t="str">
        <f>CONCATENATE("          ", "6284", " - ", "TRASH REMOVAL EXPENSE")</f>
        <v xml:space="preserve">          6284 - TRASH REMOVAL EXPENSE</v>
      </c>
      <c r="C105" s="10"/>
      <c r="D105" s="6">
        <v>142.57</v>
      </c>
      <c r="E105" s="2"/>
      <c r="F105" s="7">
        <f t="shared" si="53"/>
        <v>5.9286828152614636E-3</v>
      </c>
      <c r="G105" s="2"/>
      <c r="H105" s="6">
        <v>134.82</v>
      </c>
      <c r="I105" s="2"/>
      <c r="J105" s="7">
        <f t="shared" si="54"/>
        <v>5.0056843960913922E-3</v>
      </c>
      <c r="K105" s="2"/>
      <c r="L105" s="6">
        <f t="shared" si="55"/>
        <v>7.75</v>
      </c>
      <c r="M105" s="2"/>
      <c r="N105" s="7">
        <f t="shared" si="56"/>
        <v>5.7484052811155616E-2</v>
      </c>
      <c r="O105" s="10"/>
      <c r="P105" s="6">
        <v>1298.1500000000001</v>
      </c>
      <c r="Q105" s="2"/>
      <c r="R105" s="7">
        <f t="shared" si="57"/>
        <v>6.2325384260251493E-3</v>
      </c>
      <c r="S105" s="2"/>
      <c r="T105" s="6">
        <v>1213.3800000000001</v>
      </c>
      <c r="U105" s="2"/>
      <c r="V105" s="7">
        <f t="shared" si="58"/>
        <v>2.8228586081169996E-3</v>
      </c>
      <c r="W105" s="2"/>
      <c r="X105" s="6">
        <f t="shared" si="59"/>
        <v>84.769999999999982</v>
      </c>
      <c r="Y105" s="2"/>
      <c r="Z105" s="7">
        <f t="shared" si="60"/>
        <v>6.9862697588554262E-2</v>
      </c>
    </row>
    <row r="106" spans="1:26" s="23" customFormat="1" hidden="1" outlineLevel="2" x14ac:dyDescent="0.25">
      <c r="A106" s="25"/>
      <c r="B106" s="10" t="str">
        <f>CONCATENATE("          ", "6285", " - ", "JANITORIAL SERVICES")</f>
        <v xml:space="preserve">          6285 - JANITORIAL SERVICES</v>
      </c>
      <c r="C106" s="10"/>
      <c r="D106" s="6">
        <v>108.27</v>
      </c>
      <c r="E106" s="2"/>
      <c r="F106" s="7">
        <f t="shared" si="53"/>
        <v>4.5023391204906966E-3</v>
      </c>
      <c r="G106" s="2"/>
      <c r="H106" s="6">
        <v>115.36</v>
      </c>
      <c r="I106" s="2"/>
      <c r="J106" s="7">
        <f t="shared" si="54"/>
        <v>4.2831608955133001E-3</v>
      </c>
      <c r="K106" s="2"/>
      <c r="L106" s="6">
        <f t="shared" si="55"/>
        <v>-7.0900000000000034</v>
      </c>
      <c r="M106" s="2"/>
      <c r="N106" s="7">
        <f t="shared" si="56"/>
        <v>-6.1459778085991706E-2</v>
      </c>
      <c r="O106" s="10"/>
      <c r="P106" s="6">
        <v>-732.12</v>
      </c>
      <c r="Q106" s="2"/>
      <c r="R106" s="7">
        <f t="shared" si="57"/>
        <v>-3.5149759522871255E-3</v>
      </c>
      <c r="S106" s="2"/>
      <c r="T106" s="6">
        <v>1239.33</v>
      </c>
      <c r="U106" s="2"/>
      <c r="V106" s="7">
        <f t="shared" si="58"/>
        <v>2.8832297868743844E-3</v>
      </c>
      <c r="W106" s="2"/>
      <c r="X106" s="6">
        <f t="shared" si="59"/>
        <v>-1971.4499999999998</v>
      </c>
      <c r="Y106" s="2"/>
      <c r="Z106" s="7">
        <f t="shared" si="60"/>
        <v>-1.5907385442134057</v>
      </c>
    </row>
    <row r="107" spans="1:26" s="26" customFormat="1" outlineLevel="1" collapsed="1" x14ac:dyDescent="0.25">
      <c r="A107" s="27"/>
      <c r="B107" s="12" t="str">
        <f>CONCATENATE("     ","Subscriptions &amp; Dues                              ")</f>
        <v xml:space="preserve">     Subscriptions &amp; Dues                              </v>
      </c>
      <c r="C107" s="12"/>
      <c r="D107" s="1">
        <f>SUM(OSRRefD22_14x_0)</f>
        <v>75</v>
      </c>
      <c r="E107" s="1"/>
      <c r="F107" s="5">
        <f t="shared" ref="F107:F109" si="61">IF(D$12=0,0,D107/D$12)</f>
        <v>3.1188273209273322E-3</v>
      </c>
      <c r="G107" s="1"/>
      <c r="H107" s="1">
        <f>SUM(OSRRefH22_14x_0)</f>
        <v>29.99</v>
      </c>
      <c r="I107" s="1"/>
      <c r="J107" s="5">
        <f t="shared" ref="J107:J109" si="62">IF(H$12=0,0,H107/H$12)</f>
        <v>1.1134881696987157E-3</v>
      </c>
      <c r="K107" s="1"/>
      <c r="L107" s="1">
        <f t="shared" ref="L107:L109" si="63">+D107-H107</f>
        <v>45.010000000000005</v>
      </c>
      <c r="M107" s="1"/>
      <c r="N107" s="5">
        <f t="shared" ref="N107:N109" si="64">IF(H107=0,0,L107/H107)</f>
        <v>1.5008336112037348</v>
      </c>
      <c r="O107" s="12"/>
      <c r="P107" s="1">
        <f>SUM(OSRRefP22_14x_0)</f>
        <v>239.27</v>
      </c>
      <c r="Q107" s="1"/>
      <c r="R107" s="5">
        <f t="shared" ref="R107:R109" si="65">IF(P$12=0,0,P107/P$12)</f>
        <v>1.148757438812955E-3</v>
      </c>
      <c r="S107" s="1"/>
      <c r="T107" s="1">
        <f>SUM(OSRRefT22_14x_0)</f>
        <v>193.41</v>
      </c>
      <c r="U107" s="1"/>
      <c r="V107" s="5">
        <f t="shared" ref="V107:V109" si="66">IF(T$12=0,0,T107/T$12)</f>
        <v>4.4995721323567951E-4</v>
      </c>
      <c r="W107" s="1"/>
      <c r="X107" s="1">
        <f t="shared" ref="X107:X109" si="67">+P107-T107</f>
        <v>45.860000000000014</v>
      </c>
      <c r="Y107" s="1"/>
      <c r="Z107" s="5">
        <f t="shared" ref="Z107:Z109" si="68">IF(T107=0,0,X107/T107)</f>
        <v>0.23711286903469322</v>
      </c>
    </row>
    <row r="108" spans="1:26" s="23" customFormat="1" hidden="1" outlineLevel="2" x14ac:dyDescent="0.25">
      <c r="A108" s="25"/>
      <c r="B108" s="10" t="str">
        <f>CONCATENATE("          ", "6258", " - ", "MEMBERSHIP DUES")</f>
        <v xml:space="preserve">          6258 - MEMBERSHIP DUES</v>
      </c>
      <c r="C108" s="10"/>
      <c r="D108" s="6"/>
      <c r="E108" s="2"/>
      <c r="F108" s="7">
        <f t="shared" si="61"/>
        <v>0</v>
      </c>
      <c r="G108" s="2"/>
      <c r="H108" s="6">
        <v>29.99</v>
      </c>
      <c r="I108" s="2"/>
      <c r="J108" s="7">
        <f t="shared" si="62"/>
        <v>1.1134881696987157E-3</v>
      </c>
      <c r="K108" s="2"/>
      <c r="L108" s="6">
        <f t="shared" si="63"/>
        <v>-29.99</v>
      </c>
      <c r="M108" s="2"/>
      <c r="N108" s="7">
        <f t="shared" si="64"/>
        <v>-1</v>
      </c>
      <c r="O108" s="10"/>
      <c r="P108" s="6">
        <v>-60.73</v>
      </c>
      <c r="Q108" s="2"/>
      <c r="R108" s="7">
        <f t="shared" si="65"/>
        <v>-2.9157035674807016E-4</v>
      </c>
      <c r="S108" s="2"/>
      <c r="T108" s="6">
        <v>29.99</v>
      </c>
      <c r="U108" s="2"/>
      <c r="V108" s="7">
        <f t="shared" si="66"/>
        <v>6.9770005816338491E-5</v>
      </c>
      <c r="W108" s="2"/>
      <c r="X108" s="6">
        <f t="shared" si="67"/>
        <v>-90.72</v>
      </c>
      <c r="Y108" s="2"/>
      <c r="Z108" s="7">
        <f t="shared" si="68"/>
        <v>-3.0250083361120375</v>
      </c>
    </row>
    <row r="109" spans="1:26" s="23" customFormat="1" hidden="1" outlineLevel="2" x14ac:dyDescent="0.25">
      <c r="A109" s="25"/>
      <c r="B109" s="10" t="str">
        <f>CONCATENATE("          ", "6275", " - ", "SUBSCRIPTIONS")</f>
        <v xml:space="preserve">          6275 - SUBSCRIPTIONS</v>
      </c>
      <c r="C109" s="10"/>
      <c r="D109" s="6">
        <v>75</v>
      </c>
      <c r="E109" s="2"/>
      <c r="F109" s="7">
        <f t="shared" si="61"/>
        <v>3.1188273209273322E-3</v>
      </c>
      <c r="G109" s="2"/>
      <c r="H109" s="6"/>
      <c r="I109" s="2"/>
      <c r="J109" s="7">
        <f t="shared" si="62"/>
        <v>0</v>
      </c>
      <c r="K109" s="2"/>
      <c r="L109" s="6">
        <f t="shared" si="63"/>
        <v>75</v>
      </c>
      <c r="M109" s="2"/>
      <c r="N109" s="7">
        <f t="shared" si="64"/>
        <v>0</v>
      </c>
      <c r="O109" s="10"/>
      <c r="P109" s="6">
        <v>300</v>
      </c>
      <c r="Q109" s="2"/>
      <c r="R109" s="7">
        <f t="shared" si="65"/>
        <v>1.440327795561025E-3</v>
      </c>
      <c r="S109" s="2"/>
      <c r="T109" s="6">
        <v>163.41999999999999</v>
      </c>
      <c r="U109" s="2"/>
      <c r="V109" s="7">
        <f t="shared" si="66"/>
        <v>3.8018720741934102E-4</v>
      </c>
      <c r="W109" s="2"/>
      <c r="X109" s="6">
        <f t="shared" si="67"/>
        <v>136.58000000000001</v>
      </c>
      <c r="Y109" s="2"/>
      <c r="Z109" s="7">
        <f t="shared" si="68"/>
        <v>0.83576061681556735</v>
      </c>
    </row>
    <row r="110" spans="1:26" s="26" customFormat="1" outlineLevel="1" collapsed="1" x14ac:dyDescent="0.25">
      <c r="A110" s="27"/>
      <c r="B110" s="12" t="str">
        <f>CONCATENATE("     ","Supplies                                          ")</f>
        <v xml:space="preserve">     Supplies                                          </v>
      </c>
      <c r="C110" s="12"/>
      <c r="D110" s="1">
        <f>SUM(OSRRefD22_15x_0)</f>
        <v>0</v>
      </c>
      <c r="E110" s="1"/>
      <c r="F110" s="5">
        <f t="shared" ref="F110:F116" si="69">IF(D$12=0,0,D110/D$12)</f>
        <v>0</v>
      </c>
      <c r="G110" s="1"/>
      <c r="H110" s="1">
        <f>SUM(OSRRefH22_15x_0)</f>
        <v>462.81</v>
      </c>
      <c r="I110" s="1"/>
      <c r="J110" s="5">
        <f t="shared" ref="J110:J116" si="70">IF(H$12=0,0,H110/H$12)</f>
        <v>1.7183509830552272E-2</v>
      </c>
      <c r="K110" s="1"/>
      <c r="L110" s="1">
        <f t="shared" ref="L110:L116" si="71">+D110-H110</f>
        <v>-462.81</v>
      </c>
      <c r="M110" s="1"/>
      <c r="N110" s="5">
        <f t="shared" ref="N110:N116" si="72">IF(H110=0,0,L110/H110)</f>
        <v>-1</v>
      </c>
      <c r="O110" s="12"/>
      <c r="P110" s="1">
        <f>SUM(OSRRefP22_15x_0)</f>
        <v>559.15</v>
      </c>
      <c r="Q110" s="1"/>
      <c r="R110" s="5">
        <f t="shared" ref="R110:R116" si="73">IF(P$12=0,0,P110/P$12)</f>
        <v>2.6845309562931572E-3</v>
      </c>
      <c r="S110" s="1"/>
      <c r="T110" s="1">
        <f>SUM(OSRRefT22_15x_0)</f>
        <v>3601.69</v>
      </c>
      <c r="U110" s="1"/>
      <c r="V110" s="5">
        <f t="shared" ref="V110:V116" si="74">IF(T$12=0,0,T110/T$12)</f>
        <v>8.3791241163270486E-3</v>
      </c>
      <c r="W110" s="1"/>
      <c r="X110" s="1">
        <f t="shared" ref="X110:X116" si="75">+P110-T110</f>
        <v>-3042.54</v>
      </c>
      <c r="Y110" s="1"/>
      <c r="Z110" s="5">
        <f t="shared" ref="Z110:Z116" si="76">IF(T110=0,0,X110/T110)</f>
        <v>-0.84475343519292334</v>
      </c>
    </row>
    <row r="111" spans="1:26" s="23" customFormat="1" hidden="1" outlineLevel="2" x14ac:dyDescent="0.25">
      <c r="A111" s="25"/>
      <c r="B111" s="10" t="str">
        <f>CONCATENATE("          ", "6234", " - ", "EXPENDABLE SUPPLIES &amp; EQUIPMEN")</f>
        <v xml:space="preserve">          6234 - EXPENDABLE SUPPLIES &amp; EQUIPMEN</v>
      </c>
      <c r="C111" s="10"/>
      <c r="D111" s="6"/>
      <c r="E111" s="2"/>
      <c r="F111" s="7">
        <f t="shared" si="69"/>
        <v>0</v>
      </c>
      <c r="G111" s="2"/>
      <c r="H111" s="6"/>
      <c r="I111" s="2"/>
      <c r="J111" s="7">
        <f t="shared" si="70"/>
        <v>0</v>
      </c>
      <c r="K111" s="2"/>
      <c r="L111" s="6">
        <f t="shared" si="71"/>
        <v>0</v>
      </c>
      <c r="M111" s="2"/>
      <c r="N111" s="7">
        <f t="shared" si="72"/>
        <v>0</v>
      </c>
      <c r="O111" s="10"/>
      <c r="P111" s="6"/>
      <c r="Q111" s="2"/>
      <c r="R111" s="7">
        <f t="shared" si="73"/>
        <v>0</v>
      </c>
      <c r="S111" s="2"/>
      <c r="T111" s="6">
        <v>303.86</v>
      </c>
      <c r="U111" s="2"/>
      <c r="V111" s="7">
        <f t="shared" si="74"/>
        <v>7.0691276983503228E-4</v>
      </c>
      <c r="W111" s="2"/>
      <c r="X111" s="6">
        <f t="shared" si="75"/>
        <v>-303.86</v>
      </c>
      <c r="Y111" s="2"/>
      <c r="Z111" s="7">
        <f t="shared" si="76"/>
        <v>-1</v>
      </c>
    </row>
    <row r="112" spans="1:26" s="23" customFormat="1" hidden="1" outlineLevel="2" x14ac:dyDescent="0.25">
      <c r="A112" s="25"/>
      <c r="B112" s="10" t="str">
        <f>CONCATENATE("          ", "6235", " - ", "COVID-19 EXPENSES")</f>
        <v xml:space="preserve">          6235 - COVID-19 EXPENSES</v>
      </c>
      <c r="C112" s="10"/>
      <c r="D112" s="6"/>
      <c r="E112" s="2"/>
      <c r="F112" s="7">
        <f t="shared" si="69"/>
        <v>0</v>
      </c>
      <c r="G112" s="2"/>
      <c r="H112" s="6"/>
      <c r="I112" s="2"/>
      <c r="J112" s="7">
        <f t="shared" si="70"/>
        <v>0</v>
      </c>
      <c r="K112" s="2"/>
      <c r="L112" s="6">
        <f t="shared" si="71"/>
        <v>0</v>
      </c>
      <c r="M112" s="2"/>
      <c r="N112" s="7">
        <f t="shared" si="72"/>
        <v>0</v>
      </c>
      <c r="O112" s="10"/>
      <c r="P112" s="6">
        <v>265.7</v>
      </c>
      <c r="Q112" s="2"/>
      <c r="R112" s="7">
        <f t="shared" si="73"/>
        <v>1.2756503176018811E-3</v>
      </c>
      <c r="S112" s="2"/>
      <c r="T112" s="6"/>
      <c r="U112" s="2"/>
      <c r="V112" s="7">
        <f t="shared" si="74"/>
        <v>0</v>
      </c>
      <c r="W112" s="2"/>
      <c r="X112" s="6">
        <f t="shared" si="75"/>
        <v>265.7</v>
      </c>
      <c r="Y112" s="2"/>
      <c r="Z112" s="7">
        <f t="shared" si="76"/>
        <v>0</v>
      </c>
    </row>
    <row r="113" spans="1:26" s="23" customFormat="1" hidden="1" outlineLevel="2" x14ac:dyDescent="0.25">
      <c r="A113" s="25"/>
      <c r="B113" s="10" t="str">
        <f>CONCATENATE("          ", "6237", " - ", "JANITORIAL SUPPLIES")</f>
        <v xml:space="preserve">          6237 - JANITORIAL SUPPLIES</v>
      </c>
      <c r="C113" s="10"/>
      <c r="D113" s="6"/>
      <c r="E113" s="2"/>
      <c r="F113" s="7">
        <f t="shared" si="69"/>
        <v>0</v>
      </c>
      <c r="G113" s="2"/>
      <c r="H113" s="6">
        <v>382.7</v>
      </c>
      <c r="I113" s="2"/>
      <c r="J113" s="7">
        <f t="shared" si="70"/>
        <v>1.4209133796055302E-2</v>
      </c>
      <c r="K113" s="2"/>
      <c r="L113" s="6">
        <f t="shared" si="71"/>
        <v>-382.7</v>
      </c>
      <c r="M113" s="2"/>
      <c r="N113" s="7">
        <f t="shared" si="72"/>
        <v>-1</v>
      </c>
      <c r="O113" s="10"/>
      <c r="P113" s="6">
        <v>191.74</v>
      </c>
      <c r="Q113" s="2"/>
      <c r="R113" s="7">
        <f t="shared" si="73"/>
        <v>9.205615050695699E-4</v>
      </c>
      <c r="S113" s="2"/>
      <c r="T113" s="6">
        <v>670.42</v>
      </c>
      <c r="U113" s="2"/>
      <c r="V113" s="7">
        <f t="shared" si="74"/>
        <v>1.5596934744711455E-3</v>
      </c>
      <c r="W113" s="2"/>
      <c r="X113" s="6">
        <f t="shared" si="75"/>
        <v>-478.67999999999995</v>
      </c>
      <c r="Y113" s="2"/>
      <c r="Z113" s="7">
        <f t="shared" si="76"/>
        <v>-0.71400017899227342</v>
      </c>
    </row>
    <row r="114" spans="1:26" s="23" customFormat="1" hidden="1" outlineLevel="2" x14ac:dyDescent="0.25">
      <c r="A114" s="25"/>
      <c r="B114" s="10" t="str">
        <f>CONCATENATE("          ", "6241", " - ", "OFFICE EXPENSE")</f>
        <v xml:space="preserve">          6241 - OFFICE EXPENSE</v>
      </c>
      <c r="C114" s="10"/>
      <c r="D114" s="6"/>
      <c r="E114" s="2"/>
      <c r="F114" s="7">
        <f t="shared" si="69"/>
        <v>0</v>
      </c>
      <c r="G114" s="2"/>
      <c r="H114" s="6">
        <v>84.11</v>
      </c>
      <c r="I114" s="2"/>
      <c r="J114" s="7">
        <f t="shared" si="70"/>
        <v>3.1228906286548514E-3</v>
      </c>
      <c r="K114" s="2"/>
      <c r="L114" s="6">
        <f t="shared" si="71"/>
        <v>-84.11</v>
      </c>
      <c r="M114" s="2"/>
      <c r="N114" s="7">
        <f t="shared" si="72"/>
        <v>-1</v>
      </c>
      <c r="O114" s="10"/>
      <c r="P114" s="6">
        <v>101.71</v>
      </c>
      <c r="Q114" s="2"/>
      <c r="R114" s="7">
        <f t="shared" si="73"/>
        <v>4.8831913362170612E-4</v>
      </c>
      <c r="S114" s="2"/>
      <c r="T114" s="6">
        <v>2129.04</v>
      </c>
      <c r="U114" s="2"/>
      <c r="V114" s="7">
        <f t="shared" si="74"/>
        <v>4.9530888023747019E-3</v>
      </c>
      <c r="W114" s="2"/>
      <c r="X114" s="6">
        <f t="shared" si="75"/>
        <v>-2027.33</v>
      </c>
      <c r="Y114" s="2"/>
      <c r="Z114" s="7">
        <f t="shared" si="76"/>
        <v>-0.95222729493104874</v>
      </c>
    </row>
    <row r="115" spans="1:26" s="23" customFormat="1" hidden="1" outlineLevel="2" x14ac:dyDescent="0.25">
      <c r="A115" s="25"/>
      <c r="B115" s="10" t="str">
        <f>CONCATENATE("          ", "6245", " - ", "PRINTING")</f>
        <v xml:space="preserve">          6245 - PRINTING</v>
      </c>
      <c r="C115" s="10"/>
      <c r="D115" s="6"/>
      <c r="E115" s="2"/>
      <c r="F115" s="7">
        <f t="shared" si="69"/>
        <v>0</v>
      </c>
      <c r="G115" s="2"/>
      <c r="H115" s="6"/>
      <c r="I115" s="2"/>
      <c r="J115" s="7">
        <f t="shared" si="70"/>
        <v>0</v>
      </c>
      <c r="K115" s="2"/>
      <c r="L115" s="6">
        <f t="shared" si="71"/>
        <v>0</v>
      </c>
      <c r="M115" s="2"/>
      <c r="N115" s="7">
        <f t="shared" si="72"/>
        <v>0</v>
      </c>
      <c r="O115" s="10"/>
      <c r="P115" s="6"/>
      <c r="Q115" s="2"/>
      <c r="R115" s="7">
        <f t="shared" si="73"/>
        <v>0</v>
      </c>
      <c r="S115" s="2"/>
      <c r="T115" s="6">
        <v>22.05</v>
      </c>
      <c r="U115" s="2"/>
      <c r="V115" s="7">
        <f t="shared" si="74"/>
        <v>5.1298053626217537E-5</v>
      </c>
      <c r="W115" s="2"/>
      <c r="X115" s="6">
        <f t="shared" si="75"/>
        <v>-22.05</v>
      </c>
      <c r="Y115" s="2"/>
      <c r="Z115" s="7">
        <f t="shared" si="76"/>
        <v>-1</v>
      </c>
    </row>
    <row r="116" spans="1:26" s="23" customFormat="1" hidden="1" outlineLevel="2" x14ac:dyDescent="0.25">
      <c r="A116" s="25"/>
      <c r="B116" s="10" t="str">
        <f>CONCATENATE("          ", "6247", " - ", "STORE SUPPLIES")</f>
        <v xml:space="preserve">          6247 - STORE SUPPLIES</v>
      </c>
      <c r="C116" s="10"/>
      <c r="D116" s="6"/>
      <c r="E116" s="2"/>
      <c r="F116" s="7">
        <f t="shared" si="69"/>
        <v>0</v>
      </c>
      <c r="G116" s="2"/>
      <c r="H116" s="6">
        <v>-4</v>
      </c>
      <c r="I116" s="2"/>
      <c r="J116" s="7">
        <f t="shared" si="70"/>
        <v>-1.485145941578814E-4</v>
      </c>
      <c r="K116" s="2"/>
      <c r="L116" s="6">
        <f t="shared" si="71"/>
        <v>4</v>
      </c>
      <c r="M116" s="2"/>
      <c r="N116" s="7">
        <f t="shared" si="72"/>
        <v>-1</v>
      </c>
      <c r="O116" s="10"/>
      <c r="P116" s="6"/>
      <c r="Q116" s="2"/>
      <c r="R116" s="7">
        <f t="shared" si="73"/>
        <v>0</v>
      </c>
      <c r="S116" s="2"/>
      <c r="T116" s="6">
        <v>476.32</v>
      </c>
      <c r="U116" s="2"/>
      <c r="V116" s="7">
        <f t="shared" si="74"/>
        <v>1.1081310160199517E-3</v>
      </c>
      <c r="W116" s="2"/>
      <c r="X116" s="6">
        <f t="shared" si="75"/>
        <v>-476.32</v>
      </c>
      <c r="Y116" s="2"/>
      <c r="Z116" s="7">
        <f t="shared" si="76"/>
        <v>-1</v>
      </c>
    </row>
    <row r="117" spans="1:26" s="26" customFormat="1" outlineLevel="1" collapsed="1" x14ac:dyDescent="0.25">
      <c r="A117" s="27"/>
      <c r="B117" s="12" t="str">
        <f>CONCATENATE("     ","Telephone/Data Lines                              ")</f>
        <v xml:space="preserve">     Telephone/Data Lines                              </v>
      </c>
      <c r="C117" s="12"/>
      <c r="D117" s="1">
        <f>SUM(OSRRefD22_16x_0)</f>
        <v>231.15</v>
      </c>
      <c r="E117" s="1"/>
      <c r="F117" s="5">
        <f t="shared" ref="F117:F124" si="77">IF(D$12=0,0,D117/D$12)</f>
        <v>9.612225803098038E-3</v>
      </c>
      <c r="G117" s="1"/>
      <c r="H117" s="1">
        <f>SUM(OSRRefH22_16x_0)</f>
        <v>-600</v>
      </c>
      <c r="I117" s="1"/>
      <c r="J117" s="5">
        <f t="shared" ref="J117:J124" si="78">IF(H$12=0,0,H117/H$12)</f>
        <v>-2.227718912368221E-2</v>
      </c>
      <c r="K117" s="1"/>
      <c r="L117" s="1">
        <f t="shared" ref="L117:L124" si="79">+D117-H117</f>
        <v>831.15</v>
      </c>
      <c r="M117" s="1"/>
      <c r="N117" s="5">
        <f t="shared" ref="N117:N124" si="80">IF(H117=0,0,L117/H117)</f>
        <v>-1.3852499999999999</v>
      </c>
      <c r="O117" s="12"/>
      <c r="P117" s="1">
        <f>SUM(OSRRefP22_16x_0)</f>
        <v>2558.79</v>
      </c>
      <c r="Q117" s="1"/>
      <c r="R117" s="5">
        <f t="shared" ref="R117:R124" si="81">IF(P$12=0,0,P117/P$12)</f>
        <v>1.2284987866678651E-2</v>
      </c>
      <c r="S117" s="1"/>
      <c r="T117" s="1">
        <f>SUM(OSRRefT22_16x_0)</f>
        <v>2023.17</v>
      </c>
      <c r="U117" s="1"/>
      <c r="V117" s="5">
        <f t="shared" ref="V117:V124" si="82">IF(T$12=0,0,T117/T$12)</f>
        <v>4.7067883516986181E-3</v>
      </c>
      <c r="W117" s="1"/>
      <c r="X117" s="1">
        <f t="shared" ref="X117:X124" si="83">+P117-T117</f>
        <v>535.61999999999989</v>
      </c>
      <c r="Y117" s="1"/>
      <c r="Z117" s="5">
        <f t="shared" ref="Z117:Z124" si="84">IF(T117=0,0,X117/T117)</f>
        <v>0.2647429528907605</v>
      </c>
    </row>
    <row r="118" spans="1:26" s="23" customFormat="1" hidden="1" outlineLevel="2" x14ac:dyDescent="0.25">
      <c r="A118" s="25"/>
      <c r="B118" s="10" t="str">
        <f>CONCATENATE("          ", "6309", " - ", "TELEPHONE")</f>
        <v xml:space="preserve">          6309 - TELEPHONE</v>
      </c>
      <c r="C118" s="10"/>
      <c r="D118" s="6">
        <v>231.15</v>
      </c>
      <c r="E118" s="2"/>
      <c r="F118" s="7">
        <f t="shared" si="77"/>
        <v>9.612225803098038E-3</v>
      </c>
      <c r="G118" s="2"/>
      <c r="H118" s="6">
        <v>-600</v>
      </c>
      <c r="I118" s="2"/>
      <c r="J118" s="7">
        <f t="shared" si="78"/>
        <v>-2.227718912368221E-2</v>
      </c>
      <c r="K118" s="2"/>
      <c r="L118" s="6">
        <f t="shared" si="79"/>
        <v>831.15</v>
      </c>
      <c r="M118" s="2"/>
      <c r="N118" s="7">
        <f t="shared" si="80"/>
        <v>-1.3852499999999999</v>
      </c>
      <c r="O118" s="10"/>
      <c r="P118" s="6">
        <v>2558.79</v>
      </c>
      <c r="Q118" s="2"/>
      <c r="R118" s="7">
        <f t="shared" si="81"/>
        <v>1.2284987866678651E-2</v>
      </c>
      <c r="S118" s="2"/>
      <c r="T118" s="6">
        <v>2023.17</v>
      </c>
      <c r="U118" s="2"/>
      <c r="V118" s="7">
        <f t="shared" si="82"/>
        <v>4.7067883516986181E-3</v>
      </c>
      <c r="W118" s="2"/>
      <c r="X118" s="6">
        <f t="shared" si="83"/>
        <v>535.61999999999989</v>
      </c>
      <c r="Y118" s="2"/>
      <c r="Z118" s="7">
        <f t="shared" si="84"/>
        <v>0.2647429528907605</v>
      </c>
    </row>
    <row r="119" spans="1:26" s="26" customFormat="1" outlineLevel="1" collapsed="1" x14ac:dyDescent="0.25">
      <c r="A119" s="27"/>
      <c r="B119" s="12" t="str">
        <f>CONCATENATE("     ","Training                                          ")</f>
        <v xml:space="preserve">     Training                                          </v>
      </c>
      <c r="C119" s="12"/>
      <c r="D119" s="1">
        <f>SUM(OSRRefD22_17x_0)</f>
        <v>0</v>
      </c>
      <c r="E119" s="1"/>
      <c r="F119" s="5">
        <f t="shared" si="77"/>
        <v>0</v>
      </c>
      <c r="G119" s="1"/>
      <c r="H119" s="1">
        <f>SUM(OSRRefH22_17x_0)</f>
        <v>802.16</v>
      </c>
      <c r="I119" s="1"/>
      <c r="J119" s="5">
        <f t="shared" si="78"/>
        <v>2.9783116712421537E-2</v>
      </c>
      <c r="K119" s="1"/>
      <c r="L119" s="1">
        <f t="shared" si="79"/>
        <v>-802.16</v>
      </c>
      <c r="M119" s="1"/>
      <c r="N119" s="5">
        <f t="shared" si="80"/>
        <v>-1</v>
      </c>
      <c r="O119" s="12"/>
      <c r="P119" s="1">
        <f>SUM(OSRRefP22_17x_0)</f>
        <v>0</v>
      </c>
      <c r="Q119" s="1"/>
      <c r="R119" s="5">
        <f t="shared" si="81"/>
        <v>0</v>
      </c>
      <c r="S119" s="1"/>
      <c r="T119" s="1">
        <f>SUM(OSRRefT22_17x_0)</f>
        <v>1613.4</v>
      </c>
      <c r="U119" s="1"/>
      <c r="V119" s="5">
        <f t="shared" si="82"/>
        <v>3.7534820734938493E-3</v>
      </c>
      <c r="W119" s="1"/>
      <c r="X119" s="1">
        <f t="shared" si="83"/>
        <v>-1613.4</v>
      </c>
      <c r="Y119" s="1"/>
      <c r="Z119" s="5">
        <f t="shared" si="84"/>
        <v>-1</v>
      </c>
    </row>
    <row r="120" spans="1:26" s="23" customFormat="1" hidden="1" outlineLevel="2" x14ac:dyDescent="0.25">
      <c r="A120" s="25"/>
      <c r="B120" s="10" t="str">
        <f>CONCATENATE("          ", "6376", " - ", "TRAINING")</f>
        <v xml:space="preserve">          6376 - TRAINING</v>
      </c>
      <c r="C120" s="10"/>
      <c r="D120" s="6"/>
      <c r="E120" s="2"/>
      <c r="F120" s="7">
        <f t="shared" si="77"/>
        <v>0</v>
      </c>
      <c r="G120" s="2"/>
      <c r="H120" s="6">
        <v>802.16</v>
      </c>
      <c r="I120" s="2"/>
      <c r="J120" s="7">
        <f t="shared" si="78"/>
        <v>2.9783116712421537E-2</v>
      </c>
      <c r="K120" s="2"/>
      <c r="L120" s="6">
        <f t="shared" si="79"/>
        <v>-802.16</v>
      </c>
      <c r="M120" s="2"/>
      <c r="N120" s="7">
        <f t="shared" si="80"/>
        <v>-1</v>
      </c>
      <c r="O120" s="10"/>
      <c r="P120" s="6"/>
      <c r="Q120" s="2"/>
      <c r="R120" s="7">
        <f t="shared" si="81"/>
        <v>0</v>
      </c>
      <c r="S120" s="2"/>
      <c r="T120" s="6">
        <v>1613.4</v>
      </c>
      <c r="U120" s="2"/>
      <c r="V120" s="7">
        <f t="shared" si="82"/>
        <v>3.7534820734938493E-3</v>
      </c>
      <c r="W120" s="2"/>
      <c r="X120" s="6">
        <f t="shared" si="83"/>
        <v>-1613.4</v>
      </c>
      <c r="Y120" s="2"/>
      <c r="Z120" s="7">
        <f t="shared" si="84"/>
        <v>-1</v>
      </c>
    </row>
    <row r="121" spans="1:26" s="26" customFormat="1" outlineLevel="1" collapsed="1" x14ac:dyDescent="0.25">
      <c r="A121" s="27"/>
      <c r="B121" s="12" t="str">
        <f>CONCATENATE("     ","Travel                                            ")</f>
        <v xml:space="preserve">     Travel                                            </v>
      </c>
      <c r="C121" s="12"/>
      <c r="D121" s="1">
        <f>SUM(OSRRefD22_18x_0)</f>
        <v>93.02</v>
      </c>
      <c r="E121" s="1"/>
      <c r="F121" s="5">
        <f t="shared" si="77"/>
        <v>3.8681775652354726E-3</v>
      </c>
      <c r="G121" s="1"/>
      <c r="H121" s="1">
        <f>SUM(OSRRefH22_18x_0)</f>
        <v>14.13</v>
      </c>
      <c r="I121" s="1"/>
      <c r="J121" s="5">
        <f t="shared" si="78"/>
        <v>5.2462780386271614E-4</v>
      </c>
      <c r="K121" s="1"/>
      <c r="L121" s="1">
        <f t="shared" si="79"/>
        <v>78.89</v>
      </c>
      <c r="M121" s="1"/>
      <c r="N121" s="5">
        <f t="shared" si="80"/>
        <v>5.5831564048124553</v>
      </c>
      <c r="O121" s="12"/>
      <c r="P121" s="1">
        <f>SUM(OSRRefP22_18x_0)</f>
        <v>474.36</v>
      </c>
      <c r="Q121" s="1"/>
      <c r="R121" s="5">
        <f t="shared" si="81"/>
        <v>2.2774463103410929E-3</v>
      </c>
      <c r="S121" s="1"/>
      <c r="T121" s="1">
        <f>SUM(OSRRefT22_18x_0)</f>
        <v>712.14</v>
      </c>
      <c r="U121" s="1"/>
      <c r="V121" s="5">
        <f t="shared" si="82"/>
        <v>1.656752648951227E-3</v>
      </c>
      <c r="W121" s="1"/>
      <c r="X121" s="1">
        <f t="shared" si="83"/>
        <v>-237.77999999999997</v>
      </c>
      <c r="Y121" s="1"/>
      <c r="Z121" s="5">
        <f t="shared" si="84"/>
        <v>-0.33389502064200854</v>
      </c>
    </row>
    <row r="122" spans="1:26" s="23" customFormat="1" hidden="1" outlineLevel="2" x14ac:dyDescent="0.25">
      <c r="A122" s="25"/>
      <c r="B122" s="10" t="str">
        <f>CONCATENATE("          ", "6294", " - ", "TRAVEL OPERATIONAL")</f>
        <v xml:space="preserve">          6294 - TRAVEL OPERATIONAL</v>
      </c>
      <c r="C122" s="10"/>
      <c r="D122" s="6">
        <v>93.02</v>
      </c>
      <c r="E122" s="2"/>
      <c r="F122" s="7">
        <f t="shared" si="77"/>
        <v>3.8681775652354726E-3</v>
      </c>
      <c r="G122" s="2"/>
      <c r="H122" s="6">
        <v>14.13</v>
      </c>
      <c r="I122" s="2"/>
      <c r="J122" s="7">
        <f t="shared" si="78"/>
        <v>5.2462780386271614E-4</v>
      </c>
      <c r="K122" s="2"/>
      <c r="L122" s="6">
        <f t="shared" si="79"/>
        <v>78.89</v>
      </c>
      <c r="M122" s="2"/>
      <c r="N122" s="7">
        <f t="shared" si="80"/>
        <v>5.5831564048124553</v>
      </c>
      <c r="O122" s="10"/>
      <c r="P122" s="6">
        <v>474.36</v>
      </c>
      <c r="Q122" s="2"/>
      <c r="R122" s="7">
        <f t="shared" si="81"/>
        <v>2.2774463103410929E-3</v>
      </c>
      <c r="S122" s="2"/>
      <c r="T122" s="6">
        <v>712.14</v>
      </c>
      <c r="U122" s="2"/>
      <c r="V122" s="7">
        <f t="shared" si="82"/>
        <v>1.656752648951227E-3</v>
      </c>
      <c r="W122" s="2"/>
      <c r="X122" s="6">
        <f t="shared" si="83"/>
        <v>-237.77999999999997</v>
      </c>
      <c r="Y122" s="2"/>
      <c r="Z122" s="7">
        <f t="shared" si="84"/>
        <v>-0.33389502064200854</v>
      </c>
    </row>
    <row r="123" spans="1:26" s="26" customFormat="1" outlineLevel="1" collapsed="1" x14ac:dyDescent="0.25">
      <c r="A123" s="27"/>
      <c r="B123" s="12" t="str">
        <f>CONCATENATE("     ","Utilities                                         ")</f>
        <v xml:space="preserve">     Utilities                                         </v>
      </c>
      <c r="C123" s="12"/>
      <c r="D123" s="1">
        <f>SUM(OSRRefD22_19x_0)</f>
        <v>30.45</v>
      </c>
      <c r="E123" s="1"/>
      <c r="F123" s="5">
        <f t="shared" si="77"/>
        <v>1.2662438922964969E-3</v>
      </c>
      <c r="G123" s="1"/>
      <c r="H123" s="1">
        <f>SUM(OSRRefH22_19x_0)</f>
        <v>12.51</v>
      </c>
      <c r="I123" s="1"/>
      <c r="J123" s="5">
        <f t="shared" si="78"/>
        <v>4.644793932287741E-4</v>
      </c>
      <c r="K123" s="1"/>
      <c r="L123" s="1">
        <f t="shared" si="79"/>
        <v>17.939999999999998</v>
      </c>
      <c r="M123" s="1"/>
      <c r="N123" s="5">
        <f t="shared" si="80"/>
        <v>1.4340527577937647</v>
      </c>
      <c r="O123" s="12"/>
      <c r="P123" s="1">
        <f>SUM(OSRRefP22_19x_0)</f>
        <v>235.6</v>
      </c>
      <c r="Q123" s="1"/>
      <c r="R123" s="5">
        <f t="shared" si="81"/>
        <v>1.1311374287805917E-3</v>
      </c>
      <c r="S123" s="1"/>
      <c r="T123" s="1">
        <f>SUM(OSRRefT22_19x_0)</f>
        <v>2866.3</v>
      </c>
      <c r="U123" s="1"/>
      <c r="V123" s="5">
        <f t="shared" si="82"/>
        <v>6.6682816829400152E-3</v>
      </c>
      <c r="W123" s="1"/>
      <c r="X123" s="1">
        <f t="shared" si="83"/>
        <v>-2630.7000000000003</v>
      </c>
      <c r="Y123" s="1"/>
      <c r="Z123" s="5">
        <f t="shared" si="84"/>
        <v>-0.91780343997488056</v>
      </c>
    </row>
    <row r="124" spans="1:26" s="23" customFormat="1" hidden="1" outlineLevel="2" x14ac:dyDescent="0.25">
      <c r="A124" s="25"/>
      <c r="B124" s="10" t="str">
        <f>CONCATENATE("          ", "6274", " - ", "UTILITIES")</f>
        <v xml:space="preserve">          6274 - UTILITIES</v>
      </c>
      <c r="C124" s="10"/>
      <c r="D124" s="6">
        <v>30.45</v>
      </c>
      <c r="E124" s="2"/>
      <c r="F124" s="7">
        <f t="shared" si="77"/>
        <v>1.2662438922964969E-3</v>
      </c>
      <c r="G124" s="2"/>
      <c r="H124" s="6">
        <v>12.51</v>
      </c>
      <c r="I124" s="2"/>
      <c r="J124" s="7">
        <f t="shared" si="78"/>
        <v>4.644793932287741E-4</v>
      </c>
      <c r="K124" s="2"/>
      <c r="L124" s="6">
        <f t="shared" si="79"/>
        <v>17.939999999999998</v>
      </c>
      <c r="M124" s="2"/>
      <c r="N124" s="7">
        <f t="shared" si="80"/>
        <v>1.4340527577937647</v>
      </c>
      <c r="O124" s="10"/>
      <c r="P124" s="6">
        <v>235.6</v>
      </c>
      <c r="Q124" s="2"/>
      <c r="R124" s="7">
        <f t="shared" si="81"/>
        <v>1.1311374287805917E-3</v>
      </c>
      <c r="S124" s="2"/>
      <c r="T124" s="6">
        <v>2866.3</v>
      </c>
      <c r="U124" s="2"/>
      <c r="V124" s="7">
        <f t="shared" si="82"/>
        <v>6.6682816829400152E-3</v>
      </c>
      <c r="W124" s="2"/>
      <c r="X124" s="6">
        <f t="shared" si="83"/>
        <v>-2630.7000000000003</v>
      </c>
      <c r="Y124" s="2"/>
      <c r="Z124" s="7">
        <f t="shared" si="84"/>
        <v>-0.91780343997488056</v>
      </c>
    </row>
    <row r="125" spans="1:26" s="60" customFormat="1" x14ac:dyDescent="0.25">
      <c r="A125" s="37"/>
      <c r="B125" s="37"/>
      <c r="C125" s="37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7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4" customFormat="1" x14ac:dyDescent="0.25">
      <c r="A126" s="11"/>
      <c r="B126" s="28" t="s">
        <v>292</v>
      </c>
      <c r="C126" s="11"/>
      <c r="D126" s="4">
        <f>SUM(0)</f>
        <v>0</v>
      </c>
      <c r="E126" s="4"/>
      <c r="F126" s="13">
        <f>IF(D$12=0,0,D126/D$12)</f>
        <v>0</v>
      </c>
      <c r="G126" s="4"/>
      <c r="H126" s="4">
        <f>SUM(0)</f>
        <v>0</v>
      </c>
      <c r="I126" s="4"/>
      <c r="J126" s="13">
        <f>IF(H$12=0,0,H126/H$12)</f>
        <v>0</v>
      </c>
      <c r="K126" s="4"/>
      <c r="L126" s="4">
        <f>+D126-H126</f>
        <v>0</v>
      </c>
      <c r="M126" s="4"/>
      <c r="N126" s="13">
        <f>IF(H126=0,0,L126/H126)</f>
        <v>0</v>
      </c>
      <c r="O126" s="11"/>
      <c r="P126" s="4">
        <f>SUM(0)</f>
        <v>0</v>
      </c>
      <c r="Q126" s="4"/>
      <c r="R126" s="13">
        <f>IF(P$12=0,0,P126/P$12)</f>
        <v>0</v>
      </c>
      <c r="S126" s="4"/>
      <c r="T126" s="4">
        <f>SUM(0)</f>
        <v>0</v>
      </c>
      <c r="U126" s="4"/>
      <c r="V126" s="13">
        <f>IF(T$12=0,0,T126/T$12)</f>
        <v>0</v>
      </c>
      <c r="W126" s="4"/>
      <c r="X126" s="4">
        <f>+P126-T126</f>
        <v>0</v>
      </c>
      <c r="Y126" s="4"/>
      <c r="Z126" s="13">
        <f>IF(T126=0,0,X126/T126)</f>
        <v>0</v>
      </c>
    </row>
    <row r="127" spans="1:26" x14ac:dyDescent="0.25">
      <c r="A127" s="9"/>
      <c r="B127" s="11"/>
      <c r="C127" s="11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1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x14ac:dyDescent="0.25">
      <c r="A128" s="11"/>
      <c r="B128" s="29" t="s">
        <v>276</v>
      </c>
      <c r="C128" s="29"/>
      <c r="D128" s="22">
        <f>+D59-D61+D126</f>
        <v>-7720.9100000000108</v>
      </c>
      <c r="E128" s="14"/>
      <c r="F128" s="20">
        <f>IF(D$12=0,0,D128/D$12)</f>
        <v>-0.32106913400561443</v>
      </c>
      <c r="G128" s="14"/>
      <c r="H128" s="22">
        <f>+H59-H61+H126</f>
        <v>-12301.9</v>
      </c>
      <c r="I128" s="14"/>
      <c r="J128" s="20">
        <f>IF(H$12=0,0,H128/H$12)</f>
        <v>-0.45675292146771029</v>
      </c>
      <c r="K128" s="15"/>
      <c r="L128" s="22">
        <f>+D128-H128</f>
        <v>4580.9899999999889</v>
      </c>
      <c r="M128" s="15"/>
      <c r="N128" s="20">
        <f>IF(H128=0,0,L128/H128)</f>
        <v>-0.37238068916183592</v>
      </c>
      <c r="O128" s="28"/>
      <c r="P128" s="22">
        <f>+P59-P61+P126</f>
        <v>-77596.920000000013</v>
      </c>
      <c r="Q128" s="14"/>
      <c r="R128" s="20">
        <f>IF(P$12=0,0,P128/P$12)</f>
        <v>-0.37255000241975078</v>
      </c>
      <c r="S128" s="14"/>
      <c r="T128" s="22">
        <f>+T59-T61+T126</f>
        <v>-37030.73000000001</v>
      </c>
      <c r="U128" s="14"/>
      <c r="V128" s="20">
        <f>IF(T$12=0,0,T128/T$12)</f>
        <v>-8.6149858202176105E-2</v>
      </c>
      <c r="W128" s="15"/>
      <c r="X128" s="22">
        <f>+P128-T128</f>
        <v>-40566.19</v>
      </c>
      <c r="Y128" s="15"/>
      <c r="Z128" s="20">
        <f>IF(T128=0,0,X128/T128)</f>
        <v>1.0954736782126626</v>
      </c>
    </row>
    <row r="129" spans="1:26" x14ac:dyDescent="0.25">
      <c r="A129" s="9"/>
      <c r="B129" s="11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4" customFormat="1" x14ac:dyDescent="0.25">
      <c r="A130" s="51"/>
      <c r="B130" s="11" t="s">
        <v>127</v>
      </c>
      <c r="C130" s="11"/>
      <c r="D130" s="4">
        <v>6440.16</v>
      </c>
      <c r="E130" s="4"/>
      <c r="F130" s="13">
        <f>IF(D$12=0,0,D130/D$12)</f>
        <v>0.26780995945524488</v>
      </c>
      <c r="G130" s="4"/>
      <c r="H130" s="4">
        <v>4994.25</v>
      </c>
      <c r="I130" s="4"/>
      <c r="J130" s="13">
        <f>IF(H$12=0,0,H130/H$12)</f>
        <v>0.18542975296824979</v>
      </c>
      <c r="K130" s="4"/>
      <c r="L130" s="4">
        <f>+D130-H130</f>
        <v>1445.9099999999999</v>
      </c>
      <c r="M130" s="4"/>
      <c r="N130" s="13">
        <f>IF(H130=0,0,L130/H130)</f>
        <v>0.28951494218351098</v>
      </c>
      <c r="O130" s="11"/>
      <c r="P130" s="4">
        <v>42925.96</v>
      </c>
      <c r="Q130" s="4"/>
      <c r="R130" s="13">
        <f>IF(P$12=0,0,P130/P$12)</f>
        <v>0.20609151113046914</v>
      </c>
      <c r="S130" s="4"/>
      <c r="T130" s="4">
        <v>46058.49</v>
      </c>
      <c r="U130" s="4"/>
      <c r="V130" s="13">
        <f>IF(T$12=0,0,T130/T$12)</f>
        <v>0.10715242131349678</v>
      </c>
      <c r="W130" s="4"/>
      <c r="X130" s="4">
        <f>+P130-T130</f>
        <v>-3132.5299999999988</v>
      </c>
      <c r="Y130" s="4"/>
      <c r="Z130" s="13">
        <f>IF(T130=0,0,X130/T130)</f>
        <v>-6.8011999524951836E-2</v>
      </c>
    </row>
    <row r="131" spans="1:26" x14ac:dyDescent="0.25">
      <c r="A131" s="9"/>
      <c r="B131" s="11"/>
      <c r="C131" s="11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1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4" customFormat="1" ht="15.75" thickBot="1" x14ac:dyDescent="0.3">
      <c r="A132" s="11"/>
      <c r="B132" s="29" t="s">
        <v>125</v>
      </c>
      <c r="C132" s="29"/>
      <c r="D132" s="30">
        <f>+D128-D130</f>
        <v>-14161.070000000011</v>
      </c>
      <c r="E132" s="14"/>
      <c r="F132" s="36">
        <f>IF(D$12=0,0,D132/D$12)</f>
        <v>-0.58887909346085932</v>
      </c>
      <c r="G132" s="14"/>
      <c r="H132" s="30">
        <f>+H128-H130</f>
        <v>-17296.150000000001</v>
      </c>
      <c r="I132" s="14"/>
      <c r="J132" s="36">
        <f>IF(H$12=0,0,H132/H$12)</f>
        <v>-0.64218267443596011</v>
      </c>
      <c r="K132" s="15"/>
      <c r="L132" s="30">
        <f>D132-H132</f>
        <v>3135.0799999999908</v>
      </c>
      <c r="M132" s="15"/>
      <c r="N132" s="36">
        <f>IF(H132=0,0,L132/H132)</f>
        <v>-0.18125883505866858</v>
      </c>
      <c r="O132" s="28"/>
      <c r="P132" s="30">
        <f>+P128-P130</f>
        <v>-120522.88</v>
      </c>
      <c r="Q132" s="14"/>
      <c r="R132" s="36">
        <f>IF(P$12=0,0,P132/P$12)</f>
        <v>-0.57864151355021987</v>
      </c>
      <c r="S132" s="14"/>
      <c r="T132" s="30">
        <f>+T128-T130</f>
        <v>-83089.22</v>
      </c>
      <c r="U132" s="14"/>
      <c r="V132" s="36">
        <f>IF(T$12=0,0,T132/T$12)</f>
        <v>-0.19330227951567286</v>
      </c>
      <c r="W132" s="15"/>
      <c r="X132" s="30">
        <f>P132-T132</f>
        <v>-37433.660000000003</v>
      </c>
      <c r="Y132" s="15"/>
      <c r="Z132" s="36">
        <f>IF(T132=0,0,X132/T132)</f>
        <v>0.4505236660062521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4" customFormat="1" ht="15.75" thickBot="1" x14ac:dyDescent="0.3">
      <c r="A135" s="11"/>
      <c r="B135" s="29" t="s">
        <v>293</v>
      </c>
      <c r="C135" s="29"/>
      <c r="D135" s="35">
        <f>SUM(D132:D134)</f>
        <v>-14161.070000000011</v>
      </c>
      <c r="E135" s="14"/>
      <c r="F135" s="34">
        <f>IF(D$12=0,0,D135/D$12)</f>
        <v>-0.58887909346085932</v>
      </c>
      <c r="G135" s="14"/>
      <c r="H135" s="35">
        <f>SUM(H132:H134)</f>
        <v>-17296.150000000001</v>
      </c>
      <c r="I135" s="14"/>
      <c r="J135" s="34">
        <f>IF(H$12=0,0,H135/H$12)</f>
        <v>-0.64218267443596011</v>
      </c>
      <c r="K135" s="15"/>
      <c r="L135" s="35">
        <f>+D135-H135</f>
        <v>3135.0799999999908</v>
      </c>
      <c r="M135" s="15"/>
      <c r="N135" s="34">
        <f>IF(H135=0,0,L135/H135)</f>
        <v>-0.18125883505866858</v>
      </c>
      <c r="O135" s="28"/>
      <c r="P135" s="35">
        <f>SUM(P132:P134)</f>
        <v>-120522.88</v>
      </c>
      <c r="Q135" s="14"/>
      <c r="R135" s="34">
        <f>IF(P$12=0,0,P135/P$12)</f>
        <v>-0.57864151355021987</v>
      </c>
      <c r="S135" s="14"/>
      <c r="T135" s="35">
        <f>SUM(T132:T134)</f>
        <v>-83089.22</v>
      </c>
      <c r="U135" s="14"/>
      <c r="V135" s="34">
        <f>IF(T$12=0,0,T135/T$12)</f>
        <v>-0.19330227951567286</v>
      </c>
      <c r="W135" s="15"/>
      <c r="X135" s="35">
        <f>+P135-T135</f>
        <v>-37433.660000000003</v>
      </c>
      <c r="Y135" s="15"/>
      <c r="Z135" s="34">
        <f>IF(T135=0,0,X135/T135)</f>
        <v>0.4505236660062521</v>
      </c>
    </row>
    <row r="136" spans="1:26" ht="15.75" thickTop="1" x14ac:dyDescent="0.25">
      <c r="A136" s="9"/>
      <c r="C136" s="9"/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54">
        <v>44295.963243634258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8" t="s">
        <v>56</v>
      </c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A139" s="9"/>
      <c r="B139" s="62"/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  <row r="140" spans="1:26" x14ac:dyDescent="0.25"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","327", " - ", "C-Store Vending Machine(s)")</f>
        <v>Department 327 - C-Store Vending Machine(s)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100.55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3" si="0">+D12-H12</f>
        <v>100.55</v>
      </c>
      <c r="M12" s="4"/>
      <c r="N12" s="13">
        <f t="shared" ref="N12:N13" si="1">IF(H12=0,0,L12/H12)</f>
        <v>0</v>
      </c>
      <c r="O12" s="11"/>
      <c r="P12" s="4">
        <f>SUM(OSRRefP13x_0)</f>
        <v>344.55</v>
      </c>
      <c r="Q12" s="4"/>
      <c r="R12" s="13"/>
      <c r="S12" s="4"/>
      <c r="T12" s="4">
        <f>SUM(OSRRefT13x_0)</f>
        <v>12812.5</v>
      </c>
      <c r="U12" s="4"/>
      <c r="V12" s="13"/>
      <c r="W12" s="4"/>
      <c r="X12" s="4">
        <f t="shared" ref="X12:X13" si="2">+P12-T12</f>
        <v>-12467.95</v>
      </c>
      <c r="Y12" s="4"/>
      <c r="Z12" s="13">
        <f t="shared" ref="Z12:Z13" si="3">IF(T12=0,0,X12/T12)</f>
        <v>-0.97310829268292687</v>
      </c>
    </row>
    <row r="13" spans="1:26" s="23" customFormat="1" hidden="1" outlineLevel="1" x14ac:dyDescent="0.25">
      <c r="A13" s="44"/>
      <c r="B13" s="10" t="str">
        <f>CONCATENATE("          ", "4153", " - ", "NON-TAXABLE SALES-FOOD")</f>
        <v xml:space="preserve">          4153 - NON-TAXABLE SALES-FOOD</v>
      </c>
      <c r="C13" s="10"/>
      <c r="D13" s="2">
        <f>--100.55</f>
        <v>100.55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100.55</v>
      </c>
      <c r="M13" s="2"/>
      <c r="N13" s="19">
        <f t="shared" si="1"/>
        <v>0</v>
      </c>
      <c r="O13" s="10"/>
      <c r="P13" s="2">
        <f>--344.55</f>
        <v>344.55</v>
      </c>
      <c r="Q13" s="2"/>
      <c r="R13" s="19"/>
      <c r="S13" s="2"/>
      <c r="T13" s="2">
        <f>--12812.5</f>
        <v>12812.5</v>
      </c>
      <c r="U13" s="2"/>
      <c r="V13" s="19"/>
      <c r="W13" s="2"/>
      <c r="X13" s="2">
        <f t="shared" si="2"/>
        <v>-12467.95</v>
      </c>
      <c r="Y13" s="2"/>
      <c r="Z13" s="19">
        <f t="shared" si="3"/>
        <v>-0.97310829268292687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>
        <f>SUM(OSRRefD16x_0)</f>
        <v>19</v>
      </c>
      <c r="E15" s="4"/>
      <c r="F15" s="13">
        <f t="shared" ref="F15:F16" si="4">IF(D$12=0,0,D15/D$12)</f>
        <v>0.18896071606166087</v>
      </c>
      <c r="G15" s="4"/>
      <c r="H15" s="4">
        <f>SUM(OSRRefH16x_0)</f>
        <v>0</v>
      </c>
      <c r="I15" s="4"/>
      <c r="J15" s="13">
        <f t="shared" ref="J15:J16" si="5">IF(H$12=0,0,H15/H$12)</f>
        <v>0</v>
      </c>
      <c r="K15" s="4"/>
      <c r="L15" s="4">
        <f t="shared" ref="L15:L16" si="6">+D15-H15</f>
        <v>19</v>
      </c>
      <c r="M15" s="4"/>
      <c r="N15" s="13">
        <f t="shared" ref="N15:N16" si="7">IF(H15=0,0,L15/H15)</f>
        <v>0</v>
      </c>
      <c r="O15" s="11"/>
      <c r="P15" s="4">
        <f>SUM(OSRRefP16x_0)</f>
        <v>-342.09</v>
      </c>
      <c r="Q15" s="4"/>
      <c r="R15" s="13">
        <f t="shared" ref="R15:R16" si="8">IF(P$12=0,0,P15/P$12)</f>
        <v>-0.99286025250326504</v>
      </c>
      <c r="S15" s="4"/>
      <c r="T15" s="4">
        <f>SUM(OSRRefT16x_0)</f>
        <v>3256.12</v>
      </c>
      <c r="U15" s="4"/>
      <c r="V15" s="13">
        <f t="shared" ref="V15:V16" si="9">IF(T$12=0,0,T15/T$12)</f>
        <v>0.25413619512195124</v>
      </c>
      <c r="W15" s="4"/>
      <c r="X15" s="4">
        <f t="shared" ref="X15:X16" si="10">+P15-T15</f>
        <v>-3598.21</v>
      </c>
      <c r="Y15" s="4"/>
      <c r="Z15" s="13">
        <f t="shared" ref="Z15:Z16" si="11">IF(T15=0,0,X15/T15)</f>
        <v>-1.1050606243013157</v>
      </c>
    </row>
    <row r="16" spans="1:26" s="23" customFormat="1" hidden="1" outlineLevel="1" x14ac:dyDescent="0.25">
      <c r="A16" s="44"/>
      <c r="B16" s="10" t="str">
        <f>CONCATENATE("          ", "5059", " - ", "PURCHASES @ COST-FOOD")</f>
        <v xml:space="preserve">          5059 - PURCHASES @ COST-FOOD</v>
      </c>
      <c r="C16" s="10"/>
      <c r="D16" s="2">
        <v>19</v>
      </c>
      <c r="E16" s="2"/>
      <c r="F16" s="19">
        <f t="shared" si="4"/>
        <v>0.18896071606166087</v>
      </c>
      <c r="G16" s="2"/>
      <c r="H16" s="2"/>
      <c r="I16" s="2"/>
      <c r="J16" s="19">
        <f t="shared" si="5"/>
        <v>0</v>
      </c>
      <c r="K16" s="2"/>
      <c r="L16" s="2">
        <f t="shared" si="6"/>
        <v>19</v>
      </c>
      <c r="M16" s="2"/>
      <c r="N16" s="19">
        <f t="shared" si="7"/>
        <v>0</v>
      </c>
      <c r="O16" s="10"/>
      <c r="P16" s="2">
        <v>-342.09</v>
      </c>
      <c r="Q16" s="2"/>
      <c r="R16" s="19">
        <f t="shared" si="8"/>
        <v>-0.99286025250326504</v>
      </c>
      <c r="S16" s="2"/>
      <c r="T16" s="2">
        <v>3256.12</v>
      </c>
      <c r="U16" s="2"/>
      <c r="V16" s="19">
        <f t="shared" si="9"/>
        <v>0.25413619512195124</v>
      </c>
      <c r="W16" s="2"/>
      <c r="X16" s="2">
        <f t="shared" si="10"/>
        <v>-3598.21</v>
      </c>
      <c r="Y16" s="2"/>
      <c r="Z16" s="19">
        <f t="shared" si="11"/>
        <v>-1.1050606243013157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>
        <f>D12-D15</f>
        <v>81.55</v>
      </c>
      <c r="E18" s="14"/>
      <c r="F18" s="20">
        <f>IF(D$12=0,0,D18/D$12)</f>
        <v>0.81103928393833913</v>
      </c>
      <c r="G18" s="14"/>
      <c r="H18" s="22">
        <f>H12-H15</f>
        <v>0</v>
      </c>
      <c r="I18" s="14"/>
      <c r="J18" s="20">
        <f>IF(H$12=0,0,H18/H$12)</f>
        <v>0</v>
      </c>
      <c r="K18" s="15"/>
      <c r="L18" s="22">
        <f>+D18-H18</f>
        <v>81.55</v>
      </c>
      <c r="M18" s="15"/>
      <c r="N18" s="20">
        <f>IF(H18=0,0,L18/H18)</f>
        <v>0</v>
      </c>
      <c r="O18" s="28"/>
      <c r="P18" s="22">
        <f>P12-P15</f>
        <v>686.64</v>
      </c>
      <c r="Q18" s="14"/>
      <c r="R18" s="20">
        <f>IF(P$12=0,0,P18/P$12)</f>
        <v>1.992860252503265</v>
      </c>
      <c r="S18" s="14"/>
      <c r="T18" s="22">
        <f>T12-T15</f>
        <v>9556.380000000001</v>
      </c>
      <c r="U18" s="14"/>
      <c r="V18" s="20">
        <f>IF(T$12=0,0,T18/T$12)</f>
        <v>0.74586380487804882</v>
      </c>
      <c r="W18" s="15"/>
      <c r="X18" s="22">
        <f>+P18-T18</f>
        <v>-8869.7400000000016</v>
      </c>
      <c r="Y18" s="15"/>
      <c r="Z18" s="20">
        <f>IF(T18=0,0,X18/T18)</f>
        <v>-0.9281485248598319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>
        <f>SUM(OSRRefD22x_0)</f>
        <v>0</v>
      </c>
      <c r="E20" s="21"/>
      <c r="F20" s="31">
        <f t="shared" ref="F20:F26" si="12">IF(D$12=0,0,D20/D$12)</f>
        <v>0</v>
      </c>
      <c r="G20" s="21"/>
      <c r="H20" s="21">
        <f>SUM(OSRRefH22x_0)</f>
        <v>160.88</v>
      </c>
      <c r="I20" s="21"/>
      <c r="J20" s="31">
        <f t="shared" ref="J20:J26" si="13">IF(H$12=0,0,H20/H$12)</f>
        <v>0</v>
      </c>
      <c r="K20" s="4"/>
      <c r="L20" s="21">
        <f t="shared" ref="L20:L26" si="14">+D20-H20</f>
        <v>-160.88</v>
      </c>
      <c r="M20" s="4"/>
      <c r="N20" s="31">
        <f t="shared" ref="N20:N26" si="15">IF(H20=0,0,L20/H20)</f>
        <v>-1</v>
      </c>
      <c r="O20" s="11"/>
      <c r="P20" s="21">
        <f>SUM(OSRRefP22x_0)</f>
        <v>0</v>
      </c>
      <c r="Q20" s="21"/>
      <c r="R20" s="31">
        <f t="shared" ref="R20:R26" si="16">IF(P$12=0,0,P20/P$12)</f>
        <v>0</v>
      </c>
      <c r="S20" s="21"/>
      <c r="T20" s="21">
        <f>SUM(OSRRefT22x_0)</f>
        <v>1569.51</v>
      </c>
      <c r="U20" s="21"/>
      <c r="V20" s="31">
        <f t="shared" ref="V20:V26" si="17">IF(T$12=0,0,T20/T$12)</f>
        <v>0.12249834146341464</v>
      </c>
      <c r="W20" s="4"/>
      <c r="X20" s="21">
        <f t="shared" ref="X20:X26" si="18">+P20-T20</f>
        <v>-1569.51</v>
      </c>
      <c r="Y20" s="4"/>
      <c r="Z20" s="31">
        <f t="shared" ref="Z20:Z26" si="19">IF(T20=0,0,X20/T20)</f>
        <v>-1</v>
      </c>
    </row>
    <row r="21" spans="1:26" s="26" customFormat="1" outlineLevel="1" collapsed="1" x14ac:dyDescent="0.25">
      <c r="A21" s="27"/>
      <c r="B21" s="12" t="str">
        <f>CONCATENATE("     ","Bank/card Fees                                    ")</f>
        <v xml:space="preserve">     Bank/card Fees                                    </v>
      </c>
      <c r="C21" s="12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160.88</v>
      </c>
      <c r="I21" s="1"/>
      <c r="J21" s="5">
        <f t="shared" si="13"/>
        <v>0</v>
      </c>
      <c r="K21" s="1"/>
      <c r="L21" s="1">
        <f t="shared" si="14"/>
        <v>-160.88</v>
      </c>
      <c r="M21" s="1"/>
      <c r="N21" s="5">
        <f t="shared" si="15"/>
        <v>-1</v>
      </c>
      <c r="O21" s="12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1249.06</v>
      </c>
      <c r="U21" s="1"/>
      <c r="V21" s="5">
        <f t="shared" si="17"/>
        <v>9.7487609756097562E-2</v>
      </c>
      <c r="W21" s="1"/>
      <c r="X21" s="1">
        <f t="shared" si="18"/>
        <v>-1249.06</v>
      </c>
      <c r="Y21" s="1"/>
      <c r="Z21" s="5">
        <f t="shared" si="19"/>
        <v>-1</v>
      </c>
    </row>
    <row r="22" spans="1:26" s="23" customFormat="1" hidden="1" outlineLevel="2" x14ac:dyDescent="0.25">
      <c r="A22" s="25"/>
      <c r="B22" s="10" t="str">
        <f>CONCATENATE("          ", "6381", " - ", "BANK/CREDIT CARD FEES")</f>
        <v xml:space="preserve">          6381 - BANK/CREDIT CARD FEES</v>
      </c>
      <c r="C22" s="10"/>
      <c r="D22" s="6"/>
      <c r="E22" s="2"/>
      <c r="F22" s="7">
        <f t="shared" si="12"/>
        <v>0</v>
      </c>
      <c r="G22" s="2"/>
      <c r="H22" s="6">
        <v>160.88</v>
      </c>
      <c r="I22" s="2"/>
      <c r="J22" s="7">
        <f t="shared" si="13"/>
        <v>0</v>
      </c>
      <c r="K22" s="2"/>
      <c r="L22" s="6">
        <f t="shared" si="14"/>
        <v>-160.88</v>
      </c>
      <c r="M22" s="2"/>
      <c r="N22" s="7">
        <f t="shared" si="15"/>
        <v>-1</v>
      </c>
      <c r="O22" s="10"/>
      <c r="P22" s="6"/>
      <c r="Q22" s="2"/>
      <c r="R22" s="7">
        <f t="shared" si="16"/>
        <v>0</v>
      </c>
      <c r="S22" s="2"/>
      <c r="T22" s="6">
        <v>1249.06</v>
      </c>
      <c r="U22" s="2"/>
      <c r="V22" s="7">
        <f t="shared" si="17"/>
        <v>9.7487609756097562E-2</v>
      </c>
      <c r="W22" s="2"/>
      <c r="X22" s="6">
        <f t="shared" si="18"/>
        <v>-1249.06</v>
      </c>
      <c r="Y22" s="2"/>
      <c r="Z22" s="7">
        <f t="shared" si="19"/>
        <v>-1</v>
      </c>
    </row>
    <row r="23" spans="1:26" s="26" customFormat="1" outlineLevel="1" collapsed="1" x14ac:dyDescent="0.25">
      <c r="A23" s="27"/>
      <c r="B23" s="12" t="str">
        <f>CONCATENATE("     ","General                                           ")</f>
        <v xml:space="preserve">     General                                           </v>
      </c>
      <c r="C23" s="12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2"/>
      <c r="P23" s="1">
        <f>SUM(OSRRefP22_1x_0)</f>
        <v>0</v>
      </c>
      <c r="Q23" s="1"/>
      <c r="R23" s="5">
        <f t="shared" si="16"/>
        <v>0</v>
      </c>
      <c r="S23" s="1"/>
      <c r="T23" s="1">
        <f>SUM(OSRRefT22_1x_0)</f>
        <v>23.45</v>
      </c>
      <c r="U23" s="1"/>
      <c r="V23" s="5">
        <f t="shared" si="17"/>
        <v>1.8302439024390244E-3</v>
      </c>
      <c r="W23" s="1"/>
      <c r="X23" s="1">
        <f t="shared" si="18"/>
        <v>-23.45</v>
      </c>
      <c r="Y23" s="1"/>
      <c r="Z23" s="5">
        <f t="shared" si="19"/>
        <v>-1</v>
      </c>
    </row>
    <row r="24" spans="1:26" s="23" customFormat="1" hidden="1" outlineLevel="2" x14ac:dyDescent="0.25">
      <c r="A24" s="25"/>
      <c r="B24" s="10" t="str">
        <f>CONCATENATE("          ", "6279", " - ", "GENERAL EXPENSE")</f>
        <v xml:space="preserve">          6279 - GENERAL EXPENSE</v>
      </c>
      <c r="C24" s="10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0"/>
      <c r="P24" s="6"/>
      <c r="Q24" s="2"/>
      <c r="R24" s="7">
        <f t="shared" si="16"/>
        <v>0</v>
      </c>
      <c r="S24" s="2"/>
      <c r="T24" s="6">
        <v>23.45</v>
      </c>
      <c r="U24" s="2"/>
      <c r="V24" s="7">
        <f t="shared" si="17"/>
        <v>1.8302439024390244E-3</v>
      </c>
      <c r="W24" s="2"/>
      <c r="X24" s="6">
        <f t="shared" si="18"/>
        <v>-23.45</v>
      </c>
      <c r="Y24" s="2"/>
      <c r="Z24" s="7">
        <f t="shared" si="19"/>
        <v>-1</v>
      </c>
    </row>
    <row r="25" spans="1:26" s="26" customFormat="1" outlineLevel="1" collapsed="1" x14ac:dyDescent="0.25">
      <c r="A25" s="27"/>
      <c r="B25" s="12" t="str">
        <f>CONCATENATE("     ","Supplies                                          ")</f>
        <v xml:space="preserve">     Supplies                                          </v>
      </c>
      <c r="C25" s="12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2"/>
      <c r="P25" s="1">
        <f>SUM(OSRRefP22_2x_0)</f>
        <v>0</v>
      </c>
      <c r="Q25" s="1"/>
      <c r="R25" s="5">
        <f t="shared" si="16"/>
        <v>0</v>
      </c>
      <c r="S25" s="1"/>
      <c r="T25" s="1">
        <f>SUM(OSRRefT22_2x_0)</f>
        <v>297</v>
      </c>
      <c r="U25" s="1"/>
      <c r="V25" s="5">
        <f t="shared" si="17"/>
        <v>2.3180487804878049E-2</v>
      </c>
      <c r="W25" s="1"/>
      <c r="X25" s="1">
        <f t="shared" si="18"/>
        <v>-297</v>
      </c>
      <c r="Y25" s="1"/>
      <c r="Z25" s="5">
        <f t="shared" si="19"/>
        <v>-1</v>
      </c>
    </row>
    <row r="26" spans="1:26" s="23" customFormat="1" hidden="1" outlineLevel="2" x14ac:dyDescent="0.25">
      <c r="A26" s="25"/>
      <c r="B26" s="10" t="str">
        <f>CONCATENATE("          ", "6247", " - ", "STORE SUPPLIES")</f>
        <v xml:space="preserve">          6247 - STORE SUPPLIES</v>
      </c>
      <c r="C26" s="10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0"/>
      <c r="P26" s="6"/>
      <c r="Q26" s="2"/>
      <c r="R26" s="7">
        <f t="shared" si="16"/>
        <v>0</v>
      </c>
      <c r="S26" s="2"/>
      <c r="T26" s="6">
        <v>297</v>
      </c>
      <c r="U26" s="2"/>
      <c r="V26" s="7">
        <f t="shared" si="17"/>
        <v>2.3180487804878049E-2</v>
      </c>
      <c r="W26" s="2"/>
      <c r="X26" s="6">
        <f t="shared" si="18"/>
        <v>-297</v>
      </c>
      <c r="Y26" s="2"/>
      <c r="Z26" s="7">
        <f t="shared" si="19"/>
        <v>-1</v>
      </c>
    </row>
    <row r="27" spans="1:26" s="60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4" customFormat="1" x14ac:dyDescent="0.25">
      <c r="A28" s="11"/>
      <c r="B28" s="28" t="s">
        <v>292</v>
      </c>
      <c r="C28" s="11"/>
      <c r="D28" s="4">
        <f>SUM(0)</f>
        <v>0</v>
      </c>
      <c r="E28" s="4"/>
      <c r="F28" s="13">
        <f>IF(D$12=0,0,D28/D$12)</f>
        <v>0</v>
      </c>
      <c r="G28" s="4"/>
      <c r="H28" s="4">
        <f>SUM(0)</f>
        <v>0</v>
      </c>
      <c r="I28" s="4"/>
      <c r="J28" s="13">
        <f>IF(H$12=0,0,H28/H$12)</f>
        <v>0</v>
      </c>
      <c r="K28" s="4"/>
      <c r="L28" s="4">
        <f>+D28-H28</f>
        <v>0</v>
      </c>
      <c r="M28" s="4"/>
      <c r="N28" s="13">
        <f>IF(H28=0,0,L28/H28)</f>
        <v>0</v>
      </c>
      <c r="O28" s="11"/>
      <c r="P28" s="4">
        <f>SUM(0)</f>
        <v>0</v>
      </c>
      <c r="Q28" s="4"/>
      <c r="R28" s="13">
        <f>IF(P$12=0,0,P28/P$12)</f>
        <v>0</v>
      </c>
      <c r="S28" s="4"/>
      <c r="T28" s="4">
        <f>SUM(0)</f>
        <v>0</v>
      </c>
      <c r="U28" s="4"/>
      <c r="V28" s="13">
        <f>IF(T$12=0,0,T28/T$12)</f>
        <v>0</v>
      </c>
      <c r="W28" s="4"/>
      <c r="X28" s="4">
        <f>+P28-T28</f>
        <v>0</v>
      </c>
      <c r="Y28" s="4"/>
      <c r="Z28" s="13">
        <f>IF(T28=0,0,X28/T28)</f>
        <v>0</v>
      </c>
    </row>
    <row r="29" spans="1:26" x14ac:dyDescent="0.25">
      <c r="A29" s="9"/>
      <c r="B29" s="11"/>
      <c r="C29" s="11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1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4" customFormat="1" x14ac:dyDescent="0.25">
      <c r="A30" s="11"/>
      <c r="B30" s="29" t="s">
        <v>276</v>
      </c>
      <c r="C30" s="29"/>
      <c r="D30" s="22">
        <f>+D18-D20+D28</f>
        <v>81.55</v>
      </c>
      <c r="E30" s="14"/>
      <c r="F30" s="20">
        <f>IF(D$12=0,0,D30/D$12)</f>
        <v>0.81103928393833913</v>
      </c>
      <c r="G30" s="14"/>
      <c r="H30" s="22">
        <f>+H18-H20+H28</f>
        <v>-160.88</v>
      </c>
      <c r="I30" s="14"/>
      <c r="J30" s="20">
        <f>IF(H$12=0,0,H30/H$12)</f>
        <v>0</v>
      </c>
      <c r="K30" s="15"/>
      <c r="L30" s="22">
        <f>+D30-H30</f>
        <v>242.43</v>
      </c>
      <c r="M30" s="15"/>
      <c r="N30" s="20">
        <f>IF(H30=0,0,L30/H30)</f>
        <v>-1.5068995524614621</v>
      </c>
      <c r="O30" s="28"/>
      <c r="P30" s="22">
        <f>+P18-P20+P28</f>
        <v>686.64</v>
      </c>
      <c r="Q30" s="14"/>
      <c r="R30" s="20">
        <f>IF(P$12=0,0,P30/P$12)</f>
        <v>1.992860252503265</v>
      </c>
      <c r="S30" s="14"/>
      <c r="T30" s="22">
        <f>+T18-T20+T28</f>
        <v>7986.8700000000008</v>
      </c>
      <c r="U30" s="14"/>
      <c r="V30" s="20">
        <f>IF(T$12=0,0,T30/T$12)</f>
        <v>0.62336546341463417</v>
      </c>
      <c r="W30" s="15"/>
      <c r="X30" s="22">
        <f>+P30-T30</f>
        <v>-7300.2300000000005</v>
      </c>
      <c r="Y30" s="15"/>
      <c r="Z30" s="20">
        <f>IF(T30=0,0,X30/T30)</f>
        <v>-0.91402889993201342</v>
      </c>
    </row>
    <row r="31" spans="1:26" x14ac:dyDescent="0.25">
      <c r="A31" s="9"/>
      <c r="B31" s="11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4" customFormat="1" x14ac:dyDescent="0.25">
      <c r="A32" s="51"/>
      <c r="B32" s="11" t="s">
        <v>127</v>
      </c>
      <c r="C32" s="11"/>
      <c r="D32" s="4">
        <v>22.69</v>
      </c>
      <c r="E32" s="4"/>
      <c r="F32" s="13">
        <f>IF(D$12=0,0,D32/D$12)</f>
        <v>0.2256588761810045</v>
      </c>
      <c r="G32" s="4"/>
      <c r="H32" s="4">
        <v>67.040000000000006</v>
      </c>
      <c r="I32" s="4"/>
      <c r="J32" s="13">
        <f>IF(H$12=0,0,H32/H$12)</f>
        <v>0</v>
      </c>
      <c r="K32" s="4"/>
      <c r="L32" s="4">
        <f>+D32-H32</f>
        <v>-44.350000000000009</v>
      </c>
      <c r="M32" s="4"/>
      <c r="N32" s="13">
        <f>IF(H32=0,0,L32/H32)</f>
        <v>-0.66154534606205262</v>
      </c>
      <c r="O32" s="11"/>
      <c r="P32" s="4">
        <v>71.010000000000005</v>
      </c>
      <c r="Q32" s="4"/>
      <c r="R32" s="13">
        <f>IF(P$12=0,0,P32/P$12)</f>
        <v>0.20609490639965172</v>
      </c>
      <c r="S32" s="4"/>
      <c r="T32" s="4">
        <v>1372.89</v>
      </c>
      <c r="U32" s="4"/>
      <c r="V32" s="13">
        <f>IF(T$12=0,0,T32/T$12)</f>
        <v>0.10715239024390244</v>
      </c>
      <c r="W32" s="4"/>
      <c r="X32" s="4">
        <f>+P32-T32</f>
        <v>-1301.8800000000001</v>
      </c>
      <c r="Y32" s="4"/>
      <c r="Z32" s="13">
        <f>IF(T32=0,0,X32/T32)</f>
        <v>-0.94827699233004825</v>
      </c>
    </row>
    <row r="33" spans="1:26" x14ac:dyDescent="0.25">
      <c r="A33" s="9"/>
      <c r="B33" s="11"/>
      <c r="C33" s="11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1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ht="15.75" thickBot="1" x14ac:dyDescent="0.3">
      <c r="A34" s="11"/>
      <c r="B34" s="29" t="s">
        <v>125</v>
      </c>
      <c r="C34" s="29"/>
      <c r="D34" s="30">
        <f>+D30-D32</f>
        <v>58.86</v>
      </c>
      <c r="E34" s="14"/>
      <c r="F34" s="36">
        <f>IF(D$12=0,0,D34/D$12)</f>
        <v>0.58538040775733469</v>
      </c>
      <c r="G34" s="14"/>
      <c r="H34" s="30">
        <f>+H30-H32</f>
        <v>-227.92000000000002</v>
      </c>
      <c r="I34" s="14"/>
      <c r="J34" s="36">
        <f>IF(H$12=0,0,H34/H$12)</f>
        <v>0</v>
      </c>
      <c r="K34" s="15"/>
      <c r="L34" s="30">
        <f>D34-H34</f>
        <v>286.78000000000003</v>
      </c>
      <c r="M34" s="15"/>
      <c r="N34" s="36">
        <f>IF(H34=0,0,L34/H34)</f>
        <v>-1.2582485082485082</v>
      </c>
      <c r="O34" s="28"/>
      <c r="P34" s="30">
        <f>+P30-P32</f>
        <v>615.63</v>
      </c>
      <c r="Q34" s="14"/>
      <c r="R34" s="36">
        <f>IF(P$12=0,0,P34/P$12)</f>
        <v>1.7867653461036133</v>
      </c>
      <c r="S34" s="14"/>
      <c r="T34" s="30">
        <f>+T30-T32</f>
        <v>6613.9800000000005</v>
      </c>
      <c r="U34" s="14"/>
      <c r="V34" s="36">
        <f>IF(T$12=0,0,T34/T$12)</f>
        <v>0.51621307317073173</v>
      </c>
      <c r="W34" s="15"/>
      <c r="X34" s="30">
        <f>P34-T34</f>
        <v>-5998.35</v>
      </c>
      <c r="Y34" s="15"/>
      <c r="Z34" s="36">
        <f>IF(T34=0,0,X34/T34)</f>
        <v>-0.90691988787386713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4" customFormat="1" ht="15.75" thickBot="1" x14ac:dyDescent="0.3">
      <c r="A37" s="11"/>
      <c r="B37" s="29" t="s">
        <v>293</v>
      </c>
      <c r="C37" s="29"/>
      <c r="D37" s="35">
        <f>SUM(D34:D36)</f>
        <v>58.86</v>
      </c>
      <c r="E37" s="14"/>
      <c r="F37" s="34">
        <f>IF(D$12=0,0,D37/D$12)</f>
        <v>0.58538040775733469</v>
      </c>
      <c r="G37" s="14"/>
      <c r="H37" s="35">
        <f>SUM(H34:H36)</f>
        <v>-227.92000000000002</v>
      </c>
      <c r="I37" s="14"/>
      <c r="J37" s="34">
        <f>IF(H$12=0,0,H37/H$12)</f>
        <v>0</v>
      </c>
      <c r="K37" s="15"/>
      <c r="L37" s="35">
        <f>+D37-H37</f>
        <v>286.78000000000003</v>
      </c>
      <c r="M37" s="15"/>
      <c r="N37" s="34">
        <f>IF(H37=0,0,L37/H37)</f>
        <v>-1.2582485082485082</v>
      </c>
      <c r="O37" s="28"/>
      <c r="P37" s="35">
        <f>SUM(P34:P36)</f>
        <v>615.63</v>
      </c>
      <c r="Q37" s="14"/>
      <c r="R37" s="34">
        <f>IF(P$12=0,0,P37/P$12)</f>
        <v>1.7867653461036133</v>
      </c>
      <c r="S37" s="14"/>
      <c r="T37" s="35">
        <f>SUM(T34:T36)</f>
        <v>6613.9800000000005</v>
      </c>
      <c r="U37" s="14"/>
      <c r="V37" s="34">
        <f>IF(T$12=0,0,T37/T$12)</f>
        <v>0.51621307317073173</v>
      </c>
      <c r="W37" s="15"/>
      <c r="X37" s="35">
        <f>+P37-T37</f>
        <v>-5998.35</v>
      </c>
      <c r="Y37" s="15"/>
      <c r="Z37" s="34">
        <f>IF(T37=0,0,X37/T37)</f>
        <v>-0.90691988787386713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>
        <v>44295.963243634258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 t="s">
        <v>56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62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199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149061.23000000001</v>
      </c>
      <c r="E12" s="4"/>
      <c r="F12" s="13"/>
      <c r="G12" s="4"/>
      <c r="H12" s="4">
        <f>SUM(OSRRefH13x_0)</f>
        <v>1294897.4699999997</v>
      </c>
      <c r="I12" s="4"/>
      <c r="J12" s="13"/>
      <c r="K12" s="4"/>
      <c r="L12" s="4">
        <f t="shared" ref="L12:L22" si="0">+D12-H12</f>
        <v>-1145836.2399999998</v>
      </c>
      <c r="M12" s="4"/>
      <c r="N12" s="13">
        <f t="shared" ref="N12:N22" si="1">IF(H12=0,0,L12/H12)</f>
        <v>-0.88488568905768272</v>
      </c>
      <c r="O12" s="11"/>
      <c r="P12" s="4">
        <f>SUM(OSRRefP13x_0)</f>
        <v>1234723.01</v>
      </c>
      <c r="Q12" s="4"/>
      <c r="R12" s="13"/>
      <c r="S12" s="4"/>
      <c r="T12" s="4">
        <f>SUM(OSRRefT13x_0)</f>
        <v>13664786.280000001</v>
      </c>
      <c r="U12" s="4"/>
      <c r="V12" s="13"/>
      <c r="W12" s="4"/>
      <c r="X12" s="4">
        <f t="shared" ref="X12:X22" si="2">+P12-T12</f>
        <v>-12430063.270000001</v>
      </c>
      <c r="Y12" s="4"/>
      <c r="Z12" s="13">
        <f t="shared" ref="Z12:Z22" si="3">IF(T12=0,0,X12/T12)</f>
        <v>-0.90964198160880427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--2604.58</f>
        <v>2604.58</v>
      </c>
      <c r="E13" s="2"/>
      <c r="F13" s="19"/>
      <c r="G13" s="2"/>
      <c r="H13" s="2">
        <f>--28468.23</f>
        <v>28468.23</v>
      </c>
      <c r="I13" s="2"/>
      <c r="J13" s="19"/>
      <c r="K13" s="2"/>
      <c r="L13" s="2">
        <f t="shared" si="0"/>
        <v>-25863.65</v>
      </c>
      <c r="M13" s="2"/>
      <c r="N13" s="19">
        <f t="shared" si="1"/>
        <v>-0.90850923994923471</v>
      </c>
      <c r="O13" s="10"/>
      <c r="P13" s="2">
        <f>--25569.06</f>
        <v>25569.06</v>
      </c>
      <c r="Q13" s="2"/>
      <c r="R13" s="19"/>
      <c r="S13" s="2"/>
      <c r="T13" s="2">
        <f>--454738.68</f>
        <v>454738.68</v>
      </c>
      <c r="U13" s="2"/>
      <c r="V13" s="19"/>
      <c r="W13" s="2"/>
      <c r="X13" s="2">
        <f t="shared" si="2"/>
        <v>-429169.62</v>
      </c>
      <c r="Y13" s="2"/>
      <c r="Z13" s="19">
        <f t="shared" si="3"/>
        <v>-0.94377197031050886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>--51782.31</f>
        <v>51782.31</v>
      </c>
      <c r="E14" s="2"/>
      <c r="F14" s="19"/>
      <c r="G14" s="2"/>
      <c r="H14" s="2">
        <f>--48334.99</f>
        <v>48334.99</v>
      </c>
      <c r="I14" s="2"/>
      <c r="J14" s="19"/>
      <c r="K14" s="2"/>
      <c r="L14" s="2">
        <f t="shared" si="0"/>
        <v>3447.3199999999997</v>
      </c>
      <c r="M14" s="2"/>
      <c r="N14" s="19">
        <f t="shared" si="1"/>
        <v>7.1321417465897888E-2</v>
      </c>
      <c r="O14" s="10"/>
      <c r="P14" s="2">
        <f>--331940.11</f>
        <v>331940.11</v>
      </c>
      <c r="Q14" s="2"/>
      <c r="R14" s="19"/>
      <c r="S14" s="2"/>
      <c r="T14" s="2">
        <f>--836487.29</f>
        <v>836487.29</v>
      </c>
      <c r="U14" s="2"/>
      <c r="V14" s="19"/>
      <c r="W14" s="2"/>
      <c r="X14" s="2">
        <f t="shared" si="2"/>
        <v>-504547.18000000005</v>
      </c>
      <c r="Y14" s="2"/>
      <c r="Z14" s="19">
        <f t="shared" si="3"/>
        <v>-0.60317375533584028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>--163.51</f>
        <v>163.51</v>
      </c>
      <c r="E15" s="2"/>
      <c r="F15" s="19"/>
      <c r="G15" s="2"/>
      <c r="H15" s="2">
        <f>--34924.26</f>
        <v>34924.26</v>
      </c>
      <c r="I15" s="2"/>
      <c r="J15" s="19"/>
      <c r="K15" s="2"/>
      <c r="L15" s="2">
        <f t="shared" si="0"/>
        <v>-34760.75</v>
      </c>
      <c r="M15" s="2"/>
      <c r="N15" s="19">
        <f t="shared" si="1"/>
        <v>-0.99531815419997438</v>
      </c>
      <c r="O15" s="10"/>
      <c r="P15" s="2">
        <f>--923.72</f>
        <v>923.72</v>
      </c>
      <c r="Q15" s="2"/>
      <c r="R15" s="19"/>
      <c r="S15" s="2"/>
      <c r="T15" s="2">
        <f>--279880.13</f>
        <v>279880.13</v>
      </c>
      <c r="U15" s="2"/>
      <c r="V15" s="19"/>
      <c r="W15" s="2"/>
      <c r="X15" s="2">
        <f t="shared" si="2"/>
        <v>-278956.41000000003</v>
      </c>
      <c r="Y15" s="2"/>
      <c r="Z15" s="19">
        <f t="shared" si="3"/>
        <v>-0.99669958706965023</v>
      </c>
    </row>
    <row r="16" spans="1:26" s="23" customFormat="1" hidden="1" outlineLevel="1" x14ac:dyDescent="0.25">
      <c r="A16" s="44"/>
      <c r="B16" s="10" t="str">
        <f>CONCATENATE("          ", "4055", " - ", "TAXABLE SALES-FOOD")</f>
        <v xml:space="preserve">          4055 - TAXABLE SALES-FOOD</v>
      </c>
      <c r="C16" s="10"/>
      <c r="D16" s="2">
        <f t="shared" ref="D16:D17" si="4">0</f>
        <v>0</v>
      </c>
      <c r="E16" s="2"/>
      <c r="F16" s="19"/>
      <c r="G16" s="2"/>
      <c r="H16" s="2">
        <f>--24162.83</f>
        <v>24162.83</v>
      </c>
      <c r="I16" s="2"/>
      <c r="J16" s="19"/>
      <c r="K16" s="2"/>
      <c r="L16" s="2">
        <f t="shared" si="0"/>
        <v>-24162.83</v>
      </c>
      <c r="M16" s="2"/>
      <c r="N16" s="19">
        <f t="shared" si="1"/>
        <v>-1</v>
      </c>
      <c r="O16" s="10"/>
      <c r="P16" s="2">
        <f>0</f>
        <v>0</v>
      </c>
      <c r="Q16" s="2"/>
      <c r="R16" s="19"/>
      <c r="S16" s="2"/>
      <c r="T16" s="2">
        <f>--382379.53</f>
        <v>382379.53</v>
      </c>
      <c r="U16" s="2"/>
      <c r="V16" s="19"/>
      <c r="W16" s="2"/>
      <c r="X16" s="2">
        <f t="shared" si="2"/>
        <v>-382379.53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"4058", " - ", "TAXABLE SALES-FOOD")</f>
        <v xml:space="preserve">          4058 - TAXABLE SALES-FOOD</v>
      </c>
      <c r="C17" s="10"/>
      <c r="D17" s="2">
        <f t="shared" si="4"/>
        <v>0</v>
      </c>
      <c r="E17" s="2"/>
      <c r="F17" s="19"/>
      <c r="G17" s="2"/>
      <c r="H17" s="2">
        <f>--6106.33</f>
        <v>6106.33</v>
      </c>
      <c r="I17" s="2"/>
      <c r="J17" s="19"/>
      <c r="K17" s="2"/>
      <c r="L17" s="2">
        <f t="shared" si="0"/>
        <v>-6106.33</v>
      </c>
      <c r="M17" s="2"/>
      <c r="N17" s="19">
        <f t="shared" si="1"/>
        <v>-1</v>
      </c>
      <c r="O17" s="10"/>
      <c r="P17" s="2">
        <f>--974.91</f>
        <v>974.91</v>
      </c>
      <c r="Q17" s="2"/>
      <c r="R17" s="19"/>
      <c r="S17" s="2"/>
      <c r="T17" s="2">
        <f>--117077.57</f>
        <v>117077.57</v>
      </c>
      <c r="U17" s="2"/>
      <c r="V17" s="19"/>
      <c r="W17" s="2"/>
      <c r="X17" s="2">
        <f t="shared" si="2"/>
        <v>-116102.66</v>
      </c>
      <c r="Y17" s="2"/>
      <c r="Z17" s="19">
        <f t="shared" si="3"/>
        <v>-0.99167295665600164</v>
      </c>
    </row>
    <row r="18" spans="1:26" s="23" customFormat="1" hidden="1" outlineLevel="1" x14ac:dyDescent="0.25">
      <c r="A18" s="44"/>
      <c r="B18" s="10" t="str">
        <f>CONCATENATE("          ", "4151", " - ", "NON-TAXABLE SALES-FOOD")</f>
        <v xml:space="preserve">          4151 - NON-TAXABLE SALES-FOOD</v>
      </c>
      <c r="C18" s="10"/>
      <c r="D18" s="2">
        <f>--89340.04</f>
        <v>89340.04</v>
      </c>
      <c r="E18" s="2"/>
      <c r="F18" s="19"/>
      <c r="G18" s="2"/>
      <c r="H18" s="2">
        <f>--1060464.01</f>
        <v>1060464.01</v>
      </c>
      <c r="I18" s="2"/>
      <c r="J18" s="19"/>
      <c r="K18" s="2"/>
      <c r="L18" s="2">
        <f t="shared" si="0"/>
        <v>-971123.97</v>
      </c>
      <c r="M18" s="2"/>
      <c r="N18" s="19">
        <f t="shared" si="1"/>
        <v>-0.91575382176336184</v>
      </c>
      <c r="O18" s="10"/>
      <c r="P18" s="2">
        <f>--832309.85</f>
        <v>832309.85</v>
      </c>
      <c r="Q18" s="2"/>
      <c r="R18" s="19"/>
      <c r="S18" s="2"/>
      <c r="T18" s="2">
        <f>--10076312.49</f>
        <v>10076312.49</v>
      </c>
      <c r="U18" s="2"/>
      <c r="V18" s="19"/>
      <c r="W18" s="2"/>
      <c r="X18" s="2">
        <f t="shared" si="2"/>
        <v>-9244002.6400000006</v>
      </c>
      <c r="Y18" s="2"/>
      <c r="Z18" s="19">
        <f t="shared" si="3"/>
        <v>-0.91739936104343667</v>
      </c>
    </row>
    <row r="19" spans="1:26" s="23" customFormat="1" hidden="1" outlineLevel="1" x14ac:dyDescent="0.25">
      <c r="A19" s="44"/>
      <c r="B19" s="10" t="str">
        <f>CONCATENATE("          ", "4152", " - ", "NON-TAXABLE SALES-FOOD")</f>
        <v xml:space="preserve">          4152 - NON-TAXABLE SALES-FOOD</v>
      </c>
      <c r="C19" s="10"/>
      <c r="D19" s="2">
        <f>0</f>
        <v>0</v>
      </c>
      <c r="E19" s="2"/>
      <c r="F19" s="19"/>
      <c r="G19" s="2"/>
      <c r="H19" s="2">
        <f>--3688.2</f>
        <v>3688.2</v>
      </c>
      <c r="I19" s="2"/>
      <c r="J19" s="19"/>
      <c r="K19" s="2"/>
      <c r="L19" s="2">
        <f t="shared" si="0"/>
        <v>-3688.2</v>
      </c>
      <c r="M19" s="2"/>
      <c r="N19" s="19">
        <f t="shared" si="1"/>
        <v>-1</v>
      </c>
      <c r="O19" s="10"/>
      <c r="P19" s="2">
        <f>0</f>
        <v>0</v>
      </c>
      <c r="Q19" s="2"/>
      <c r="R19" s="19"/>
      <c r="S19" s="2"/>
      <c r="T19" s="2">
        <f>--51415.27</f>
        <v>51415.27</v>
      </c>
      <c r="U19" s="2"/>
      <c r="V19" s="19"/>
      <c r="W19" s="2"/>
      <c r="X19" s="2">
        <f t="shared" si="2"/>
        <v>-51415.27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"4153", " - ", "NON-TAXABLE SALES-FOOD")</f>
        <v xml:space="preserve">          4153 - NON-TAXABLE SALES-FOOD</v>
      </c>
      <c r="C20" s="10"/>
      <c r="D20" s="2">
        <f>--5170.79</f>
        <v>5170.79</v>
      </c>
      <c r="E20" s="2"/>
      <c r="F20" s="19"/>
      <c r="G20" s="2"/>
      <c r="H20" s="2">
        <f>--11350.59</f>
        <v>11350.59</v>
      </c>
      <c r="I20" s="2"/>
      <c r="J20" s="19"/>
      <c r="K20" s="2"/>
      <c r="L20" s="2">
        <f t="shared" si="0"/>
        <v>-6179.8</v>
      </c>
      <c r="M20" s="2"/>
      <c r="N20" s="19">
        <f t="shared" si="1"/>
        <v>-0.54444746925049714</v>
      </c>
      <c r="O20" s="10"/>
      <c r="P20" s="2">
        <f>--43005.36</f>
        <v>43005.36</v>
      </c>
      <c r="Q20" s="2"/>
      <c r="R20" s="19"/>
      <c r="S20" s="2"/>
      <c r="T20" s="2">
        <f>--300518.02</f>
        <v>300518.02</v>
      </c>
      <c r="U20" s="2"/>
      <c r="V20" s="19"/>
      <c r="W20" s="2"/>
      <c r="X20" s="2">
        <f t="shared" si="2"/>
        <v>-257512.66000000003</v>
      </c>
      <c r="Y20" s="2"/>
      <c r="Z20" s="19">
        <f t="shared" si="3"/>
        <v>-0.85689590261509119</v>
      </c>
    </row>
    <row r="21" spans="1:26" s="23" customFormat="1" hidden="1" outlineLevel="1" x14ac:dyDescent="0.25">
      <c r="A21" s="44"/>
      <c r="B21" s="10" t="str">
        <f>CONCATENATE("          ", "4155", " - ", "NON-TAXABLE SALES-FOOD")</f>
        <v xml:space="preserve">          4155 - NON-TAXABLE SALES-FOOD</v>
      </c>
      <c r="C21" s="10"/>
      <c r="D21" s="2">
        <f t="shared" ref="D21:D22" si="5">0</f>
        <v>0</v>
      </c>
      <c r="E21" s="2"/>
      <c r="F21" s="19"/>
      <c r="G21" s="2"/>
      <c r="H21" s="2">
        <f>--43938.14</f>
        <v>43938.14</v>
      </c>
      <c r="I21" s="2"/>
      <c r="J21" s="19"/>
      <c r="K21" s="2"/>
      <c r="L21" s="2">
        <f t="shared" si="0"/>
        <v>-43938.14</v>
      </c>
      <c r="M21" s="2"/>
      <c r="N21" s="19">
        <f t="shared" si="1"/>
        <v>-1</v>
      </c>
      <c r="O21" s="10"/>
      <c r="P21" s="2">
        <f t="shared" ref="P21:P22" si="6">0</f>
        <v>0</v>
      </c>
      <c r="Q21" s="2"/>
      <c r="R21" s="19"/>
      <c r="S21" s="2"/>
      <c r="T21" s="2">
        <f>--691123.63</f>
        <v>691123.63</v>
      </c>
      <c r="U21" s="2"/>
      <c r="V21" s="19"/>
      <c r="W21" s="2"/>
      <c r="X21" s="2">
        <f t="shared" si="2"/>
        <v>-691123.63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"4158", " - ", "NON-TAXABLE SALES-FOOD")</f>
        <v xml:space="preserve">          4158 - NON-TAXABLE SALES-FOOD</v>
      </c>
      <c r="C22" s="10"/>
      <c r="D22" s="2">
        <f t="shared" si="5"/>
        <v>0</v>
      </c>
      <c r="E22" s="2"/>
      <c r="F22" s="19"/>
      <c r="G22" s="2"/>
      <c r="H22" s="2">
        <f>--33459.89</f>
        <v>33459.89</v>
      </c>
      <c r="I22" s="2"/>
      <c r="J22" s="19"/>
      <c r="K22" s="2"/>
      <c r="L22" s="2">
        <f t="shared" si="0"/>
        <v>-33459.89</v>
      </c>
      <c r="M22" s="2"/>
      <c r="N22" s="19">
        <f t="shared" si="1"/>
        <v>-1</v>
      </c>
      <c r="O22" s="10"/>
      <c r="P22" s="2">
        <f t="shared" si="6"/>
        <v>0</v>
      </c>
      <c r="Q22" s="2"/>
      <c r="R22" s="19"/>
      <c r="S22" s="2"/>
      <c r="T22" s="2">
        <f>--474853.67</f>
        <v>474853.67</v>
      </c>
      <c r="U22" s="2"/>
      <c r="V22" s="19"/>
      <c r="W22" s="2"/>
      <c r="X22" s="2">
        <f t="shared" si="2"/>
        <v>-474853.67</v>
      </c>
      <c r="Y22" s="2"/>
      <c r="Z22" s="19">
        <f t="shared" si="3"/>
        <v>-1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collapsed="1" x14ac:dyDescent="0.25">
      <c r="A24" s="11"/>
      <c r="B24" s="28" t="s">
        <v>256</v>
      </c>
      <c r="C24" s="11"/>
      <c r="D24" s="4">
        <f>SUM(OSRRefD16x_0)</f>
        <v>37683.75</v>
      </c>
      <c r="E24" s="4"/>
      <c r="F24" s="13">
        <f t="shared" ref="F24:F26" si="7">IF(D$12=0,0,D24/D$12)</f>
        <v>0.25280718534256019</v>
      </c>
      <c r="G24" s="4"/>
      <c r="H24" s="4">
        <f>SUM(OSRRefH16x_0)</f>
        <v>326274.43</v>
      </c>
      <c r="I24" s="4"/>
      <c r="J24" s="13">
        <f t="shared" ref="J24:J26" si="8">IF(H$12=0,0,H24/H$12)</f>
        <v>0.25196931614979529</v>
      </c>
      <c r="K24" s="4"/>
      <c r="L24" s="4">
        <f t="shared" ref="L24:L26" si="9">+D24-H24</f>
        <v>-288590.68</v>
      </c>
      <c r="M24" s="4"/>
      <c r="N24" s="13">
        <f t="shared" ref="N24:N26" si="10">IF(H24=0,0,L24/H24)</f>
        <v>-0.88450290143790922</v>
      </c>
      <c r="O24" s="11"/>
      <c r="P24" s="4">
        <f>SUM(OSRRefP16x_0)</f>
        <v>378627.32</v>
      </c>
      <c r="Q24" s="4"/>
      <c r="R24" s="13">
        <f t="shared" ref="R24:R26" si="11">IF(P$12=0,0,P24/P$12)</f>
        <v>0.30664960232659794</v>
      </c>
      <c r="S24" s="4"/>
      <c r="T24" s="4">
        <f>SUM(OSRRefT16x_0)</f>
        <v>3706559.85</v>
      </c>
      <c r="U24" s="4"/>
      <c r="V24" s="13">
        <f t="shared" ref="V24:V26" si="12">IF(T$12=0,0,T24/T$12)</f>
        <v>0.27124901729527817</v>
      </c>
      <c r="W24" s="4"/>
      <c r="X24" s="4">
        <f t="shared" ref="X24:X26" si="13">+P24-T24</f>
        <v>-3327932.5300000003</v>
      </c>
      <c r="Y24" s="4"/>
      <c r="Z24" s="13">
        <f t="shared" ref="Z24:Z26" si="14">IF(T24=0,0,X24/T24)</f>
        <v>-0.89784939800715757</v>
      </c>
    </row>
    <row r="25" spans="1:26" s="23" customFormat="1" hidden="1" outlineLevel="1" x14ac:dyDescent="0.25">
      <c r="A25" s="44"/>
      <c r="B25" s="10" t="str">
        <f>CONCATENATE("          ", "5053", " - ", "PURCHASES @ COST-FOOD")</f>
        <v xml:space="preserve">          5053 - PURCHASES @ COST-FOOD</v>
      </c>
      <c r="C25" s="10"/>
      <c r="D25" s="2">
        <v>32547.75</v>
      </c>
      <c r="E25" s="2"/>
      <c r="F25" s="19">
        <f t="shared" si="7"/>
        <v>0.21835154587145161</v>
      </c>
      <c r="G25" s="2"/>
      <c r="H25" s="2">
        <v>282468.43</v>
      </c>
      <c r="I25" s="2"/>
      <c r="J25" s="19">
        <f t="shared" si="8"/>
        <v>0.21813961069828952</v>
      </c>
      <c r="K25" s="2"/>
      <c r="L25" s="2">
        <f t="shared" si="9"/>
        <v>-249920.68</v>
      </c>
      <c r="M25" s="2"/>
      <c r="N25" s="19">
        <f t="shared" si="10"/>
        <v>-0.88477384888640476</v>
      </c>
      <c r="O25" s="10"/>
      <c r="P25" s="2">
        <v>377651.94</v>
      </c>
      <c r="Q25" s="2"/>
      <c r="R25" s="19">
        <f t="shared" si="11"/>
        <v>0.30585964377548935</v>
      </c>
      <c r="S25" s="2"/>
      <c r="T25" s="2">
        <v>3729325.12</v>
      </c>
      <c r="U25" s="2"/>
      <c r="V25" s="19">
        <f t="shared" si="12"/>
        <v>0.27291499797975616</v>
      </c>
      <c r="W25" s="2"/>
      <c r="X25" s="2">
        <f t="shared" si="13"/>
        <v>-3351673.18</v>
      </c>
      <c r="Y25" s="2"/>
      <c r="Z25" s="19">
        <f t="shared" si="14"/>
        <v>-0.8987345088325257</v>
      </c>
    </row>
    <row r="26" spans="1:26" s="23" customFormat="1" hidden="1" outlineLevel="1" x14ac:dyDescent="0.25">
      <c r="A26" s="44"/>
      <c r="B26" s="10" t="str">
        <f>CONCATENATE("          ", "5059", " - ", "PURCHASES @ COST-FOOD")</f>
        <v xml:space="preserve">          5059 - PURCHASES @ COST-FOOD</v>
      </c>
      <c r="C26" s="10"/>
      <c r="D26" s="2">
        <v>5136</v>
      </c>
      <c r="E26" s="2"/>
      <c r="F26" s="19">
        <f t="shared" si="7"/>
        <v>3.4455639471108614E-2</v>
      </c>
      <c r="G26" s="2"/>
      <c r="H26" s="2">
        <v>43806</v>
      </c>
      <c r="I26" s="2"/>
      <c r="J26" s="19">
        <f t="shared" si="8"/>
        <v>3.3829705451505751E-2</v>
      </c>
      <c r="K26" s="2"/>
      <c r="L26" s="2">
        <f t="shared" si="9"/>
        <v>-38670</v>
      </c>
      <c r="M26" s="2"/>
      <c r="N26" s="19">
        <f t="shared" si="10"/>
        <v>-0.88275578687850975</v>
      </c>
      <c r="O26" s="10"/>
      <c r="P26" s="2">
        <v>975.38</v>
      </c>
      <c r="Q26" s="2"/>
      <c r="R26" s="19">
        <f t="shared" si="11"/>
        <v>7.8995855110855994E-4</v>
      </c>
      <c r="S26" s="2"/>
      <c r="T26" s="2">
        <v>-22765.27</v>
      </c>
      <c r="U26" s="2"/>
      <c r="V26" s="19">
        <f t="shared" si="12"/>
        <v>-1.665980684478001E-3</v>
      </c>
      <c r="W26" s="2"/>
      <c r="X26" s="2">
        <f t="shared" si="13"/>
        <v>23740.65</v>
      </c>
      <c r="Y26" s="2"/>
      <c r="Z26" s="19">
        <f t="shared" si="14"/>
        <v>-1.042845088154017</v>
      </c>
    </row>
    <row r="27" spans="1:26" x14ac:dyDescent="0.25">
      <c r="A27" s="9"/>
      <c r="B27" s="11"/>
      <c r="C27" s="11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1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11"/>
      <c r="B28" s="29" t="s">
        <v>107</v>
      </c>
      <c r="C28" s="29"/>
      <c r="D28" s="22">
        <f>D12-D24</f>
        <v>111377.48000000001</v>
      </c>
      <c r="E28" s="14"/>
      <c r="F28" s="20">
        <f>IF(D$12=0,0,D28/D$12)</f>
        <v>0.74719281465743981</v>
      </c>
      <c r="G28" s="14"/>
      <c r="H28" s="22">
        <f>H12-H24</f>
        <v>968623.0399999998</v>
      </c>
      <c r="I28" s="14"/>
      <c r="J28" s="20">
        <f>IF(H$12=0,0,H28/H$12)</f>
        <v>0.74803068385020477</v>
      </c>
      <c r="K28" s="15"/>
      <c r="L28" s="22">
        <f>+D28-H28</f>
        <v>-857245.55999999982</v>
      </c>
      <c r="M28" s="15"/>
      <c r="N28" s="20">
        <f>IF(H28=0,0,L28/H28)</f>
        <v>-0.88501462860102931</v>
      </c>
      <c r="O28" s="28"/>
      <c r="P28" s="22">
        <f>P12-P24</f>
        <v>856095.69</v>
      </c>
      <c r="Q28" s="14"/>
      <c r="R28" s="20">
        <f>IF(P$12=0,0,P28/P$12)</f>
        <v>0.69335039767340201</v>
      </c>
      <c r="S28" s="14"/>
      <c r="T28" s="22">
        <f>T12-T24</f>
        <v>9958226.4300000016</v>
      </c>
      <c r="U28" s="14"/>
      <c r="V28" s="20">
        <f>IF(T$12=0,0,T28/T$12)</f>
        <v>0.72875098270472183</v>
      </c>
      <c r="W28" s="15"/>
      <c r="X28" s="22">
        <f>+P28-T28</f>
        <v>-9102130.7400000021</v>
      </c>
      <c r="Y28" s="15"/>
      <c r="Z28" s="20">
        <f>IF(T28=0,0,X28/T28)</f>
        <v>-0.91403130908723484</v>
      </c>
    </row>
    <row r="29" spans="1:26" x14ac:dyDescent="0.25">
      <c r="A29" s="9"/>
      <c r="B29" s="11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4" customFormat="1" x14ac:dyDescent="0.25">
      <c r="A30" s="11"/>
      <c r="B30" s="28" t="s">
        <v>294</v>
      </c>
      <c r="C30" s="11"/>
      <c r="D30" s="21">
        <f>SUM(OSRRefD22x_0)</f>
        <v>322124.89999999991</v>
      </c>
      <c r="E30" s="21"/>
      <c r="F30" s="31">
        <f t="shared" ref="F30:F40" si="15">IF(D$12=0,0,D30/D$12)</f>
        <v>2.1610240301921557</v>
      </c>
      <c r="G30" s="21"/>
      <c r="H30" s="21">
        <f>SUM(OSRRefH22x_0)</f>
        <v>1121061.6700000004</v>
      </c>
      <c r="I30" s="21"/>
      <c r="J30" s="31">
        <f t="shared" ref="J30:J40" si="16">IF(H$12=0,0,H30/H$12)</f>
        <v>0.86575323218447608</v>
      </c>
      <c r="K30" s="4"/>
      <c r="L30" s="21">
        <f t="shared" ref="L30:L40" si="17">+D30-H30</f>
        <v>-798936.77000000048</v>
      </c>
      <c r="M30" s="4"/>
      <c r="N30" s="31">
        <f t="shared" ref="N30:N40" si="18">IF(H30=0,0,L30/H30)</f>
        <v>-0.7126608565610848</v>
      </c>
      <c r="O30" s="11"/>
      <c r="P30" s="21">
        <f>SUM(OSRRefP22x_0)</f>
        <v>3013750.7399999998</v>
      </c>
      <c r="Q30" s="21"/>
      <c r="R30" s="31">
        <f t="shared" ref="R30:R40" si="19">IF(P$12=0,0,P30/P$12)</f>
        <v>2.4408314379757123</v>
      </c>
      <c r="S30" s="21"/>
      <c r="T30" s="21">
        <f>SUM(OSRRefT22x_0)</f>
        <v>8998912.1000000015</v>
      </c>
      <c r="U30" s="21"/>
      <c r="V30" s="31">
        <f t="shared" ref="V30:V40" si="20">IF(T$12=0,0,T30/T$12)</f>
        <v>0.65854759200814961</v>
      </c>
      <c r="W30" s="4"/>
      <c r="X30" s="21">
        <f t="shared" ref="X30:X40" si="21">+P30-T30</f>
        <v>-5985161.3600000013</v>
      </c>
      <c r="Y30" s="4"/>
      <c r="Z30" s="31">
        <f t="shared" ref="Z30:Z40" si="22">IF(T30=0,0,X30/T30)</f>
        <v>-0.66509832449635775</v>
      </c>
    </row>
    <row r="31" spans="1:26" s="26" customFormat="1" outlineLevel="1" collapsed="1" x14ac:dyDescent="0.25">
      <c r="A31" s="27"/>
      <c r="B31" s="12" t="str">
        <f>CONCATENATE("     ","*Benefits                                         ")</f>
        <v xml:space="preserve">     *Benefits                                         </v>
      </c>
      <c r="C31" s="12"/>
      <c r="D31" s="1">
        <f>SUM(OSRRefD22_0x_0)</f>
        <v>93868.53</v>
      </c>
      <c r="E31" s="1"/>
      <c r="F31" s="5">
        <f t="shared" si="15"/>
        <v>0.62973135267970082</v>
      </c>
      <c r="G31" s="1"/>
      <c r="H31" s="1">
        <f>SUM(OSRRefH22_0x_0)</f>
        <v>182976.68000000005</v>
      </c>
      <c r="I31" s="1"/>
      <c r="J31" s="5">
        <f t="shared" si="16"/>
        <v>0.14130592130973899</v>
      </c>
      <c r="K31" s="1"/>
      <c r="L31" s="1">
        <f t="shared" si="17"/>
        <v>-89108.150000000052</v>
      </c>
      <c r="M31" s="1"/>
      <c r="N31" s="5">
        <f t="shared" si="18"/>
        <v>-0.4869918396158463</v>
      </c>
      <c r="O31" s="12"/>
      <c r="P31" s="1">
        <f>SUM(OSRRefP22_0x_0)</f>
        <v>877216.54999999993</v>
      </c>
      <c r="Q31" s="1"/>
      <c r="R31" s="5">
        <f t="shared" si="19"/>
        <v>0.71045614513979127</v>
      </c>
      <c r="S31" s="1"/>
      <c r="T31" s="1">
        <f>SUM(OSRRefT22_0x_0)</f>
        <v>1493396.4100000004</v>
      </c>
      <c r="U31" s="1"/>
      <c r="V31" s="5">
        <f t="shared" si="20"/>
        <v>0.10928794489715211</v>
      </c>
      <c r="W31" s="1"/>
      <c r="X31" s="1">
        <f t="shared" si="21"/>
        <v>-616179.86000000045</v>
      </c>
      <c r="Y31" s="1"/>
      <c r="Z31" s="5">
        <f t="shared" si="22"/>
        <v>-0.41260301409188488</v>
      </c>
    </row>
    <row r="32" spans="1:26" s="23" customFormat="1" hidden="1" outlineLevel="2" x14ac:dyDescent="0.25">
      <c r="A32" s="25"/>
      <c r="B32" s="10" t="str">
        <f>CONCATENATE("          ", "6111", " - ", "F.I.C.A.")</f>
        <v xml:space="preserve">          6111 - F.I.C.A.</v>
      </c>
      <c r="C32" s="10"/>
      <c r="D32" s="6">
        <v>9770.2999999999993</v>
      </c>
      <c r="E32" s="2"/>
      <c r="F32" s="7">
        <f t="shared" si="15"/>
        <v>6.5545547960391831E-2</v>
      </c>
      <c r="G32" s="2"/>
      <c r="H32" s="6">
        <v>39992.699999999997</v>
      </c>
      <c r="I32" s="2"/>
      <c r="J32" s="7">
        <f t="shared" si="16"/>
        <v>3.0884839090773733E-2</v>
      </c>
      <c r="K32" s="2"/>
      <c r="L32" s="6">
        <f t="shared" si="17"/>
        <v>-30222.399999999998</v>
      </c>
      <c r="M32" s="2"/>
      <c r="N32" s="7">
        <f t="shared" si="18"/>
        <v>-0.75569791486946369</v>
      </c>
      <c r="O32" s="10"/>
      <c r="P32" s="6">
        <v>93231.7</v>
      </c>
      <c r="Q32" s="2"/>
      <c r="R32" s="7">
        <f t="shared" si="19"/>
        <v>7.5508190294436964E-2</v>
      </c>
      <c r="S32" s="2"/>
      <c r="T32" s="6">
        <v>252903.9</v>
      </c>
      <c r="U32" s="2"/>
      <c r="V32" s="7">
        <f t="shared" si="20"/>
        <v>1.8507709876893881E-2</v>
      </c>
      <c r="W32" s="2"/>
      <c r="X32" s="6">
        <f t="shared" si="21"/>
        <v>-159672.20000000001</v>
      </c>
      <c r="Y32" s="2"/>
      <c r="Z32" s="7">
        <f t="shared" si="22"/>
        <v>-0.6313552301882257</v>
      </c>
    </row>
    <row r="33" spans="1:26" s="23" customFormat="1" hidden="1" outlineLevel="2" x14ac:dyDescent="0.25">
      <c r="A33" s="25"/>
      <c r="B33" s="10" t="str">
        <f>CONCATENATE("          ", "6112", " - ", "COMPENSATION INSURANCE")</f>
        <v xml:space="preserve">          6112 - COMPENSATION INSURANCE</v>
      </c>
      <c r="C33" s="10"/>
      <c r="D33" s="6">
        <v>5262.93</v>
      </c>
      <c r="E33" s="2"/>
      <c r="F33" s="7">
        <f t="shared" si="15"/>
        <v>3.5307168738645187E-2</v>
      </c>
      <c r="G33" s="2"/>
      <c r="H33" s="6">
        <v>30568.22</v>
      </c>
      <c r="I33" s="2"/>
      <c r="J33" s="7">
        <f t="shared" si="16"/>
        <v>2.3606672117445722E-2</v>
      </c>
      <c r="K33" s="2"/>
      <c r="L33" s="6">
        <f t="shared" si="17"/>
        <v>-25305.29</v>
      </c>
      <c r="M33" s="2"/>
      <c r="N33" s="7">
        <f t="shared" si="18"/>
        <v>-0.8278300143089784</v>
      </c>
      <c r="O33" s="10"/>
      <c r="P33" s="6">
        <v>50750.03</v>
      </c>
      <c r="Q33" s="2"/>
      <c r="R33" s="7">
        <f t="shared" si="19"/>
        <v>4.110236027754921E-2</v>
      </c>
      <c r="S33" s="2"/>
      <c r="T33" s="6">
        <v>151308.89000000001</v>
      </c>
      <c r="U33" s="2"/>
      <c r="V33" s="7">
        <f t="shared" si="20"/>
        <v>1.1072905708116206E-2</v>
      </c>
      <c r="W33" s="2"/>
      <c r="X33" s="6">
        <f t="shared" si="21"/>
        <v>-100558.86000000002</v>
      </c>
      <c r="Y33" s="2"/>
      <c r="Z33" s="7">
        <f t="shared" si="22"/>
        <v>-0.66459320400803945</v>
      </c>
    </row>
    <row r="34" spans="1:26" s="23" customFormat="1" hidden="1" outlineLevel="2" x14ac:dyDescent="0.25">
      <c r="A34" s="25"/>
      <c r="B34" s="10" t="str">
        <f>CONCATENATE("          ", "6113", " - ", "GROUP INSURANCE")</f>
        <v xml:space="preserve">          6113 - GROUP INSURANCE</v>
      </c>
      <c r="C34" s="10"/>
      <c r="D34" s="6">
        <v>53968.59</v>
      </c>
      <c r="E34" s="2"/>
      <c r="F34" s="7">
        <f t="shared" si="15"/>
        <v>0.36205651865344191</v>
      </c>
      <c r="G34" s="2"/>
      <c r="H34" s="6">
        <v>80944.639999999999</v>
      </c>
      <c r="I34" s="2"/>
      <c r="J34" s="7">
        <f t="shared" si="16"/>
        <v>6.25104627009581E-2</v>
      </c>
      <c r="K34" s="2"/>
      <c r="L34" s="6">
        <f t="shared" si="17"/>
        <v>-26976.050000000003</v>
      </c>
      <c r="M34" s="2"/>
      <c r="N34" s="7">
        <f t="shared" si="18"/>
        <v>-0.33326542683987481</v>
      </c>
      <c r="O34" s="10"/>
      <c r="P34" s="6">
        <v>490429.53</v>
      </c>
      <c r="Q34" s="2"/>
      <c r="R34" s="7">
        <f t="shared" si="19"/>
        <v>0.39719801609593397</v>
      </c>
      <c r="S34" s="2"/>
      <c r="T34" s="6">
        <v>641342.78</v>
      </c>
      <c r="U34" s="2"/>
      <c r="V34" s="7">
        <f t="shared" si="20"/>
        <v>4.6933978099509652E-2</v>
      </c>
      <c r="W34" s="2"/>
      <c r="X34" s="6">
        <f t="shared" si="21"/>
        <v>-150913.25</v>
      </c>
      <c r="Y34" s="2"/>
      <c r="Z34" s="7">
        <f t="shared" si="22"/>
        <v>-0.23530825434723066</v>
      </c>
    </row>
    <row r="35" spans="1:26" s="23" customFormat="1" hidden="1" outlineLevel="2" x14ac:dyDescent="0.25">
      <c r="A35" s="25"/>
      <c r="B35" s="10" t="str">
        <f>CONCATENATE("          ", "6114", " - ", "STATE UNEMPLOYMENT INSURANCE")</f>
        <v xml:space="preserve">          6114 - STATE UNEMPLOYMENT INSURANCE</v>
      </c>
      <c r="C35" s="10"/>
      <c r="D35" s="6">
        <v>364.7</v>
      </c>
      <c r="E35" s="2"/>
      <c r="F35" s="7">
        <f t="shared" si="15"/>
        <v>2.4466455831606915E-3</v>
      </c>
      <c r="G35" s="2"/>
      <c r="H35" s="6">
        <v>2119.17</v>
      </c>
      <c r="I35" s="2"/>
      <c r="J35" s="7">
        <f t="shared" si="16"/>
        <v>1.6365542825564408E-3</v>
      </c>
      <c r="K35" s="2"/>
      <c r="L35" s="6">
        <f t="shared" si="17"/>
        <v>-1754.47</v>
      </c>
      <c r="M35" s="2"/>
      <c r="N35" s="7">
        <f t="shared" si="18"/>
        <v>-0.82790432103134715</v>
      </c>
      <c r="O35" s="10"/>
      <c r="P35" s="6">
        <v>3608.82</v>
      </c>
      <c r="Q35" s="2"/>
      <c r="R35" s="7">
        <f t="shared" si="19"/>
        <v>2.9227769878525226E-3</v>
      </c>
      <c r="S35" s="2"/>
      <c r="T35" s="6">
        <v>12427.35</v>
      </c>
      <c r="U35" s="2"/>
      <c r="V35" s="7">
        <f t="shared" si="20"/>
        <v>9.0944342233795987E-4</v>
      </c>
      <c r="W35" s="2"/>
      <c r="X35" s="6">
        <f t="shared" si="21"/>
        <v>-8818.5300000000007</v>
      </c>
      <c r="Y35" s="2"/>
      <c r="Z35" s="7">
        <f t="shared" si="22"/>
        <v>-0.70960663375538635</v>
      </c>
    </row>
    <row r="36" spans="1:26" s="23" customFormat="1" hidden="1" outlineLevel="2" x14ac:dyDescent="0.25">
      <c r="A36" s="25"/>
      <c r="B36" s="10" t="str">
        <f>CONCATENATE("          ", "6115", " - ", "P.E.R.S.")</f>
        <v xml:space="preserve">          6115 - P.E.R.S.</v>
      </c>
      <c r="C36" s="10"/>
      <c r="D36" s="6">
        <v>6377.95</v>
      </c>
      <c r="E36" s="2"/>
      <c r="F36" s="7">
        <f t="shared" si="15"/>
        <v>4.2787450499368614E-2</v>
      </c>
      <c r="G36" s="2"/>
      <c r="H36" s="6">
        <v>12389.57</v>
      </c>
      <c r="I36" s="2"/>
      <c r="J36" s="7">
        <f t="shared" si="16"/>
        <v>9.5679930550794899E-3</v>
      </c>
      <c r="K36" s="2"/>
      <c r="L36" s="6">
        <f t="shared" si="17"/>
        <v>-6011.62</v>
      </c>
      <c r="M36" s="2"/>
      <c r="N36" s="7">
        <f t="shared" si="18"/>
        <v>-0.48521619394377691</v>
      </c>
      <c r="O36" s="10"/>
      <c r="P36" s="6">
        <v>65854.48</v>
      </c>
      <c r="Q36" s="2"/>
      <c r="R36" s="7">
        <f t="shared" si="19"/>
        <v>5.3335427838183722E-2</v>
      </c>
      <c r="S36" s="2"/>
      <c r="T36" s="6">
        <v>107755.98</v>
      </c>
      <c r="U36" s="2"/>
      <c r="V36" s="7">
        <f t="shared" si="20"/>
        <v>7.8856688858510264E-3</v>
      </c>
      <c r="W36" s="2"/>
      <c r="X36" s="6">
        <f t="shared" si="21"/>
        <v>-41901.5</v>
      </c>
      <c r="Y36" s="2"/>
      <c r="Z36" s="7">
        <f t="shared" si="22"/>
        <v>-0.38885544913609438</v>
      </c>
    </row>
    <row r="37" spans="1:26" s="23" customFormat="1" hidden="1" outlineLevel="2" x14ac:dyDescent="0.25">
      <c r="A37" s="25"/>
      <c r="B37" s="10" t="str">
        <f>CONCATENATE("          ", "6117", " - ", "RETIREMENT STAFF HOURLY")</f>
        <v xml:space="preserve">          6117 - RETIREMENT STAFF HOURLY</v>
      </c>
      <c r="C37" s="10"/>
      <c r="D37" s="6">
        <v>2091.52</v>
      </c>
      <c r="E37" s="2"/>
      <c r="F37" s="7">
        <f t="shared" si="15"/>
        <v>1.4031280970913764E-2</v>
      </c>
      <c r="G37" s="2"/>
      <c r="H37" s="6">
        <v>1047.5999999999999</v>
      </c>
      <c r="I37" s="2"/>
      <c r="J37" s="7">
        <f t="shared" si="16"/>
        <v>8.0902158222612033E-4</v>
      </c>
      <c r="K37" s="2"/>
      <c r="L37" s="6">
        <f t="shared" si="17"/>
        <v>1043.92</v>
      </c>
      <c r="M37" s="2"/>
      <c r="N37" s="7">
        <f t="shared" si="18"/>
        <v>0.99648720885834308</v>
      </c>
      <c r="O37" s="10"/>
      <c r="P37" s="6">
        <v>13993.92</v>
      </c>
      <c r="Q37" s="2"/>
      <c r="R37" s="7">
        <f t="shared" si="19"/>
        <v>1.1333651261589431E-2</v>
      </c>
      <c r="S37" s="2"/>
      <c r="T37" s="6">
        <v>15378.84</v>
      </c>
      <c r="U37" s="2"/>
      <c r="V37" s="7">
        <f t="shared" si="20"/>
        <v>1.125435823501222E-3</v>
      </c>
      <c r="W37" s="2"/>
      <c r="X37" s="6">
        <f t="shared" si="21"/>
        <v>-1384.92</v>
      </c>
      <c r="Y37" s="2"/>
      <c r="Z37" s="7">
        <f t="shared" si="22"/>
        <v>-9.0053606123738861E-2</v>
      </c>
    </row>
    <row r="38" spans="1:26" s="23" customFormat="1" hidden="1" outlineLevel="2" x14ac:dyDescent="0.25">
      <c r="A38" s="25"/>
      <c r="B38" s="10" t="str">
        <f>CONCATENATE("          ", "6118", " - ", "VACATION")</f>
        <v xml:space="preserve">          6118 - VACATION</v>
      </c>
      <c r="C38" s="10"/>
      <c r="D38" s="6">
        <v>7946.2</v>
      </c>
      <c r="E38" s="2"/>
      <c r="F38" s="7">
        <f t="shared" si="15"/>
        <v>5.3308294853061385E-2</v>
      </c>
      <c r="G38" s="2"/>
      <c r="H38" s="6">
        <v>19429.57</v>
      </c>
      <c r="I38" s="2"/>
      <c r="J38" s="7">
        <f t="shared" si="16"/>
        <v>1.5004716937164148E-2</v>
      </c>
      <c r="K38" s="2"/>
      <c r="L38" s="6">
        <f t="shared" si="17"/>
        <v>-11483.369999999999</v>
      </c>
      <c r="M38" s="2"/>
      <c r="N38" s="7">
        <f t="shared" si="18"/>
        <v>-0.59102543185464218</v>
      </c>
      <c r="O38" s="10"/>
      <c r="P38" s="6">
        <v>81372.81</v>
      </c>
      <c r="Q38" s="2"/>
      <c r="R38" s="7">
        <f t="shared" si="19"/>
        <v>6.5903696084840924E-2</v>
      </c>
      <c r="S38" s="2"/>
      <c r="T38" s="6">
        <v>146909.53</v>
      </c>
      <c r="U38" s="2"/>
      <c r="V38" s="7">
        <f t="shared" si="20"/>
        <v>1.0750957021188039E-2</v>
      </c>
      <c r="W38" s="2"/>
      <c r="X38" s="6">
        <f t="shared" si="21"/>
        <v>-65536.72</v>
      </c>
      <c r="Y38" s="2"/>
      <c r="Z38" s="7">
        <f t="shared" si="22"/>
        <v>-0.4461025775523208</v>
      </c>
    </row>
    <row r="39" spans="1:26" s="23" customFormat="1" hidden="1" outlineLevel="2" x14ac:dyDescent="0.25">
      <c r="A39" s="25"/>
      <c r="B39" s="10" t="str">
        <f>CONCATENATE("          ", "6119", " - ", "SICK LEAVE")</f>
        <v xml:space="preserve">          6119 - SICK LEAVE</v>
      </c>
      <c r="C39" s="10"/>
      <c r="D39" s="6">
        <v>5594.46</v>
      </c>
      <c r="E39" s="2"/>
      <c r="F39" s="7">
        <f t="shared" si="15"/>
        <v>3.7531288316888296E-2</v>
      </c>
      <c r="G39" s="2"/>
      <c r="H39" s="6">
        <v>-8938.27</v>
      </c>
      <c r="I39" s="2"/>
      <c r="J39" s="7">
        <f t="shared" si="16"/>
        <v>-6.9026855076023911E-3</v>
      </c>
      <c r="K39" s="2"/>
      <c r="L39" s="6">
        <f t="shared" si="17"/>
        <v>14532.73</v>
      </c>
      <c r="M39" s="2"/>
      <c r="N39" s="7">
        <f t="shared" si="18"/>
        <v>-1.6258996427720351</v>
      </c>
      <c r="O39" s="10"/>
      <c r="P39" s="6">
        <v>52744.44</v>
      </c>
      <c r="Q39" s="2"/>
      <c r="R39" s="7">
        <f t="shared" si="19"/>
        <v>4.2717629438200885E-2</v>
      </c>
      <c r="S39" s="2"/>
      <c r="T39" s="6">
        <v>105827.28</v>
      </c>
      <c r="U39" s="2"/>
      <c r="V39" s="7">
        <f t="shared" si="20"/>
        <v>7.7445250757335656E-3</v>
      </c>
      <c r="W39" s="2"/>
      <c r="X39" s="6">
        <f t="shared" si="21"/>
        <v>-53082.84</v>
      </c>
      <c r="Y39" s="2"/>
      <c r="Z39" s="7">
        <f t="shared" si="22"/>
        <v>-0.50159883160561247</v>
      </c>
    </row>
    <row r="40" spans="1:26" s="23" customFormat="1" hidden="1" outlineLevel="2" x14ac:dyDescent="0.25">
      <c r="A40" s="25"/>
      <c r="B40" s="10" t="str">
        <f>CONCATENATE("          ", "6156", " - ", "EMPLOYEE MEALS")</f>
        <v xml:space="preserve">          6156 - EMPLOYEE MEALS</v>
      </c>
      <c r="C40" s="10"/>
      <c r="D40" s="6">
        <v>2491.88</v>
      </c>
      <c r="E40" s="2"/>
      <c r="F40" s="7">
        <f t="shared" si="15"/>
        <v>1.6717157103829077E-2</v>
      </c>
      <c r="G40" s="2"/>
      <c r="H40" s="6">
        <v>5423.48</v>
      </c>
      <c r="I40" s="2"/>
      <c r="J40" s="7">
        <f t="shared" si="16"/>
        <v>4.1883470511375701E-3</v>
      </c>
      <c r="K40" s="2"/>
      <c r="L40" s="6">
        <f t="shared" si="17"/>
        <v>-2931.5999999999995</v>
      </c>
      <c r="M40" s="2"/>
      <c r="N40" s="7">
        <f t="shared" si="18"/>
        <v>-0.54053854720585304</v>
      </c>
      <c r="O40" s="10"/>
      <c r="P40" s="6">
        <v>25230.82</v>
      </c>
      <c r="Q40" s="2"/>
      <c r="R40" s="7">
        <f t="shared" si="19"/>
        <v>2.0434396861203713E-2</v>
      </c>
      <c r="S40" s="2"/>
      <c r="T40" s="6">
        <v>59541.86</v>
      </c>
      <c r="U40" s="2"/>
      <c r="V40" s="7">
        <f t="shared" si="20"/>
        <v>4.3573209840205417E-3</v>
      </c>
      <c r="W40" s="2"/>
      <c r="X40" s="6">
        <f t="shared" si="21"/>
        <v>-34311.040000000001</v>
      </c>
      <c r="Y40" s="2"/>
      <c r="Z40" s="7">
        <f t="shared" si="22"/>
        <v>-0.57625072512010878</v>
      </c>
    </row>
    <row r="41" spans="1:26" s="26" customFormat="1" outlineLevel="1" collapsed="1" x14ac:dyDescent="0.25">
      <c r="A41" s="27"/>
      <c r="B41" s="12" t="str">
        <f>CONCATENATE("     ","*Payroll                                          ")</f>
        <v xml:space="preserve">     *Payroll                                          </v>
      </c>
      <c r="C41" s="12"/>
      <c r="D41" s="1">
        <f>SUM(OSRRefD22_1x_0)</f>
        <v>133404.63</v>
      </c>
      <c r="E41" s="1"/>
      <c r="F41" s="5">
        <f t="shared" ref="F41:F48" si="23">IF(D$12=0,0,D41/D$12)</f>
        <v>0.89496531056398765</v>
      </c>
      <c r="G41" s="1"/>
      <c r="H41" s="1">
        <f>SUM(OSRRefH22_1x_0)</f>
        <v>642436.32000000007</v>
      </c>
      <c r="I41" s="1"/>
      <c r="J41" s="5">
        <f t="shared" ref="J41:J48" si="24">IF(H$12=0,0,H41/H$12)</f>
        <v>0.49612910279298034</v>
      </c>
      <c r="K41" s="1"/>
      <c r="L41" s="1">
        <f t="shared" ref="L41:L48" si="25">+D41-H41</f>
        <v>-509031.69000000006</v>
      </c>
      <c r="M41" s="1"/>
      <c r="N41" s="5">
        <f t="shared" ref="N41:N48" si="26">IF(H41=0,0,L41/H41)</f>
        <v>-0.7923457534281374</v>
      </c>
      <c r="O41" s="12"/>
      <c r="P41" s="1">
        <f>SUM(OSRRefP22_1x_0)</f>
        <v>1212226.17</v>
      </c>
      <c r="Q41" s="1"/>
      <c r="R41" s="5">
        <f t="shared" ref="R41:R48" si="27">IF(P$12=0,0,P41/P$12)</f>
        <v>0.98177984874518531</v>
      </c>
      <c r="S41" s="1"/>
      <c r="T41" s="1">
        <f>SUM(OSRRefT22_1x_0)</f>
        <v>4457210.96</v>
      </c>
      <c r="U41" s="1"/>
      <c r="V41" s="5">
        <f t="shared" ref="V41:V48" si="28">IF(T$12=0,0,T41/T$12)</f>
        <v>0.32618226649645043</v>
      </c>
      <c r="W41" s="1"/>
      <c r="X41" s="1">
        <f t="shared" ref="X41:X48" si="29">+P41-T41</f>
        <v>-3244984.79</v>
      </c>
      <c r="Y41" s="1"/>
      <c r="Z41" s="5">
        <f t="shared" ref="Z41:Z48" si="30">IF(T41=0,0,X41/T41)</f>
        <v>-0.7280303353646963</v>
      </c>
    </row>
    <row r="42" spans="1:26" s="23" customFormat="1" hidden="1" outlineLevel="2" x14ac:dyDescent="0.25">
      <c r="A42" s="25"/>
      <c r="B42" s="10" t="str">
        <f>CONCATENATE("          ", "6001", " - ", "ADMINISTRATIVE SALARIES")</f>
        <v xml:space="preserve">          6001 - ADMINISTRATIVE SALARIES</v>
      </c>
      <c r="C42" s="10"/>
      <c r="D42" s="6">
        <v>19071.89</v>
      </c>
      <c r="E42" s="2"/>
      <c r="F42" s="7">
        <f t="shared" si="23"/>
        <v>0.12794668338641776</v>
      </c>
      <c r="G42" s="2"/>
      <c r="H42" s="6">
        <v>18585.8</v>
      </c>
      <c r="I42" s="2"/>
      <c r="J42" s="7">
        <f t="shared" si="24"/>
        <v>1.4353105501086509E-2</v>
      </c>
      <c r="K42" s="2"/>
      <c r="L42" s="6">
        <f t="shared" si="25"/>
        <v>486.09000000000015</v>
      </c>
      <c r="M42" s="2"/>
      <c r="N42" s="7">
        <f t="shared" si="26"/>
        <v>2.6153837876228096E-2</v>
      </c>
      <c r="O42" s="10"/>
      <c r="P42" s="6">
        <v>179424.15</v>
      </c>
      <c r="Q42" s="2"/>
      <c r="R42" s="7">
        <f t="shared" si="27"/>
        <v>0.14531530436125911</v>
      </c>
      <c r="S42" s="2"/>
      <c r="T42" s="6">
        <v>224344.33</v>
      </c>
      <c r="U42" s="2"/>
      <c r="V42" s="7">
        <f t="shared" si="28"/>
        <v>1.6417697679498574E-2</v>
      </c>
      <c r="W42" s="2"/>
      <c r="X42" s="6">
        <f t="shared" si="29"/>
        <v>-44920.179999999993</v>
      </c>
      <c r="Y42" s="2"/>
      <c r="Z42" s="7">
        <f t="shared" si="30"/>
        <v>-0.20022872875815492</v>
      </c>
    </row>
    <row r="43" spans="1:26" s="23" customFormat="1" hidden="1" outlineLevel="2" x14ac:dyDescent="0.25">
      <c r="A43" s="25"/>
      <c r="B43" s="10" t="str">
        <f>CONCATENATE("          ", "6002", " - ", "STAFF SALARIES")</f>
        <v xml:space="preserve">          6002 - STAFF SALARIES</v>
      </c>
      <c r="C43" s="10"/>
      <c r="D43" s="6">
        <v>42304.59</v>
      </c>
      <c r="E43" s="2"/>
      <c r="F43" s="7">
        <f t="shared" si="23"/>
        <v>0.28380679536858777</v>
      </c>
      <c r="G43" s="2"/>
      <c r="H43" s="6">
        <v>128998.41</v>
      </c>
      <c r="I43" s="2"/>
      <c r="J43" s="7">
        <f t="shared" si="24"/>
        <v>9.9620559147435839E-2</v>
      </c>
      <c r="K43" s="2"/>
      <c r="L43" s="6">
        <f t="shared" si="25"/>
        <v>-86693.82</v>
      </c>
      <c r="M43" s="2"/>
      <c r="N43" s="7">
        <f t="shared" si="26"/>
        <v>-0.6720533997279502</v>
      </c>
      <c r="O43" s="10"/>
      <c r="P43" s="6">
        <v>394581.86</v>
      </c>
      <c r="Q43" s="2"/>
      <c r="R43" s="7">
        <f t="shared" si="27"/>
        <v>0.31957115628710925</v>
      </c>
      <c r="S43" s="2"/>
      <c r="T43" s="6">
        <v>944040.3</v>
      </c>
      <c r="U43" s="2"/>
      <c r="V43" s="7">
        <f t="shared" si="28"/>
        <v>6.9085624952781921E-2</v>
      </c>
      <c r="W43" s="2"/>
      <c r="X43" s="6">
        <f t="shared" si="29"/>
        <v>-549458.44000000006</v>
      </c>
      <c r="Y43" s="2"/>
      <c r="Z43" s="7">
        <f t="shared" si="30"/>
        <v>-0.58202858500850019</v>
      </c>
    </row>
    <row r="44" spans="1:26" s="23" customFormat="1" hidden="1" outlineLevel="2" x14ac:dyDescent="0.25">
      <c r="A44" s="25"/>
      <c r="B44" s="10" t="str">
        <f>CONCATENATE("          ", "6004", " - ", "STAFF HOURLY")</f>
        <v xml:space="preserve">          6004 - STAFF HOURLY</v>
      </c>
      <c r="C44" s="10"/>
      <c r="D44" s="6">
        <v>47102.82</v>
      </c>
      <c r="E44" s="2"/>
      <c r="F44" s="7">
        <f t="shared" si="23"/>
        <v>0.31599645326957249</v>
      </c>
      <c r="G44" s="2"/>
      <c r="H44" s="6">
        <v>127006.44</v>
      </c>
      <c r="I44" s="2"/>
      <c r="J44" s="7">
        <f t="shared" si="24"/>
        <v>9.8082236580476156E-2</v>
      </c>
      <c r="K44" s="2"/>
      <c r="L44" s="6">
        <f t="shared" si="25"/>
        <v>-79903.62</v>
      </c>
      <c r="M44" s="2"/>
      <c r="N44" s="7">
        <f t="shared" si="26"/>
        <v>-0.62913045984124893</v>
      </c>
      <c r="O44" s="10"/>
      <c r="P44" s="6">
        <v>420931.29</v>
      </c>
      <c r="Q44" s="2"/>
      <c r="R44" s="7">
        <f t="shared" si="27"/>
        <v>0.34091151342518511</v>
      </c>
      <c r="S44" s="2"/>
      <c r="T44" s="6">
        <v>776972.1</v>
      </c>
      <c r="U44" s="2"/>
      <c r="V44" s="7">
        <f t="shared" si="28"/>
        <v>5.6859440321960157E-2</v>
      </c>
      <c r="W44" s="2"/>
      <c r="X44" s="6">
        <f t="shared" si="29"/>
        <v>-356040.81</v>
      </c>
      <c r="Y44" s="2"/>
      <c r="Z44" s="7">
        <f t="shared" si="30"/>
        <v>-0.45824143492411118</v>
      </c>
    </row>
    <row r="45" spans="1:26" s="23" customFormat="1" hidden="1" outlineLevel="2" x14ac:dyDescent="0.25">
      <c r="A45" s="25"/>
      <c r="B45" s="10" t="str">
        <f>CONCATENATE("          ", "6005", " - ", "TEMPORARY WAGES-HOURLY")</f>
        <v xml:space="preserve">          6005 - TEMPORARY WAGES-HOURLY</v>
      </c>
      <c r="C45" s="10"/>
      <c r="D45" s="6">
        <v>9125.48</v>
      </c>
      <c r="E45" s="2"/>
      <c r="F45" s="7">
        <f t="shared" si="23"/>
        <v>6.1219674626326367E-2</v>
      </c>
      <c r="G45" s="2"/>
      <c r="H45" s="6">
        <v>127317.61</v>
      </c>
      <c r="I45" s="2"/>
      <c r="J45" s="7">
        <f t="shared" si="24"/>
        <v>9.8322541320588125E-2</v>
      </c>
      <c r="K45" s="2"/>
      <c r="L45" s="6">
        <f t="shared" si="25"/>
        <v>-118192.13</v>
      </c>
      <c r="M45" s="2"/>
      <c r="N45" s="7">
        <f t="shared" si="26"/>
        <v>-0.92832507616189153</v>
      </c>
      <c r="O45" s="10"/>
      <c r="P45" s="6">
        <v>92268.23</v>
      </c>
      <c r="Q45" s="2"/>
      <c r="R45" s="7">
        <f t="shared" si="27"/>
        <v>7.4727877631437345E-2</v>
      </c>
      <c r="S45" s="2"/>
      <c r="T45" s="6">
        <v>831180.96</v>
      </c>
      <c r="U45" s="2"/>
      <c r="V45" s="7">
        <f t="shared" si="28"/>
        <v>6.0826488096380228E-2</v>
      </c>
      <c r="W45" s="2"/>
      <c r="X45" s="6">
        <f t="shared" si="29"/>
        <v>-738912.73</v>
      </c>
      <c r="Y45" s="2"/>
      <c r="Z45" s="7">
        <f t="shared" si="30"/>
        <v>-0.88899140567416268</v>
      </c>
    </row>
    <row r="46" spans="1:26" s="23" customFormat="1" hidden="1" outlineLevel="2" x14ac:dyDescent="0.25">
      <c r="A46" s="25"/>
      <c r="B46" s="10" t="str">
        <f>CONCATENATE("          ", "6006", " - ", "TEMPORARY PART TIME")</f>
        <v xml:space="preserve">          6006 - TEMPORARY PART TIME</v>
      </c>
      <c r="C46" s="10"/>
      <c r="D46" s="6">
        <v>717.96</v>
      </c>
      <c r="E46" s="2"/>
      <c r="F46" s="7">
        <f t="shared" si="23"/>
        <v>4.8165441812066086E-3</v>
      </c>
      <c r="G46" s="2"/>
      <c r="H46" s="6">
        <v>2719.34</v>
      </c>
      <c r="I46" s="2"/>
      <c r="J46" s="7">
        <f t="shared" si="24"/>
        <v>2.1000427161233085E-3</v>
      </c>
      <c r="K46" s="2"/>
      <c r="L46" s="6">
        <f t="shared" si="25"/>
        <v>-2001.38</v>
      </c>
      <c r="M46" s="2"/>
      <c r="N46" s="7">
        <f t="shared" si="26"/>
        <v>-0.73598005398368727</v>
      </c>
      <c r="O46" s="10"/>
      <c r="P46" s="6">
        <v>1326.96</v>
      </c>
      <c r="Q46" s="2"/>
      <c r="R46" s="7">
        <f t="shared" si="27"/>
        <v>1.0747025764102347E-3</v>
      </c>
      <c r="S46" s="2"/>
      <c r="T46" s="6">
        <v>45957.26</v>
      </c>
      <c r="U46" s="2"/>
      <c r="V46" s="7">
        <f t="shared" si="28"/>
        <v>3.3631890801880874E-3</v>
      </c>
      <c r="W46" s="2"/>
      <c r="X46" s="6">
        <f t="shared" si="29"/>
        <v>-44630.3</v>
      </c>
      <c r="Y46" s="2"/>
      <c r="Z46" s="7">
        <f t="shared" si="30"/>
        <v>-0.97112621596674831</v>
      </c>
    </row>
    <row r="47" spans="1:26" s="23" customFormat="1" hidden="1" outlineLevel="2" x14ac:dyDescent="0.25">
      <c r="A47" s="25"/>
      <c r="B47" s="10" t="str">
        <f>CONCATENATE("          ", "6007", " - ", "STUDENT HOURLY")</f>
        <v xml:space="preserve">          6007 - STUDENT HOURLY</v>
      </c>
      <c r="C47" s="10"/>
      <c r="D47" s="6">
        <v>15081.89</v>
      </c>
      <c r="E47" s="2"/>
      <c r="F47" s="7">
        <f t="shared" si="23"/>
        <v>0.10117915973187662</v>
      </c>
      <c r="G47" s="2"/>
      <c r="H47" s="6">
        <v>201435.33</v>
      </c>
      <c r="I47" s="2"/>
      <c r="J47" s="7">
        <f t="shared" si="24"/>
        <v>0.15556083370832444</v>
      </c>
      <c r="K47" s="2"/>
      <c r="L47" s="6">
        <f t="shared" si="25"/>
        <v>-186353.44</v>
      </c>
      <c r="M47" s="2"/>
      <c r="N47" s="7">
        <f t="shared" si="26"/>
        <v>-0.92512788099287258</v>
      </c>
      <c r="O47" s="10"/>
      <c r="P47" s="6">
        <v>113062.8</v>
      </c>
      <c r="Q47" s="2"/>
      <c r="R47" s="7">
        <f t="shared" si="27"/>
        <v>9.1569363399164327E-2</v>
      </c>
      <c r="S47" s="2"/>
      <c r="T47" s="6">
        <v>1425807.02</v>
      </c>
      <c r="U47" s="2"/>
      <c r="V47" s="7">
        <f t="shared" si="28"/>
        <v>0.10434169922487803</v>
      </c>
      <c r="W47" s="2"/>
      <c r="X47" s="6">
        <f t="shared" si="29"/>
        <v>-1312744.22</v>
      </c>
      <c r="Y47" s="2"/>
      <c r="Z47" s="7">
        <f t="shared" si="30"/>
        <v>-0.92070259269729215</v>
      </c>
    </row>
    <row r="48" spans="1:26" s="23" customFormat="1" hidden="1" outlineLevel="2" x14ac:dyDescent="0.25">
      <c r="A48" s="25"/>
      <c r="B48" s="10" t="str">
        <f>CONCATENATE("          ", "6008", " - ", "STUDENT HOURLY-FICA EXEMPT")</f>
        <v xml:space="preserve">          6008 - STUDENT HOURLY-FICA EXEMPT</v>
      </c>
      <c r="C48" s="10"/>
      <c r="D48" s="6"/>
      <c r="E48" s="2"/>
      <c r="F48" s="7">
        <f t="shared" si="23"/>
        <v>0</v>
      </c>
      <c r="G48" s="2"/>
      <c r="H48" s="6">
        <v>36373.39</v>
      </c>
      <c r="I48" s="2"/>
      <c r="J48" s="7">
        <f t="shared" si="24"/>
        <v>2.8089783818945918E-2</v>
      </c>
      <c r="K48" s="2"/>
      <c r="L48" s="6">
        <f t="shared" si="25"/>
        <v>-36373.39</v>
      </c>
      <c r="M48" s="2"/>
      <c r="N48" s="7">
        <f t="shared" si="26"/>
        <v>-1</v>
      </c>
      <c r="O48" s="10"/>
      <c r="P48" s="6">
        <v>10630.88</v>
      </c>
      <c r="Q48" s="2"/>
      <c r="R48" s="7">
        <f t="shared" si="27"/>
        <v>8.6099310646199096E-3</v>
      </c>
      <c r="S48" s="2"/>
      <c r="T48" s="6">
        <v>208908.99</v>
      </c>
      <c r="U48" s="2"/>
      <c r="V48" s="7">
        <f t="shared" si="28"/>
        <v>1.5288127140763446E-2</v>
      </c>
      <c r="W48" s="2"/>
      <c r="X48" s="6">
        <f t="shared" si="29"/>
        <v>-198278.11</v>
      </c>
      <c r="Y48" s="2"/>
      <c r="Z48" s="7">
        <f t="shared" si="30"/>
        <v>-0.94911238621181404</v>
      </c>
    </row>
    <row r="49" spans="1:26" s="26" customFormat="1" outlineLevel="1" collapsed="1" x14ac:dyDescent="0.25">
      <c r="A49" s="27"/>
      <c r="B49" s="12" t="str">
        <f>CONCATENATE("     ","Advertising/Promo                                 ")</f>
        <v xml:space="preserve">     Advertising/Promo                                 </v>
      </c>
      <c r="C49" s="12"/>
      <c r="D49" s="1">
        <f>SUM(OSRRefD22_2x_0)</f>
        <v>155.19</v>
      </c>
      <c r="E49" s="1"/>
      <c r="F49" s="5">
        <f t="shared" ref="F49:F58" si="31">IF(D$12=0,0,D49/D$12)</f>
        <v>1.0411157884582061E-3</v>
      </c>
      <c r="G49" s="1"/>
      <c r="H49" s="1">
        <f>SUM(OSRRefH22_2x_0)</f>
        <v>2097.8200000000002</v>
      </c>
      <c r="I49" s="1"/>
      <c r="J49" s="5">
        <f t="shared" ref="J49:J58" si="32">IF(H$12=0,0,H49/H$12)</f>
        <v>1.6200664906697213E-3</v>
      </c>
      <c r="K49" s="1"/>
      <c r="L49" s="1">
        <f t="shared" ref="L49:L58" si="33">+D49-H49</f>
        <v>-1942.63</v>
      </c>
      <c r="M49" s="1"/>
      <c r="N49" s="5">
        <f t="shared" ref="N49:N58" si="34">IF(H49=0,0,L49/H49)</f>
        <v>-0.92602320504142388</v>
      </c>
      <c r="O49" s="12"/>
      <c r="P49" s="1">
        <f>SUM(OSRRefP22_2x_0)</f>
        <v>1818.19</v>
      </c>
      <c r="Q49" s="1"/>
      <c r="R49" s="5">
        <f t="shared" ref="R49:R58" si="35">IF(P$12=0,0,P49/P$12)</f>
        <v>1.4725488917550829E-3</v>
      </c>
      <c r="S49" s="1"/>
      <c r="T49" s="1">
        <f>SUM(OSRRefT22_2x_0)</f>
        <v>36615.61</v>
      </c>
      <c r="U49" s="1"/>
      <c r="V49" s="5">
        <f t="shared" ref="V49:V58" si="36">IF(T$12=0,0,T49/T$12)</f>
        <v>2.6795596542619326E-3</v>
      </c>
      <c r="W49" s="1"/>
      <c r="X49" s="1">
        <f t="shared" ref="X49:X58" si="37">+P49-T49</f>
        <v>-34797.42</v>
      </c>
      <c r="Y49" s="1"/>
      <c r="Z49" s="5">
        <f t="shared" ref="Z49:Z58" si="38">IF(T49=0,0,X49/T49)</f>
        <v>-0.95034385607668415</v>
      </c>
    </row>
    <row r="50" spans="1:26" s="23" customFormat="1" hidden="1" outlineLevel="2" x14ac:dyDescent="0.25">
      <c r="A50" s="25"/>
      <c r="B50" s="10" t="str">
        <f>CONCATENATE("          ", "6362", " - ", "ADVERTISING EXPENSE")</f>
        <v xml:space="preserve">          6362 - ADVERTISING EXPENSE</v>
      </c>
      <c r="C50" s="10"/>
      <c r="D50" s="6">
        <v>155.19</v>
      </c>
      <c r="E50" s="2"/>
      <c r="F50" s="7">
        <f t="shared" si="31"/>
        <v>1.0411157884582061E-3</v>
      </c>
      <c r="G50" s="2"/>
      <c r="H50" s="6">
        <v>2097.8200000000002</v>
      </c>
      <c r="I50" s="2"/>
      <c r="J50" s="7">
        <f t="shared" si="32"/>
        <v>1.6200664906697213E-3</v>
      </c>
      <c r="K50" s="2"/>
      <c r="L50" s="6">
        <f t="shared" si="33"/>
        <v>-1942.63</v>
      </c>
      <c r="M50" s="2"/>
      <c r="N50" s="7">
        <f t="shared" si="34"/>
        <v>-0.92602320504142388</v>
      </c>
      <c r="O50" s="10"/>
      <c r="P50" s="6">
        <v>1818.19</v>
      </c>
      <c r="Q50" s="2"/>
      <c r="R50" s="7">
        <f t="shared" si="35"/>
        <v>1.4725488917550829E-3</v>
      </c>
      <c r="S50" s="2"/>
      <c r="T50" s="6">
        <v>36615.61</v>
      </c>
      <c r="U50" s="2"/>
      <c r="V50" s="7">
        <f t="shared" si="36"/>
        <v>2.6795596542619326E-3</v>
      </c>
      <c r="W50" s="2"/>
      <c r="X50" s="6">
        <f t="shared" si="37"/>
        <v>-34797.42</v>
      </c>
      <c r="Y50" s="2"/>
      <c r="Z50" s="7">
        <f t="shared" si="38"/>
        <v>-0.95034385607668415</v>
      </c>
    </row>
    <row r="51" spans="1:26" s="26" customFormat="1" outlineLevel="1" collapsed="1" x14ac:dyDescent="0.25">
      <c r="A51" s="27"/>
      <c r="B51" s="12" t="str">
        <f>CONCATENATE("     ","Bad Debts/Over/Short                              ")</f>
        <v xml:space="preserve">     Bad Debts/Over/Short                              </v>
      </c>
      <c r="C51" s="12"/>
      <c r="D51" s="1">
        <f>SUM(OSRRefD22_3x_0)</f>
        <v>-0.39</v>
      </c>
      <c r="E51" s="1"/>
      <c r="F51" s="5">
        <f t="shared" si="31"/>
        <v>-2.6163744925491355E-6</v>
      </c>
      <c r="G51" s="1"/>
      <c r="H51" s="1">
        <f>SUM(OSRRefH22_3x_0)</f>
        <v>42.97</v>
      </c>
      <c r="I51" s="1"/>
      <c r="J51" s="5">
        <f t="shared" si="32"/>
        <v>3.3184094490508198E-5</v>
      </c>
      <c r="K51" s="1"/>
      <c r="L51" s="1">
        <f t="shared" si="33"/>
        <v>-43.36</v>
      </c>
      <c r="M51" s="1"/>
      <c r="N51" s="5">
        <f t="shared" si="34"/>
        <v>-1.0090760996043751</v>
      </c>
      <c r="O51" s="12"/>
      <c r="P51" s="1">
        <f>SUM(OSRRefP22_3x_0)</f>
        <v>61.94</v>
      </c>
      <c r="Q51" s="1"/>
      <c r="R51" s="5">
        <f t="shared" si="35"/>
        <v>5.0165097352482316E-5</v>
      </c>
      <c r="S51" s="1"/>
      <c r="T51" s="1">
        <f>SUM(OSRRefT22_3x_0)</f>
        <v>-197.1</v>
      </c>
      <c r="U51" s="1"/>
      <c r="V51" s="5">
        <f t="shared" si="36"/>
        <v>-1.442393579828458E-5</v>
      </c>
      <c r="W51" s="1"/>
      <c r="X51" s="1">
        <f t="shared" si="37"/>
        <v>259.03999999999996</v>
      </c>
      <c r="Y51" s="1"/>
      <c r="Z51" s="5">
        <f t="shared" si="38"/>
        <v>-1.3142567224759003</v>
      </c>
    </row>
    <row r="52" spans="1:26" s="23" customFormat="1" hidden="1" outlineLevel="2" x14ac:dyDescent="0.25">
      <c r="A52" s="25"/>
      <c r="B52" s="10" t="str">
        <f>CONCATENATE("          ", "6272", " - ", "CASH (OVER/SHORT)")</f>
        <v xml:space="preserve">          6272 - CASH (OVER/SHORT)</v>
      </c>
      <c r="C52" s="10"/>
      <c r="D52" s="6">
        <v>-0.39</v>
      </c>
      <c r="E52" s="2"/>
      <c r="F52" s="7">
        <f t="shared" si="31"/>
        <v>-2.6163744925491355E-6</v>
      </c>
      <c r="G52" s="2"/>
      <c r="H52" s="6">
        <v>42.97</v>
      </c>
      <c r="I52" s="2"/>
      <c r="J52" s="7">
        <f t="shared" si="32"/>
        <v>3.3184094490508198E-5</v>
      </c>
      <c r="K52" s="2"/>
      <c r="L52" s="6">
        <f t="shared" si="33"/>
        <v>-43.36</v>
      </c>
      <c r="M52" s="2"/>
      <c r="N52" s="7">
        <f t="shared" si="34"/>
        <v>-1.0090760996043751</v>
      </c>
      <c r="O52" s="10"/>
      <c r="P52" s="6">
        <v>61.94</v>
      </c>
      <c r="Q52" s="2"/>
      <c r="R52" s="7">
        <f t="shared" si="35"/>
        <v>5.0165097352482316E-5</v>
      </c>
      <c r="S52" s="2"/>
      <c r="T52" s="6">
        <v>-197.1</v>
      </c>
      <c r="U52" s="2"/>
      <c r="V52" s="7">
        <f t="shared" si="36"/>
        <v>-1.442393579828458E-5</v>
      </c>
      <c r="W52" s="2"/>
      <c r="X52" s="6">
        <f t="shared" si="37"/>
        <v>259.03999999999996</v>
      </c>
      <c r="Y52" s="2"/>
      <c r="Z52" s="7">
        <f t="shared" si="38"/>
        <v>-1.3142567224759003</v>
      </c>
    </row>
    <row r="53" spans="1:26" s="26" customFormat="1" outlineLevel="1" collapsed="1" x14ac:dyDescent="0.25">
      <c r="A53" s="27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727.54</v>
      </c>
      <c r="E53" s="1"/>
      <c r="F53" s="5">
        <f t="shared" si="31"/>
        <v>4.8808130725876871E-3</v>
      </c>
      <c r="G53" s="1"/>
      <c r="H53" s="1">
        <f>SUM(OSRRefH22_4x_0)</f>
        <v>13658.56</v>
      </c>
      <c r="I53" s="1"/>
      <c r="J53" s="5">
        <f t="shared" si="32"/>
        <v>1.0547985702682701E-2</v>
      </c>
      <c r="K53" s="1"/>
      <c r="L53" s="1">
        <f t="shared" si="33"/>
        <v>-12931.02</v>
      </c>
      <c r="M53" s="1"/>
      <c r="N53" s="5">
        <f t="shared" si="34"/>
        <v>-0.94673376988496594</v>
      </c>
      <c r="O53" s="12"/>
      <c r="P53" s="1">
        <f>SUM(OSRRefP22_4x_0)</f>
        <v>5624.85</v>
      </c>
      <c r="Q53" s="1"/>
      <c r="R53" s="5">
        <f t="shared" si="35"/>
        <v>4.555556148581049E-3</v>
      </c>
      <c r="S53" s="1"/>
      <c r="T53" s="1">
        <f>SUM(OSRRefT22_4x_0)</f>
        <v>149465.93</v>
      </c>
      <c r="U53" s="1"/>
      <c r="V53" s="5">
        <f t="shared" si="36"/>
        <v>1.0938036419842197E-2</v>
      </c>
      <c r="W53" s="1"/>
      <c r="X53" s="1">
        <f t="shared" si="37"/>
        <v>-143841.07999999999</v>
      </c>
      <c r="Y53" s="1"/>
      <c r="Z53" s="5">
        <f t="shared" si="38"/>
        <v>-0.96236700898994165</v>
      </c>
    </row>
    <row r="54" spans="1:26" s="23" customFormat="1" hidden="1" outlineLevel="2" x14ac:dyDescent="0.25">
      <c r="A54" s="25"/>
      <c r="B54" s="10" t="str">
        <f>CONCATENATE("          ", "6381", " - ", "BANK/CREDIT CARD FEES")</f>
        <v xml:space="preserve">          6381 - BANK/CREDIT CARD FEES</v>
      </c>
      <c r="C54" s="10"/>
      <c r="D54" s="6">
        <v>727.54</v>
      </c>
      <c r="E54" s="2"/>
      <c r="F54" s="7">
        <f t="shared" si="31"/>
        <v>4.8808130725876871E-3</v>
      </c>
      <c r="G54" s="2"/>
      <c r="H54" s="6">
        <v>13658.56</v>
      </c>
      <c r="I54" s="2"/>
      <c r="J54" s="7">
        <f t="shared" si="32"/>
        <v>1.0547985702682701E-2</v>
      </c>
      <c r="K54" s="2"/>
      <c r="L54" s="6">
        <f t="shared" si="33"/>
        <v>-12931.02</v>
      </c>
      <c r="M54" s="2"/>
      <c r="N54" s="7">
        <f t="shared" si="34"/>
        <v>-0.94673376988496594</v>
      </c>
      <c r="O54" s="10"/>
      <c r="P54" s="6">
        <v>5624.85</v>
      </c>
      <c r="Q54" s="2"/>
      <c r="R54" s="7">
        <f t="shared" si="35"/>
        <v>4.555556148581049E-3</v>
      </c>
      <c r="S54" s="2"/>
      <c r="T54" s="6">
        <v>149465.93</v>
      </c>
      <c r="U54" s="2"/>
      <c r="V54" s="7">
        <f t="shared" si="36"/>
        <v>1.0938036419842197E-2</v>
      </c>
      <c r="W54" s="2"/>
      <c r="X54" s="6">
        <f t="shared" si="37"/>
        <v>-143841.07999999999</v>
      </c>
      <c r="Y54" s="2"/>
      <c r="Z54" s="7">
        <f t="shared" si="38"/>
        <v>-0.96236700898994165</v>
      </c>
    </row>
    <row r="55" spans="1:26" s="26" customFormat="1" outlineLevel="1" collapsed="1" x14ac:dyDescent="0.25">
      <c r="A55" s="27"/>
      <c r="B55" s="12" t="str">
        <f>CONCATENATE("     ","Depreciation                                      ")</f>
        <v xml:space="preserve">     Depreciation                                      </v>
      </c>
      <c r="C55" s="12"/>
      <c r="D55" s="1">
        <f>SUM(OSRRefD22_5x_0)</f>
        <v>37479.26</v>
      </c>
      <c r="E55" s="1"/>
      <c r="F55" s="5">
        <f t="shared" si="31"/>
        <v>0.25143533298363363</v>
      </c>
      <c r="G55" s="1"/>
      <c r="H55" s="1">
        <f>SUM(OSRRefH22_5x_0)</f>
        <v>43634.63</v>
      </c>
      <c r="I55" s="1"/>
      <c r="J55" s="5">
        <f t="shared" si="32"/>
        <v>3.3697362927120403E-2</v>
      </c>
      <c r="K55" s="1"/>
      <c r="L55" s="1">
        <f t="shared" si="33"/>
        <v>-6155.3699999999953</v>
      </c>
      <c r="M55" s="1"/>
      <c r="N55" s="5">
        <f t="shared" si="34"/>
        <v>-0.14106616694125734</v>
      </c>
      <c r="O55" s="12"/>
      <c r="P55" s="1">
        <f>SUM(OSRRefP22_5x_0)</f>
        <v>339608.42000000004</v>
      </c>
      <c r="Q55" s="1"/>
      <c r="R55" s="5">
        <f t="shared" si="35"/>
        <v>0.27504826365874563</v>
      </c>
      <c r="S55" s="1"/>
      <c r="T55" s="1">
        <f>SUM(OSRRefT22_5x_0)</f>
        <v>363964.64</v>
      </c>
      <c r="U55" s="1"/>
      <c r="V55" s="5">
        <f t="shared" si="36"/>
        <v>2.6635223745336174E-2</v>
      </c>
      <c r="W55" s="1"/>
      <c r="X55" s="1">
        <f t="shared" si="37"/>
        <v>-24356.219999999972</v>
      </c>
      <c r="Y55" s="1"/>
      <c r="Z55" s="5">
        <f t="shared" si="38"/>
        <v>-6.6919193029300786E-2</v>
      </c>
    </row>
    <row r="56" spans="1:26" s="23" customFormat="1" hidden="1" outlineLevel="2" x14ac:dyDescent="0.25">
      <c r="A56" s="25"/>
      <c r="B56" s="10" t="str">
        <f>CONCATENATE("          ", "6321", " - ", "BUILDING DEPRECIATION")</f>
        <v xml:space="preserve">          6321 - BUILDING DEPRECIATION</v>
      </c>
      <c r="C56" s="10"/>
      <c r="D56" s="6">
        <v>23583.49</v>
      </c>
      <c r="E56" s="2"/>
      <c r="F56" s="7">
        <f t="shared" si="31"/>
        <v>0.15821344020842978</v>
      </c>
      <c r="G56" s="2"/>
      <c r="H56" s="6">
        <v>24042.959999999999</v>
      </c>
      <c r="I56" s="2"/>
      <c r="J56" s="7">
        <f t="shared" si="32"/>
        <v>1.8567462333523597E-2</v>
      </c>
      <c r="K56" s="2"/>
      <c r="L56" s="6">
        <f t="shared" si="33"/>
        <v>-459.46999999999753</v>
      </c>
      <c r="M56" s="2"/>
      <c r="N56" s="7">
        <f t="shared" si="34"/>
        <v>-1.911037576072154E-2</v>
      </c>
      <c r="O56" s="10"/>
      <c r="P56" s="6">
        <v>213035.6</v>
      </c>
      <c r="Q56" s="2"/>
      <c r="R56" s="7">
        <f t="shared" si="35"/>
        <v>0.17253715875919409</v>
      </c>
      <c r="S56" s="2"/>
      <c r="T56" s="6">
        <v>216386.64</v>
      </c>
      <c r="U56" s="2"/>
      <c r="V56" s="7">
        <f t="shared" si="36"/>
        <v>1.5835347554370972E-2</v>
      </c>
      <c r="W56" s="2"/>
      <c r="X56" s="6">
        <f t="shared" si="37"/>
        <v>-3351.0400000000081</v>
      </c>
      <c r="Y56" s="2"/>
      <c r="Z56" s="7">
        <f t="shared" si="38"/>
        <v>-1.5486353501306772E-2</v>
      </c>
    </row>
    <row r="57" spans="1:26" s="23" customFormat="1" hidden="1" outlineLevel="2" x14ac:dyDescent="0.25">
      <c r="A57" s="25"/>
      <c r="B57" s="10" t="str">
        <f>CONCATENATE("          ", "6322", " - ", "EQUIPMENT DEPRECIATION EXPENSE")</f>
        <v xml:space="preserve">          6322 - EQUIPMENT DEPRECIATION EXPENSE</v>
      </c>
      <c r="C57" s="10"/>
      <c r="D57" s="6">
        <v>13895.77</v>
      </c>
      <c r="E57" s="2"/>
      <c r="F57" s="7">
        <f t="shared" si="31"/>
        <v>9.3221892775203846E-2</v>
      </c>
      <c r="G57" s="2"/>
      <c r="H57" s="6">
        <v>19167.419999999998</v>
      </c>
      <c r="I57" s="2"/>
      <c r="J57" s="7">
        <f t="shared" si="32"/>
        <v>1.4802268476128849E-2</v>
      </c>
      <c r="K57" s="2"/>
      <c r="L57" s="6">
        <f t="shared" si="33"/>
        <v>-5271.6499999999978</v>
      </c>
      <c r="M57" s="2"/>
      <c r="N57" s="7">
        <f t="shared" si="34"/>
        <v>-0.27503179875017075</v>
      </c>
      <c r="O57" s="10"/>
      <c r="P57" s="6">
        <v>126572.82</v>
      </c>
      <c r="Q57" s="2"/>
      <c r="R57" s="7">
        <f t="shared" si="35"/>
        <v>0.10251110489955152</v>
      </c>
      <c r="S57" s="2"/>
      <c r="T57" s="6">
        <v>143759.75</v>
      </c>
      <c r="U57" s="2"/>
      <c r="V57" s="7">
        <f t="shared" si="36"/>
        <v>1.0520453599073779E-2</v>
      </c>
      <c r="W57" s="2"/>
      <c r="X57" s="6">
        <f t="shared" si="37"/>
        <v>-17186.929999999993</v>
      </c>
      <c r="Y57" s="2"/>
      <c r="Z57" s="7">
        <f t="shared" si="38"/>
        <v>-0.11955314335201607</v>
      </c>
    </row>
    <row r="58" spans="1:26" s="23" customFormat="1" hidden="1" outlineLevel="2" x14ac:dyDescent="0.25">
      <c r="A58" s="25"/>
      <c r="B58" s="10" t="str">
        <f>CONCATENATE("          ", "6326", " - ", "VEHICLES DEPRECIATION EXPENSE")</f>
        <v xml:space="preserve">          6326 - VEHICLES DEPRECIATION EXPENSE</v>
      </c>
      <c r="C58" s="10"/>
      <c r="D58" s="6"/>
      <c r="E58" s="2"/>
      <c r="F58" s="7">
        <f t="shared" si="31"/>
        <v>0</v>
      </c>
      <c r="G58" s="2"/>
      <c r="H58" s="6">
        <v>424.25</v>
      </c>
      <c r="I58" s="2"/>
      <c r="J58" s="7">
        <f t="shared" si="32"/>
        <v>3.2763211746795681E-4</v>
      </c>
      <c r="K58" s="2"/>
      <c r="L58" s="6">
        <f t="shared" si="33"/>
        <v>-424.25</v>
      </c>
      <c r="M58" s="2"/>
      <c r="N58" s="7">
        <f t="shared" si="34"/>
        <v>-1</v>
      </c>
      <c r="O58" s="10"/>
      <c r="P58" s="6"/>
      <c r="Q58" s="2"/>
      <c r="R58" s="7">
        <f t="shared" si="35"/>
        <v>0</v>
      </c>
      <c r="S58" s="2"/>
      <c r="T58" s="6">
        <v>3818.25</v>
      </c>
      <c r="U58" s="2"/>
      <c r="V58" s="7">
        <f t="shared" si="36"/>
        <v>2.7942259189142615E-4</v>
      </c>
      <c r="W58" s="2"/>
      <c r="X58" s="6">
        <f t="shared" si="37"/>
        <v>-3818.25</v>
      </c>
      <c r="Y58" s="2"/>
      <c r="Z58" s="7">
        <f t="shared" si="38"/>
        <v>-1</v>
      </c>
    </row>
    <row r="59" spans="1:26" s="26" customFormat="1" outlineLevel="1" collapsed="1" x14ac:dyDescent="0.25">
      <c r="A59" s="27"/>
      <c r="B59" s="12" t="str">
        <f>CONCATENATE("     ","Discounts and Markdowns                           ")</f>
        <v xml:space="preserve">     Discounts and Markdowns                           </v>
      </c>
      <c r="C59" s="12"/>
      <c r="D59" s="1">
        <f>SUM(OSRRefD22_6x_0)</f>
        <v>0</v>
      </c>
      <c r="E59" s="1"/>
      <c r="F59" s="5">
        <f t="shared" ref="F59:F71" si="39">IF(D$12=0,0,D59/D$12)</f>
        <v>0</v>
      </c>
      <c r="G59" s="1"/>
      <c r="H59" s="1">
        <f>SUM(OSRRefH22_6x_0)</f>
        <v>0</v>
      </c>
      <c r="I59" s="1"/>
      <c r="J59" s="5">
        <f t="shared" ref="J59:J71" si="40">IF(H$12=0,0,H59/H$12)</f>
        <v>0</v>
      </c>
      <c r="K59" s="1"/>
      <c r="L59" s="1">
        <f t="shared" ref="L59:L71" si="41">+D59-H59</f>
        <v>0</v>
      </c>
      <c r="M59" s="1"/>
      <c r="N59" s="5">
        <f t="shared" ref="N59:N71" si="42">IF(H59=0,0,L59/H59)</f>
        <v>0</v>
      </c>
      <c r="O59" s="12"/>
      <c r="P59" s="1">
        <f>SUM(OSRRefP22_6x_0)</f>
        <v>0</v>
      </c>
      <c r="Q59" s="1"/>
      <c r="R59" s="5">
        <f t="shared" ref="R59:R71" si="43">IF(P$12=0,0,P59/P$12)</f>
        <v>0</v>
      </c>
      <c r="S59" s="1"/>
      <c r="T59" s="1">
        <f>SUM(OSRRefT22_6x_0)</f>
        <v>0.09</v>
      </c>
      <c r="U59" s="1"/>
      <c r="V59" s="5">
        <f t="shared" ref="V59:V71" si="44">IF(T$12=0,0,T59/T$12)</f>
        <v>6.5862720540112239E-9</v>
      </c>
      <c r="W59" s="1"/>
      <c r="X59" s="1">
        <f t="shared" ref="X59:X71" si="45">+P59-T59</f>
        <v>-0.09</v>
      </c>
      <c r="Y59" s="1"/>
      <c r="Z59" s="5">
        <f t="shared" ref="Z59:Z71" si="46">IF(T59=0,0,X59/T59)</f>
        <v>-1</v>
      </c>
    </row>
    <row r="60" spans="1:26" s="23" customFormat="1" hidden="1" outlineLevel="2" x14ac:dyDescent="0.25">
      <c r="A60" s="25"/>
      <c r="B60" s="10" t="str">
        <f>CONCATENATE("          ", "6382", " - ", "DISCOUNTS/MARK DOWNS")</f>
        <v xml:space="preserve">          6382 - DISCOUNTS/MARK DOWNS</v>
      </c>
      <c r="C60" s="10"/>
      <c r="D60" s="6"/>
      <c r="E60" s="2"/>
      <c r="F60" s="7">
        <f t="shared" si="39"/>
        <v>0</v>
      </c>
      <c r="G60" s="2"/>
      <c r="H60" s="6"/>
      <c r="I60" s="2"/>
      <c r="J60" s="7">
        <f t="shared" si="40"/>
        <v>0</v>
      </c>
      <c r="K60" s="2"/>
      <c r="L60" s="6">
        <f t="shared" si="41"/>
        <v>0</v>
      </c>
      <c r="M60" s="2"/>
      <c r="N60" s="7">
        <f t="shared" si="42"/>
        <v>0</v>
      </c>
      <c r="O60" s="10"/>
      <c r="P60" s="6"/>
      <c r="Q60" s="2"/>
      <c r="R60" s="7">
        <f t="shared" si="43"/>
        <v>0</v>
      </c>
      <c r="S60" s="2"/>
      <c r="T60" s="6">
        <v>0.09</v>
      </c>
      <c r="U60" s="2"/>
      <c r="V60" s="7">
        <f t="shared" si="44"/>
        <v>6.5862720540112239E-9</v>
      </c>
      <c r="W60" s="2"/>
      <c r="X60" s="6">
        <f t="shared" si="45"/>
        <v>-0.09</v>
      </c>
      <c r="Y60" s="2"/>
      <c r="Z60" s="7">
        <f t="shared" si="46"/>
        <v>-1</v>
      </c>
    </row>
    <row r="61" spans="1:26" s="26" customFormat="1" outlineLevel="1" collapsed="1" x14ac:dyDescent="0.25">
      <c r="A61" s="27"/>
      <c r="B61" s="12" t="str">
        <f>CONCATENATE("     ","Donations                                         ")</f>
        <v xml:space="preserve">     Donations                                         </v>
      </c>
      <c r="C61" s="12"/>
      <c r="D61" s="1">
        <f>SUM(OSRRefD22_7x_0)</f>
        <v>7337.33</v>
      </c>
      <c r="E61" s="1"/>
      <c r="F61" s="5">
        <f t="shared" si="39"/>
        <v>4.9223597577988588E-2</v>
      </c>
      <c r="G61" s="1"/>
      <c r="H61" s="1">
        <f>SUM(OSRRefH22_7x_0)</f>
        <v>14237.58</v>
      </c>
      <c r="I61" s="1"/>
      <c r="J61" s="5">
        <f t="shared" si="40"/>
        <v>1.0995140796745864E-2</v>
      </c>
      <c r="K61" s="1"/>
      <c r="L61" s="1">
        <f t="shared" si="41"/>
        <v>-6900.25</v>
      </c>
      <c r="M61" s="1"/>
      <c r="N61" s="5">
        <f t="shared" si="42"/>
        <v>-0.48465048133179939</v>
      </c>
      <c r="O61" s="12"/>
      <c r="P61" s="1">
        <f>SUM(OSRRefP22_7x_0)</f>
        <v>50979.76</v>
      </c>
      <c r="Q61" s="1"/>
      <c r="R61" s="5">
        <f t="shared" si="43"/>
        <v>4.1288418201585152E-2</v>
      </c>
      <c r="S61" s="1"/>
      <c r="T61" s="1">
        <f>SUM(OSRRefT22_7x_0)</f>
        <v>120380.53</v>
      </c>
      <c r="U61" s="1"/>
      <c r="V61" s="5">
        <f t="shared" si="44"/>
        <v>8.8095435620673315E-3</v>
      </c>
      <c r="W61" s="1"/>
      <c r="X61" s="1">
        <f t="shared" si="45"/>
        <v>-69400.76999999999</v>
      </c>
      <c r="Y61" s="1"/>
      <c r="Z61" s="5">
        <f t="shared" si="46"/>
        <v>-0.57651158372537481</v>
      </c>
    </row>
    <row r="62" spans="1:26" s="23" customFormat="1" hidden="1" outlineLevel="2" x14ac:dyDescent="0.25">
      <c r="A62" s="25"/>
      <c r="B62" s="10" t="str">
        <f>CONCATENATE("          ", "6399", " - ", "DONATION-ON CAMPUS")</f>
        <v xml:space="preserve">          6399 - DONATION-ON CAMPUS</v>
      </c>
      <c r="C62" s="10"/>
      <c r="D62" s="6">
        <v>7337.33</v>
      </c>
      <c r="E62" s="2"/>
      <c r="F62" s="7">
        <f t="shared" si="39"/>
        <v>4.9223597577988588E-2</v>
      </c>
      <c r="G62" s="2"/>
      <c r="H62" s="6">
        <v>14237.58</v>
      </c>
      <c r="I62" s="2"/>
      <c r="J62" s="7">
        <f t="shared" si="40"/>
        <v>1.0995140796745864E-2</v>
      </c>
      <c r="K62" s="2"/>
      <c r="L62" s="6">
        <f t="shared" si="41"/>
        <v>-6900.25</v>
      </c>
      <c r="M62" s="2"/>
      <c r="N62" s="7">
        <f t="shared" si="42"/>
        <v>-0.48465048133179939</v>
      </c>
      <c r="O62" s="10"/>
      <c r="P62" s="6">
        <v>50979.76</v>
      </c>
      <c r="Q62" s="2"/>
      <c r="R62" s="7">
        <f t="shared" si="43"/>
        <v>4.1288418201585152E-2</v>
      </c>
      <c r="S62" s="2"/>
      <c r="T62" s="6">
        <v>120380.53</v>
      </c>
      <c r="U62" s="2"/>
      <c r="V62" s="7">
        <f t="shared" si="44"/>
        <v>8.8095435620673315E-3</v>
      </c>
      <c r="W62" s="2"/>
      <c r="X62" s="6">
        <f t="shared" si="45"/>
        <v>-69400.76999999999</v>
      </c>
      <c r="Y62" s="2"/>
      <c r="Z62" s="7">
        <f t="shared" si="46"/>
        <v>-0.57651158372537481</v>
      </c>
    </row>
    <row r="63" spans="1:26" s="26" customFormat="1" outlineLevel="1" collapsed="1" x14ac:dyDescent="0.25">
      <c r="A63" s="27"/>
      <c r="B63" s="12" t="str">
        <f>CONCATENATE("     ","Employees' Appreciation                           ")</f>
        <v xml:space="preserve">     Employees' Appreciation                           </v>
      </c>
      <c r="C63" s="12"/>
      <c r="D63" s="1">
        <f>SUM(OSRRefD22_8x_0)</f>
        <v>0</v>
      </c>
      <c r="E63" s="1"/>
      <c r="F63" s="5">
        <f t="shared" si="39"/>
        <v>0</v>
      </c>
      <c r="G63" s="1"/>
      <c r="H63" s="1">
        <f>SUM(OSRRefH22_8x_0)</f>
        <v>186.23</v>
      </c>
      <c r="I63" s="1"/>
      <c r="J63" s="5">
        <f t="shared" si="40"/>
        <v>1.4381833644327069E-4</v>
      </c>
      <c r="K63" s="1"/>
      <c r="L63" s="1">
        <f t="shared" si="41"/>
        <v>-186.23</v>
      </c>
      <c r="M63" s="1"/>
      <c r="N63" s="5">
        <f t="shared" si="42"/>
        <v>-1</v>
      </c>
      <c r="O63" s="12"/>
      <c r="P63" s="1">
        <f>SUM(OSRRefP22_8x_0)</f>
        <v>10</v>
      </c>
      <c r="Q63" s="1"/>
      <c r="R63" s="5">
        <f t="shared" si="43"/>
        <v>8.0989824592318895E-6</v>
      </c>
      <c r="S63" s="1"/>
      <c r="T63" s="1">
        <f>SUM(OSRRefT22_8x_0)</f>
        <v>3471.24</v>
      </c>
      <c r="U63" s="1"/>
      <c r="V63" s="5">
        <f t="shared" si="44"/>
        <v>2.5402812227517691E-4</v>
      </c>
      <c r="W63" s="1"/>
      <c r="X63" s="1">
        <f t="shared" si="45"/>
        <v>-3461.24</v>
      </c>
      <c r="Y63" s="1"/>
      <c r="Z63" s="5">
        <f t="shared" si="46"/>
        <v>-0.99711918507507402</v>
      </c>
    </row>
    <row r="64" spans="1:26" s="23" customFormat="1" hidden="1" outlineLevel="2" x14ac:dyDescent="0.25">
      <c r="A64" s="25"/>
      <c r="B64" s="10" t="str">
        <f>CONCATENATE("          ", "6277", " - ", "EMPLOYEE APPRECIATION")</f>
        <v xml:space="preserve">          6277 - EMPLOYEE APPRECIATION</v>
      </c>
      <c r="C64" s="10"/>
      <c r="D64" s="6"/>
      <c r="E64" s="2"/>
      <c r="F64" s="7">
        <f t="shared" si="39"/>
        <v>0</v>
      </c>
      <c r="G64" s="2"/>
      <c r="H64" s="6">
        <v>186.23</v>
      </c>
      <c r="I64" s="2"/>
      <c r="J64" s="7">
        <f t="shared" si="40"/>
        <v>1.4381833644327069E-4</v>
      </c>
      <c r="K64" s="2"/>
      <c r="L64" s="6">
        <f t="shared" si="41"/>
        <v>-186.23</v>
      </c>
      <c r="M64" s="2"/>
      <c r="N64" s="7">
        <f t="shared" si="42"/>
        <v>-1</v>
      </c>
      <c r="O64" s="10"/>
      <c r="P64" s="6">
        <v>10</v>
      </c>
      <c r="Q64" s="2"/>
      <c r="R64" s="7">
        <f t="shared" si="43"/>
        <v>8.0989824592318895E-6</v>
      </c>
      <c r="S64" s="2"/>
      <c r="T64" s="6">
        <v>3471.24</v>
      </c>
      <c r="U64" s="2"/>
      <c r="V64" s="7">
        <f t="shared" si="44"/>
        <v>2.5402812227517691E-4</v>
      </c>
      <c r="W64" s="2"/>
      <c r="X64" s="6">
        <f t="shared" si="45"/>
        <v>-3461.24</v>
      </c>
      <c r="Y64" s="2"/>
      <c r="Z64" s="7">
        <f t="shared" si="46"/>
        <v>-0.99711918507507402</v>
      </c>
    </row>
    <row r="65" spans="1:26" s="26" customFormat="1" outlineLevel="1" collapsed="1" x14ac:dyDescent="0.25">
      <c r="A65" s="27"/>
      <c r="B65" s="12" t="str">
        <f>CONCATENATE("     ","Equipment Rental                                  ")</f>
        <v xml:space="preserve">     Equipment Rental                                  </v>
      </c>
      <c r="C65" s="12"/>
      <c r="D65" s="1">
        <f>SUM(OSRRefD22_9x_0)</f>
        <v>880.16</v>
      </c>
      <c r="E65" s="1"/>
      <c r="F65" s="5">
        <f t="shared" si="39"/>
        <v>5.904687624005249E-3</v>
      </c>
      <c r="G65" s="1"/>
      <c r="H65" s="1">
        <f>SUM(OSRRefH22_9x_0)</f>
        <v>2622.91</v>
      </c>
      <c r="I65" s="1"/>
      <c r="J65" s="5">
        <f t="shared" si="40"/>
        <v>2.02557349965322E-3</v>
      </c>
      <c r="K65" s="1"/>
      <c r="L65" s="1">
        <f t="shared" si="41"/>
        <v>-1742.75</v>
      </c>
      <c r="M65" s="1"/>
      <c r="N65" s="5">
        <f t="shared" si="42"/>
        <v>-0.66443377775066625</v>
      </c>
      <c r="O65" s="12"/>
      <c r="P65" s="1">
        <f>SUM(OSRRefP22_9x_0)</f>
        <v>9438.15</v>
      </c>
      <c r="Q65" s="1"/>
      <c r="R65" s="5">
        <f t="shared" si="43"/>
        <v>7.6439411297599446E-3</v>
      </c>
      <c r="S65" s="1"/>
      <c r="T65" s="1">
        <f>SUM(OSRRefT22_9x_0)</f>
        <v>28607.53</v>
      </c>
      <c r="U65" s="1"/>
      <c r="V65" s="5">
        <f t="shared" si="44"/>
        <v>2.0935219485920856E-3</v>
      </c>
      <c r="W65" s="1"/>
      <c r="X65" s="1">
        <f t="shared" si="45"/>
        <v>-19169.379999999997</v>
      </c>
      <c r="Y65" s="1"/>
      <c r="Z65" s="5">
        <f t="shared" si="46"/>
        <v>-0.67008161837110713</v>
      </c>
    </row>
    <row r="66" spans="1:26" s="23" customFormat="1" hidden="1" outlineLevel="2" x14ac:dyDescent="0.25">
      <c r="A66" s="25"/>
      <c r="B66" s="10" t="str">
        <f>CONCATENATE("          ", "6351", " - ", "EQUIPMENT RENTAL")</f>
        <v xml:space="preserve">          6351 - EQUIPMENT RENTAL</v>
      </c>
      <c r="C66" s="10"/>
      <c r="D66" s="6">
        <v>880.16</v>
      </c>
      <c r="E66" s="2"/>
      <c r="F66" s="7">
        <f t="shared" si="39"/>
        <v>5.904687624005249E-3</v>
      </c>
      <c r="G66" s="2"/>
      <c r="H66" s="6">
        <v>2622.91</v>
      </c>
      <c r="I66" s="2"/>
      <c r="J66" s="7">
        <f t="shared" si="40"/>
        <v>2.02557349965322E-3</v>
      </c>
      <c r="K66" s="2"/>
      <c r="L66" s="6">
        <f t="shared" si="41"/>
        <v>-1742.75</v>
      </c>
      <c r="M66" s="2"/>
      <c r="N66" s="7">
        <f t="shared" si="42"/>
        <v>-0.66443377775066625</v>
      </c>
      <c r="O66" s="10"/>
      <c r="P66" s="6">
        <v>9438.15</v>
      </c>
      <c r="Q66" s="2"/>
      <c r="R66" s="7">
        <f t="shared" si="43"/>
        <v>7.6439411297599446E-3</v>
      </c>
      <c r="S66" s="2"/>
      <c r="T66" s="6">
        <v>28607.53</v>
      </c>
      <c r="U66" s="2"/>
      <c r="V66" s="7">
        <f t="shared" si="44"/>
        <v>2.0935219485920856E-3</v>
      </c>
      <c r="W66" s="2"/>
      <c r="X66" s="6">
        <f t="shared" si="45"/>
        <v>-19169.379999999997</v>
      </c>
      <c r="Y66" s="2"/>
      <c r="Z66" s="7">
        <f t="shared" si="46"/>
        <v>-0.67008161837110713</v>
      </c>
    </row>
    <row r="67" spans="1:26" s="26" customFormat="1" outlineLevel="1" collapsed="1" x14ac:dyDescent="0.25">
      <c r="A67" s="27"/>
      <c r="B67" s="12" t="str">
        <f>CONCATENATE("     ","Freight out/Postage                               ")</f>
        <v xml:space="preserve">     Freight out/Postage                               </v>
      </c>
      <c r="C67" s="12"/>
      <c r="D67" s="1">
        <f>SUM(OSRRefD22_10x_0)</f>
        <v>0</v>
      </c>
      <c r="E67" s="1"/>
      <c r="F67" s="5">
        <f t="shared" si="39"/>
        <v>0</v>
      </c>
      <c r="G67" s="1"/>
      <c r="H67" s="1">
        <f>SUM(OSRRefH22_10x_0)</f>
        <v>0</v>
      </c>
      <c r="I67" s="1"/>
      <c r="J67" s="5">
        <f t="shared" si="40"/>
        <v>0</v>
      </c>
      <c r="K67" s="1"/>
      <c r="L67" s="1">
        <f t="shared" si="41"/>
        <v>0</v>
      </c>
      <c r="M67" s="1"/>
      <c r="N67" s="5">
        <f t="shared" si="42"/>
        <v>0</v>
      </c>
      <c r="O67" s="12"/>
      <c r="P67" s="1">
        <f>SUM(OSRRefP22_10x_0)</f>
        <v>-5.41</v>
      </c>
      <c r="Q67" s="1"/>
      <c r="R67" s="5">
        <f t="shared" si="43"/>
        <v>-4.3815495104444523E-6</v>
      </c>
      <c r="S67" s="1"/>
      <c r="T67" s="1">
        <f>SUM(OSRRefT22_10x_0)</f>
        <v>0</v>
      </c>
      <c r="U67" s="1"/>
      <c r="V67" s="5">
        <f t="shared" si="44"/>
        <v>0</v>
      </c>
      <c r="W67" s="1"/>
      <c r="X67" s="1">
        <f t="shared" si="45"/>
        <v>-5.41</v>
      </c>
      <c r="Y67" s="1"/>
      <c r="Z67" s="5">
        <f t="shared" si="46"/>
        <v>0</v>
      </c>
    </row>
    <row r="68" spans="1:26" s="23" customFormat="1" hidden="1" outlineLevel="2" x14ac:dyDescent="0.25">
      <c r="A68" s="25"/>
      <c r="B68" s="10" t="str">
        <f>CONCATENATE("          ", "6307", " - ", "POSTAGE")</f>
        <v xml:space="preserve">          6307 - POSTAGE</v>
      </c>
      <c r="C68" s="10"/>
      <c r="D68" s="6"/>
      <c r="E68" s="2"/>
      <c r="F68" s="7">
        <f t="shared" si="39"/>
        <v>0</v>
      </c>
      <c r="G68" s="2"/>
      <c r="H68" s="6"/>
      <c r="I68" s="2"/>
      <c r="J68" s="7">
        <f t="shared" si="40"/>
        <v>0</v>
      </c>
      <c r="K68" s="2"/>
      <c r="L68" s="6">
        <f t="shared" si="41"/>
        <v>0</v>
      </c>
      <c r="M68" s="2"/>
      <c r="N68" s="7">
        <f t="shared" si="42"/>
        <v>0</v>
      </c>
      <c r="O68" s="10"/>
      <c r="P68" s="6">
        <v>-5.41</v>
      </c>
      <c r="Q68" s="2"/>
      <c r="R68" s="7">
        <f t="shared" si="43"/>
        <v>-4.3815495104444523E-6</v>
      </c>
      <c r="S68" s="2"/>
      <c r="T68" s="6"/>
      <c r="U68" s="2"/>
      <c r="V68" s="7">
        <f t="shared" si="44"/>
        <v>0</v>
      </c>
      <c r="W68" s="2"/>
      <c r="X68" s="6">
        <f t="shared" si="45"/>
        <v>-5.41</v>
      </c>
      <c r="Y68" s="2"/>
      <c r="Z68" s="7">
        <f t="shared" si="46"/>
        <v>0</v>
      </c>
    </row>
    <row r="69" spans="1:26" s="26" customFormat="1" outlineLevel="1" collapsed="1" x14ac:dyDescent="0.25">
      <c r="A69" s="27"/>
      <c r="B69" s="12" t="str">
        <f>CONCATENATE("     ","General                                           ")</f>
        <v xml:space="preserve">     General                                           </v>
      </c>
      <c r="C69" s="12"/>
      <c r="D69" s="1">
        <f>SUM(OSRRefD22_11x_0)</f>
        <v>891.32</v>
      </c>
      <c r="E69" s="1"/>
      <c r="F69" s="5">
        <f t="shared" si="39"/>
        <v>5.9795561864074247E-3</v>
      </c>
      <c r="G69" s="1"/>
      <c r="H69" s="1">
        <f>SUM(OSRRefH22_11x_0)</f>
        <v>2421.3200000000002</v>
      </c>
      <c r="I69" s="1"/>
      <c r="J69" s="5">
        <f t="shared" si="40"/>
        <v>1.8698932201944921E-3</v>
      </c>
      <c r="K69" s="1"/>
      <c r="L69" s="1">
        <f t="shared" si="41"/>
        <v>-1530</v>
      </c>
      <c r="M69" s="1"/>
      <c r="N69" s="5">
        <f t="shared" si="42"/>
        <v>-0.63188673946442431</v>
      </c>
      <c r="O69" s="12"/>
      <c r="P69" s="1">
        <f>SUM(OSRRefP22_11x_0)</f>
        <v>15020.23</v>
      </c>
      <c r="Q69" s="1"/>
      <c r="R69" s="5">
        <f t="shared" si="43"/>
        <v>1.2164857930362859E-2</v>
      </c>
      <c r="S69" s="1"/>
      <c r="T69" s="1">
        <f>SUM(OSRRefT22_11x_0)</f>
        <v>93195.03</v>
      </c>
      <c r="U69" s="1"/>
      <c r="V69" s="5">
        <f t="shared" si="44"/>
        <v>6.8200869073526404E-3</v>
      </c>
      <c r="W69" s="1"/>
      <c r="X69" s="1">
        <f t="shared" si="45"/>
        <v>-78174.8</v>
      </c>
      <c r="Y69" s="1"/>
      <c r="Z69" s="5">
        <f t="shared" si="46"/>
        <v>-0.83883013933253736</v>
      </c>
    </row>
    <row r="70" spans="1:26" s="23" customFormat="1" hidden="1" outlineLevel="2" x14ac:dyDescent="0.25">
      <c r="A70" s="25"/>
      <c r="B70" s="10" t="str">
        <f>CONCATENATE("          ", "6269", " - ", "ENTERTAINMENT")</f>
        <v xml:space="preserve">          6269 - ENTERTAINMENT</v>
      </c>
      <c r="C70" s="10"/>
      <c r="D70" s="6"/>
      <c r="E70" s="2"/>
      <c r="F70" s="7">
        <f t="shared" si="39"/>
        <v>0</v>
      </c>
      <c r="G70" s="2"/>
      <c r="H70" s="6"/>
      <c r="I70" s="2"/>
      <c r="J70" s="7">
        <f t="shared" si="40"/>
        <v>0</v>
      </c>
      <c r="K70" s="2"/>
      <c r="L70" s="6">
        <f t="shared" si="41"/>
        <v>0</v>
      </c>
      <c r="M70" s="2"/>
      <c r="N70" s="7">
        <f t="shared" si="42"/>
        <v>0</v>
      </c>
      <c r="O70" s="10"/>
      <c r="P70" s="6"/>
      <c r="Q70" s="2"/>
      <c r="R70" s="7">
        <f t="shared" si="43"/>
        <v>0</v>
      </c>
      <c r="S70" s="2"/>
      <c r="T70" s="6">
        <v>10050</v>
      </c>
      <c r="U70" s="2"/>
      <c r="V70" s="7">
        <f t="shared" si="44"/>
        <v>7.3546704603125331E-4</v>
      </c>
      <c r="W70" s="2"/>
      <c r="X70" s="6">
        <f t="shared" si="45"/>
        <v>-10050</v>
      </c>
      <c r="Y70" s="2"/>
      <c r="Z70" s="7">
        <f t="shared" si="46"/>
        <v>-1</v>
      </c>
    </row>
    <row r="71" spans="1:26" s="23" customFormat="1" hidden="1" outlineLevel="2" x14ac:dyDescent="0.25">
      <c r="A71" s="25"/>
      <c r="B71" s="10" t="str">
        <f>CONCATENATE("          ", "6279", " - ", "GENERAL EXPENSE")</f>
        <v xml:space="preserve">          6279 - GENERAL EXPENSE</v>
      </c>
      <c r="C71" s="10"/>
      <c r="D71" s="6">
        <v>891.32</v>
      </c>
      <c r="E71" s="2"/>
      <c r="F71" s="7">
        <f t="shared" si="39"/>
        <v>5.9795561864074247E-3</v>
      </c>
      <c r="G71" s="2"/>
      <c r="H71" s="6">
        <v>2421.3200000000002</v>
      </c>
      <c r="I71" s="2"/>
      <c r="J71" s="7">
        <f t="shared" si="40"/>
        <v>1.8698932201944921E-3</v>
      </c>
      <c r="K71" s="2"/>
      <c r="L71" s="6">
        <f t="shared" si="41"/>
        <v>-1530</v>
      </c>
      <c r="M71" s="2"/>
      <c r="N71" s="7">
        <f t="shared" si="42"/>
        <v>-0.63188673946442431</v>
      </c>
      <c r="O71" s="10"/>
      <c r="P71" s="6">
        <v>15020.23</v>
      </c>
      <c r="Q71" s="2"/>
      <c r="R71" s="7">
        <f t="shared" si="43"/>
        <v>1.2164857930362859E-2</v>
      </c>
      <c r="S71" s="2"/>
      <c r="T71" s="6">
        <v>83145.03</v>
      </c>
      <c r="U71" s="2"/>
      <c r="V71" s="7">
        <f t="shared" si="44"/>
        <v>6.0846198613213869E-3</v>
      </c>
      <c r="W71" s="2"/>
      <c r="X71" s="6">
        <f t="shared" si="45"/>
        <v>-68124.800000000003</v>
      </c>
      <c r="Y71" s="2"/>
      <c r="Z71" s="7">
        <f t="shared" si="46"/>
        <v>-0.81934903385085078</v>
      </c>
    </row>
    <row r="72" spans="1:26" s="26" customFormat="1" outlineLevel="1" collapsed="1" x14ac:dyDescent="0.25">
      <c r="A72" s="27"/>
      <c r="B72" s="12" t="str">
        <f>CONCATENATE("     ","Insurance                                         ")</f>
        <v xml:space="preserve">     Insurance                                         </v>
      </c>
      <c r="C72" s="12"/>
      <c r="D72" s="1">
        <f>SUM(OSRRefD22_12x_0)</f>
        <v>4246.03</v>
      </c>
      <c r="E72" s="1"/>
      <c r="F72" s="5">
        <f t="shared" ref="F72:F86" si="47">IF(D$12=0,0,D72/D$12)</f>
        <v>2.8485139965636935E-2</v>
      </c>
      <c r="G72" s="1"/>
      <c r="H72" s="1">
        <f>SUM(OSRRefH22_12x_0)</f>
        <v>4246.03</v>
      </c>
      <c r="I72" s="1"/>
      <c r="J72" s="5">
        <f t="shared" ref="J72:J86" si="48">IF(H$12=0,0,H72/H$12)</f>
        <v>3.2790472592397609E-3</v>
      </c>
      <c r="K72" s="1"/>
      <c r="L72" s="1">
        <f t="shared" ref="L72:L86" si="49">+D72-H72</f>
        <v>0</v>
      </c>
      <c r="M72" s="1"/>
      <c r="N72" s="5">
        <f t="shared" ref="N72:N86" si="50">IF(H72=0,0,L72/H72)</f>
        <v>0</v>
      </c>
      <c r="O72" s="12"/>
      <c r="P72" s="1">
        <f>SUM(OSRRefP22_12x_0)</f>
        <v>44326.27</v>
      </c>
      <c r="Q72" s="1"/>
      <c r="R72" s="5">
        <f t="shared" ref="R72:R86" si="51">IF(P$12=0,0,P72/P$12)</f>
        <v>3.5899768321317665E-2</v>
      </c>
      <c r="S72" s="1"/>
      <c r="T72" s="1">
        <f>SUM(OSRRefT22_12x_0)</f>
        <v>43975.27</v>
      </c>
      <c r="U72" s="1"/>
      <c r="V72" s="5">
        <f t="shared" ref="V72:V86" si="52">IF(T$12=0,0,T72/T$12)</f>
        <v>3.2181454652066462E-3</v>
      </c>
      <c r="W72" s="1"/>
      <c r="X72" s="1">
        <f t="shared" ref="X72:X86" si="53">+P72-T72</f>
        <v>351</v>
      </c>
      <c r="Y72" s="1"/>
      <c r="Z72" s="5">
        <f t="shared" ref="Z72:Z86" si="54">IF(T72=0,0,X72/T72)</f>
        <v>7.9817588385472111E-3</v>
      </c>
    </row>
    <row r="73" spans="1:26" s="23" customFormat="1" hidden="1" outlineLevel="2" x14ac:dyDescent="0.25">
      <c r="A73" s="25"/>
      <c r="B73" s="10" t="str">
        <f>CONCATENATE("          ", "6314", " - ", "LIABILITY INSURANCE")</f>
        <v xml:space="preserve">          6314 - LIABILITY INSURANCE</v>
      </c>
      <c r="C73" s="10"/>
      <c r="D73" s="6">
        <v>4246.03</v>
      </c>
      <c r="E73" s="2"/>
      <c r="F73" s="7">
        <f t="shared" si="47"/>
        <v>2.8485139965636935E-2</v>
      </c>
      <c r="G73" s="2"/>
      <c r="H73" s="6">
        <v>4246.03</v>
      </c>
      <c r="I73" s="2"/>
      <c r="J73" s="7">
        <f t="shared" si="48"/>
        <v>3.2790472592397609E-3</v>
      </c>
      <c r="K73" s="2"/>
      <c r="L73" s="6">
        <f t="shared" si="49"/>
        <v>0</v>
      </c>
      <c r="M73" s="2"/>
      <c r="N73" s="7">
        <f t="shared" si="50"/>
        <v>0</v>
      </c>
      <c r="O73" s="10"/>
      <c r="P73" s="6">
        <v>44326.27</v>
      </c>
      <c r="Q73" s="2"/>
      <c r="R73" s="7">
        <f t="shared" si="51"/>
        <v>3.5899768321317665E-2</v>
      </c>
      <c r="S73" s="2"/>
      <c r="T73" s="6">
        <v>43975.27</v>
      </c>
      <c r="U73" s="2"/>
      <c r="V73" s="7">
        <f t="shared" si="52"/>
        <v>3.2181454652066462E-3</v>
      </c>
      <c r="W73" s="2"/>
      <c r="X73" s="6">
        <f t="shared" si="53"/>
        <v>351</v>
      </c>
      <c r="Y73" s="2"/>
      <c r="Z73" s="7">
        <f t="shared" si="54"/>
        <v>7.9817588385472111E-3</v>
      </c>
    </row>
    <row r="74" spans="1:26" s="26" customFormat="1" outlineLevel="1" collapsed="1" x14ac:dyDescent="0.25">
      <c r="A74" s="27"/>
      <c r="B74" s="12" t="str">
        <f>CONCATENATE("     ","Interest                                          ")</f>
        <v xml:space="preserve">     Interest                                          </v>
      </c>
      <c r="C74" s="12"/>
      <c r="D74" s="1">
        <f>SUM(OSRRefD22_13x_0)</f>
        <v>7510</v>
      </c>
      <c r="E74" s="1"/>
      <c r="F74" s="5">
        <f t="shared" si="47"/>
        <v>5.038198061293335E-2</v>
      </c>
      <c r="G74" s="1"/>
      <c r="H74" s="1">
        <f>SUM(OSRRefH22_13x_0)</f>
        <v>7754</v>
      </c>
      <c r="I74" s="1"/>
      <c r="J74" s="5">
        <f t="shared" si="48"/>
        <v>5.9881188894438117E-3</v>
      </c>
      <c r="K74" s="1"/>
      <c r="L74" s="1">
        <f t="shared" si="49"/>
        <v>-244</v>
      </c>
      <c r="M74" s="1"/>
      <c r="N74" s="5">
        <f t="shared" si="50"/>
        <v>-3.1467629610523601E-2</v>
      </c>
      <c r="O74" s="12"/>
      <c r="P74" s="1">
        <f>SUM(OSRRefP22_13x_0)</f>
        <v>67103.149999999994</v>
      </c>
      <c r="Q74" s="1"/>
      <c r="R74" s="5">
        <f t="shared" si="51"/>
        <v>5.4346723480920629E-2</v>
      </c>
      <c r="S74" s="1"/>
      <c r="T74" s="1">
        <f>SUM(OSRRefT22_13x_0)</f>
        <v>69393.05</v>
      </c>
      <c r="U74" s="1"/>
      <c r="V74" s="5">
        <f t="shared" si="52"/>
        <v>5.0782389550844843E-3</v>
      </c>
      <c r="W74" s="1"/>
      <c r="X74" s="1">
        <f t="shared" si="53"/>
        <v>-2289.9000000000087</v>
      </c>
      <c r="Y74" s="1"/>
      <c r="Z74" s="5">
        <f t="shared" si="54"/>
        <v>-3.2998981886514699E-2</v>
      </c>
    </row>
    <row r="75" spans="1:26" s="23" customFormat="1" hidden="1" outlineLevel="2" x14ac:dyDescent="0.25">
      <c r="A75" s="25"/>
      <c r="B75" s="10" t="str">
        <f>CONCATENATE("          ", "6401", " - ", "INTEREST EXPENSE")</f>
        <v xml:space="preserve">          6401 - INTEREST EXPENSE</v>
      </c>
      <c r="C75" s="10"/>
      <c r="D75" s="6">
        <v>7510</v>
      </c>
      <c r="E75" s="2"/>
      <c r="F75" s="7">
        <f t="shared" si="47"/>
        <v>5.038198061293335E-2</v>
      </c>
      <c r="G75" s="2"/>
      <c r="H75" s="6">
        <v>7754</v>
      </c>
      <c r="I75" s="2"/>
      <c r="J75" s="7">
        <f t="shared" si="48"/>
        <v>5.9881188894438117E-3</v>
      </c>
      <c r="K75" s="2"/>
      <c r="L75" s="6">
        <f t="shared" si="49"/>
        <v>-244</v>
      </c>
      <c r="M75" s="2"/>
      <c r="N75" s="7">
        <f t="shared" si="50"/>
        <v>-3.1467629610523601E-2</v>
      </c>
      <c r="O75" s="10"/>
      <c r="P75" s="6">
        <v>67103.149999999994</v>
      </c>
      <c r="Q75" s="2"/>
      <c r="R75" s="7">
        <f t="shared" si="51"/>
        <v>5.4346723480920629E-2</v>
      </c>
      <c r="S75" s="2"/>
      <c r="T75" s="6">
        <v>69393.05</v>
      </c>
      <c r="U75" s="2"/>
      <c r="V75" s="7">
        <f t="shared" si="52"/>
        <v>5.0782389550844843E-3</v>
      </c>
      <c r="W75" s="2"/>
      <c r="X75" s="6">
        <f t="shared" si="53"/>
        <v>-2289.9000000000087</v>
      </c>
      <c r="Y75" s="2"/>
      <c r="Z75" s="7">
        <f t="shared" si="54"/>
        <v>-3.2998981886514699E-2</v>
      </c>
    </row>
    <row r="76" spans="1:26" s="26" customFormat="1" outlineLevel="1" collapsed="1" x14ac:dyDescent="0.25">
      <c r="A76" s="27"/>
      <c r="B76" s="12" t="str">
        <f>CONCATENATE("     ","Professional Services                             ")</f>
        <v xml:space="preserve">     Professional Services                             </v>
      </c>
      <c r="C76" s="12"/>
      <c r="D76" s="1">
        <f>SUM(OSRRefD22_14x_0)</f>
        <v>0</v>
      </c>
      <c r="E76" s="1"/>
      <c r="F76" s="5">
        <f t="shared" si="47"/>
        <v>0</v>
      </c>
      <c r="G76" s="1"/>
      <c r="H76" s="1">
        <f>SUM(OSRRefH22_14x_0)</f>
        <v>0</v>
      </c>
      <c r="I76" s="1"/>
      <c r="J76" s="5">
        <f t="shared" si="48"/>
        <v>0</v>
      </c>
      <c r="K76" s="1"/>
      <c r="L76" s="1">
        <f t="shared" si="49"/>
        <v>0</v>
      </c>
      <c r="M76" s="1"/>
      <c r="N76" s="5">
        <f t="shared" si="50"/>
        <v>0</v>
      </c>
      <c r="O76" s="12"/>
      <c r="P76" s="1">
        <f>SUM(OSRRefP22_14x_0)</f>
        <v>0</v>
      </c>
      <c r="Q76" s="1"/>
      <c r="R76" s="5">
        <f t="shared" si="51"/>
        <v>0</v>
      </c>
      <c r="S76" s="1"/>
      <c r="T76" s="1">
        <f>SUM(OSRRefT22_14x_0)</f>
        <v>125</v>
      </c>
      <c r="U76" s="1"/>
      <c r="V76" s="5">
        <f t="shared" si="52"/>
        <v>9.1476000750155895E-6</v>
      </c>
      <c r="W76" s="1"/>
      <c r="X76" s="1">
        <f t="shared" si="53"/>
        <v>-125</v>
      </c>
      <c r="Y76" s="1"/>
      <c r="Z76" s="5">
        <f t="shared" si="54"/>
        <v>-1</v>
      </c>
    </row>
    <row r="77" spans="1:26" s="23" customFormat="1" hidden="1" outlineLevel="2" x14ac:dyDescent="0.25">
      <c r="A77" s="25"/>
      <c r="B77" s="10" t="str">
        <f>CONCATENATE("          ", "6336", " - ", "PROFESSIONAL SERVICES")</f>
        <v xml:space="preserve">          6336 - PROFESSIONAL SERVICES</v>
      </c>
      <c r="C77" s="10"/>
      <c r="D77" s="6"/>
      <c r="E77" s="2"/>
      <c r="F77" s="7">
        <f t="shared" si="47"/>
        <v>0</v>
      </c>
      <c r="G77" s="2"/>
      <c r="H77" s="6"/>
      <c r="I77" s="2"/>
      <c r="J77" s="7">
        <f t="shared" si="48"/>
        <v>0</v>
      </c>
      <c r="K77" s="2"/>
      <c r="L77" s="6">
        <f t="shared" si="49"/>
        <v>0</v>
      </c>
      <c r="M77" s="2"/>
      <c r="N77" s="7">
        <f t="shared" si="50"/>
        <v>0</v>
      </c>
      <c r="O77" s="10"/>
      <c r="P77" s="6"/>
      <c r="Q77" s="2"/>
      <c r="R77" s="7">
        <f t="shared" si="51"/>
        <v>0</v>
      </c>
      <c r="S77" s="2"/>
      <c r="T77" s="6">
        <v>125</v>
      </c>
      <c r="U77" s="2"/>
      <c r="V77" s="7">
        <f t="shared" si="52"/>
        <v>9.1476000750155895E-6</v>
      </c>
      <c r="W77" s="2"/>
      <c r="X77" s="6">
        <f t="shared" si="53"/>
        <v>-125</v>
      </c>
      <c r="Y77" s="2"/>
      <c r="Z77" s="7">
        <f t="shared" si="54"/>
        <v>-1</v>
      </c>
    </row>
    <row r="78" spans="1:26" s="26" customFormat="1" outlineLevel="1" collapsed="1" x14ac:dyDescent="0.25">
      <c r="A78" s="27"/>
      <c r="B78" s="12" t="str">
        <f>CONCATENATE("     ","R/H Commissions                                   ")</f>
        <v xml:space="preserve">     R/H Commissions                                   </v>
      </c>
      <c r="C78" s="12"/>
      <c r="D78" s="1">
        <f>SUM(OSRRefD22_15x_0)</f>
        <v>6756.75</v>
      </c>
      <c r="E78" s="1"/>
      <c r="F78" s="5">
        <f t="shared" si="47"/>
        <v>4.5328688083413775E-2</v>
      </c>
      <c r="G78" s="1"/>
      <c r="H78" s="1">
        <f>SUM(OSRRefH22_15x_0)</f>
        <v>76497.149999999994</v>
      </c>
      <c r="I78" s="1"/>
      <c r="J78" s="5">
        <f t="shared" si="48"/>
        <v>5.9075835556308569E-2</v>
      </c>
      <c r="K78" s="1"/>
      <c r="L78" s="1">
        <f t="shared" si="49"/>
        <v>-69740.399999999994</v>
      </c>
      <c r="M78" s="1"/>
      <c r="N78" s="5">
        <f t="shared" si="50"/>
        <v>-0.911673179981215</v>
      </c>
      <c r="O78" s="12"/>
      <c r="P78" s="1">
        <f>SUM(OSRRefP22_15x_0)</f>
        <v>59012.6</v>
      </c>
      <c r="Q78" s="1"/>
      <c r="R78" s="5">
        <f t="shared" si="51"/>
        <v>4.7794201227366773E-2</v>
      </c>
      <c r="S78" s="1"/>
      <c r="T78" s="1">
        <f>SUM(OSRRefT22_15x_0)</f>
        <v>702548.43</v>
      </c>
      <c r="U78" s="1"/>
      <c r="V78" s="5">
        <f t="shared" si="52"/>
        <v>5.1413056567760677E-2</v>
      </c>
      <c r="W78" s="1"/>
      <c r="X78" s="1">
        <f t="shared" si="53"/>
        <v>-643535.83000000007</v>
      </c>
      <c r="Y78" s="1"/>
      <c r="Z78" s="5">
        <f t="shared" si="54"/>
        <v>-0.91600208970647057</v>
      </c>
    </row>
    <row r="79" spans="1:26" s="23" customFormat="1" hidden="1" outlineLevel="2" x14ac:dyDescent="0.25">
      <c r="A79" s="25"/>
      <c r="B79" s="10" t="str">
        <f>CONCATENATE("          ", "6387", " - ", "COMMISSION DUE HOUSING")</f>
        <v xml:space="preserve">          6387 - COMMISSION DUE HOUSING</v>
      </c>
      <c r="C79" s="10"/>
      <c r="D79" s="6">
        <v>6756.75</v>
      </c>
      <c r="E79" s="2"/>
      <c r="F79" s="7">
        <f t="shared" si="47"/>
        <v>4.5328688083413775E-2</v>
      </c>
      <c r="G79" s="2"/>
      <c r="H79" s="6">
        <v>76497.149999999994</v>
      </c>
      <c r="I79" s="2"/>
      <c r="J79" s="7">
        <f t="shared" si="48"/>
        <v>5.9075835556308569E-2</v>
      </c>
      <c r="K79" s="2"/>
      <c r="L79" s="6">
        <f t="shared" si="49"/>
        <v>-69740.399999999994</v>
      </c>
      <c r="M79" s="2"/>
      <c r="N79" s="7">
        <f t="shared" si="50"/>
        <v>-0.911673179981215</v>
      </c>
      <c r="O79" s="10"/>
      <c r="P79" s="6">
        <v>59012.6</v>
      </c>
      <c r="Q79" s="2"/>
      <c r="R79" s="7">
        <f t="shared" si="51"/>
        <v>4.7794201227366773E-2</v>
      </c>
      <c r="S79" s="2"/>
      <c r="T79" s="6">
        <v>702548.43</v>
      </c>
      <c r="U79" s="2"/>
      <c r="V79" s="7">
        <f t="shared" si="52"/>
        <v>5.1413056567760677E-2</v>
      </c>
      <c r="W79" s="2"/>
      <c r="X79" s="6">
        <f t="shared" si="53"/>
        <v>-643535.83000000007</v>
      </c>
      <c r="Y79" s="2"/>
      <c r="Z79" s="7">
        <f t="shared" si="54"/>
        <v>-0.91600208970647057</v>
      </c>
    </row>
    <row r="80" spans="1:26" s="26" customFormat="1" outlineLevel="1" collapsed="1" x14ac:dyDescent="0.25">
      <c r="A80" s="27"/>
      <c r="B80" s="12" t="str">
        <f>CONCATENATE("     ","Rent                                              ")</f>
        <v xml:space="preserve">     Rent                                              </v>
      </c>
      <c r="C80" s="12"/>
      <c r="D80" s="1">
        <f>SUM(OSRRefD22_16x_0)</f>
        <v>0</v>
      </c>
      <c r="E80" s="1"/>
      <c r="F80" s="5">
        <f t="shared" si="47"/>
        <v>0</v>
      </c>
      <c r="G80" s="1"/>
      <c r="H80" s="1">
        <f>SUM(OSRRefH22_16x_0)</f>
        <v>1850</v>
      </c>
      <c r="I80" s="1"/>
      <c r="J80" s="5">
        <f t="shared" si="48"/>
        <v>1.4286845428773602E-3</v>
      </c>
      <c r="K80" s="1"/>
      <c r="L80" s="1">
        <f t="shared" si="49"/>
        <v>-1850</v>
      </c>
      <c r="M80" s="1"/>
      <c r="N80" s="5">
        <f t="shared" si="50"/>
        <v>-1</v>
      </c>
      <c r="O80" s="12"/>
      <c r="P80" s="1">
        <f>SUM(OSRRefP22_16x_0)</f>
        <v>11100</v>
      </c>
      <c r="Q80" s="1"/>
      <c r="R80" s="5">
        <f t="shared" si="51"/>
        <v>8.9898705297473958E-3</v>
      </c>
      <c r="S80" s="1"/>
      <c r="T80" s="1">
        <f>SUM(OSRRefT22_16x_0)</f>
        <v>16650</v>
      </c>
      <c r="U80" s="1"/>
      <c r="V80" s="5">
        <f t="shared" si="52"/>
        <v>1.2184603299920764E-3</v>
      </c>
      <c r="W80" s="1"/>
      <c r="X80" s="1">
        <f t="shared" si="53"/>
        <v>-5550</v>
      </c>
      <c r="Y80" s="1"/>
      <c r="Z80" s="5">
        <f t="shared" si="54"/>
        <v>-0.33333333333333331</v>
      </c>
    </row>
    <row r="81" spans="1:26" s="23" customFormat="1" hidden="1" outlineLevel="2" x14ac:dyDescent="0.25">
      <c r="A81" s="25"/>
      <c r="B81" s="10" t="str">
        <f>CONCATENATE("          ", "6273", " - ", "RENT")</f>
        <v xml:space="preserve">          6273 - RENT</v>
      </c>
      <c r="C81" s="10"/>
      <c r="D81" s="6"/>
      <c r="E81" s="2"/>
      <c r="F81" s="7">
        <f t="shared" si="47"/>
        <v>0</v>
      </c>
      <c r="G81" s="2"/>
      <c r="H81" s="6">
        <v>1850</v>
      </c>
      <c r="I81" s="2"/>
      <c r="J81" s="7">
        <f t="shared" si="48"/>
        <v>1.4286845428773602E-3</v>
      </c>
      <c r="K81" s="2"/>
      <c r="L81" s="6">
        <f t="shared" si="49"/>
        <v>-1850</v>
      </c>
      <c r="M81" s="2"/>
      <c r="N81" s="7">
        <f t="shared" si="50"/>
        <v>-1</v>
      </c>
      <c r="O81" s="10"/>
      <c r="P81" s="6">
        <v>11100</v>
      </c>
      <c r="Q81" s="2"/>
      <c r="R81" s="7">
        <f t="shared" si="51"/>
        <v>8.9898705297473958E-3</v>
      </c>
      <c r="S81" s="2"/>
      <c r="T81" s="6">
        <v>16650</v>
      </c>
      <c r="U81" s="2"/>
      <c r="V81" s="7">
        <f t="shared" si="52"/>
        <v>1.2184603299920764E-3</v>
      </c>
      <c r="W81" s="2"/>
      <c r="X81" s="6">
        <f t="shared" si="53"/>
        <v>-5550</v>
      </c>
      <c r="Y81" s="2"/>
      <c r="Z81" s="7">
        <f t="shared" si="54"/>
        <v>-0.33333333333333331</v>
      </c>
    </row>
    <row r="82" spans="1:26" s="26" customFormat="1" outlineLevel="1" collapsed="1" x14ac:dyDescent="0.25">
      <c r="A82" s="27"/>
      <c r="B82" s="12" t="str">
        <f>CONCATENATE("     ","Repair and Maintenance                            ")</f>
        <v xml:space="preserve">     Repair and Maintenance                            </v>
      </c>
      <c r="C82" s="12"/>
      <c r="D82" s="1">
        <f>SUM(OSRRefD22_17x_0)</f>
        <v>20791.330000000002</v>
      </c>
      <c r="E82" s="1"/>
      <c r="F82" s="5">
        <f t="shared" si="47"/>
        <v>0.13948180891838877</v>
      </c>
      <c r="G82" s="1"/>
      <c r="H82" s="1">
        <f>SUM(OSRRefH22_17x_0)</f>
        <v>12563.869999999999</v>
      </c>
      <c r="I82" s="1"/>
      <c r="J82" s="5">
        <f t="shared" si="48"/>
        <v>9.7025983068759897E-3</v>
      </c>
      <c r="K82" s="1"/>
      <c r="L82" s="1">
        <f t="shared" si="49"/>
        <v>8227.4600000000028</v>
      </c>
      <c r="M82" s="1"/>
      <c r="N82" s="5">
        <f t="shared" si="50"/>
        <v>0.65485077448270346</v>
      </c>
      <c r="O82" s="12"/>
      <c r="P82" s="1">
        <f>SUM(OSRRefP22_17x_0)</f>
        <v>60855.119999999995</v>
      </c>
      <c r="Q82" s="1"/>
      <c r="R82" s="5">
        <f t="shared" si="51"/>
        <v>4.9286454943445163E-2</v>
      </c>
      <c r="S82" s="1"/>
      <c r="T82" s="1">
        <f>SUM(OSRRefT22_17x_0)</f>
        <v>267332.63</v>
      </c>
      <c r="U82" s="1"/>
      <c r="V82" s="5">
        <f t="shared" si="52"/>
        <v>1.9563615889936919E-2</v>
      </c>
      <c r="W82" s="1"/>
      <c r="X82" s="1">
        <f t="shared" si="53"/>
        <v>-206477.51</v>
      </c>
      <c r="Y82" s="1"/>
      <c r="Z82" s="5">
        <f t="shared" si="54"/>
        <v>-0.77236179511644354</v>
      </c>
    </row>
    <row r="83" spans="1:26" s="23" customFormat="1" hidden="1" outlineLevel="2" x14ac:dyDescent="0.25">
      <c r="A83" s="25"/>
      <c r="B83" s="10" t="str">
        <f>CONCATENATE("          ", "6371", " - ", "COMPUTER SOFTWARE MAINTENANCE")</f>
        <v xml:space="preserve">          6371 - COMPUTER SOFTWARE MAINTENANCE</v>
      </c>
      <c r="C83" s="10"/>
      <c r="D83" s="6">
        <v>3500</v>
      </c>
      <c r="E83" s="2"/>
      <c r="F83" s="7">
        <f t="shared" si="47"/>
        <v>2.3480283907492242E-2</v>
      </c>
      <c r="G83" s="2"/>
      <c r="H83" s="6"/>
      <c r="I83" s="2"/>
      <c r="J83" s="7">
        <f t="shared" si="48"/>
        <v>0</v>
      </c>
      <c r="K83" s="2"/>
      <c r="L83" s="6">
        <f t="shared" si="49"/>
        <v>3500</v>
      </c>
      <c r="M83" s="2"/>
      <c r="N83" s="7">
        <f t="shared" si="50"/>
        <v>0</v>
      </c>
      <c r="O83" s="10"/>
      <c r="P83" s="6">
        <v>14702.27</v>
      </c>
      <c r="Q83" s="2"/>
      <c r="R83" s="7">
        <f t="shared" si="51"/>
        <v>1.1907342684089122E-2</v>
      </c>
      <c r="S83" s="2"/>
      <c r="T83" s="6">
        <v>73995.62</v>
      </c>
      <c r="U83" s="2"/>
      <c r="V83" s="7">
        <f t="shared" si="52"/>
        <v>5.4150587125025998E-3</v>
      </c>
      <c r="W83" s="2"/>
      <c r="X83" s="6">
        <f t="shared" si="53"/>
        <v>-59293.349999999991</v>
      </c>
      <c r="Y83" s="2"/>
      <c r="Z83" s="7">
        <f t="shared" si="54"/>
        <v>-0.80130891531147375</v>
      </c>
    </row>
    <row r="84" spans="1:26" s="23" customFormat="1" hidden="1" outlineLevel="2" x14ac:dyDescent="0.25">
      <c r="A84" s="25"/>
      <c r="B84" s="10" t="str">
        <f>CONCATENATE("          ", "6372", " - ", "COMPUTER HARDWARE MAINTENANCE")</f>
        <v xml:space="preserve">          6372 - COMPUTER HARDWARE MAINTENANCE</v>
      </c>
      <c r="C84" s="10"/>
      <c r="D84" s="6">
        <v>100</v>
      </c>
      <c r="E84" s="2"/>
      <c r="F84" s="7">
        <f t="shared" si="47"/>
        <v>6.7086525449977833E-4</v>
      </c>
      <c r="G84" s="2"/>
      <c r="H84" s="6"/>
      <c r="I84" s="2"/>
      <c r="J84" s="7">
        <f t="shared" si="48"/>
        <v>0</v>
      </c>
      <c r="K84" s="2"/>
      <c r="L84" s="6">
        <f t="shared" si="49"/>
        <v>100</v>
      </c>
      <c r="M84" s="2"/>
      <c r="N84" s="7">
        <f t="shared" si="50"/>
        <v>0</v>
      </c>
      <c r="O84" s="10"/>
      <c r="P84" s="6">
        <v>100</v>
      </c>
      <c r="Q84" s="2"/>
      <c r="R84" s="7">
        <f t="shared" si="51"/>
        <v>8.0989824592318885E-5</v>
      </c>
      <c r="S84" s="2"/>
      <c r="T84" s="6">
        <v>-0.01</v>
      </c>
      <c r="U84" s="2"/>
      <c r="V84" s="7">
        <f t="shared" si="52"/>
        <v>-7.3180800600124711E-10</v>
      </c>
      <c r="W84" s="2"/>
      <c r="X84" s="6">
        <f t="shared" si="53"/>
        <v>100.01</v>
      </c>
      <c r="Y84" s="2"/>
      <c r="Z84" s="7">
        <f t="shared" si="54"/>
        <v>-10001</v>
      </c>
    </row>
    <row r="85" spans="1:26" s="23" customFormat="1" hidden="1" outlineLevel="2" x14ac:dyDescent="0.25">
      <c r="A85" s="25"/>
      <c r="B85" s="10" t="str">
        <f>CONCATENATE("          ", "6373", " - ", "MAINTENANCE CONTRACTS")</f>
        <v xml:space="preserve">          6373 - MAINTENANCE CONTRACTS</v>
      </c>
      <c r="C85" s="10"/>
      <c r="D85" s="6">
        <v>7443.98</v>
      </c>
      <c r="E85" s="2"/>
      <c r="F85" s="7">
        <f t="shared" si="47"/>
        <v>4.9939075371912597E-2</v>
      </c>
      <c r="G85" s="2"/>
      <c r="H85" s="6">
        <v>7924.47</v>
      </c>
      <c r="I85" s="2"/>
      <c r="J85" s="7">
        <f t="shared" si="48"/>
        <v>6.1197663781055976E-3</v>
      </c>
      <c r="K85" s="2"/>
      <c r="L85" s="6">
        <f t="shared" si="49"/>
        <v>-480.49000000000069</v>
      </c>
      <c r="M85" s="2"/>
      <c r="N85" s="7">
        <f t="shared" si="50"/>
        <v>-6.063370799561367E-2</v>
      </c>
      <c r="O85" s="10"/>
      <c r="P85" s="6">
        <v>21450.87</v>
      </c>
      <c r="Q85" s="2"/>
      <c r="R85" s="7">
        <f t="shared" si="51"/>
        <v>1.7373021986526353E-2</v>
      </c>
      <c r="S85" s="2"/>
      <c r="T85" s="6">
        <v>80376.990000000005</v>
      </c>
      <c r="U85" s="2"/>
      <c r="V85" s="7">
        <f t="shared" si="52"/>
        <v>5.8820524780282182E-3</v>
      </c>
      <c r="W85" s="2"/>
      <c r="X85" s="6">
        <f t="shared" si="53"/>
        <v>-58926.12000000001</v>
      </c>
      <c r="Y85" s="2"/>
      <c r="Z85" s="7">
        <f t="shared" si="54"/>
        <v>-0.73312175536804758</v>
      </c>
    </row>
    <row r="86" spans="1:26" s="23" customFormat="1" hidden="1" outlineLevel="2" x14ac:dyDescent="0.25">
      <c r="A86" s="25"/>
      <c r="B86" s="10" t="str">
        <f>CONCATENATE("          ", "6375", " - ", "OUTSIDE REPAIRS &amp; MAINTENANCE")</f>
        <v xml:space="preserve">          6375 - OUTSIDE REPAIRS &amp; MAINTENANCE</v>
      </c>
      <c r="C86" s="10"/>
      <c r="D86" s="6">
        <v>9747.35</v>
      </c>
      <c r="E86" s="2"/>
      <c r="F86" s="7">
        <f t="shared" si="47"/>
        <v>6.5391584384484142E-2</v>
      </c>
      <c r="G86" s="2"/>
      <c r="H86" s="6">
        <v>4639.3999999999996</v>
      </c>
      <c r="I86" s="2"/>
      <c r="J86" s="7">
        <f t="shared" si="48"/>
        <v>3.5828319287703916E-3</v>
      </c>
      <c r="K86" s="2"/>
      <c r="L86" s="6">
        <f t="shared" si="49"/>
        <v>5107.9500000000007</v>
      </c>
      <c r="M86" s="2"/>
      <c r="N86" s="7">
        <f t="shared" si="50"/>
        <v>1.1009936629736605</v>
      </c>
      <c r="O86" s="10"/>
      <c r="P86" s="6">
        <v>24601.98</v>
      </c>
      <c r="Q86" s="2"/>
      <c r="R86" s="7">
        <f t="shared" si="51"/>
        <v>1.9925100448237375E-2</v>
      </c>
      <c r="S86" s="2"/>
      <c r="T86" s="6">
        <v>112960.03</v>
      </c>
      <c r="U86" s="2"/>
      <c r="V86" s="7">
        <f t="shared" si="52"/>
        <v>8.2665054312141047E-3</v>
      </c>
      <c r="W86" s="2"/>
      <c r="X86" s="6">
        <f t="shared" si="53"/>
        <v>-88358.05</v>
      </c>
      <c r="Y86" s="2"/>
      <c r="Z86" s="7">
        <f t="shared" si="54"/>
        <v>-0.78220632554718694</v>
      </c>
    </row>
    <row r="87" spans="1:26" s="26" customFormat="1" outlineLevel="1" collapsed="1" x14ac:dyDescent="0.25">
      <c r="A87" s="27"/>
      <c r="B87" s="12" t="str">
        <f>CONCATENATE("     ","Royalty &amp; Commissions                             ")</f>
        <v xml:space="preserve">     Royalty &amp; Commissions                             </v>
      </c>
      <c r="C87" s="12"/>
      <c r="D87" s="1">
        <f>SUM(OSRRefD22_18x_0)</f>
        <v>0</v>
      </c>
      <c r="E87" s="1"/>
      <c r="F87" s="5">
        <f t="shared" ref="F87:F89" si="55">IF(D$12=0,0,D87/D$12)</f>
        <v>0</v>
      </c>
      <c r="G87" s="1"/>
      <c r="H87" s="1">
        <f>SUM(OSRRefH22_18x_0)</f>
        <v>16959.82</v>
      </c>
      <c r="I87" s="1"/>
      <c r="J87" s="5">
        <f t="shared" ref="J87:J89" si="56">IF(H$12=0,0,H87/H$12)</f>
        <v>1.3097423072422872E-2</v>
      </c>
      <c r="K87" s="1"/>
      <c r="L87" s="1">
        <f t="shared" ref="L87:L89" si="57">+D87-H87</f>
        <v>-16959.82</v>
      </c>
      <c r="M87" s="1"/>
      <c r="N87" s="5">
        <f t="shared" ref="N87:N89" si="58">IF(H87=0,0,L87/H87)</f>
        <v>-1</v>
      </c>
      <c r="O87" s="12"/>
      <c r="P87" s="1">
        <f>SUM(OSRRefP22_18x_0)</f>
        <v>0</v>
      </c>
      <c r="Q87" s="1"/>
      <c r="R87" s="5">
        <f t="shared" ref="R87:R89" si="59">IF(P$12=0,0,P87/P$12)</f>
        <v>0</v>
      </c>
      <c r="S87" s="1"/>
      <c r="T87" s="1">
        <f>SUM(OSRRefT22_18x_0)</f>
        <v>233763.47</v>
      </c>
      <c r="U87" s="1"/>
      <c r="V87" s="5">
        <f t="shared" ref="V87:V89" si="60">IF(T$12=0,0,T87/T$12)</f>
        <v>1.7106997885663236E-2</v>
      </c>
      <c r="W87" s="1"/>
      <c r="X87" s="1">
        <f t="shared" ref="X87:X89" si="61">+P87-T87</f>
        <v>-233763.47</v>
      </c>
      <c r="Y87" s="1"/>
      <c r="Z87" s="5">
        <f t="shared" ref="Z87:Z89" si="62">IF(T87=0,0,X87/T87)</f>
        <v>-1</v>
      </c>
    </row>
    <row r="88" spans="1:26" s="23" customFormat="1" hidden="1" outlineLevel="2" x14ac:dyDescent="0.25">
      <c r="A88" s="25"/>
      <c r="B88" s="10" t="str">
        <f>CONCATENATE("          ", "6254", " - ", "ROYALTY &amp; COMMISSIONS")</f>
        <v xml:space="preserve">          6254 - ROYALTY &amp; COMMISSIONS</v>
      </c>
      <c r="C88" s="10"/>
      <c r="D88" s="6"/>
      <c r="E88" s="2"/>
      <c r="F88" s="7">
        <f t="shared" si="55"/>
        <v>0</v>
      </c>
      <c r="G88" s="2"/>
      <c r="H88" s="6">
        <v>10002.02</v>
      </c>
      <c r="I88" s="2"/>
      <c r="J88" s="7">
        <f t="shared" si="56"/>
        <v>7.7241791197568731E-3</v>
      </c>
      <c r="K88" s="2"/>
      <c r="L88" s="6">
        <f t="shared" si="57"/>
        <v>-10002.02</v>
      </c>
      <c r="M88" s="2"/>
      <c r="N88" s="7">
        <f t="shared" si="58"/>
        <v>-1</v>
      </c>
      <c r="O88" s="10"/>
      <c r="P88" s="6"/>
      <c r="Q88" s="2"/>
      <c r="R88" s="7">
        <f t="shared" si="59"/>
        <v>0</v>
      </c>
      <c r="S88" s="2"/>
      <c r="T88" s="6">
        <v>129093.51</v>
      </c>
      <c r="U88" s="2"/>
      <c r="V88" s="7">
        <f t="shared" si="60"/>
        <v>9.4471664140802058E-3</v>
      </c>
      <c r="W88" s="2"/>
      <c r="X88" s="6">
        <f t="shared" si="61"/>
        <v>-129093.51</v>
      </c>
      <c r="Y88" s="2"/>
      <c r="Z88" s="7">
        <f t="shared" si="62"/>
        <v>-1</v>
      </c>
    </row>
    <row r="89" spans="1:26" s="23" customFormat="1" hidden="1" outlineLevel="2" x14ac:dyDescent="0.25">
      <c r="A89" s="25"/>
      <c r="B89" s="10" t="str">
        <f>CONCATENATE("          ", "6259", " - ", "ROYALTY &amp; COMMISSIONS")</f>
        <v xml:space="preserve">          6259 - ROYALTY &amp; COMMISSIONS</v>
      </c>
      <c r="C89" s="10"/>
      <c r="D89" s="6"/>
      <c r="E89" s="2"/>
      <c r="F89" s="7">
        <f t="shared" si="55"/>
        <v>0</v>
      </c>
      <c r="G89" s="2"/>
      <c r="H89" s="6">
        <v>6957.8</v>
      </c>
      <c r="I89" s="2"/>
      <c r="J89" s="7">
        <f t="shared" si="56"/>
        <v>5.3732439526659988E-3</v>
      </c>
      <c r="K89" s="2"/>
      <c r="L89" s="6">
        <f t="shared" si="57"/>
        <v>-6957.8</v>
      </c>
      <c r="M89" s="2"/>
      <c r="N89" s="7">
        <f t="shared" si="58"/>
        <v>-1</v>
      </c>
      <c r="O89" s="10"/>
      <c r="P89" s="6"/>
      <c r="Q89" s="2"/>
      <c r="R89" s="7">
        <f t="shared" si="59"/>
        <v>0</v>
      </c>
      <c r="S89" s="2"/>
      <c r="T89" s="6">
        <v>104669.96</v>
      </c>
      <c r="U89" s="2"/>
      <c r="V89" s="7">
        <f t="shared" si="60"/>
        <v>7.6598314715830302E-3</v>
      </c>
      <c r="W89" s="2"/>
      <c r="X89" s="6">
        <f t="shared" si="61"/>
        <v>-104669.96</v>
      </c>
      <c r="Y89" s="2"/>
      <c r="Z89" s="7">
        <f t="shared" si="62"/>
        <v>-1</v>
      </c>
    </row>
    <row r="90" spans="1:26" s="26" customFormat="1" outlineLevel="1" collapsed="1" x14ac:dyDescent="0.25">
      <c r="A90" s="27"/>
      <c r="B90" s="12" t="str">
        <f>CONCATENATE("     ","Services                                          ")</f>
        <v xml:space="preserve">     Services                                          </v>
      </c>
      <c r="C90" s="12"/>
      <c r="D90" s="1">
        <f>SUM(OSRRefD22_19x_0)</f>
        <v>9446.7899999999991</v>
      </c>
      <c r="E90" s="1"/>
      <c r="F90" s="5">
        <f t="shared" ref="F90:F95" si="63">IF(D$12=0,0,D90/D$12)</f>
        <v>6.3375231775559607E-2</v>
      </c>
      <c r="G90" s="1"/>
      <c r="H90" s="1">
        <f>SUM(OSRRefH22_19x_0)</f>
        <v>48094.879999999997</v>
      </c>
      <c r="I90" s="1"/>
      <c r="J90" s="5">
        <f t="shared" ref="J90:J95" si="64">IF(H$12=0,0,H90/H$12)</f>
        <v>3.7141844133806216E-2</v>
      </c>
      <c r="K90" s="1"/>
      <c r="L90" s="1">
        <f t="shared" ref="L90:L95" si="65">+D90-H90</f>
        <v>-38648.089999999997</v>
      </c>
      <c r="M90" s="1"/>
      <c r="N90" s="5">
        <f t="shared" ref="N90:N95" si="66">IF(H90=0,0,L90/H90)</f>
        <v>-0.80358013160652442</v>
      </c>
      <c r="O90" s="12"/>
      <c r="P90" s="1">
        <f>SUM(OSRRefP22_19x_0)</f>
        <v>148651.85999999999</v>
      </c>
      <c r="Q90" s="1"/>
      <c r="R90" s="5">
        <f t="shared" ref="R90:R95" si="67">IF(P$12=0,0,P90/P$12)</f>
        <v>0.12039288066721943</v>
      </c>
      <c r="S90" s="1"/>
      <c r="T90" s="1">
        <f>SUM(OSRRefT22_19x_0)</f>
        <v>378221.94</v>
      </c>
      <c r="U90" s="1"/>
      <c r="V90" s="5">
        <f t="shared" ref="V90:V95" si="68">IF(T$12=0,0,T90/T$12)</f>
        <v>2.7678584373732332E-2</v>
      </c>
      <c r="W90" s="1"/>
      <c r="X90" s="1">
        <f t="shared" ref="X90:X95" si="69">+P90-T90</f>
        <v>-229570.08000000002</v>
      </c>
      <c r="Y90" s="1"/>
      <c r="Z90" s="5">
        <f t="shared" ref="Z90:Z95" si="70">IF(T90=0,0,X90/T90)</f>
        <v>-0.6069718747674977</v>
      </c>
    </row>
    <row r="91" spans="1:26" s="23" customFormat="1" hidden="1" outlineLevel="2" x14ac:dyDescent="0.25">
      <c r="A91" s="25"/>
      <c r="B91" s="10" t="str">
        <f>CONCATENATE("          ", "6282", " - ", "JANITORIAL/EXTERMINATOR EXPENS")</f>
        <v xml:space="preserve">          6282 - JANITORIAL/EXTERMINATOR EXPENS</v>
      </c>
      <c r="C91" s="10"/>
      <c r="D91" s="6">
        <v>3759</v>
      </c>
      <c r="E91" s="2"/>
      <c r="F91" s="7">
        <f t="shared" si="63"/>
        <v>2.5217824916646668E-2</v>
      </c>
      <c r="G91" s="2"/>
      <c r="H91" s="6">
        <v>2617.14</v>
      </c>
      <c r="I91" s="2"/>
      <c r="J91" s="7">
        <f t="shared" si="64"/>
        <v>2.0211175484032727E-3</v>
      </c>
      <c r="K91" s="2"/>
      <c r="L91" s="6">
        <f t="shared" si="65"/>
        <v>1141.8600000000001</v>
      </c>
      <c r="M91" s="2"/>
      <c r="N91" s="7">
        <f t="shared" si="66"/>
        <v>0.43630069465141347</v>
      </c>
      <c r="O91" s="10"/>
      <c r="P91" s="6">
        <v>20500.02</v>
      </c>
      <c r="Q91" s="2"/>
      <c r="R91" s="7">
        <f t="shared" si="67"/>
        <v>1.6602930239390291E-2</v>
      </c>
      <c r="S91" s="2"/>
      <c r="T91" s="6">
        <v>27959.97</v>
      </c>
      <c r="U91" s="2"/>
      <c r="V91" s="7">
        <f t="shared" si="68"/>
        <v>2.0461329893554691E-3</v>
      </c>
      <c r="W91" s="2"/>
      <c r="X91" s="6">
        <f t="shared" si="69"/>
        <v>-7459.9500000000007</v>
      </c>
      <c r="Y91" s="2"/>
      <c r="Z91" s="7">
        <f t="shared" si="70"/>
        <v>-0.2668082261890839</v>
      </c>
    </row>
    <row r="92" spans="1:26" s="23" customFormat="1" hidden="1" outlineLevel="2" x14ac:dyDescent="0.25">
      <c r="A92" s="25"/>
      <c r="B92" s="10" t="str">
        <f>CONCATENATE("          ", "6283", " - ", "PLANT SERVICE")</f>
        <v xml:space="preserve">          6283 - PLANT SERVICE</v>
      </c>
      <c r="C92" s="10"/>
      <c r="D92" s="6"/>
      <c r="E92" s="2"/>
      <c r="F92" s="7">
        <f t="shared" si="63"/>
        <v>0</v>
      </c>
      <c r="G92" s="2"/>
      <c r="H92" s="6">
        <v>399.56</v>
      </c>
      <c r="I92" s="2"/>
      <c r="J92" s="7">
        <f t="shared" si="64"/>
        <v>3.0856497078490705E-4</v>
      </c>
      <c r="K92" s="2"/>
      <c r="L92" s="6">
        <f t="shared" si="65"/>
        <v>-399.56</v>
      </c>
      <c r="M92" s="2"/>
      <c r="N92" s="7">
        <f t="shared" si="66"/>
        <v>-1</v>
      </c>
      <c r="O92" s="10"/>
      <c r="P92" s="6"/>
      <c r="Q92" s="2"/>
      <c r="R92" s="7">
        <f t="shared" si="67"/>
        <v>0</v>
      </c>
      <c r="S92" s="2"/>
      <c r="T92" s="6">
        <v>1398.46</v>
      </c>
      <c r="U92" s="2"/>
      <c r="V92" s="7">
        <f t="shared" si="68"/>
        <v>1.023404224072504E-4</v>
      </c>
      <c r="W92" s="2"/>
      <c r="X92" s="6">
        <f t="shared" si="69"/>
        <v>-1398.46</v>
      </c>
      <c r="Y92" s="2"/>
      <c r="Z92" s="7">
        <f t="shared" si="70"/>
        <v>-1</v>
      </c>
    </row>
    <row r="93" spans="1:26" s="23" customFormat="1" hidden="1" outlineLevel="2" x14ac:dyDescent="0.25">
      <c r="A93" s="25"/>
      <c r="B93" s="10" t="str">
        <f>CONCATENATE("          ", "6284", " - ", "TRASH REMOVAL EXPENSE")</f>
        <v xml:space="preserve">          6284 - TRASH REMOVAL EXPENSE</v>
      </c>
      <c r="C93" s="10"/>
      <c r="D93" s="6">
        <v>-8963</v>
      </c>
      <c r="E93" s="2"/>
      <c r="F93" s="7">
        <f t="shared" si="63"/>
        <v>-6.0129652760815132E-2</v>
      </c>
      <c r="G93" s="2"/>
      <c r="H93" s="6">
        <v>5130</v>
      </c>
      <c r="I93" s="2"/>
      <c r="J93" s="7">
        <f t="shared" si="64"/>
        <v>3.9617036243031669E-3</v>
      </c>
      <c r="K93" s="2"/>
      <c r="L93" s="6">
        <f t="shared" si="65"/>
        <v>-14093</v>
      </c>
      <c r="M93" s="2"/>
      <c r="N93" s="7">
        <f t="shared" si="66"/>
        <v>-2.7471734892787523</v>
      </c>
      <c r="O93" s="10"/>
      <c r="P93" s="6">
        <v>20925.75</v>
      </c>
      <c r="Q93" s="2"/>
      <c r="R93" s="7">
        <f t="shared" si="67"/>
        <v>1.6947728219627169E-2</v>
      </c>
      <c r="S93" s="2"/>
      <c r="T93" s="6">
        <v>38283</v>
      </c>
      <c r="U93" s="2"/>
      <c r="V93" s="7">
        <f t="shared" si="68"/>
        <v>2.8015805893745744E-3</v>
      </c>
      <c r="W93" s="2"/>
      <c r="X93" s="6">
        <f t="shared" si="69"/>
        <v>-17357.25</v>
      </c>
      <c r="Y93" s="2"/>
      <c r="Z93" s="7">
        <f t="shared" si="70"/>
        <v>-0.45339315100697436</v>
      </c>
    </row>
    <row r="94" spans="1:26" s="23" customFormat="1" hidden="1" outlineLevel="2" x14ac:dyDescent="0.25">
      <c r="A94" s="25"/>
      <c r="B94" s="10" t="str">
        <f>CONCATENATE("          ", "6285", " - ", "JANITORIAL SERVICES")</f>
        <v xml:space="preserve">          6285 - JANITORIAL SERVICES</v>
      </c>
      <c r="C94" s="10"/>
      <c r="D94" s="6">
        <v>13772.56</v>
      </c>
      <c r="E94" s="2"/>
      <c r="F94" s="7">
        <f t="shared" si="63"/>
        <v>9.2395319695134662E-2</v>
      </c>
      <c r="G94" s="2"/>
      <c r="H94" s="6">
        <v>34404.870000000003</v>
      </c>
      <c r="I94" s="2"/>
      <c r="J94" s="7">
        <f t="shared" si="64"/>
        <v>2.65695707938946E-2</v>
      </c>
      <c r="K94" s="2"/>
      <c r="L94" s="6">
        <f t="shared" si="65"/>
        <v>-20632.310000000005</v>
      </c>
      <c r="M94" s="2"/>
      <c r="N94" s="7">
        <f t="shared" si="66"/>
        <v>-0.59969155529435236</v>
      </c>
      <c r="O94" s="10"/>
      <c r="P94" s="6">
        <v>93639.73</v>
      </c>
      <c r="Q94" s="2"/>
      <c r="R94" s="7">
        <f t="shared" si="67"/>
        <v>7.5838653075721005E-2</v>
      </c>
      <c r="S94" s="2"/>
      <c r="T94" s="6">
        <v>242940.69</v>
      </c>
      <c r="U94" s="2"/>
      <c r="V94" s="7">
        <f t="shared" si="68"/>
        <v>1.7778594192546713E-2</v>
      </c>
      <c r="W94" s="2"/>
      <c r="X94" s="6">
        <f t="shared" si="69"/>
        <v>-149300.96000000002</v>
      </c>
      <c r="Y94" s="2"/>
      <c r="Z94" s="7">
        <f t="shared" si="70"/>
        <v>-0.61455724028774272</v>
      </c>
    </row>
    <row r="95" spans="1:26" s="23" customFormat="1" hidden="1" outlineLevel="2" x14ac:dyDescent="0.25">
      <c r="A95" s="25"/>
      <c r="B95" s="10" t="str">
        <f>CONCATENATE("          ", "6286", " - ", "LAUNDRY EXPENSE")</f>
        <v xml:space="preserve">          6286 - LAUNDRY EXPENSE</v>
      </c>
      <c r="C95" s="10"/>
      <c r="D95" s="6">
        <v>878.23</v>
      </c>
      <c r="E95" s="2"/>
      <c r="F95" s="7">
        <f t="shared" si="63"/>
        <v>5.8917399245934036E-3</v>
      </c>
      <c r="G95" s="2"/>
      <c r="H95" s="6">
        <v>5543.31</v>
      </c>
      <c r="I95" s="2"/>
      <c r="J95" s="7">
        <f t="shared" si="64"/>
        <v>4.2808871964202704E-3</v>
      </c>
      <c r="K95" s="2"/>
      <c r="L95" s="6">
        <f t="shared" si="65"/>
        <v>-4665.08</v>
      </c>
      <c r="M95" s="2"/>
      <c r="N95" s="7">
        <f t="shared" si="66"/>
        <v>-0.84156938724336172</v>
      </c>
      <c r="O95" s="10"/>
      <c r="P95" s="6">
        <v>13586.36</v>
      </c>
      <c r="Q95" s="2"/>
      <c r="R95" s="7">
        <f t="shared" si="67"/>
        <v>1.1003569132480977E-2</v>
      </c>
      <c r="S95" s="2"/>
      <c r="T95" s="6">
        <v>67639.820000000007</v>
      </c>
      <c r="U95" s="2"/>
      <c r="V95" s="7">
        <f t="shared" si="68"/>
        <v>4.9499361800483281E-3</v>
      </c>
      <c r="W95" s="2"/>
      <c r="X95" s="6">
        <f t="shared" si="69"/>
        <v>-54053.460000000006</v>
      </c>
      <c r="Y95" s="2"/>
      <c r="Z95" s="7">
        <f t="shared" si="70"/>
        <v>-0.79913666239797798</v>
      </c>
    </row>
    <row r="96" spans="1:26" s="26" customFormat="1" outlineLevel="1" collapsed="1" x14ac:dyDescent="0.25">
      <c r="A96" s="27"/>
      <c r="B96" s="12" t="str">
        <f>CONCATENATE("     ","Subscriptions &amp; Dues                              ")</f>
        <v xml:space="preserve">     Subscriptions &amp; Dues                              </v>
      </c>
      <c r="C96" s="12"/>
      <c r="D96" s="1">
        <f>SUM(OSRRefD22_20x_0)</f>
        <v>119.07</v>
      </c>
      <c r="E96" s="1"/>
      <c r="F96" s="5">
        <f t="shared" ref="F96:F98" si="71">IF(D$12=0,0,D96/D$12)</f>
        <v>7.9879925853288607E-4</v>
      </c>
      <c r="G96" s="1"/>
      <c r="H96" s="1">
        <f>SUM(OSRRefH22_20x_0)</f>
        <v>161.99</v>
      </c>
      <c r="I96" s="1"/>
      <c r="J96" s="5">
        <f t="shared" ref="J96:J98" si="72">IF(H$12=0,0,H96/H$12)</f>
        <v>1.2509870762200196E-4</v>
      </c>
      <c r="K96" s="1"/>
      <c r="L96" s="1">
        <f t="shared" ref="L96:L98" si="73">+D96-H96</f>
        <v>-42.920000000000016</v>
      </c>
      <c r="M96" s="1"/>
      <c r="N96" s="5">
        <f t="shared" ref="N96:N98" si="74">IF(H96=0,0,L96/H96)</f>
        <v>-0.26495462682881665</v>
      </c>
      <c r="O96" s="12"/>
      <c r="P96" s="1">
        <f>SUM(OSRRefP22_20x_0)</f>
        <v>1711.08</v>
      </c>
      <c r="Q96" s="1"/>
      <c r="R96" s="5">
        <f t="shared" ref="R96:R98" si="75">IF(P$12=0,0,P96/P$12)</f>
        <v>1.3858006906342501E-3</v>
      </c>
      <c r="S96" s="1"/>
      <c r="T96" s="1">
        <f>SUM(OSRRefT22_20x_0)</f>
        <v>7296.3</v>
      </c>
      <c r="U96" s="1"/>
      <c r="V96" s="5">
        <f t="shared" ref="V96:V98" si="76">IF(T$12=0,0,T96/T$12)</f>
        <v>5.3394907541868999E-4</v>
      </c>
      <c r="W96" s="1"/>
      <c r="X96" s="1">
        <f t="shared" ref="X96:X98" si="77">+P96-T96</f>
        <v>-5585.22</v>
      </c>
      <c r="Y96" s="1"/>
      <c r="Z96" s="5">
        <f t="shared" ref="Z96:Z98" si="78">IF(T96=0,0,X96/T96)</f>
        <v>-0.76548661650425565</v>
      </c>
    </row>
    <row r="97" spans="1:26" s="23" customFormat="1" hidden="1" outlineLevel="2" x14ac:dyDescent="0.25">
      <c r="A97" s="25"/>
      <c r="B97" s="10" t="str">
        <f>CONCATENATE("          ", "6258", " - ", "MEMBERSHIP DUES")</f>
        <v xml:space="preserve">          6258 - MEMBERSHIP DUES</v>
      </c>
      <c r="C97" s="10"/>
      <c r="D97" s="6"/>
      <c r="E97" s="2"/>
      <c r="F97" s="7">
        <f t="shared" si="71"/>
        <v>0</v>
      </c>
      <c r="G97" s="2"/>
      <c r="H97" s="6"/>
      <c r="I97" s="2"/>
      <c r="J97" s="7">
        <f t="shared" si="72"/>
        <v>0</v>
      </c>
      <c r="K97" s="2"/>
      <c r="L97" s="6">
        <f t="shared" si="73"/>
        <v>0</v>
      </c>
      <c r="M97" s="2"/>
      <c r="N97" s="7">
        <f t="shared" si="74"/>
        <v>0</v>
      </c>
      <c r="O97" s="10"/>
      <c r="P97" s="6">
        <v>795</v>
      </c>
      <c r="Q97" s="2"/>
      <c r="R97" s="7">
        <f t="shared" si="75"/>
        <v>6.4386910550893518E-4</v>
      </c>
      <c r="S97" s="2"/>
      <c r="T97" s="6">
        <v>3730</v>
      </c>
      <c r="U97" s="2"/>
      <c r="V97" s="7">
        <f t="shared" si="76"/>
        <v>2.7296438623846515E-4</v>
      </c>
      <c r="W97" s="2"/>
      <c r="X97" s="6">
        <f t="shared" si="77"/>
        <v>-2935</v>
      </c>
      <c r="Y97" s="2"/>
      <c r="Z97" s="7">
        <f t="shared" si="78"/>
        <v>-0.78686327077747986</v>
      </c>
    </row>
    <row r="98" spans="1:26" s="23" customFormat="1" hidden="1" outlineLevel="2" x14ac:dyDescent="0.25">
      <c r="A98" s="25"/>
      <c r="B98" s="10" t="str">
        <f>CONCATENATE("          ", "6275", " - ", "SUBSCRIPTIONS")</f>
        <v xml:space="preserve">          6275 - SUBSCRIPTIONS</v>
      </c>
      <c r="C98" s="10"/>
      <c r="D98" s="6">
        <v>119.07</v>
      </c>
      <c r="E98" s="2"/>
      <c r="F98" s="7">
        <f t="shared" si="71"/>
        <v>7.9879925853288607E-4</v>
      </c>
      <c r="G98" s="2"/>
      <c r="H98" s="6">
        <v>161.99</v>
      </c>
      <c r="I98" s="2"/>
      <c r="J98" s="7">
        <f t="shared" si="72"/>
        <v>1.2509870762200196E-4</v>
      </c>
      <c r="K98" s="2"/>
      <c r="L98" s="6">
        <f t="shared" si="73"/>
        <v>-42.920000000000016</v>
      </c>
      <c r="M98" s="2"/>
      <c r="N98" s="7">
        <f t="shared" si="74"/>
        <v>-0.26495462682881665</v>
      </c>
      <c r="O98" s="10"/>
      <c r="P98" s="6">
        <v>916.08</v>
      </c>
      <c r="Q98" s="2"/>
      <c r="R98" s="7">
        <f t="shared" si="75"/>
        <v>7.4193158512531488E-4</v>
      </c>
      <c r="S98" s="2"/>
      <c r="T98" s="6">
        <v>3566.3</v>
      </c>
      <c r="U98" s="2"/>
      <c r="V98" s="7">
        <f t="shared" si="76"/>
        <v>2.6098468918022479E-4</v>
      </c>
      <c r="W98" s="2"/>
      <c r="X98" s="6">
        <f t="shared" si="77"/>
        <v>-2650.2200000000003</v>
      </c>
      <c r="Y98" s="2"/>
      <c r="Z98" s="7">
        <f t="shared" si="78"/>
        <v>-0.7431287328603875</v>
      </c>
    </row>
    <row r="99" spans="1:26" s="26" customFormat="1" outlineLevel="1" collapsed="1" x14ac:dyDescent="0.25">
      <c r="A99" s="27"/>
      <c r="B99" s="12" t="str">
        <f>CONCATENATE("     ","Supplies                                          ")</f>
        <v xml:space="preserve">     Supplies                                          </v>
      </c>
      <c r="C99" s="12"/>
      <c r="D99" s="1">
        <f>SUM(OSRRefD22_21x_0)</f>
        <v>7584.1299999999992</v>
      </c>
      <c r="E99" s="1"/>
      <c r="F99" s="5">
        <f t="shared" ref="F99:F109" si="79">IF(D$12=0,0,D99/D$12)</f>
        <v>5.0879293026094036E-2</v>
      </c>
      <c r="G99" s="1"/>
      <c r="H99" s="1">
        <f>SUM(OSRRefH22_21x_0)</f>
        <v>28561.989999999998</v>
      </c>
      <c r="I99" s="1"/>
      <c r="J99" s="5">
        <f t="shared" ref="J99:J109" si="80">IF(H$12=0,0,H99/H$12)</f>
        <v>2.2057337095577154E-2</v>
      </c>
      <c r="K99" s="1"/>
      <c r="L99" s="1">
        <f t="shared" ref="L99:L109" si="81">+D99-H99</f>
        <v>-20977.86</v>
      </c>
      <c r="M99" s="1"/>
      <c r="N99" s="5">
        <f t="shared" ref="N99:N109" si="82">IF(H99=0,0,L99/H99)</f>
        <v>-0.73446773141507304</v>
      </c>
      <c r="O99" s="12"/>
      <c r="P99" s="1">
        <f>SUM(OSRRefP22_21x_0)</f>
        <v>98808.640000000014</v>
      </c>
      <c r="Q99" s="1"/>
      <c r="R99" s="5">
        <f t="shared" ref="R99:R109" si="83">IF(P$12=0,0,P99/P$12)</f>
        <v>8.0024944218055852E-2</v>
      </c>
      <c r="S99" s="1"/>
      <c r="T99" s="1">
        <f>SUM(OSRRefT22_21x_0)</f>
        <v>351882.14999999997</v>
      </c>
      <c r="U99" s="1"/>
      <c r="V99" s="5">
        <f t="shared" ref="V99:V109" si="84">IF(T$12=0,0,T99/T$12)</f>
        <v>2.5751017453893171E-2</v>
      </c>
      <c r="W99" s="1"/>
      <c r="X99" s="1">
        <f t="shared" ref="X99:X109" si="85">+P99-T99</f>
        <v>-253073.50999999995</v>
      </c>
      <c r="Y99" s="1"/>
      <c r="Z99" s="5">
        <f t="shared" ref="Z99:Z109" si="86">IF(T99=0,0,X99/T99)</f>
        <v>-0.71919962407868654</v>
      </c>
    </row>
    <row r="100" spans="1:26" s="23" customFormat="1" hidden="1" outlineLevel="2" x14ac:dyDescent="0.25">
      <c r="A100" s="25"/>
      <c r="B100" s="10" t="str">
        <f>CONCATENATE("          ", "6234", " - ", "EXPENDABLE SUPPLIES &amp; EQUIPMEN")</f>
        <v xml:space="preserve">          6234 - EXPENDABLE SUPPLIES &amp; EQUIPMEN</v>
      </c>
      <c r="C100" s="10"/>
      <c r="D100" s="6"/>
      <c r="E100" s="2"/>
      <c r="F100" s="7">
        <f t="shared" si="79"/>
        <v>0</v>
      </c>
      <c r="G100" s="2"/>
      <c r="H100" s="6">
        <v>972.3</v>
      </c>
      <c r="I100" s="2"/>
      <c r="J100" s="7">
        <f t="shared" si="80"/>
        <v>7.508702600214364E-4</v>
      </c>
      <c r="K100" s="2"/>
      <c r="L100" s="6">
        <f t="shared" si="81"/>
        <v>-972.3</v>
      </c>
      <c r="M100" s="2"/>
      <c r="N100" s="7">
        <f t="shared" si="82"/>
        <v>-1</v>
      </c>
      <c r="O100" s="10"/>
      <c r="P100" s="6">
        <v>310.91000000000003</v>
      </c>
      <c r="Q100" s="2"/>
      <c r="R100" s="7">
        <f t="shared" si="83"/>
        <v>2.518054636399787E-4</v>
      </c>
      <c r="S100" s="2"/>
      <c r="T100" s="6">
        <v>14662.76</v>
      </c>
      <c r="U100" s="2"/>
      <c r="V100" s="7">
        <f t="shared" si="84"/>
        <v>1.0730325158074846E-3</v>
      </c>
      <c r="W100" s="2"/>
      <c r="X100" s="6">
        <f t="shared" si="85"/>
        <v>-14351.85</v>
      </c>
      <c r="Y100" s="2"/>
      <c r="Z100" s="7">
        <f t="shared" si="86"/>
        <v>-0.97879594291934124</v>
      </c>
    </row>
    <row r="101" spans="1:26" s="23" customFormat="1" hidden="1" outlineLevel="2" x14ac:dyDescent="0.25">
      <c r="A101" s="25"/>
      <c r="B101" s="10" t="str">
        <f>CONCATENATE("          ", "6235", " - ", "COVID-19 EXPENSES")</f>
        <v xml:space="preserve">          6235 - COVID-19 EXPENSES</v>
      </c>
      <c r="C101" s="10"/>
      <c r="D101" s="6"/>
      <c r="E101" s="2"/>
      <c r="F101" s="7">
        <f t="shared" si="79"/>
        <v>0</v>
      </c>
      <c r="G101" s="2"/>
      <c r="H101" s="6"/>
      <c r="I101" s="2"/>
      <c r="J101" s="7">
        <f t="shared" si="80"/>
        <v>0</v>
      </c>
      <c r="K101" s="2"/>
      <c r="L101" s="6">
        <f t="shared" si="81"/>
        <v>0</v>
      </c>
      <c r="M101" s="2"/>
      <c r="N101" s="7">
        <f t="shared" si="82"/>
        <v>0</v>
      </c>
      <c r="O101" s="10"/>
      <c r="P101" s="6">
        <v>60451.41</v>
      </c>
      <c r="Q101" s="2"/>
      <c r="R101" s="7">
        <f t="shared" si="83"/>
        <v>4.8959490922583525E-2</v>
      </c>
      <c r="S101" s="2"/>
      <c r="T101" s="6"/>
      <c r="U101" s="2"/>
      <c r="V101" s="7">
        <f t="shared" si="84"/>
        <v>0</v>
      </c>
      <c r="W101" s="2"/>
      <c r="X101" s="6">
        <f t="shared" si="85"/>
        <v>60451.41</v>
      </c>
      <c r="Y101" s="2"/>
      <c r="Z101" s="7">
        <f t="shared" si="86"/>
        <v>0</v>
      </c>
    </row>
    <row r="102" spans="1:26" s="23" customFormat="1" hidden="1" outlineLevel="2" x14ac:dyDescent="0.25">
      <c r="A102" s="25"/>
      <c r="B102" s="10" t="str">
        <f>CONCATENATE("          ", "6237", " - ", "JANITORIAL SUPPLIES")</f>
        <v xml:space="preserve">          6237 - JANITORIAL SUPPLIES</v>
      </c>
      <c r="C102" s="10"/>
      <c r="D102" s="6">
        <v>1954.49</v>
      </c>
      <c r="E102" s="2"/>
      <c r="F102" s="7">
        <f t="shared" si="79"/>
        <v>1.3111994312672718E-2</v>
      </c>
      <c r="G102" s="2"/>
      <c r="H102" s="6">
        <v>12166.52</v>
      </c>
      <c r="I102" s="2"/>
      <c r="J102" s="7">
        <f t="shared" si="80"/>
        <v>9.395740034923385E-3</v>
      </c>
      <c r="K102" s="2"/>
      <c r="L102" s="6">
        <f t="shared" si="81"/>
        <v>-10212.030000000001</v>
      </c>
      <c r="M102" s="2"/>
      <c r="N102" s="7">
        <f t="shared" si="82"/>
        <v>-0.83935504975950392</v>
      </c>
      <c r="O102" s="10"/>
      <c r="P102" s="6">
        <v>20198.2</v>
      </c>
      <c r="Q102" s="2"/>
      <c r="R102" s="7">
        <f t="shared" si="83"/>
        <v>1.6358486750805753E-2</v>
      </c>
      <c r="S102" s="2"/>
      <c r="T102" s="6">
        <v>120092.34</v>
      </c>
      <c r="U102" s="2"/>
      <c r="V102" s="7">
        <f t="shared" si="84"/>
        <v>8.7884535871423797E-3</v>
      </c>
      <c r="W102" s="2"/>
      <c r="X102" s="6">
        <f t="shared" si="85"/>
        <v>-99894.14</v>
      </c>
      <c r="Y102" s="2"/>
      <c r="Z102" s="7">
        <f t="shared" si="86"/>
        <v>-0.83181108803442416</v>
      </c>
    </row>
    <row r="103" spans="1:26" s="23" customFormat="1" hidden="1" outlineLevel="2" x14ac:dyDescent="0.25">
      <c r="A103" s="25"/>
      <c r="B103" s="10" t="str">
        <f>CONCATENATE("          ", "6239", " - ", "KITCHEN SUPPLIES")</f>
        <v xml:space="preserve">          6239 - KITCHEN SUPPLIES</v>
      </c>
      <c r="C103" s="10"/>
      <c r="D103" s="6">
        <v>39.75</v>
      </c>
      <c r="E103" s="2"/>
      <c r="F103" s="7">
        <f t="shared" si="79"/>
        <v>2.666689386636619E-4</v>
      </c>
      <c r="G103" s="2"/>
      <c r="H103" s="6">
        <v>1734.97</v>
      </c>
      <c r="I103" s="2"/>
      <c r="J103" s="7">
        <f t="shared" si="80"/>
        <v>1.3398512547869912E-3</v>
      </c>
      <c r="K103" s="2"/>
      <c r="L103" s="6">
        <f t="shared" si="81"/>
        <v>-1695.22</v>
      </c>
      <c r="M103" s="2"/>
      <c r="N103" s="7">
        <f t="shared" si="82"/>
        <v>-0.97708894101915311</v>
      </c>
      <c r="O103" s="10"/>
      <c r="P103" s="6">
        <v>7106.91</v>
      </c>
      <c r="Q103" s="2"/>
      <c r="R103" s="7">
        <f t="shared" si="83"/>
        <v>5.7558739429339704E-3</v>
      </c>
      <c r="S103" s="2"/>
      <c r="T103" s="6">
        <v>71933.84</v>
      </c>
      <c r="U103" s="2"/>
      <c r="V103" s="7">
        <f t="shared" si="84"/>
        <v>5.2641760014412748E-3</v>
      </c>
      <c r="W103" s="2"/>
      <c r="X103" s="6">
        <f t="shared" si="85"/>
        <v>-64826.929999999993</v>
      </c>
      <c r="Y103" s="2"/>
      <c r="Z103" s="7">
        <f t="shared" si="86"/>
        <v>-0.90120213240388658</v>
      </c>
    </row>
    <row r="104" spans="1:26" s="23" customFormat="1" hidden="1" outlineLevel="2" x14ac:dyDescent="0.25">
      <c r="A104" s="25"/>
      <c r="B104" s="10" t="str">
        <f>CONCATENATE("          ", "6241", " - ", "OFFICE EXPENSE")</f>
        <v xml:space="preserve">          6241 - OFFICE EXPENSE</v>
      </c>
      <c r="C104" s="10"/>
      <c r="D104" s="6">
        <v>1406.91</v>
      </c>
      <c r="E104" s="2"/>
      <c r="F104" s="7">
        <f t="shared" si="79"/>
        <v>9.4384703520828325E-3</v>
      </c>
      <c r="G104" s="2"/>
      <c r="H104" s="6">
        <v>2219.81</v>
      </c>
      <c r="I104" s="2"/>
      <c r="J104" s="7">
        <f t="shared" si="80"/>
        <v>1.7142747216889692E-3</v>
      </c>
      <c r="K104" s="2"/>
      <c r="L104" s="6">
        <f t="shared" si="81"/>
        <v>-812.89999999999986</v>
      </c>
      <c r="M104" s="2"/>
      <c r="N104" s="7">
        <f t="shared" si="82"/>
        <v>-0.36620251282767441</v>
      </c>
      <c r="O104" s="10"/>
      <c r="P104" s="6">
        <v>-22261.34</v>
      </c>
      <c r="Q104" s="2"/>
      <c r="R104" s="7">
        <f t="shared" si="83"/>
        <v>-1.802942021789972E-2</v>
      </c>
      <c r="S104" s="2"/>
      <c r="T104" s="6">
        <v>45108.68</v>
      </c>
      <c r="U104" s="2"/>
      <c r="V104" s="7">
        <f t="shared" si="84"/>
        <v>3.3010893164148337E-3</v>
      </c>
      <c r="W104" s="2"/>
      <c r="X104" s="6">
        <f t="shared" si="85"/>
        <v>-67370.02</v>
      </c>
      <c r="Y104" s="2"/>
      <c r="Z104" s="7">
        <f t="shared" si="86"/>
        <v>-1.4935045760594192</v>
      </c>
    </row>
    <row r="105" spans="1:26" s="23" customFormat="1" hidden="1" outlineLevel="2" x14ac:dyDescent="0.25">
      <c r="A105" s="25"/>
      <c r="B105" s="10" t="str">
        <f>CONCATENATE("          ", "6243", " - ", "PAPER SUPPLIES")</f>
        <v xml:space="preserve">          6243 - PAPER SUPPLIES</v>
      </c>
      <c r="C105" s="10"/>
      <c r="D105" s="6">
        <v>4182.9799999999996</v>
      </c>
      <c r="E105" s="2"/>
      <c r="F105" s="7">
        <f t="shared" si="79"/>
        <v>2.8062159422674825E-2</v>
      </c>
      <c r="G105" s="2"/>
      <c r="H105" s="6">
        <v>8490.39</v>
      </c>
      <c r="I105" s="2"/>
      <c r="J105" s="7">
        <f t="shared" si="80"/>
        <v>6.5568048410813567E-3</v>
      </c>
      <c r="K105" s="2"/>
      <c r="L105" s="6">
        <f t="shared" si="81"/>
        <v>-4307.41</v>
      </c>
      <c r="M105" s="2"/>
      <c r="N105" s="7">
        <f t="shared" si="82"/>
        <v>-0.50732769637201591</v>
      </c>
      <c r="O105" s="10"/>
      <c r="P105" s="6">
        <v>28501.96</v>
      </c>
      <c r="Q105" s="2"/>
      <c r="R105" s="7">
        <f t="shared" si="83"/>
        <v>2.3083687409372892E-2</v>
      </c>
      <c r="S105" s="2"/>
      <c r="T105" s="6">
        <v>85964.59</v>
      </c>
      <c r="U105" s="2"/>
      <c r="V105" s="7">
        <f t="shared" si="84"/>
        <v>6.2909575194614745E-3</v>
      </c>
      <c r="W105" s="2"/>
      <c r="X105" s="6">
        <f t="shared" si="85"/>
        <v>-57462.63</v>
      </c>
      <c r="Y105" s="2"/>
      <c r="Z105" s="7">
        <f t="shared" si="86"/>
        <v>-0.66844534476346595</v>
      </c>
    </row>
    <row r="106" spans="1:26" s="23" customFormat="1" hidden="1" outlineLevel="2" x14ac:dyDescent="0.25">
      <c r="A106" s="25"/>
      <c r="B106" s="10" t="str">
        <f>CONCATENATE("          ", "6245", " - ", "PRINTING")</f>
        <v xml:space="preserve">          6245 - PRINTING</v>
      </c>
      <c r="C106" s="10"/>
      <c r="D106" s="6"/>
      <c r="E106" s="2"/>
      <c r="F106" s="7">
        <f t="shared" si="79"/>
        <v>0</v>
      </c>
      <c r="G106" s="2"/>
      <c r="H106" s="6"/>
      <c r="I106" s="2"/>
      <c r="J106" s="7">
        <f t="shared" si="80"/>
        <v>0</v>
      </c>
      <c r="K106" s="2"/>
      <c r="L106" s="6">
        <f t="shared" si="81"/>
        <v>0</v>
      </c>
      <c r="M106" s="2"/>
      <c r="N106" s="7">
        <f t="shared" si="82"/>
        <v>0</v>
      </c>
      <c r="O106" s="10"/>
      <c r="P106" s="6"/>
      <c r="Q106" s="2"/>
      <c r="R106" s="7">
        <f t="shared" si="83"/>
        <v>0</v>
      </c>
      <c r="S106" s="2"/>
      <c r="T106" s="6">
        <v>1882.72</v>
      </c>
      <c r="U106" s="2"/>
      <c r="V106" s="7">
        <f t="shared" si="84"/>
        <v>1.3777895690586679E-4</v>
      </c>
      <c r="W106" s="2"/>
      <c r="X106" s="6">
        <f t="shared" si="85"/>
        <v>-1882.72</v>
      </c>
      <c r="Y106" s="2"/>
      <c r="Z106" s="7">
        <f t="shared" si="86"/>
        <v>-1</v>
      </c>
    </row>
    <row r="107" spans="1:26" s="23" customFormat="1" hidden="1" outlineLevel="2" x14ac:dyDescent="0.25">
      <c r="A107" s="25"/>
      <c r="B107" s="10" t="str">
        <f>CONCATENATE("          ", "6246", " - ", "REPLACEMENTS")</f>
        <v xml:space="preserve">          6246 - REPLACEMENTS</v>
      </c>
      <c r="C107" s="10"/>
      <c r="D107" s="6"/>
      <c r="E107" s="2"/>
      <c r="F107" s="7">
        <f t="shared" si="79"/>
        <v>0</v>
      </c>
      <c r="G107" s="2"/>
      <c r="H107" s="6"/>
      <c r="I107" s="2"/>
      <c r="J107" s="7">
        <f t="shared" si="80"/>
        <v>0</v>
      </c>
      <c r="K107" s="2"/>
      <c r="L107" s="6">
        <f t="shared" si="81"/>
        <v>0</v>
      </c>
      <c r="M107" s="2"/>
      <c r="N107" s="7">
        <f t="shared" si="82"/>
        <v>0</v>
      </c>
      <c r="O107" s="10"/>
      <c r="P107" s="6"/>
      <c r="Q107" s="2"/>
      <c r="R107" s="7">
        <f t="shared" si="83"/>
        <v>0</v>
      </c>
      <c r="S107" s="2"/>
      <c r="T107" s="6">
        <v>25.87</v>
      </c>
      <c r="U107" s="2"/>
      <c r="V107" s="7">
        <f t="shared" si="84"/>
        <v>1.8931873115252262E-6</v>
      </c>
      <c r="W107" s="2"/>
      <c r="X107" s="6">
        <f t="shared" si="85"/>
        <v>-25.87</v>
      </c>
      <c r="Y107" s="2"/>
      <c r="Z107" s="7">
        <f t="shared" si="86"/>
        <v>-1</v>
      </c>
    </row>
    <row r="108" spans="1:26" s="23" customFormat="1" hidden="1" outlineLevel="2" x14ac:dyDescent="0.25">
      <c r="A108" s="25"/>
      <c r="B108" s="10" t="str">
        <f>CONCATENATE("          ", "6247", " - ", "STORE SUPPLIES")</f>
        <v xml:space="preserve">          6247 - STORE SUPPLIES</v>
      </c>
      <c r="C108" s="10"/>
      <c r="D108" s="6"/>
      <c r="E108" s="2"/>
      <c r="F108" s="7">
        <f t="shared" si="79"/>
        <v>0</v>
      </c>
      <c r="G108" s="2"/>
      <c r="H108" s="6">
        <v>1025.3399999999999</v>
      </c>
      <c r="I108" s="2"/>
      <c r="J108" s="7">
        <f t="shared" si="80"/>
        <v>7.9183103199668785E-4</v>
      </c>
      <c r="K108" s="2"/>
      <c r="L108" s="6">
        <f t="shared" si="81"/>
        <v>-1025.3399999999999</v>
      </c>
      <c r="M108" s="2"/>
      <c r="N108" s="7">
        <f t="shared" si="82"/>
        <v>-1</v>
      </c>
      <c r="O108" s="10"/>
      <c r="P108" s="6"/>
      <c r="Q108" s="2"/>
      <c r="R108" s="7">
        <f t="shared" si="83"/>
        <v>0</v>
      </c>
      <c r="S108" s="2"/>
      <c r="T108" s="6">
        <v>7614.26</v>
      </c>
      <c r="U108" s="2"/>
      <c r="V108" s="7">
        <f t="shared" si="84"/>
        <v>5.5721764277750563E-4</v>
      </c>
      <c r="W108" s="2"/>
      <c r="X108" s="6">
        <f t="shared" si="85"/>
        <v>-7614.26</v>
      </c>
      <c r="Y108" s="2"/>
      <c r="Z108" s="7">
        <f t="shared" si="86"/>
        <v>-1</v>
      </c>
    </row>
    <row r="109" spans="1:26" s="23" customFormat="1" hidden="1" outlineLevel="2" x14ac:dyDescent="0.25">
      <c r="A109" s="25"/>
      <c r="B109" s="10" t="str">
        <f>CONCATENATE("          ", "6248", " - ", "UNIFORMS")</f>
        <v xml:space="preserve">          6248 - UNIFORMS</v>
      </c>
      <c r="C109" s="10"/>
      <c r="D109" s="6"/>
      <c r="E109" s="2"/>
      <c r="F109" s="7">
        <f t="shared" si="79"/>
        <v>0</v>
      </c>
      <c r="G109" s="2"/>
      <c r="H109" s="6">
        <v>1952.66</v>
      </c>
      <c r="I109" s="2"/>
      <c r="J109" s="7">
        <f t="shared" si="80"/>
        <v>1.5079649510783277E-3</v>
      </c>
      <c r="K109" s="2"/>
      <c r="L109" s="6">
        <f t="shared" si="81"/>
        <v>-1952.66</v>
      </c>
      <c r="M109" s="2"/>
      <c r="N109" s="7">
        <f t="shared" si="82"/>
        <v>-1</v>
      </c>
      <c r="O109" s="10"/>
      <c r="P109" s="6">
        <v>4500.59</v>
      </c>
      <c r="Q109" s="2"/>
      <c r="R109" s="7">
        <f t="shared" si="83"/>
        <v>3.6450199466194449E-3</v>
      </c>
      <c r="S109" s="2"/>
      <c r="T109" s="6">
        <v>4597.09</v>
      </c>
      <c r="U109" s="2"/>
      <c r="V109" s="7">
        <f t="shared" si="84"/>
        <v>3.3641872663082734E-4</v>
      </c>
      <c r="W109" s="2"/>
      <c r="X109" s="6">
        <f t="shared" si="85"/>
        <v>-96.5</v>
      </c>
      <c r="Y109" s="2"/>
      <c r="Z109" s="7">
        <f t="shared" si="86"/>
        <v>-2.0991540300494441E-2</v>
      </c>
    </row>
    <row r="110" spans="1:26" s="26" customFormat="1" outlineLevel="1" collapsed="1" x14ac:dyDescent="0.25">
      <c r="A110" s="27"/>
      <c r="B110" s="12" t="str">
        <f>CONCATENATE("     ","Telephone/Data Lines                              ")</f>
        <v xml:space="preserve">     Telephone/Data Lines                              </v>
      </c>
      <c r="C110" s="12"/>
      <c r="D110" s="1">
        <f>SUM(OSRRefD22_22x_0)</f>
        <v>648</v>
      </c>
      <c r="E110" s="1"/>
      <c r="F110" s="5">
        <f t="shared" ref="F110:F117" si="87">IF(D$12=0,0,D110/D$12)</f>
        <v>4.3472068491585639E-3</v>
      </c>
      <c r="G110" s="1"/>
      <c r="H110" s="1">
        <f>SUM(OSRRefH22_22x_0)</f>
        <v>2984.87</v>
      </c>
      <c r="I110" s="1"/>
      <c r="J110" s="5">
        <f t="shared" ref="J110:J117" si="88">IF(H$12=0,0,H110/H$12)</f>
        <v>2.3051014224315385E-3</v>
      </c>
      <c r="K110" s="1"/>
      <c r="L110" s="1">
        <f t="shared" ref="L110:L117" si="89">+D110-H110</f>
        <v>-2336.87</v>
      </c>
      <c r="M110" s="1"/>
      <c r="N110" s="5">
        <f t="shared" ref="N110:N117" si="90">IF(H110=0,0,L110/H110)</f>
        <v>-0.78290511814584884</v>
      </c>
      <c r="O110" s="12"/>
      <c r="P110" s="1">
        <f>SUM(OSRRefP22_22x_0)</f>
        <v>10124.73</v>
      </c>
      <c r="Q110" s="1"/>
      <c r="R110" s="5">
        <f t="shared" ref="R110:R117" si="91">IF(P$12=0,0,P110/P$12)</f>
        <v>8.2000010674458876E-3</v>
      </c>
      <c r="S110" s="1"/>
      <c r="T110" s="1">
        <f>SUM(OSRRefT22_22x_0)</f>
        <v>23077.599999999999</v>
      </c>
      <c r="U110" s="1"/>
      <c r="V110" s="5">
        <f t="shared" ref="V110:V117" si="92">IF(T$12=0,0,T110/T$12)</f>
        <v>1.688837243929438E-3</v>
      </c>
      <c r="W110" s="1"/>
      <c r="X110" s="1">
        <f t="shared" ref="X110:X117" si="93">+P110-T110</f>
        <v>-12952.869999999999</v>
      </c>
      <c r="Y110" s="1"/>
      <c r="Z110" s="5">
        <f t="shared" ref="Z110:Z117" si="94">IF(T110=0,0,X110/T110)</f>
        <v>-0.56127456927930108</v>
      </c>
    </row>
    <row r="111" spans="1:26" s="23" customFormat="1" hidden="1" outlineLevel="2" x14ac:dyDescent="0.25">
      <c r="A111" s="25"/>
      <c r="B111" s="10" t="str">
        <f>CONCATENATE("          ", "6309", " - ", "TELEPHONE")</f>
        <v xml:space="preserve">          6309 - TELEPHONE</v>
      </c>
      <c r="C111" s="10"/>
      <c r="D111" s="6">
        <v>648</v>
      </c>
      <c r="E111" s="2"/>
      <c r="F111" s="7">
        <f t="shared" si="87"/>
        <v>4.3472068491585639E-3</v>
      </c>
      <c r="G111" s="2"/>
      <c r="H111" s="6">
        <v>2984.87</v>
      </c>
      <c r="I111" s="2"/>
      <c r="J111" s="7">
        <f t="shared" si="88"/>
        <v>2.3051014224315385E-3</v>
      </c>
      <c r="K111" s="2"/>
      <c r="L111" s="6">
        <f t="shared" si="89"/>
        <v>-2336.87</v>
      </c>
      <c r="M111" s="2"/>
      <c r="N111" s="7">
        <f t="shared" si="90"/>
        <v>-0.78290511814584884</v>
      </c>
      <c r="O111" s="10"/>
      <c r="P111" s="6">
        <v>10124.73</v>
      </c>
      <c r="Q111" s="2"/>
      <c r="R111" s="7">
        <f t="shared" si="91"/>
        <v>8.2000010674458876E-3</v>
      </c>
      <c r="S111" s="2"/>
      <c r="T111" s="6">
        <v>23077.599999999999</v>
      </c>
      <c r="U111" s="2"/>
      <c r="V111" s="7">
        <f t="shared" si="92"/>
        <v>1.688837243929438E-3</v>
      </c>
      <c r="W111" s="2"/>
      <c r="X111" s="6">
        <f t="shared" si="93"/>
        <v>-12952.869999999999</v>
      </c>
      <c r="Y111" s="2"/>
      <c r="Z111" s="7">
        <f t="shared" si="94"/>
        <v>-0.56127456927930108</v>
      </c>
    </row>
    <row r="112" spans="1:26" s="26" customFormat="1" outlineLevel="1" collapsed="1" x14ac:dyDescent="0.25">
      <c r="A112" s="27"/>
      <c r="B112" s="12" t="str">
        <f>CONCATENATE("     ","Training                                          ")</f>
        <v xml:space="preserve">     Training                                          </v>
      </c>
      <c r="C112" s="12"/>
      <c r="D112" s="1">
        <f>SUM(OSRRefD22_23x_0)</f>
        <v>51.23</v>
      </c>
      <c r="E112" s="1"/>
      <c r="F112" s="5">
        <f t="shared" si="87"/>
        <v>3.436842698802364E-4</v>
      </c>
      <c r="G112" s="1"/>
      <c r="H112" s="1">
        <f>SUM(OSRRefH22_23x_0)</f>
        <v>100</v>
      </c>
      <c r="I112" s="1"/>
      <c r="J112" s="5">
        <f t="shared" si="88"/>
        <v>7.7226191506884334E-5</v>
      </c>
      <c r="K112" s="1"/>
      <c r="L112" s="1">
        <f t="shared" si="89"/>
        <v>-48.77</v>
      </c>
      <c r="M112" s="1"/>
      <c r="N112" s="5">
        <f t="shared" si="90"/>
        <v>-0.48770000000000002</v>
      </c>
      <c r="O112" s="12"/>
      <c r="P112" s="1">
        <f>SUM(OSRRefP22_23x_0)</f>
        <v>1186.23</v>
      </c>
      <c r="Q112" s="1"/>
      <c r="R112" s="5">
        <f t="shared" si="91"/>
        <v>9.607255962614643E-4</v>
      </c>
      <c r="S112" s="1"/>
      <c r="T112" s="1">
        <f>SUM(OSRRefT22_23x_0)</f>
        <v>8401.24</v>
      </c>
      <c r="U112" s="1"/>
      <c r="V112" s="5">
        <f t="shared" si="92"/>
        <v>6.148094692337917E-4</v>
      </c>
      <c r="W112" s="1"/>
      <c r="X112" s="1">
        <f t="shared" si="93"/>
        <v>-7215.01</v>
      </c>
      <c r="Y112" s="1"/>
      <c r="Z112" s="5">
        <f t="shared" si="94"/>
        <v>-0.85880298622584295</v>
      </c>
    </row>
    <row r="113" spans="1:26" s="23" customFormat="1" hidden="1" outlineLevel="2" x14ac:dyDescent="0.25">
      <c r="A113" s="25"/>
      <c r="B113" s="10" t="str">
        <f>CONCATENATE("          ", "6376", " - ", "TRAINING")</f>
        <v xml:space="preserve">          6376 - TRAINING</v>
      </c>
      <c r="C113" s="10"/>
      <c r="D113" s="6">
        <v>51.23</v>
      </c>
      <c r="E113" s="2"/>
      <c r="F113" s="7">
        <f t="shared" si="87"/>
        <v>3.436842698802364E-4</v>
      </c>
      <c r="G113" s="2"/>
      <c r="H113" s="6">
        <v>100</v>
      </c>
      <c r="I113" s="2"/>
      <c r="J113" s="7">
        <f t="shared" si="88"/>
        <v>7.7226191506884334E-5</v>
      </c>
      <c r="K113" s="2"/>
      <c r="L113" s="6">
        <f t="shared" si="89"/>
        <v>-48.77</v>
      </c>
      <c r="M113" s="2"/>
      <c r="N113" s="7">
        <f t="shared" si="90"/>
        <v>-0.48770000000000002</v>
      </c>
      <c r="O113" s="10"/>
      <c r="P113" s="6">
        <v>1186.23</v>
      </c>
      <c r="Q113" s="2"/>
      <c r="R113" s="7">
        <f t="shared" si="91"/>
        <v>9.607255962614643E-4</v>
      </c>
      <c r="S113" s="2"/>
      <c r="T113" s="6">
        <v>8401.24</v>
      </c>
      <c r="U113" s="2"/>
      <c r="V113" s="7">
        <f t="shared" si="92"/>
        <v>6.148094692337917E-4</v>
      </c>
      <c r="W113" s="2"/>
      <c r="X113" s="6">
        <f t="shared" si="93"/>
        <v>-7215.01</v>
      </c>
      <c r="Y113" s="2"/>
      <c r="Z113" s="7">
        <f t="shared" si="94"/>
        <v>-0.85880298622584295</v>
      </c>
    </row>
    <row r="114" spans="1:26" s="26" customFormat="1" outlineLevel="1" collapsed="1" x14ac:dyDescent="0.25">
      <c r="A114" s="27"/>
      <c r="B114" s="12" t="str">
        <f>CONCATENATE("     ","Travel                                            ")</f>
        <v xml:space="preserve">     Travel                                            </v>
      </c>
      <c r="C114" s="12"/>
      <c r="D114" s="1">
        <f>SUM(OSRRefD22_24x_0)</f>
        <v>0</v>
      </c>
      <c r="E114" s="1"/>
      <c r="F114" s="5">
        <f t="shared" si="87"/>
        <v>0</v>
      </c>
      <c r="G114" s="1"/>
      <c r="H114" s="1">
        <f>SUM(OSRRefH22_24x_0)</f>
        <v>1389.05</v>
      </c>
      <c r="I114" s="1"/>
      <c r="J114" s="5">
        <f t="shared" si="88"/>
        <v>1.0727104131263768E-3</v>
      </c>
      <c r="K114" s="1"/>
      <c r="L114" s="1">
        <f t="shared" si="89"/>
        <v>-1389.05</v>
      </c>
      <c r="M114" s="1"/>
      <c r="N114" s="5">
        <f t="shared" si="90"/>
        <v>-1</v>
      </c>
      <c r="O114" s="12"/>
      <c r="P114" s="1">
        <f>SUM(OSRRefP22_24x_0)</f>
        <v>332.21</v>
      </c>
      <c r="Q114" s="1"/>
      <c r="R114" s="5">
        <f t="shared" si="91"/>
        <v>2.6905629627814258E-4</v>
      </c>
      <c r="S114" s="1"/>
      <c r="T114" s="1">
        <f>SUM(OSRRefT22_24x_0)</f>
        <v>6498.15</v>
      </c>
      <c r="U114" s="1"/>
      <c r="V114" s="5">
        <f t="shared" si="92"/>
        <v>4.7553981941970036E-4</v>
      </c>
      <c r="W114" s="1"/>
      <c r="X114" s="1">
        <f t="shared" si="93"/>
        <v>-6165.94</v>
      </c>
      <c r="Y114" s="1"/>
      <c r="Z114" s="5">
        <f t="shared" si="94"/>
        <v>-0.94887621861606763</v>
      </c>
    </row>
    <row r="115" spans="1:26" s="23" customFormat="1" hidden="1" outlineLevel="2" x14ac:dyDescent="0.25">
      <c r="A115" s="25"/>
      <c r="B115" s="10" t="str">
        <f>CONCATENATE("          ", "6292", " - ", "TRAVEL/CONFERENCE")</f>
        <v xml:space="preserve">          6292 - TRAVEL/CONFERENCE</v>
      </c>
      <c r="C115" s="10"/>
      <c r="D115" s="6"/>
      <c r="E115" s="2"/>
      <c r="F115" s="7">
        <f t="shared" si="87"/>
        <v>0</v>
      </c>
      <c r="G115" s="2"/>
      <c r="H115" s="6">
        <v>1212.73</v>
      </c>
      <c r="I115" s="2"/>
      <c r="J115" s="7">
        <f t="shared" si="88"/>
        <v>9.3654519226143843E-4</v>
      </c>
      <c r="K115" s="2"/>
      <c r="L115" s="6">
        <f t="shared" si="89"/>
        <v>-1212.73</v>
      </c>
      <c r="M115" s="2"/>
      <c r="N115" s="7">
        <f t="shared" si="90"/>
        <v>-1</v>
      </c>
      <c r="O115" s="10"/>
      <c r="P115" s="6"/>
      <c r="Q115" s="2"/>
      <c r="R115" s="7">
        <f t="shared" si="91"/>
        <v>0</v>
      </c>
      <c r="S115" s="2"/>
      <c r="T115" s="6">
        <v>5342.86</v>
      </c>
      <c r="U115" s="2"/>
      <c r="V115" s="7">
        <f t="shared" si="92"/>
        <v>3.9099477229438229E-4</v>
      </c>
      <c r="W115" s="2"/>
      <c r="X115" s="6">
        <f t="shared" si="93"/>
        <v>-5342.86</v>
      </c>
      <c r="Y115" s="2"/>
      <c r="Z115" s="7">
        <f t="shared" si="94"/>
        <v>-1</v>
      </c>
    </row>
    <row r="116" spans="1:26" s="23" customFormat="1" hidden="1" outlineLevel="2" x14ac:dyDescent="0.25">
      <c r="A116" s="25"/>
      <c r="B116" s="10" t="str">
        <f>CONCATENATE("          ", "6294", " - ", "TRAVEL OPERATIONAL")</f>
        <v xml:space="preserve">          6294 - TRAVEL OPERATIONAL</v>
      </c>
      <c r="C116" s="10"/>
      <c r="D116" s="6"/>
      <c r="E116" s="2"/>
      <c r="F116" s="7">
        <f t="shared" si="87"/>
        <v>0</v>
      </c>
      <c r="G116" s="2"/>
      <c r="H116" s="6">
        <v>11.5</v>
      </c>
      <c r="I116" s="2"/>
      <c r="J116" s="7">
        <f t="shared" si="88"/>
        <v>8.8810120232916998E-6</v>
      </c>
      <c r="K116" s="2"/>
      <c r="L116" s="6">
        <f t="shared" si="89"/>
        <v>-11.5</v>
      </c>
      <c r="M116" s="2"/>
      <c r="N116" s="7">
        <f t="shared" si="90"/>
        <v>-1</v>
      </c>
      <c r="O116" s="10"/>
      <c r="P116" s="6"/>
      <c r="Q116" s="2"/>
      <c r="R116" s="7">
        <f t="shared" si="91"/>
        <v>0</v>
      </c>
      <c r="S116" s="2"/>
      <c r="T116" s="6">
        <v>56.99</v>
      </c>
      <c r="U116" s="2"/>
      <c r="V116" s="7">
        <f t="shared" si="92"/>
        <v>4.1705738262011077E-6</v>
      </c>
      <c r="W116" s="2"/>
      <c r="X116" s="6">
        <f t="shared" si="93"/>
        <v>-56.99</v>
      </c>
      <c r="Y116" s="2"/>
      <c r="Z116" s="7">
        <f t="shared" si="94"/>
        <v>-1</v>
      </c>
    </row>
    <row r="117" spans="1:26" s="23" customFormat="1" hidden="1" outlineLevel="2" x14ac:dyDescent="0.25">
      <c r="A117" s="25"/>
      <c r="B117" s="10" t="str">
        <f>CONCATENATE("          ", "6298", " - ", "VEHICLE MILEAGE")</f>
        <v xml:space="preserve">          6298 - VEHICLE MILEAGE</v>
      </c>
      <c r="C117" s="10"/>
      <c r="D117" s="6"/>
      <c r="E117" s="2"/>
      <c r="F117" s="7">
        <f t="shared" si="87"/>
        <v>0</v>
      </c>
      <c r="G117" s="2"/>
      <c r="H117" s="6">
        <v>164.82</v>
      </c>
      <c r="I117" s="2"/>
      <c r="J117" s="7">
        <f t="shared" si="88"/>
        <v>1.2728420884164677E-4</v>
      </c>
      <c r="K117" s="2"/>
      <c r="L117" s="6">
        <f t="shared" si="89"/>
        <v>-164.82</v>
      </c>
      <c r="M117" s="2"/>
      <c r="N117" s="7">
        <f t="shared" si="90"/>
        <v>-1</v>
      </c>
      <c r="O117" s="10"/>
      <c r="P117" s="6">
        <v>332.21</v>
      </c>
      <c r="Q117" s="2"/>
      <c r="R117" s="7">
        <f t="shared" si="91"/>
        <v>2.6905629627814258E-4</v>
      </c>
      <c r="S117" s="2"/>
      <c r="T117" s="6">
        <v>1098.3</v>
      </c>
      <c r="U117" s="2"/>
      <c r="V117" s="7">
        <f t="shared" si="92"/>
        <v>8.0374473299116967E-5</v>
      </c>
      <c r="W117" s="2"/>
      <c r="X117" s="6">
        <f t="shared" si="93"/>
        <v>-766.08999999999992</v>
      </c>
      <c r="Y117" s="2"/>
      <c r="Z117" s="7">
        <f t="shared" si="94"/>
        <v>-0.69752344532459254</v>
      </c>
    </row>
    <row r="118" spans="1:26" s="26" customFormat="1" outlineLevel="1" collapsed="1" x14ac:dyDescent="0.25">
      <c r="A118" s="27"/>
      <c r="B118" s="12" t="str">
        <f>CONCATENATE("     ","Utilities                                         ")</f>
        <v xml:space="preserve">     Utilities                                         </v>
      </c>
      <c r="C118" s="12"/>
      <c r="D118" s="1">
        <f>SUM(OSRRefD22_25x_0)</f>
        <v>-9772</v>
      </c>
      <c r="E118" s="1"/>
      <c r="F118" s="5">
        <f t="shared" ref="F118:F119" si="95">IF(D$12=0,0,D118/D$12)</f>
        <v>-6.5556952669718338E-2</v>
      </c>
      <c r="G118" s="1"/>
      <c r="H118" s="1">
        <f>SUM(OSRRefH22_25x_0)</f>
        <v>15583</v>
      </c>
      <c r="I118" s="1"/>
      <c r="J118" s="5">
        <f t="shared" ref="J118:J119" si="96">IF(H$12=0,0,H118/H$12)</f>
        <v>1.2034157422517787E-2</v>
      </c>
      <c r="K118" s="1"/>
      <c r="L118" s="1">
        <f t="shared" ref="L118:L119" si="97">+D118-H118</f>
        <v>-25355</v>
      </c>
      <c r="M118" s="1"/>
      <c r="N118" s="5">
        <f t="shared" ref="N118:N119" si="98">IF(H118=0,0,L118/H118)</f>
        <v>-1.62709362767118</v>
      </c>
      <c r="O118" s="12"/>
      <c r="P118" s="1">
        <f>SUM(OSRRefP22_25x_0)</f>
        <v>-1460</v>
      </c>
      <c r="Q118" s="1"/>
      <c r="R118" s="5">
        <f t="shared" ref="R118:R119" si="99">IF(P$12=0,0,P118/P$12)</f>
        <v>-1.1824514390478557E-3</v>
      </c>
      <c r="S118" s="1"/>
      <c r="T118" s="1">
        <f>SUM(OSRRefT22_25x_0)</f>
        <v>143636</v>
      </c>
      <c r="U118" s="1"/>
      <c r="V118" s="5">
        <f t="shared" ref="V118:V119" si="100">IF(T$12=0,0,T118/T$12)</f>
        <v>1.0511397474999512E-2</v>
      </c>
      <c r="W118" s="1"/>
      <c r="X118" s="1">
        <f t="shared" ref="X118:X119" si="101">+P118-T118</f>
        <v>-145096</v>
      </c>
      <c r="Y118" s="1"/>
      <c r="Z118" s="5">
        <f t="shared" ref="Z118:Z119" si="102">IF(T118=0,0,X118/T118)</f>
        <v>-1.010164582695146</v>
      </c>
    </row>
    <row r="119" spans="1:26" s="23" customFormat="1" hidden="1" outlineLevel="2" x14ac:dyDescent="0.25">
      <c r="A119" s="25"/>
      <c r="B119" s="10" t="str">
        <f>CONCATENATE("          ", "6274", " - ", "UTILITIES")</f>
        <v xml:space="preserve">          6274 - UTILITIES</v>
      </c>
      <c r="C119" s="10"/>
      <c r="D119" s="6">
        <v>-9772</v>
      </c>
      <c r="E119" s="2"/>
      <c r="F119" s="7">
        <f t="shared" si="95"/>
        <v>-6.5556952669718338E-2</v>
      </c>
      <c r="G119" s="2"/>
      <c r="H119" s="6">
        <v>15583</v>
      </c>
      <c r="I119" s="2"/>
      <c r="J119" s="7">
        <f t="shared" si="96"/>
        <v>1.2034157422517787E-2</v>
      </c>
      <c r="K119" s="2"/>
      <c r="L119" s="6">
        <f t="shared" si="97"/>
        <v>-25355</v>
      </c>
      <c r="M119" s="2"/>
      <c r="N119" s="7">
        <f t="shared" si="98"/>
        <v>-1.62709362767118</v>
      </c>
      <c r="O119" s="10"/>
      <c r="P119" s="6">
        <v>-1460</v>
      </c>
      <c r="Q119" s="2"/>
      <c r="R119" s="7">
        <f t="shared" si="99"/>
        <v>-1.1824514390478557E-3</v>
      </c>
      <c r="S119" s="2"/>
      <c r="T119" s="6">
        <v>143636</v>
      </c>
      <c r="U119" s="2"/>
      <c r="V119" s="7">
        <f t="shared" si="100"/>
        <v>1.0511397474999512E-2</v>
      </c>
      <c r="W119" s="2"/>
      <c r="X119" s="6">
        <f t="shared" si="101"/>
        <v>-145096</v>
      </c>
      <c r="Y119" s="2"/>
      <c r="Z119" s="7">
        <f t="shared" si="102"/>
        <v>-1.010164582695146</v>
      </c>
    </row>
    <row r="120" spans="1:26" s="60" customFormat="1" x14ac:dyDescent="0.25">
      <c r="A120" s="37"/>
      <c r="B120" s="37"/>
      <c r="C120" s="37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7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4" customFormat="1" collapsed="1" x14ac:dyDescent="0.25">
      <c r="A121" s="11"/>
      <c r="B121" s="28" t="s">
        <v>292</v>
      </c>
      <c r="C121" s="11"/>
      <c r="D121" s="4">
        <f>SUM(OSRRefD25x_0)</f>
        <v>3116.44</v>
      </c>
      <c r="E121" s="4"/>
      <c r="F121" s="13">
        <f t="shared" ref="F121:F124" si="103">IF(D$12=0,0,D121/D$12)</f>
        <v>2.0907113137332893E-2</v>
      </c>
      <c r="G121" s="4"/>
      <c r="H121" s="4">
        <f>SUM(OSRRefH25x_0)</f>
        <v>49428.82</v>
      </c>
      <c r="I121" s="4"/>
      <c r="J121" s="13">
        <f t="shared" ref="J121:J124" si="104">IF(H$12=0,0,H121/H$12)</f>
        <v>3.817199519279315E-2</v>
      </c>
      <c r="K121" s="4"/>
      <c r="L121" s="4">
        <f t="shared" ref="L121:L124" si="105">+D121-H121</f>
        <v>-46312.38</v>
      </c>
      <c r="M121" s="4"/>
      <c r="N121" s="13">
        <f t="shared" ref="N121:N124" si="106">IF(H121=0,0,L121/H121)</f>
        <v>-0.93695095290561248</v>
      </c>
      <c r="O121" s="11"/>
      <c r="P121" s="4">
        <f>SUM(OSRRefP25x_0)</f>
        <v>20865.659999999996</v>
      </c>
      <c r="Q121" s="4"/>
      <c r="R121" s="13">
        <f t="shared" ref="R121:R124" si="107">IF(P$12=0,0,P121/P$12)</f>
        <v>1.6899061434029642E-2</v>
      </c>
      <c r="S121" s="4"/>
      <c r="T121" s="4">
        <f>SUM(OSRRefT25x_0)</f>
        <v>656215.76</v>
      </c>
      <c r="U121" s="4"/>
      <c r="V121" s="13">
        <f t="shared" ref="V121:V124" si="108">IF(T$12=0,0,T121/T$12)</f>
        <v>4.8022394683219297E-2</v>
      </c>
      <c r="W121" s="4"/>
      <c r="X121" s="4">
        <f t="shared" ref="X121:X124" si="109">+P121-T121</f>
        <v>-635350.1</v>
      </c>
      <c r="Y121" s="4"/>
      <c r="Z121" s="13">
        <f t="shared" ref="Z121:Z124" si="110">IF(T121=0,0,X121/T121)</f>
        <v>-0.96820304955796854</v>
      </c>
    </row>
    <row r="122" spans="1:26" s="23" customFormat="1" hidden="1" outlineLevel="1" x14ac:dyDescent="0.25">
      <c r="A122" s="44"/>
      <c r="B122" s="10" t="str">
        <f>CONCATENATE("          ", "9150", " - ", "MISC. INCOME")</f>
        <v xml:space="preserve">          9150 - MISC. INCOME</v>
      </c>
      <c r="C122" s="10"/>
      <c r="D122" s="2">
        <f>--3116.44</f>
        <v>3116.44</v>
      </c>
      <c r="E122" s="2"/>
      <c r="F122" s="19">
        <f t="shared" si="103"/>
        <v>2.0907113137332893E-2</v>
      </c>
      <c r="G122" s="2"/>
      <c r="H122" s="2">
        <f>--45376.64</f>
        <v>45376.639999999999</v>
      </c>
      <c r="I122" s="2"/>
      <c r="J122" s="19">
        <f t="shared" si="104"/>
        <v>3.504265090578948E-2</v>
      </c>
      <c r="K122" s="2"/>
      <c r="L122" s="2">
        <f t="shared" si="105"/>
        <v>-42260.2</v>
      </c>
      <c r="M122" s="2"/>
      <c r="N122" s="19">
        <f t="shared" si="106"/>
        <v>-0.93132060901820846</v>
      </c>
      <c r="O122" s="10"/>
      <c r="P122" s="2">
        <f>--4844.49</f>
        <v>4844.49</v>
      </c>
      <c r="Q122" s="2"/>
      <c r="R122" s="19">
        <f t="shared" si="107"/>
        <v>3.9235439533924291E-3</v>
      </c>
      <c r="S122" s="2"/>
      <c r="T122" s="2">
        <f>--293259.16</f>
        <v>293259.15999999997</v>
      </c>
      <c r="U122" s="2"/>
      <c r="V122" s="19">
        <f t="shared" si="108"/>
        <v>2.1460940112120068E-2</v>
      </c>
      <c r="W122" s="2"/>
      <c r="X122" s="2">
        <f t="shared" si="109"/>
        <v>-288414.67</v>
      </c>
      <c r="Y122" s="2"/>
      <c r="Z122" s="19">
        <f t="shared" si="110"/>
        <v>-0.9834805160050244</v>
      </c>
    </row>
    <row r="123" spans="1:26" s="23" customFormat="1" hidden="1" outlineLevel="1" x14ac:dyDescent="0.25">
      <c r="A123" s="44"/>
      <c r="B123" s="10" t="str">
        <f>CONCATENATE("          ", "9160", " - ", "MISC. INCOME")</f>
        <v xml:space="preserve">          9160 - MISC. INCOME</v>
      </c>
      <c r="C123" s="10"/>
      <c r="D123" s="2">
        <f t="shared" ref="D123:D124" si="111">0</f>
        <v>0</v>
      </c>
      <c r="E123" s="2"/>
      <c r="F123" s="19">
        <f t="shared" si="103"/>
        <v>0</v>
      </c>
      <c r="G123" s="2"/>
      <c r="H123" s="2">
        <f>0</f>
        <v>0</v>
      </c>
      <c r="I123" s="2"/>
      <c r="J123" s="19">
        <f t="shared" si="104"/>
        <v>0</v>
      </c>
      <c r="K123" s="2"/>
      <c r="L123" s="2">
        <f t="shared" si="105"/>
        <v>0</v>
      </c>
      <c r="M123" s="2"/>
      <c r="N123" s="19">
        <f t="shared" si="106"/>
        <v>0</v>
      </c>
      <c r="O123" s="10"/>
      <c r="P123" s="2">
        <f>--12882.96</f>
        <v>12882.96</v>
      </c>
      <c r="Q123" s="2"/>
      <c r="R123" s="19">
        <f t="shared" si="107"/>
        <v>1.0433886706298605E-2</v>
      </c>
      <c r="S123" s="2"/>
      <c r="T123" s="2">
        <f>--130089.32</f>
        <v>130089.32</v>
      </c>
      <c r="U123" s="2"/>
      <c r="V123" s="19">
        <f t="shared" si="108"/>
        <v>9.5200405871258154E-3</v>
      </c>
      <c r="W123" s="2"/>
      <c r="X123" s="2">
        <f t="shared" si="109"/>
        <v>-117206.36000000002</v>
      </c>
      <c r="Y123" s="2"/>
      <c r="Z123" s="19">
        <f t="shared" si="110"/>
        <v>-0.90096835005364018</v>
      </c>
    </row>
    <row r="124" spans="1:26" s="23" customFormat="1" hidden="1" outlineLevel="1" x14ac:dyDescent="0.25">
      <c r="A124" s="44"/>
      <c r="B124" s="10" t="str">
        <f>CONCATENATE("          ", "9165", " - ", "OTHER INCOME")</f>
        <v xml:space="preserve">          9165 - OTHER INCOME</v>
      </c>
      <c r="C124" s="10"/>
      <c r="D124" s="2">
        <f t="shared" si="111"/>
        <v>0</v>
      </c>
      <c r="E124" s="2"/>
      <c r="F124" s="19">
        <f t="shared" si="103"/>
        <v>0</v>
      </c>
      <c r="G124" s="2"/>
      <c r="H124" s="2">
        <f>--4052.18</f>
        <v>4052.18</v>
      </c>
      <c r="I124" s="2"/>
      <c r="J124" s="19">
        <f t="shared" si="104"/>
        <v>3.1293442870036657E-3</v>
      </c>
      <c r="K124" s="2"/>
      <c r="L124" s="2">
        <f t="shared" si="105"/>
        <v>-4052.18</v>
      </c>
      <c r="M124" s="2"/>
      <c r="N124" s="19">
        <f t="shared" si="106"/>
        <v>-1</v>
      </c>
      <c r="O124" s="10"/>
      <c r="P124" s="2">
        <f>--3138.21</f>
        <v>3138.21</v>
      </c>
      <c r="Q124" s="2"/>
      <c r="R124" s="19">
        <f t="shared" si="107"/>
        <v>2.5416307743386106E-3</v>
      </c>
      <c r="S124" s="2"/>
      <c r="T124" s="2">
        <f>--232867.28</f>
        <v>232867.28</v>
      </c>
      <c r="U124" s="2"/>
      <c r="V124" s="19">
        <f t="shared" si="108"/>
        <v>1.7041413983973408E-2</v>
      </c>
      <c r="W124" s="2"/>
      <c r="X124" s="2">
        <f t="shared" si="109"/>
        <v>-229729.07</v>
      </c>
      <c r="Y124" s="2"/>
      <c r="Z124" s="19">
        <f t="shared" si="110"/>
        <v>-0.9865236112175142</v>
      </c>
    </row>
    <row r="125" spans="1:26" x14ac:dyDescent="0.25">
      <c r="A125" s="9"/>
      <c r="B125" s="11"/>
      <c r="C125" s="11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1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4" customFormat="1" x14ac:dyDescent="0.25">
      <c r="A126" s="11"/>
      <c r="B126" s="29" t="s">
        <v>276</v>
      </c>
      <c r="C126" s="29"/>
      <c r="D126" s="22">
        <f>+D28-D30+D121</f>
        <v>-207630.97999999989</v>
      </c>
      <c r="E126" s="14"/>
      <c r="F126" s="20">
        <f>IF(D$12=0,0,D126/D$12)</f>
        <v>-1.3929241023973831</v>
      </c>
      <c r="G126" s="14"/>
      <c r="H126" s="22">
        <f>+H28-H30+H121</f>
        <v>-103009.81000000058</v>
      </c>
      <c r="I126" s="14"/>
      <c r="J126" s="20">
        <f>IF(H$12=0,0,H126/H$12)</f>
        <v>-7.9550553141478145E-2</v>
      </c>
      <c r="K126" s="15"/>
      <c r="L126" s="22">
        <f>+D126-H126</f>
        <v>-104621.16999999931</v>
      </c>
      <c r="M126" s="15"/>
      <c r="N126" s="20">
        <f>IF(H126=0,0,L126/H126)</f>
        <v>1.0156427819835676</v>
      </c>
      <c r="O126" s="28"/>
      <c r="P126" s="22">
        <f>+P28-P30+P121</f>
        <v>-2136789.3899999997</v>
      </c>
      <c r="Q126" s="14"/>
      <c r="R126" s="20">
        <f>IF(P$12=0,0,P126/P$12)</f>
        <v>-1.7305819788682804</v>
      </c>
      <c r="S126" s="14"/>
      <c r="T126" s="22">
        <f>+T28-T30+T121</f>
        <v>1615530.09</v>
      </c>
      <c r="U126" s="14"/>
      <c r="V126" s="20">
        <f>IF(T$12=0,0,T126/T$12)</f>
        <v>0.11822578537979153</v>
      </c>
      <c r="W126" s="15"/>
      <c r="X126" s="22">
        <f>+P126-T126</f>
        <v>-3752319.4799999995</v>
      </c>
      <c r="Y126" s="15"/>
      <c r="Z126" s="20">
        <f>IF(T126=0,0,X126/T126)</f>
        <v>-2.3226552716204742</v>
      </c>
    </row>
    <row r="127" spans="1:26" x14ac:dyDescent="0.25">
      <c r="A127" s="9"/>
      <c r="B127" s="11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x14ac:dyDescent="0.25">
      <c r="A128" s="51"/>
      <c r="B128" s="11" t="s">
        <v>127</v>
      </c>
      <c r="C128" s="11"/>
      <c r="D128" s="4">
        <v>39466.06</v>
      </c>
      <c r="E128" s="4"/>
      <c r="F128" s="13">
        <f>IF(D$12=0,0,D128/D$12)</f>
        <v>0.26476408386003519</v>
      </c>
      <c r="G128" s="4"/>
      <c r="H128" s="4">
        <v>203478.7</v>
      </c>
      <c r="I128" s="4"/>
      <c r="J128" s="13">
        <f>IF(H$12=0,0,H128/H$12)</f>
        <v>0.15713885053771867</v>
      </c>
      <c r="K128" s="4"/>
      <c r="L128" s="4">
        <f>+D128-H128</f>
        <v>-164012.64000000001</v>
      </c>
      <c r="M128" s="4"/>
      <c r="N128" s="13">
        <f>IF(H128=0,0,L128/H128)</f>
        <v>-0.80604328610316467</v>
      </c>
      <c r="O128" s="11"/>
      <c r="P128" s="4">
        <v>254465.94</v>
      </c>
      <c r="Q128" s="4"/>
      <c r="R128" s="13">
        <f>IF(P$12=0,0,P128/P$12)</f>
        <v>0.20609151845319543</v>
      </c>
      <c r="S128" s="4"/>
      <c r="T128" s="4">
        <v>1464214.96</v>
      </c>
      <c r="U128" s="4"/>
      <c r="V128" s="13">
        <f>IF(T$12=0,0,T128/T$12)</f>
        <v>0.10715242302347958</v>
      </c>
      <c r="W128" s="4"/>
      <c r="X128" s="4">
        <f>+P128-T128</f>
        <v>-1209749.02</v>
      </c>
      <c r="Y128" s="4"/>
      <c r="Z128" s="13">
        <f>IF(T128=0,0,X128/T128)</f>
        <v>-0.82620998490549502</v>
      </c>
    </row>
    <row r="129" spans="1:26" x14ac:dyDescent="0.25">
      <c r="A129" s="9"/>
      <c r="B129" s="11"/>
      <c r="C129" s="11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1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4" customFormat="1" ht="15.75" thickBot="1" x14ac:dyDescent="0.3">
      <c r="A130" s="11"/>
      <c r="B130" s="29" t="s">
        <v>125</v>
      </c>
      <c r="C130" s="29"/>
      <c r="D130" s="30">
        <f>+D126-D128</f>
        <v>-247097.03999999989</v>
      </c>
      <c r="E130" s="14"/>
      <c r="F130" s="36">
        <f>IF(D$12=0,0,D130/D$12)</f>
        <v>-1.6576881862574184</v>
      </c>
      <c r="G130" s="14"/>
      <c r="H130" s="30">
        <f>+H126-H128</f>
        <v>-306488.51000000059</v>
      </c>
      <c r="I130" s="14"/>
      <c r="J130" s="36">
        <f>IF(H$12=0,0,H130/H$12)</f>
        <v>-0.23668940367919683</v>
      </c>
      <c r="K130" s="15"/>
      <c r="L130" s="30">
        <f>D130-H130</f>
        <v>59391.4700000007</v>
      </c>
      <c r="M130" s="15"/>
      <c r="N130" s="36">
        <f>IF(H130=0,0,L130/H130)</f>
        <v>-0.19378041284484232</v>
      </c>
      <c r="O130" s="28"/>
      <c r="P130" s="30">
        <f>+P126-P128</f>
        <v>-2391255.3299999996</v>
      </c>
      <c r="Q130" s="14"/>
      <c r="R130" s="36">
        <f>IF(P$12=0,0,P130/P$12)</f>
        <v>-1.9366734973214759</v>
      </c>
      <c r="S130" s="14"/>
      <c r="T130" s="30">
        <f>+T126-T128</f>
        <v>151315.13000000012</v>
      </c>
      <c r="U130" s="14"/>
      <c r="V130" s="36">
        <f>IF(T$12=0,0,T130/T$12)</f>
        <v>1.1073362356311957E-2</v>
      </c>
      <c r="W130" s="15"/>
      <c r="X130" s="30">
        <f>P130-T130</f>
        <v>-2542570.46</v>
      </c>
      <c r="Y130" s="15"/>
      <c r="Z130" s="36">
        <f>IF(T130=0,0,X130/T130)</f>
        <v>-16.803147576848382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4" customFormat="1" ht="15.75" thickBot="1" x14ac:dyDescent="0.3">
      <c r="A133" s="11"/>
      <c r="B133" s="29" t="s">
        <v>293</v>
      </c>
      <c r="C133" s="29"/>
      <c r="D133" s="35">
        <f>SUM(D130:D132)</f>
        <v>-247097.03999999989</v>
      </c>
      <c r="E133" s="14"/>
      <c r="F133" s="34">
        <f>IF(D$12=0,0,D133/D$12)</f>
        <v>-1.6576881862574184</v>
      </c>
      <c r="G133" s="14"/>
      <c r="H133" s="35">
        <f>SUM(H130:H132)</f>
        <v>-306488.51000000059</v>
      </c>
      <c r="I133" s="14"/>
      <c r="J133" s="34">
        <f>IF(H$12=0,0,H133/H$12)</f>
        <v>-0.23668940367919683</v>
      </c>
      <c r="K133" s="15"/>
      <c r="L133" s="35">
        <f>+D133-H133</f>
        <v>59391.4700000007</v>
      </c>
      <c r="M133" s="15"/>
      <c r="N133" s="34">
        <f>IF(H133=0,0,L133/H133)</f>
        <v>-0.19378041284484232</v>
      </c>
      <c r="O133" s="28"/>
      <c r="P133" s="35">
        <f>SUM(P130:P132)</f>
        <v>-2391255.3299999996</v>
      </c>
      <c r="Q133" s="14"/>
      <c r="R133" s="34">
        <f>IF(P$12=0,0,P133/P$12)</f>
        <v>-1.9366734973214759</v>
      </c>
      <c r="S133" s="14"/>
      <c r="T133" s="35">
        <f>SUM(T130:T132)</f>
        <v>151315.13000000012</v>
      </c>
      <c r="U133" s="14"/>
      <c r="V133" s="34">
        <f>IF(T$12=0,0,T133/T$12)</f>
        <v>1.1073362356311957E-2</v>
      </c>
      <c r="W133" s="15"/>
      <c r="X133" s="35">
        <f>+P133-T133</f>
        <v>-2542570.46</v>
      </c>
      <c r="Y133" s="15"/>
      <c r="Z133" s="34">
        <f>IF(T133=0,0,X133/T133)</f>
        <v>-16.803147576848382</v>
      </c>
    </row>
    <row r="134" spans="1:26" ht="15.75" thickTop="1" x14ac:dyDescent="0.25">
      <c r="A134" s="9"/>
      <c r="C134" s="9"/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A135" s="9"/>
      <c r="B135" s="54">
        <v>44295.963216122684</v>
      </c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8" t="s">
        <v>56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62"/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57365.04</v>
      </c>
      <c r="E12" s="4"/>
      <c r="F12" s="13"/>
      <c r="G12" s="4"/>
      <c r="H12" s="4">
        <f>SUM(OSRRefH13x_0)</f>
        <v>471292.47000000003</v>
      </c>
      <c r="I12" s="4"/>
      <c r="J12" s="13"/>
      <c r="K12" s="4"/>
      <c r="L12" s="4">
        <f t="shared" ref="L12:L28" si="0">+D12-H12</f>
        <v>-413927.43000000005</v>
      </c>
      <c r="M12" s="4"/>
      <c r="N12" s="13">
        <f t="shared" ref="N12:N28" si="1">IF(H12=0,0,L12/H12)</f>
        <v>-0.87828144167039213</v>
      </c>
      <c r="O12" s="11"/>
      <c r="P12" s="4">
        <f>SUM(OSRRefP13x_0)</f>
        <v>386353.91999999998</v>
      </c>
      <c r="Q12" s="4"/>
      <c r="R12" s="13"/>
      <c r="S12" s="4"/>
      <c r="T12" s="4">
        <f>SUM(OSRRefT13x_0)</f>
        <v>6984077.9299999997</v>
      </c>
      <c r="U12" s="4"/>
      <c r="V12" s="13"/>
      <c r="W12" s="4"/>
      <c r="X12" s="4">
        <f t="shared" ref="X12:X28" si="2">+P12-T12</f>
        <v>-6597724.0099999998</v>
      </c>
      <c r="Y12" s="4"/>
      <c r="Z12" s="13">
        <f t="shared" ref="Z12:Z28" si="3">IF(T12=0,0,X12/T12)</f>
        <v>-0.94468075472920732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>--18941.74</f>
        <v>18941.740000000002</v>
      </c>
      <c r="I13" s="2"/>
      <c r="J13" s="19"/>
      <c r="K13" s="2"/>
      <c r="L13" s="2">
        <f t="shared" si="0"/>
        <v>-18941.740000000002</v>
      </c>
      <c r="M13" s="2"/>
      <c r="N13" s="19">
        <f t="shared" si="1"/>
        <v>-1</v>
      </c>
      <c r="O13" s="10"/>
      <c r="P13" s="2">
        <f>--444.59</f>
        <v>444.59</v>
      </c>
      <c r="Q13" s="2"/>
      <c r="R13" s="19"/>
      <c r="S13" s="2"/>
      <c r="T13" s="2">
        <f>--275748.11</f>
        <v>275748.11</v>
      </c>
      <c r="U13" s="2"/>
      <c r="V13" s="19"/>
      <c r="W13" s="2"/>
      <c r="X13" s="2">
        <f t="shared" si="2"/>
        <v>-275303.51999999996</v>
      </c>
      <c r="Y13" s="2"/>
      <c r="Z13" s="19">
        <f t="shared" si="3"/>
        <v>-0.99838769520487369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>--158.53</f>
        <v>158.53</v>
      </c>
      <c r="I14" s="2"/>
      <c r="J14" s="19"/>
      <c r="K14" s="2"/>
      <c r="L14" s="2">
        <f t="shared" si="0"/>
        <v>-158.53</v>
      </c>
      <c r="M14" s="2"/>
      <c r="N14" s="19">
        <f t="shared" si="1"/>
        <v>-1</v>
      </c>
      <c r="O14" s="10"/>
      <c r="P14" s="2">
        <f>0</f>
        <v>0</v>
      </c>
      <c r="Q14" s="2"/>
      <c r="R14" s="19"/>
      <c r="S14" s="2"/>
      <c r="T14" s="2">
        <f>--3118.55</f>
        <v>3118.55</v>
      </c>
      <c r="U14" s="2"/>
      <c r="V14" s="19"/>
      <c r="W14" s="2"/>
      <c r="X14" s="2">
        <f t="shared" si="2"/>
        <v>-3118.55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"4051", " - ", "TAXABLE SALES-FOOD")</f>
        <v xml:space="preserve">          4051 - TAXABLE SALES-FOOD</v>
      </c>
      <c r="C15" s="10"/>
      <c r="D15" s="2">
        <f>--2604.58</f>
        <v>2604.58</v>
      </c>
      <c r="E15" s="2"/>
      <c r="F15" s="19"/>
      <c r="G15" s="2"/>
      <c r="H15" s="2">
        <f>--36958.41</f>
        <v>36958.410000000003</v>
      </c>
      <c r="I15" s="2"/>
      <c r="J15" s="19"/>
      <c r="K15" s="2"/>
      <c r="L15" s="2">
        <f t="shared" si="0"/>
        <v>-34353.83</v>
      </c>
      <c r="M15" s="2"/>
      <c r="N15" s="19">
        <f t="shared" si="1"/>
        <v>-0.92952673018130372</v>
      </c>
      <c r="O15" s="10"/>
      <c r="P15" s="2">
        <f>--25569.06</f>
        <v>25569.06</v>
      </c>
      <c r="Q15" s="2"/>
      <c r="R15" s="19"/>
      <c r="S15" s="2"/>
      <c r="T15" s="2">
        <f>--604143.21</f>
        <v>604143.21</v>
      </c>
      <c r="U15" s="2"/>
      <c r="V15" s="19"/>
      <c r="W15" s="2"/>
      <c r="X15" s="2">
        <f t="shared" si="2"/>
        <v>-578574.14999999991</v>
      </c>
      <c r="Y15" s="2"/>
      <c r="Z15" s="19">
        <f t="shared" si="3"/>
        <v>-0.95767715406418275</v>
      </c>
    </row>
    <row r="16" spans="1:26" s="23" customFormat="1" hidden="1" outlineLevel="1" x14ac:dyDescent="0.25">
      <c r="A16" s="44"/>
      <c r="B16" s="10" t="str">
        <f>CONCATENATE("          ", "4052", " - ", "TAXABLE SALES-FOOD")</f>
        <v xml:space="preserve">          4052 - TAXABLE SALES-FOOD</v>
      </c>
      <c r="C16" s="10"/>
      <c r="D16" s="2">
        <f>--51782.31</f>
        <v>51782.31</v>
      </c>
      <c r="E16" s="2"/>
      <c r="F16" s="19"/>
      <c r="G16" s="2"/>
      <c r="H16" s="2">
        <f>--48334.99</f>
        <v>48334.99</v>
      </c>
      <c r="I16" s="2"/>
      <c r="J16" s="19"/>
      <c r="K16" s="2"/>
      <c r="L16" s="2">
        <f t="shared" si="0"/>
        <v>3447.3199999999997</v>
      </c>
      <c r="M16" s="2"/>
      <c r="N16" s="19">
        <f t="shared" si="1"/>
        <v>7.1321417465897888E-2</v>
      </c>
      <c r="O16" s="10"/>
      <c r="P16" s="2">
        <f>--331940.11</f>
        <v>331940.11</v>
      </c>
      <c r="Q16" s="2"/>
      <c r="R16" s="19"/>
      <c r="S16" s="2"/>
      <c r="T16" s="2">
        <f>--836487.29</f>
        <v>836487.29</v>
      </c>
      <c r="U16" s="2"/>
      <c r="V16" s="19"/>
      <c r="W16" s="2"/>
      <c r="X16" s="2">
        <f t="shared" si="2"/>
        <v>-504547.18000000005</v>
      </c>
      <c r="Y16" s="2"/>
      <c r="Z16" s="19">
        <f t="shared" si="3"/>
        <v>-0.60317375533584028</v>
      </c>
    </row>
    <row r="17" spans="1:26" s="23" customFormat="1" hidden="1" outlineLevel="1" x14ac:dyDescent="0.25">
      <c r="A17" s="44"/>
      <c r="B17" s="10" t="str">
        <f>CONCATENATE("          ", "4053", " - ", "TAXABLE SALES-FOOD")</f>
        <v xml:space="preserve">          4053 - TAXABLE SALES-FOOD</v>
      </c>
      <c r="C17" s="10"/>
      <c r="D17" s="2">
        <f t="shared" ref="D17:D23" si="5">0</f>
        <v>0</v>
      </c>
      <c r="E17" s="2"/>
      <c r="F17" s="19"/>
      <c r="G17" s="2"/>
      <c r="H17" s="2">
        <f>--30950.4</f>
        <v>30950.400000000001</v>
      </c>
      <c r="I17" s="2"/>
      <c r="J17" s="19"/>
      <c r="K17" s="2"/>
      <c r="L17" s="2">
        <f t="shared" si="0"/>
        <v>-30950.400000000001</v>
      </c>
      <c r="M17" s="2"/>
      <c r="N17" s="19">
        <f t="shared" si="1"/>
        <v>-1</v>
      </c>
      <c r="O17" s="10"/>
      <c r="P17" s="2">
        <f t="shared" ref="P17:P18" si="6">0</f>
        <v>0</v>
      </c>
      <c r="Q17" s="2"/>
      <c r="R17" s="19"/>
      <c r="S17" s="2"/>
      <c r="T17" s="2">
        <f>--253270.4</f>
        <v>253270.39999999999</v>
      </c>
      <c r="U17" s="2"/>
      <c r="V17" s="19"/>
      <c r="W17" s="2"/>
      <c r="X17" s="2">
        <f t="shared" si="2"/>
        <v>-253270.39999999999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"4055", " - ", "TAXABLE SALES-FOOD")</f>
        <v xml:space="preserve">          4055 - TAXABLE SALES-FOOD</v>
      </c>
      <c r="C18" s="10"/>
      <c r="D18" s="2">
        <f t="shared" si="5"/>
        <v>0</v>
      </c>
      <c r="E18" s="2"/>
      <c r="F18" s="19"/>
      <c r="G18" s="2"/>
      <c r="H18" s="2">
        <f>--24162.83</f>
        <v>24162.83</v>
      </c>
      <c r="I18" s="2"/>
      <c r="J18" s="19"/>
      <c r="K18" s="2"/>
      <c r="L18" s="2">
        <f t="shared" si="0"/>
        <v>-24162.83</v>
      </c>
      <c r="M18" s="2"/>
      <c r="N18" s="19">
        <f t="shared" si="1"/>
        <v>-1</v>
      </c>
      <c r="O18" s="10"/>
      <c r="P18" s="2">
        <f t="shared" si="6"/>
        <v>0</v>
      </c>
      <c r="Q18" s="2"/>
      <c r="R18" s="19"/>
      <c r="S18" s="2"/>
      <c r="T18" s="2">
        <f>--381406.04</f>
        <v>381406.04</v>
      </c>
      <c r="U18" s="2"/>
      <c r="V18" s="19"/>
      <c r="W18" s="2"/>
      <c r="X18" s="2">
        <f t="shared" si="2"/>
        <v>-381406.04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"4058", " - ", "TAXABLE SALES-FOOD")</f>
        <v xml:space="preserve">          4058 - TAXABLE SALES-FOOD</v>
      </c>
      <c r="C19" s="10"/>
      <c r="D19" s="2">
        <f t="shared" si="5"/>
        <v>0</v>
      </c>
      <c r="E19" s="2"/>
      <c r="F19" s="19"/>
      <c r="G19" s="2"/>
      <c r="H19" s="2">
        <f>--6106.33</f>
        <v>6106.33</v>
      </c>
      <c r="I19" s="2"/>
      <c r="J19" s="19"/>
      <c r="K19" s="2"/>
      <c r="L19" s="2">
        <f t="shared" si="0"/>
        <v>-6106.33</v>
      </c>
      <c r="M19" s="2"/>
      <c r="N19" s="19">
        <f t="shared" si="1"/>
        <v>-1</v>
      </c>
      <c r="O19" s="10"/>
      <c r="P19" s="2">
        <f>--974.91</f>
        <v>974.91</v>
      </c>
      <c r="Q19" s="2"/>
      <c r="R19" s="19"/>
      <c r="S19" s="2"/>
      <c r="T19" s="2">
        <f>--117077.57</f>
        <v>117077.57</v>
      </c>
      <c r="U19" s="2"/>
      <c r="V19" s="19"/>
      <c r="W19" s="2"/>
      <c r="X19" s="2">
        <f t="shared" si="2"/>
        <v>-116102.66</v>
      </c>
      <c r="Y19" s="2"/>
      <c r="Z19" s="19">
        <f t="shared" si="3"/>
        <v>-0.99167295665600164</v>
      </c>
    </row>
    <row r="20" spans="1:26" s="23" customFormat="1" hidden="1" outlineLevel="1" x14ac:dyDescent="0.25">
      <c r="A20" s="44"/>
      <c r="B20" s="10" t="str">
        <f>CONCATENATE("          ", "4132", " - ", "NON-TAXABLE SALES-JUICE")</f>
        <v xml:space="preserve">          4132 - NON-TAXABLE SALES-JUICE</v>
      </c>
      <c r="C20" s="10"/>
      <c r="D20" s="2">
        <f t="shared" si="5"/>
        <v>0</v>
      </c>
      <c r="E20" s="2"/>
      <c r="F20" s="19"/>
      <c r="G20" s="2"/>
      <c r="H20" s="2">
        <f>--78169.44</f>
        <v>78169.440000000002</v>
      </c>
      <c r="I20" s="2"/>
      <c r="J20" s="19"/>
      <c r="K20" s="2"/>
      <c r="L20" s="2">
        <f t="shared" si="0"/>
        <v>-78169.440000000002</v>
      </c>
      <c r="M20" s="2"/>
      <c r="N20" s="19">
        <f t="shared" si="1"/>
        <v>-1</v>
      </c>
      <c r="O20" s="10"/>
      <c r="P20" s="2">
        <f>--2031.88</f>
        <v>2031.88</v>
      </c>
      <c r="Q20" s="2"/>
      <c r="R20" s="19"/>
      <c r="S20" s="2"/>
      <c r="T20" s="2">
        <f>--1093778.1</f>
        <v>1093778.1000000001</v>
      </c>
      <c r="U20" s="2"/>
      <c r="V20" s="19"/>
      <c r="W20" s="2"/>
      <c r="X20" s="2">
        <f t="shared" si="2"/>
        <v>-1091746.2200000002</v>
      </c>
      <c r="Y20" s="2"/>
      <c r="Z20" s="19">
        <f t="shared" si="3"/>
        <v>-0.99814232886908238</v>
      </c>
    </row>
    <row r="21" spans="1:26" s="23" customFormat="1" hidden="1" outlineLevel="1" x14ac:dyDescent="0.25">
      <c r="A21" s="44"/>
      <c r="B21" s="10" t="str">
        <f>CONCATENATE("          ", "4133", " - ", "NON-TAXABLE SALES-CANDY")</f>
        <v xml:space="preserve">          4133 - NON-TAXABLE SALES-CANDY</v>
      </c>
      <c r="C21" s="10"/>
      <c r="D21" s="2">
        <f t="shared" si="5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ref="P21:P23" si="7">0</f>
        <v>0</v>
      </c>
      <c r="Q21" s="2"/>
      <c r="R21" s="19"/>
      <c r="S21" s="2"/>
      <c r="T21" s="2">
        <f>--1.59</f>
        <v>1.59</v>
      </c>
      <c r="U21" s="2"/>
      <c r="V21" s="19"/>
      <c r="W21" s="2"/>
      <c r="X21" s="2">
        <f t="shared" si="2"/>
        <v>-1.59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"4134", " - ", "NON-TAXABLE SALES-SODA")</f>
        <v xml:space="preserve">          4134 - NON-TAXABLE SALES-SODA</v>
      </c>
      <c r="C22" s="10"/>
      <c r="D22" s="2">
        <f t="shared" si="5"/>
        <v>0</v>
      </c>
      <c r="E22" s="2"/>
      <c r="F22" s="19"/>
      <c r="G22" s="2"/>
      <c r="H22" s="2">
        <f>--26.93</f>
        <v>26.93</v>
      </c>
      <c r="I22" s="2"/>
      <c r="J22" s="19"/>
      <c r="K22" s="2"/>
      <c r="L22" s="2">
        <f t="shared" si="0"/>
        <v>-26.93</v>
      </c>
      <c r="M22" s="2"/>
      <c r="N22" s="19">
        <f t="shared" si="1"/>
        <v>-1</v>
      </c>
      <c r="O22" s="10"/>
      <c r="P22" s="2">
        <f t="shared" si="7"/>
        <v>0</v>
      </c>
      <c r="Q22" s="2"/>
      <c r="R22" s="19"/>
      <c r="S22" s="2"/>
      <c r="T22" s="2">
        <f>--35.34</f>
        <v>35.340000000000003</v>
      </c>
      <c r="U22" s="2"/>
      <c r="V22" s="19"/>
      <c r="W22" s="2"/>
      <c r="X22" s="2">
        <f t="shared" si="2"/>
        <v>-35.340000000000003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"4137", " - ", "NON-TAXABLE SALES-WATER")</f>
        <v xml:space="preserve">          4137 - NON-TAXABLE SALES-WATER</v>
      </c>
      <c r="C23" s="10"/>
      <c r="D23" s="2">
        <f t="shared" si="5"/>
        <v>0</v>
      </c>
      <c r="E23" s="2"/>
      <c r="F23" s="19"/>
      <c r="G23" s="2"/>
      <c r="H23" s="2">
        <f>--96.9</f>
        <v>96.9</v>
      </c>
      <c r="I23" s="2"/>
      <c r="J23" s="19"/>
      <c r="K23" s="2"/>
      <c r="L23" s="2">
        <f t="shared" si="0"/>
        <v>-96.9</v>
      </c>
      <c r="M23" s="2"/>
      <c r="N23" s="19">
        <f t="shared" si="1"/>
        <v>-1</v>
      </c>
      <c r="O23" s="10"/>
      <c r="P23" s="2">
        <f t="shared" si="7"/>
        <v>0</v>
      </c>
      <c r="Q23" s="2"/>
      <c r="R23" s="19"/>
      <c r="S23" s="2"/>
      <c r="T23" s="2">
        <f>--1568.79</f>
        <v>1568.79</v>
      </c>
      <c r="U23" s="2"/>
      <c r="V23" s="19"/>
      <c r="W23" s="2"/>
      <c r="X23" s="2">
        <f t="shared" si="2"/>
        <v>-1568.79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"4151", " - ", "NON-TAXABLE SALES-FOOD")</f>
        <v xml:space="preserve">          4151 - NON-TAXABLE SALES-FOOD</v>
      </c>
      <c r="C24" s="10"/>
      <c r="D24" s="2">
        <f>--2877.6</f>
        <v>2877.6</v>
      </c>
      <c r="E24" s="2"/>
      <c r="F24" s="19"/>
      <c r="G24" s="2"/>
      <c r="H24" s="2">
        <f>--146603.86</f>
        <v>146603.85999999999</v>
      </c>
      <c r="I24" s="2"/>
      <c r="J24" s="19"/>
      <c r="K24" s="2"/>
      <c r="L24" s="2">
        <f t="shared" si="0"/>
        <v>-143726.25999999998</v>
      </c>
      <c r="M24" s="2"/>
      <c r="N24" s="19">
        <f t="shared" si="1"/>
        <v>-0.9803715945814796</v>
      </c>
      <c r="O24" s="10"/>
      <c r="P24" s="2">
        <f>--25048.82</f>
        <v>25048.82</v>
      </c>
      <c r="Q24" s="2"/>
      <c r="R24" s="19"/>
      <c r="S24" s="2"/>
      <c r="T24" s="2">
        <f>--2191470.18</f>
        <v>2191470.1800000002</v>
      </c>
      <c r="U24" s="2"/>
      <c r="V24" s="19"/>
      <c r="W24" s="2"/>
      <c r="X24" s="2">
        <f t="shared" si="2"/>
        <v>-2166421.3600000003</v>
      </c>
      <c r="Y24" s="2"/>
      <c r="Z24" s="19">
        <f t="shared" si="3"/>
        <v>-0.98856985587638713</v>
      </c>
    </row>
    <row r="25" spans="1:26" s="23" customFormat="1" hidden="1" outlineLevel="1" x14ac:dyDescent="0.25">
      <c r="A25" s="44"/>
      <c r="B25" s="10" t="str">
        <f>CONCATENATE("          ", "4152", " - ", "NON-TAXABLE SALES-FOOD")</f>
        <v xml:space="preserve">          4152 - NON-TAXABLE SALES-FOOD</v>
      </c>
      <c r="C25" s="10"/>
      <c r="D25" s="2">
        <f>0</f>
        <v>0</v>
      </c>
      <c r="E25" s="2"/>
      <c r="F25" s="19"/>
      <c r="G25" s="2"/>
      <c r="H25" s="2">
        <f>--3688.2</f>
        <v>3688.2</v>
      </c>
      <c r="I25" s="2"/>
      <c r="J25" s="19"/>
      <c r="K25" s="2"/>
      <c r="L25" s="2">
        <f t="shared" si="0"/>
        <v>-3688.2</v>
      </c>
      <c r="M25" s="2"/>
      <c r="N25" s="19">
        <f t="shared" si="1"/>
        <v>-1</v>
      </c>
      <c r="O25" s="10"/>
      <c r="P25" s="2">
        <f>0</f>
        <v>0</v>
      </c>
      <c r="Q25" s="2"/>
      <c r="R25" s="19"/>
      <c r="S25" s="2"/>
      <c r="T25" s="2">
        <f>--51415.27</f>
        <v>51415.27</v>
      </c>
      <c r="U25" s="2"/>
      <c r="V25" s="19"/>
      <c r="W25" s="2"/>
      <c r="X25" s="2">
        <f t="shared" si="2"/>
        <v>-51415.27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"4153", " - ", "NON-TAXABLE SALES-FOOD")</f>
        <v xml:space="preserve">          4153 - NON-TAXABLE SALES-FOOD</v>
      </c>
      <c r="C26" s="10"/>
      <c r="D26" s="2">
        <f>--100.55</f>
        <v>100.55</v>
      </c>
      <c r="E26" s="2"/>
      <c r="F26" s="19"/>
      <c r="G26" s="2"/>
      <c r="H26" s="2">
        <f>-304.12</f>
        <v>-304.12</v>
      </c>
      <c r="I26" s="2"/>
      <c r="J26" s="19"/>
      <c r="K26" s="2"/>
      <c r="L26" s="2">
        <f t="shared" si="0"/>
        <v>404.67</v>
      </c>
      <c r="M26" s="2"/>
      <c r="N26" s="19">
        <f t="shared" si="1"/>
        <v>-1.330626068657109</v>
      </c>
      <c r="O26" s="10"/>
      <c r="P26" s="2">
        <f>--344.55</f>
        <v>344.55</v>
      </c>
      <c r="Q26" s="2"/>
      <c r="R26" s="19"/>
      <c r="S26" s="2"/>
      <c r="T26" s="2">
        <f>--12314.09</f>
        <v>12314.09</v>
      </c>
      <c r="U26" s="2"/>
      <c r="V26" s="19"/>
      <c r="W26" s="2"/>
      <c r="X26" s="2">
        <f t="shared" si="2"/>
        <v>-11969.54</v>
      </c>
      <c r="Y26" s="2"/>
      <c r="Z26" s="19">
        <f t="shared" si="3"/>
        <v>-0.97201985692812065</v>
      </c>
    </row>
    <row r="27" spans="1:26" s="23" customFormat="1" hidden="1" outlineLevel="1" x14ac:dyDescent="0.25">
      <c r="A27" s="44"/>
      <c r="B27" s="10" t="str">
        <f>CONCATENATE("          ", "4155", " - ", "NON-TAXABLE SALES-FOOD")</f>
        <v xml:space="preserve">          4155 - NON-TAXABLE SALES-FOOD</v>
      </c>
      <c r="C27" s="10"/>
      <c r="D27" s="2">
        <f t="shared" ref="D27:D28" si="8">0</f>
        <v>0</v>
      </c>
      <c r="E27" s="2"/>
      <c r="F27" s="19"/>
      <c r="G27" s="2"/>
      <c r="H27" s="2">
        <f>--43938.14</f>
        <v>43938.14</v>
      </c>
      <c r="I27" s="2"/>
      <c r="J27" s="19"/>
      <c r="K27" s="2"/>
      <c r="L27" s="2">
        <f t="shared" si="0"/>
        <v>-43938.14</v>
      </c>
      <c r="M27" s="2"/>
      <c r="N27" s="19">
        <f t="shared" si="1"/>
        <v>-1</v>
      </c>
      <c r="O27" s="10"/>
      <c r="P27" s="2">
        <f t="shared" ref="P27:P28" si="9">0</f>
        <v>0</v>
      </c>
      <c r="Q27" s="2"/>
      <c r="R27" s="19"/>
      <c r="S27" s="2"/>
      <c r="T27" s="2">
        <f>--687389.73</f>
        <v>687389.73</v>
      </c>
      <c r="U27" s="2"/>
      <c r="V27" s="19"/>
      <c r="W27" s="2"/>
      <c r="X27" s="2">
        <f t="shared" si="2"/>
        <v>-687389.73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"4158", " - ", "NON-TAXABLE SALES-FOOD")</f>
        <v xml:space="preserve">          4158 - NON-TAXABLE SALES-FOOD</v>
      </c>
      <c r="C28" s="10"/>
      <c r="D28" s="2">
        <f t="shared" si="8"/>
        <v>0</v>
      </c>
      <c r="E28" s="2"/>
      <c r="F28" s="19"/>
      <c r="G28" s="2"/>
      <c r="H28" s="2">
        <f>--33459.89</f>
        <v>33459.89</v>
      </c>
      <c r="I28" s="2"/>
      <c r="J28" s="19"/>
      <c r="K28" s="2"/>
      <c r="L28" s="2">
        <f t="shared" si="0"/>
        <v>-33459.89</v>
      </c>
      <c r="M28" s="2"/>
      <c r="N28" s="19">
        <f t="shared" si="1"/>
        <v>-1</v>
      </c>
      <c r="O28" s="10"/>
      <c r="P28" s="2">
        <f t="shared" si="9"/>
        <v>0</v>
      </c>
      <c r="Q28" s="2"/>
      <c r="R28" s="19"/>
      <c r="S28" s="2"/>
      <c r="T28" s="2">
        <f>--474853.67</f>
        <v>474853.67</v>
      </c>
      <c r="U28" s="2"/>
      <c r="V28" s="19"/>
      <c r="W28" s="2"/>
      <c r="X28" s="2">
        <f t="shared" si="2"/>
        <v>-474853.67</v>
      </c>
      <c r="Y28" s="2"/>
      <c r="Z28" s="19">
        <f t="shared" si="3"/>
        <v>-1</v>
      </c>
    </row>
    <row r="29" spans="1:26" x14ac:dyDescent="0.25">
      <c r="A29" s="9"/>
      <c r="B29" s="11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4" customFormat="1" collapsed="1" x14ac:dyDescent="0.25">
      <c r="A30" s="11"/>
      <c r="B30" s="28" t="s">
        <v>256</v>
      </c>
      <c r="C30" s="11"/>
      <c r="D30" s="4">
        <f>SUM(OSRRefD16x_0)</f>
        <v>-6014.89</v>
      </c>
      <c r="E30" s="4"/>
      <c r="F30" s="13">
        <f t="shared" ref="F30:F32" si="10">IF(D$12=0,0,D30/D$12)</f>
        <v>-0.10485288600862128</v>
      </c>
      <c r="G30" s="4"/>
      <c r="H30" s="4">
        <f>SUM(OSRRefH16x_0)</f>
        <v>172436.92</v>
      </c>
      <c r="I30" s="4"/>
      <c r="J30" s="13">
        <f t="shared" ref="J30:J32" si="11">IF(H$12=0,0,H30/H$12)</f>
        <v>0.36588091466854966</v>
      </c>
      <c r="K30" s="4"/>
      <c r="L30" s="4">
        <f t="shared" ref="L30:L32" si="12">+D30-H30</f>
        <v>-178451.81000000003</v>
      </c>
      <c r="M30" s="4"/>
      <c r="N30" s="13">
        <f t="shared" ref="N30:N32" si="13">IF(H30=0,0,L30/H30)</f>
        <v>-1.0348816831105543</v>
      </c>
      <c r="O30" s="11"/>
      <c r="P30" s="4">
        <f>SUM(OSRRefP16x_0)</f>
        <v>37863.31</v>
      </c>
      <c r="Q30" s="4"/>
      <c r="R30" s="13">
        <f t="shared" ref="R30:R32" si="14">IF(P$12=0,0,P30/P$12)</f>
        <v>9.8001619861913136E-2</v>
      </c>
      <c r="S30" s="4"/>
      <c r="T30" s="4">
        <f>SUM(OSRRefT16x_0)</f>
        <v>2659774.11</v>
      </c>
      <c r="U30" s="4"/>
      <c r="V30" s="13">
        <f t="shared" ref="V30:V32" si="15">IF(T$12=0,0,T30/T$12)</f>
        <v>0.38083396787068785</v>
      </c>
      <c r="W30" s="4"/>
      <c r="X30" s="4">
        <f t="shared" ref="X30:X32" si="16">+P30-T30</f>
        <v>-2621910.7999999998</v>
      </c>
      <c r="Y30" s="4"/>
      <c r="Z30" s="13">
        <f t="shared" ref="Z30:Z32" si="17">IF(T30=0,0,X30/T30)</f>
        <v>-0.98576446403563189</v>
      </c>
    </row>
    <row r="31" spans="1:26" s="23" customFormat="1" hidden="1" outlineLevel="1" x14ac:dyDescent="0.25">
      <c r="A31" s="44"/>
      <c r="B31" s="10" t="str">
        <f>CONCATENATE("          ", "5053", " - ", "PURCHASES @ COST-FOOD")</f>
        <v xml:space="preserve">          5053 - PURCHASES @ COST-FOOD</v>
      </c>
      <c r="C31" s="10"/>
      <c r="D31" s="2">
        <v>-5534.89</v>
      </c>
      <c r="E31" s="2"/>
      <c r="F31" s="19">
        <f t="shared" si="10"/>
        <v>-9.6485420388445653E-2</v>
      </c>
      <c r="G31" s="2"/>
      <c r="H31" s="2">
        <v>194936.14</v>
      </c>
      <c r="I31" s="2"/>
      <c r="J31" s="19">
        <f t="shared" si="11"/>
        <v>0.41362031521530568</v>
      </c>
      <c r="K31" s="2"/>
      <c r="L31" s="2">
        <f t="shared" si="12"/>
        <v>-200471.03000000003</v>
      </c>
      <c r="M31" s="2"/>
      <c r="N31" s="19">
        <f t="shared" si="13"/>
        <v>-1.0283933497400739</v>
      </c>
      <c r="O31" s="10"/>
      <c r="P31" s="2">
        <v>1747.32</v>
      </c>
      <c r="Q31" s="2"/>
      <c r="R31" s="19">
        <f t="shared" si="14"/>
        <v>4.5225890292506935E-3</v>
      </c>
      <c r="S31" s="2"/>
      <c r="T31" s="2">
        <v>2745737.27</v>
      </c>
      <c r="U31" s="2"/>
      <c r="V31" s="19">
        <f t="shared" si="15"/>
        <v>0.39314241586648507</v>
      </c>
      <c r="W31" s="2"/>
      <c r="X31" s="2">
        <f t="shared" si="16"/>
        <v>-2743989.95</v>
      </c>
      <c r="Y31" s="2"/>
      <c r="Z31" s="19">
        <f t="shared" si="17"/>
        <v>-0.99936362447380123</v>
      </c>
    </row>
    <row r="32" spans="1:26" s="23" customFormat="1" hidden="1" outlineLevel="1" x14ac:dyDescent="0.25">
      <c r="A32" s="44"/>
      <c r="B32" s="10" t="str">
        <f>CONCATENATE("          ", "5059", " - ", "PURCHASES @ COST-FOOD")</f>
        <v xml:space="preserve">          5059 - PURCHASES @ COST-FOOD</v>
      </c>
      <c r="C32" s="10"/>
      <c r="D32" s="2">
        <v>-480</v>
      </c>
      <c r="E32" s="2"/>
      <c r="F32" s="19">
        <f t="shared" si="10"/>
        <v>-8.3674656201756323E-3</v>
      </c>
      <c r="G32" s="2"/>
      <c r="H32" s="2">
        <v>-22499.22</v>
      </c>
      <c r="I32" s="2"/>
      <c r="J32" s="19">
        <f t="shared" si="11"/>
        <v>-4.7739400546756031E-2</v>
      </c>
      <c r="K32" s="2"/>
      <c r="L32" s="2">
        <f t="shared" si="12"/>
        <v>22019.22</v>
      </c>
      <c r="M32" s="2"/>
      <c r="N32" s="19">
        <f t="shared" si="13"/>
        <v>-0.97866592708547229</v>
      </c>
      <c r="O32" s="10"/>
      <c r="P32" s="2">
        <v>36115.99</v>
      </c>
      <c r="Q32" s="2"/>
      <c r="R32" s="19">
        <f t="shared" si="14"/>
        <v>9.3479030832662444E-2</v>
      </c>
      <c r="S32" s="2"/>
      <c r="T32" s="2">
        <v>-85963.16</v>
      </c>
      <c r="U32" s="2"/>
      <c r="V32" s="19">
        <f t="shared" si="15"/>
        <v>-1.2308447995797207E-2</v>
      </c>
      <c r="W32" s="2"/>
      <c r="X32" s="2">
        <f t="shared" si="16"/>
        <v>122079.15</v>
      </c>
      <c r="Y32" s="2"/>
      <c r="Z32" s="19">
        <f t="shared" si="17"/>
        <v>-1.4201333454935812</v>
      </c>
    </row>
    <row r="33" spans="1:26" x14ac:dyDescent="0.25">
      <c r="A33" s="9"/>
      <c r="B33" s="11"/>
      <c r="C33" s="11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1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x14ac:dyDescent="0.25">
      <c r="A34" s="11"/>
      <c r="B34" s="29" t="s">
        <v>107</v>
      </c>
      <c r="C34" s="29"/>
      <c r="D34" s="22">
        <f>D12-D30</f>
        <v>63379.93</v>
      </c>
      <c r="E34" s="14"/>
      <c r="F34" s="20">
        <f>IF(D$12=0,0,D34/D$12)</f>
        <v>1.1048528860086213</v>
      </c>
      <c r="G34" s="14"/>
      <c r="H34" s="22">
        <f>H12-H30</f>
        <v>298855.55000000005</v>
      </c>
      <c r="I34" s="14"/>
      <c r="J34" s="20">
        <f>IF(H$12=0,0,H34/H$12)</f>
        <v>0.63411908533145045</v>
      </c>
      <c r="K34" s="15"/>
      <c r="L34" s="22">
        <f>+D34-H34</f>
        <v>-235475.62000000005</v>
      </c>
      <c r="M34" s="15"/>
      <c r="N34" s="20">
        <f>IF(H34=0,0,L34/H34)</f>
        <v>-0.78792453411020813</v>
      </c>
      <c r="O34" s="28"/>
      <c r="P34" s="22">
        <f>P12-P30</f>
        <v>348490.61</v>
      </c>
      <c r="Q34" s="14"/>
      <c r="R34" s="20">
        <f>IF(P$12=0,0,P34/P$12)</f>
        <v>0.90199838013808686</v>
      </c>
      <c r="S34" s="14"/>
      <c r="T34" s="22">
        <f>T12-T30</f>
        <v>4324303.82</v>
      </c>
      <c r="U34" s="14"/>
      <c r="V34" s="20">
        <f>IF(T$12=0,0,T34/T$12)</f>
        <v>0.6191660321293122</v>
      </c>
      <c r="W34" s="15"/>
      <c r="X34" s="22">
        <f>+P34-T34</f>
        <v>-3975813.2100000004</v>
      </c>
      <c r="Y34" s="15"/>
      <c r="Z34" s="20">
        <f>IF(T34=0,0,X34/T34)</f>
        <v>-0.91941116431546199</v>
      </c>
    </row>
    <row r="35" spans="1:26" x14ac:dyDescent="0.25">
      <c r="A35" s="9"/>
      <c r="B35" s="11"/>
      <c r="C35" s="9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4" customFormat="1" x14ac:dyDescent="0.25">
      <c r="A36" s="11"/>
      <c r="B36" s="28" t="s">
        <v>294</v>
      </c>
      <c r="C36" s="11"/>
      <c r="D36" s="21">
        <f>SUM(OSRRefD22x_0)</f>
        <v>112201.27000000002</v>
      </c>
      <c r="E36" s="21"/>
      <c r="F36" s="31">
        <f t="shared" ref="F36:F46" si="18">IF(D$12=0,0,D36/D$12)</f>
        <v>1.9559172276355079</v>
      </c>
      <c r="G36" s="21"/>
      <c r="H36" s="21">
        <f>SUM(OSRRefH22x_0)</f>
        <v>641161.30999999994</v>
      </c>
      <c r="I36" s="21"/>
      <c r="J36" s="31">
        <f t="shared" ref="J36:J46" si="19">IF(H$12=0,0,H36/H$12)</f>
        <v>1.3604318991135163</v>
      </c>
      <c r="K36" s="4"/>
      <c r="L36" s="21">
        <f t="shared" ref="L36:L46" si="20">+D36-H36</f>
        <v>-528960.03999999992</v>
      </c>
      <c r="M36" s="4"/>
      <c r="N36" s="31">
        <f t="shared" ref="N36:N46" si="21">IF(H36=0,0,L36/H36)</f>
        <v>-0.82500305578326294</v>
      </c>
      <c r="O36" s="11"/>
      <c r="P36" s="21">
        <f>SUM(OSRRefP22x_0)</f>
        <v>1209915.94</v>
      </c>
      <c r="Q36" s="21"/>
      <c r="R36" s="31">
        <f t="shared" ref="R36:R46" si="22">IF(P$12=0,0,P36/P$12)</f>
        <v>3.1316258936883572</v>
      </c>
      <c r="S36" s="21"/>
      <c r="T36" s="21">
        <f>SUM(OSRRefT22x_0)</f>
        <v>5424091.5</v>
      </c>
      <c r="U36" s="21"/>
      <c r="V36" s="31">
        <f t="shared" ref="V36:V46" si="23">IF(T$12=0,0,T36/T$12)</f>
        <v>0.77663673778622921</v>
      </c>
      <c r="W36" s="4"/>
      <c r="X36" s="21">
        <f t="shared" ref="X36:X46" si="24">+P36-T36</f>
        <v>-4214175.5600000005</v>
      </c>
      <c r="Y36" s="4"/>
      <c r="Z36" s="31">
        <f t="shared" ref="Z36:Z46" si="25">IF(T36=0,0,X36/T36)</f>
        <v>-0.77693666487742707</v>
      </c>
    </row>
    <row r="37" spans="1:26" s="26" customFormat="1" outlineLevel="1" collapsed="1" x14ac:dyDescent="0.25">
      <c r="A37" s="27"/>
      <c r="B37" s="12" t="str">
        <f>CONCATENATE("     ","*Benefits                                         ")</f>
        <v xml:space="preserve">     *Benefits                                         </v>
      </c>
      <c r="C37" s="12"/>
      <c r="D37" s="1">
        <f>SUM(OSRRefD22_0x_0)</f>
        <v>18745.780000000002</v>
      </c>
      <c r="E37" s="1"/>
      <c r="F37" s="5">
        <f t="shared" si="18"/>
        <v>0.32678056181953336</v>
      </c>
      <c r="G37" s="1"/>
      <c r="H37" s="1">
        <f>SUM(OSRRefH22_0x_0)</f>
        <v>84324.169999999984</v>
      </c>
      <c r="I37" s="1"/>
      <c r="J37" s="5">
        <f t="shared" si="19"/>
        <v>0.17892110603846478</v>
      </c>
      <c r="K37" s="1"/>
      <c r="L37" s="1">
        <f t="shared" si="20"/>
        <v>-65578.389999999985</v>
      </c>
      <c r="M37" s="1"/>
      <c r="N37" s="5">
        <f t="shared" si="21"/>
        <v>-0.77769386879230473</v>
      </c>
      <c r="O37" s="12"/>
      <c r="P37" s="1">
        <f>SUM(OSRRefP22_0x_0)</f>
        <v>221841.23</v>
      </c>
      <c r="Q37" s="1"/>
      <c r="R37" s="5">
        <f t="shared" si="22"/>
        <v>0.57419174108547943</v>
      </c>
      <c r="S37" s="1"/>
      <c r="T37" s="1">
        <f>SUM(OSRRefT22_0x_0)</f>
        <v>738464.24999999988</v>
      </c>
      <c r="U37" s="1"/>
      <c r="V37" s="5">
        <f t="shared" si="23"/>
        <v>0.10573539662665246</v>
      </c>
      <c r="W37" s="1"/>
      <c r="X37" s="1">
        <f t="shared" si="24"/>
        <v>-516623.0199999999</v>
      </c>
      <c r="Y37" s="1"/>
      <c r="Z37" s="5">
        <f t="shared" si="25"/>
        <v>-0.69959110410558123</v>
      </c>
    </row>
    <row r="38" spans="1:26" s="23" customFormat="1" hidden="1" outlineLevel="2" x14ac:dyDescent="0.25">
      <c r="A38" s="25"/>
      <c r="B38" s="10" t="str">
        <f>CONCATENATE("          ", "6111", " - ", "F.I.C.A.")</f>
        <v xml:space="preserve">          6111 - F.I.C.A.</v>
      </c>
      <c r="C38" s="10"/>
      <c r="D38" s="6">
        <v>2329.63</v>
      </c>
      <c r="E38" s="2"/>
      <c r="F38" s="7">
        <f t="shared" si="18"/>
        <v>4.0610622776520333E-2</v>
      </c>
      <c r="G38" s="2"/>
      <c r="H38" s="6">
        <v>24541.97</v>
      </c>
      <c r="I38" s="2"/>
      <c r="J38" s="7">
        <f t="shared" si="19"/>
        <v>5.2073757936340462E-2</v>
      </c>
      <c r="K38" s="2"/>
      <c r="L38" s="6">
        <f t="shared" si="20"/>
        <v>-22212.34</v>
      </c>
      <c r="M38" s="2"/>
      <c r="N38" s="7">
        <f t="shared" si="21"/>
        <v>-0.90507567240934605</v>
      </c>
      <c r="O38" s="10"/>
      <c r="P38" s="6">
        <v>25979.72</v>
      </c>
      <c r="Q38" s="2"/>
      <c r="R38" s="7">
        <f t="shared" si="22"/>
        <v>6.7243319286109493E-2</v>
      </c>
      <c r="S38" s="2"/>
      <c r="T38" s="6">
        <v>147460.26999999999</v>
      </c>
      <c r="U38" s="2"/>
      <c r="V38" s="7">
        <f t="shared" si="23"/>
        <v>2.1113777864159657E-2</v>
      </c>
      <c r="W38" s="2"/>
      <c r="X38" s="6">
        <f t="shared" si="24"/>
        <v>-121480.54999999999</v>
      </c>
      <c r="Y38" s="2"/>
      <c r="Z38" s="7">
        <f t="shared" si="25"/>
        <v>-0.82381884964675567</v>
      </c>
    </row>
    <row r="39" spans="1:26" s="23" customFormat="1" hidden="1" outlineLevel="2" x14ac:dyDescent="0.25">
      <c r="A39" s="25"/>
      <c r="B39" s="10" t="str">
        <f>CONCATENATE("          ", "6112", " - ", "COMPENSATION INSURANCE")</f>
        <v xml:space="preserve">          6112 - COMPENSATION INSURANCE</v>
      </c>
      <c r="C39" s="10"/>
      <c r="D39" s="6">
        <v>611.25</v>
      </c>
      <c r="E39" s="2"/>
      <c r="F39" s="7">
        <f t="shared" si="18"/>
        <v>1.0655444500692408E-2</v>
      </c>
      <c r="G39" s="2"/>
      <c r="H39" s="6">
        <v>15941.76</v>
      </c>
      <c r="I39" s="2"/>
      <c r="J39" s="7">
        <f t="shared" si="19"/>
        <v>3.3825620001949108E-2</v>
      </c>
      <c r="K39" s="2"/>
      <c r="L39" s="6">
        <f t="shared" si="20"/>
        <v>-15330.51</v>
      </c>
      <c r="M39" s="2"/>
      <c r="N39" s="7">
        <f t="shared" si="21"/>
        <v>-0.96165730759966273</v>
      </c>
      <c r="O39" s="10"/>
      <c r="P39" s="6">
        <v>7234.14</v>
      </c>
      <c r="Q39" s="2"/>
      <c r="R39" s="7">
        <f t="shared" si="22"/>
        <v>1.8724127349348495E-2</v>
      </c>
      <c r="S39" s="2"/>
      <c r="T39" s="6">
        <v>77508.98</v>
      </c>
      <c r="U39" s="2"/>
      <c r="V39" s="7">
        <f t="shared" si="23"/>
        <v>1.1097954630068109E-2</v>
      </c>
      <c r="W39" s="2"/>
      <c r="X39" s="6">
        <f t="shared" si="24"/>
        <v>-70274.84</v>
      </c>
      <c r="Y39" s="2"/>
      <c r="Z39" s="7">
        <f t="shared" si="25"/>
        <v>-0.90666707264113144</v>
      </c>
    </row>
    <row r="40" spans="1:26" s="23" customFormat="1" hidden="1" outlineLevel="2" x14ac:dyDescent="0.25">
      <c r="A40" s="25"/>
      <c r="B40" s="10" t="str">
        <f>CONCATENATE("          ", "6113", " - ", "GROUP INSURANCE")</f>
        <v xml:space="preserve">          6113 - GROUP INSURANCE</v>
      </c>
      <c r="C40" s="10"/>
      <c r="D40" s="6">
        <v>8554.93</v>
      </c>
      <c r="E40" s="2"/>
      <c r="F40" s="7">
        <f t="shared" si="18"/>
        <v>0.14913142220418568</v>
      </c>
      <c r="G40" s="2"/>
      <c r="H40" s="6">
        <v>33929.550000000003</v>
      </c>
      <c r="I40" s="2"/>
      <c r="J40" s="7">
        <f t="shared" si="19"/>
        <v>7.1992556978472413E-2</v>
      </c>
      <c r="K40" s="2"/>
      <c r="L40" s="6">
        <f t="shared" si="20"/>
        <v>-25374.620000000003</v>
      </c>
      <c r="M40" s="2"/>
      <c r="N40" s="7">
        <f t="shared" si="21"/>
        <v>-0.7478619669285328</v>
      </c>
      <c r="O40" s="10"/>
      <c r="P40" s="6">
        <v>104664.36</v>
      </c>
      <c r="Q40" s="2"/>
      <c r="R40" s="7">
        <f t="shared" si="22"/>
        <v>0.2709028033156749</v>
      </c>
      <c r="S40" s="2"/>
      <c r="T40" s="6">
        <v>259173.44</v>
      </c>
      <c r="U40" s="2"/>
      <c r="V40" s="7">
        <f t="shared" si="23"/>
        <v>3.7109185005900991E-2</v>
      </c>
      <c r="W40" s="2"/>
      <c r="X40" s="6">
        <f t="shared" si="24"/>
        <v>-154509.08000000002</v>
      </c>
      <c r="Y40" s="2"/>
      <c r="Z40" s="7">
        <f t="shared" si="25"/>
        <v>-0.59616093377469548</v>
      </c>
    </row>
    <row r="41" spans="1:26" s="23" customFormat="1" hidden="1" outlineLevel="2" x14ac:dyDescent="0.25">
      <c r="A41" s="25"/>
      <c r="B41" s="10" t="str">
        <f>CONCATENATE("          ", "6114", " - ", "STATE UNEMPLOYMENT INSURANCE")</f>
        <v xml:space="preserve">          6114 - STATE UNEMPLOYMENT INSURANCE</v>
      </c>
      <c r="C41" s="10"/>
      <c r="D41" s="6">
        <v>78.73</v>
      </c>
      <c r="E41" s="2"/>
      <c r="F41" s="7">
        <f t="shared" si="18"/>
        <v>1.3724386839092243E-3</v>
      </c>
      <c r="G41" s="2"/>
      <c r="H41" s="6">
        <v>1229.68</v>
      </c>
      <c r="I41" s="2"/>
      <c r="J41" s="7">
        <f t="shared" si="19"/>
        <v>2.609165387259423E-3</v>
      </c>
      <c r="K41" s="2"/>
      <c r="L41" s="6">
        <f t="shared" si="20"/>
        <v>-1150.95</v>
      </c>
      <c r="M41" s="2"/>
      <c r="N41" s="7">
        <f t="shared" si="21"/>
        <v>-0.93597521306356124</v>
      </c>
      <c r="O41" s="10"/>
      <c r="P41" s="6">
        <v>965.4</v>
      </c>
      <c r="Q41" s="2"/>
      <c r="R41" s="7">
        <f t="shared" si="22"/>
        <v>2.4987451919732044E-3</v>
      </c>
      <c r="S41" s="2"/>
      <c r="T41" s="6">
        <v>7209.81</v>
      </c>
      <c r="U41" s="2"/>
      <c r="V41" s="7">
        <f t="shared" si="23"/>
        <v>1.0323209552159165E-3</v>
      </c>
      <c r="W41" s="2"/>
      <c r="X41" s="6">
        <f t="shared" si="24"/>
        <v>-6244.4100000000008</v>
      </c>
      <c r="Y41" s="2"/>
      <c r="Z41" s="7">
        <f t="shared" si="25"/>
        <v>-0.86609910663387801</v>
      </c>
    </row>
    <row r="42" spans="1:26" s="23" customFormat="1" hidden="1" outlineLevel="2" x14ac:dyDescent="0.25">
      <c r="A42" s="25"/>
      <c r="B42" s="10" t="str">
        <f>CONCATENATE("          ", "6115", " - ", "P.E.R.S.")</f>
        <v xml:space="preserve">          6115 - P.E.R.S.</v>
      </c>
      <c r="C42" s="10"/>
      <c r="D42" s="6">
        <v>2783.65</v>
      </c>
      <c r="E42" s="2"/>
      <c r="F42" s="7">
        <f t="shared" si="18"/>
        <v>4.8525199320003959E-2</v>
      </c>
      <c r="G42" s="2"/>
      <c r="H42" s="6">
        <v>9549.48</v>
      </c>
      <c r="I42" s="2"/>
      <c r="J42" s="7">
        <f t="shared" si="19"/>
        <v>2.0262322459766859E-2</v>
      </c>
      <c r="K42" s="2"/>
      <c r="L42" s="6">
        <f t="shared" si="20"/>
        <v>-6765.83</v>
      </c>
      <c r="M42" s="2"/>
      <c r="N42" s="7">
        <f t="shared" si="21"/>
        <v>-0.70850245248955968</v>
      </c>
      <c r="O42" s="10"/>
      <c r="P42" s="6">
        <v>35235.589999999997</v>
      </c>
      <c r="Q42" s="2"/>
      <c r="R42" s="7">
        <f t="shared" si="22"/>
        <v>9.120029117344014E-2</v>
      </c>
      <c r="S42" s="2"/>
      <c r="T42" s="6">
        <v>81731.240000000005</v>
      </c>
      <c r="U42" s="2"/>
      <c r="V42" s="7">
        <f t="shared" si="23"/>
        <v>1.1702509739893468E-2</v>
      </c>
      <c r="W42" s="2"/>
      <c r="X42" s="6">
        <f t="shared" si="24"/>
        <v>-46495.650000000009</v>
      </c>
      <c r="Y42" s="2"/>
      <c r="Z42" s="7">
        <f t="shared" si="25"/>
        <v>-0.5688846761654418</v>
      </c>
    </row>
    <row r="43" spans="1:26" s="23" customFormat="1" hidden="1" outlineLevel="2" x14ac:dyDescent="0.25">
      <c r="A43" s="25"/>
      <c r="B43" s="10" t="str">
        <f>CONCATENATE("          ", "6117", " - ", "RETIREMENT STAFF HOURLY")</f>
        <v xml:space="preserve">          6117 - RETIREMENT STAFF HOURLY</v>
      </c>
      <c r="C43" s="10"/>
      <c r="D43" s="6"/>
      <c r="E43" s="2"/>
      <c r="F43" s="7">
        <f t="shared" si="18"/>
        <v>0</v>
      </c>
      <c r="G43" s="2"/>
      <c r="H43" s="6">
        <v>133.72999999999999</v>
      </c>
      <c r="I43" s="2"/>
      <c r="J43" s="7">
        <f t="shared" si="19"/>
        <v>2.8375161606125382E-4</v>
      </c>
      <c r="K43" s="2"/>
      <c r="L43" s="6">
        <f t="shared" si="20"/>
        <v>-133.72999999999999</v>
      </c>
      <c r="M43" s="2"/>
      <c r="N43" s="7">
        <f t="shared" si="21"/>
        <v>-1</v>
      </c>
      <c r="O43" s="10"/>
      <c r="P43" s="6"/>
      <c r="Q43" s="2"/>
      <c r="R43" s="7">
        <f t="shared" si="22"/>
        <v>0</v>
      </c>
      <c r="S43" s="2"/>
      <c r="T43" s="6">
        <v>846.58</v>
      </c>
      <c r="U43" s="2"/>
      <c r="V43" s="7">
        <f t="shared" si="23"/>
        <v>1.2121571501422237E-4</v>
      </c>
      <c r="W43" s="2"/>
      <c r="X43" s="6">
        <f t="shared" si="24"/>
        <v>-846.58</v>
      </c>
      <c r="Y43" s="2"/>
      <c r="Z43" s="7">
        <f t="shared" si="25"/>
        <v>-1</v>
      </c>
    </row>
    <row r="44" spans="1:26" s="23" customFormat="1" hidden="1" outlineLevel="2" x14ac:dyDescent="0.25">
      <c r="A44" s="25"/>
      <c r="B44" s="10" t="str">
        <f>CONCATENATE("          ", "6118", " - ", "VACATION")</f>
        <v xml:space="preserve">          6118 - VACATION</v>
      </c>
      <c r="C44" s="10"/>
      <c r="D44" s="6">
        <v>2462.92</v>
      </c>
      <c r="E44" s="2"/>
      <c r="F44" s="7">
        <f t="shared" si="18"/>
        <v>4.2934163385922854E-2</v>
      </c>
      <c r="G44" s="2"/>
      <c r="H44" s="6">
        <v>11098.44</v>
      </c>
      <c r="I44" s="2"/>
      <c r="J44" s="7">
        <f t="shared" si="19"/>
        <v>2.3548944034688268E-2</v>
      </c>
      <c r="K44" s="2"/>
      <c r="L44" s="6">
        <f t="shared" si="20"/>
        <v>-8635.52</v>
      </c>
      <c r="M44" s="2"/>
      <c r="N44" s="7">
        <f t="shared" si="21"/>
        <v>-0.77808412713858888</v>
      </c>
      <c r="O44" s="10"/>
      <c r="P44" s="6">
        <v>26820.92</v>
      </c>
      <c r="Q44" s="2"/>
      <c r="R44" s="7">
        <f t="shared" si="22"/>
        <v>6.9420597570227838E-2</v>
      </c>
      <c r="S44" s="2"/>
      <c r="T44" s="6">
        <v>79301.84</v>
      </c>
      <c r="U44" s="2"/>
      <c r="V44" s="7">
        <f t="shared" si="23"/>
        <v>1.1354661387634316E-2</v>
      </c>
      <c r="W44" s="2"/>
      <c r="X44" s="6">
        <f t="shared" si="24"/>
        <v>-52480.92</v>
      </c>
      <c r="Y44" s="2"/>
      <c r="Z44" s="7">
        <f t="shared" si="25"/>
        <v>-0.66178691440198611</v>
      </c>
    </row>
    <row r="45" spans="1:26" s="23" customFormat="1" hidden="1" outlineLevel="2" x14ac:dyDescent="0.25">
      <c r="A45" s="25"/>
      <c r="B45" s="10" t="str">
        <f>CONCATENATE("          ", "6119", " - ", "SICK LEAVE")</f>
        <v xml:space="preserve">          6119 - SICK LEAVE</v>
      </c>
      <c r="C45" s="10"/>
      <c r="D45" s="6">
        <v>1382.86</v>
      </c>
      <c r="E45" s="2"/>
      <c r="F45" s="7">
        <f t="shared" si="18"/>
        <v>2.4106319807325156E-2</v>
      </c>
      <c r="G45" s="2"/>
      <c r="H45" s="6">
        <v>-14376.34</v>
      </c>
      <c r="I45" s="2"/>
      <c r="J45" s="7">
        <f t="shared" si="19"/>
        <v>-3.0504073192597368E-2</v>
      </c>
      <c r="K45" s="2"/>
      <c r="L45" s="6">
        <f t="shared" si="20"/>
        <v>15759.2</v>
      </c>
      <c r="M45" s="2"/>
      <c r="N45" s="7">
        <f t="shared" si="21"/>
        <v>-1.0961899899418073</v>
      </c>
      <c r="O45" s="10"/>
      <c r="P45" s="6">
        <v>15955.32</v>
      </c>
      <c r="Q45" s="2"/>
      <c r="R45" s="7">
        <f t="shared" si="22"/>
        <v>4.1297160903660562E-2</v>
      </c>
      <c r="S45" s="2"/>
      <c r="T45" s="6">
        <v>55286.34</v>
      </c>
      <c r="U45" s="2"/>
      <c r="V45" s="7">
        <f t="shared" si="23"/>
        <v>7.9160542814847995E-3</v>
      </c>
      <c r="W45" s="2"/>
      <c r="X45" s="6">
        <f t="shared" si="24"/>
        <v>-39331.019999999997</v>
      </c>
      <c r="Y45" s="2"/>
      <c r="Z45" s="7">
        <f t="shared" si="25"/>
        <v>-0.71140574688069425</v>
      </c>
    </row>
    <row r="46" spans="1:26" s="23" customFormat="1" hidden="1" outlineLevel="2" x14ac:dyDescent="0.25">
      <c r="A46" s="25"/>
      <c r="B46" s="10" t="str">
        <f>CONCATENATE("          ", "6156", " - ", "EMPLOYEE MEALS")</f>
        <v xml:space="preserve">          6156 - EMPLOYEE MEALS</v>
      </c>
      <c r="C46" s="10"/>
      <c r="D46" s="6">
        <v>541.80999999999995</v>
      </c>
      <c r="E46" s="2"/>
      <c r="F46" s="7">
        <f t="shared" si="18"/>
        <v>9.4449511409736651E-3</v>
      </c>
      <c r="G46" s="2"/>
      <c r="H46" s="6">
        <v>2275.9</v>
      </c>
      <c r="I46" s="2"/>
      <c r="J46" s="7">
        <f t="shared" si="19"/>
        <v>4.8290608165243972E-3</v>
      </c>
      <c r="K46" s="2"/>
      <c r="L46" s="6">
        <f t="shared" si="20"/>
        <v>-1734.0900000000001</v>
      </c>
      <c r="M46" s="2"/>
      <c r="N46" s="7">
        <f t="shared" si="21"/>
        <v>-0.76193593743134591</v>
      </c>
      <c r="O46" s="10"/>
      <c r="P46" s="6">
        <v>4985.78</v>
      </c>
      <c r="Q46" s="2"/>
      <c r="R46" s="7">
        <f t="shared" si="22"/>
        <v>1.2904696295044709E-2</v>
      </c>
      <c r="S46" s="2"/>
      <c r="T46" s="6">
        <v>29945.75</v>
      </c>
      <c r="U46" s="2"/>
      <c r="V46" s="7">
        <f t="shared" si="23"/>
        <v>4.2877170472810002E-3</v>
      </c>
      <c r="W46" s="2"/>
      <c r="X46" s="6">
        <f t="shared" si="24"/>
        <v>-24959.97</v>
      </c>
      <c r="Y46" s="2"/>
      <c r="Z46" s="7">
        <f t="shared" si="25"/>
        <v>-0.83350625714834325</v>
      </c>
    </row>
    <row r="47" spans="1:26" s="26" customFormat="1" outlineLevel="1" collapsed="1" x14ac:dyDescent="0.25">
      <c r="A47" s="27"/>
      <c r="B47" s="12" t="str">
        <f>CONCATENATE("     ","*Payroll                                          ")</f>
        <v xml:space="preserve">     *Payroll                                          </v>
      </c>
      <c r="C47" s="12"/>
      <c r="D47" s="1">
        <f>SUM(OSRRefD22_1x_0)</f>
        <v>27420.030000000002</v>
      </c>
      <c r="E47" s="1"/>
      <c r="F47" s="5">
        <f t="shared" ref="F47:F54" si="26">IF(D$12=0,0,D47/D$12)</f>
        <v>0.47799199651913432</v>
      </c>
      <c r="G47" s="1"/>
      <c r="H47" s="1">
        <f>SUM(OSRRefH22_1x_0)</f>
        <v>356036.39999999997</v>
      </c>
      <c r="I47" s="1"/>
      <c r="J47" s="5">
        <f t="shared" ref="J47:J54" si="27">IF(H$12=0,0,H47/H$12)</f>
        <v>0.75544682477103853</v>
      </c>
      <c r="K47" s="1"/>
      <c r="L47" s="1">
        <f t="shared" ref="L47:L54" si="28">+D47-H47</f>
        <v>-328616.36999999994</v>
      </c>
      <c r="M47" s="1"/>
      <c r="N47" s="5">
        <f t="shared" ref="N47:N54" si="29">IF(H47=0,0,L47/H47)</f>
        <v>-0.92298531835508946</v>
      </c>
      <c r="O47" s="12"/>
      <c r="P47" s="1">
        <f>SUM(OSRRefP22_1x_0)</f>
        <v>302884.70000000007</v>
      </c>
      <c r="Q47" s="1"/>
      <c r="R47" s="5">
        <f t="shared" ref="R47:R54" si="30">IF(P$12=0,0,P47/P$12)</f>
        <v>0.78395658571291338</v>
      </c>
      <c r="S47" s="1"/>
      <c r="T47" s="1">
        <f>SUM(OSRRefT22_1x_0)</f>
        <v>2570936.0800000005</v>
      </c>
      <c r="U47" s="1"/>
      <c r="V47" s="5">
        <f t="shared" ref="V47:V54" si="31">IF(T$12=0,0,T47/T$12)</f>
        <v>0.36811388787009147</v>
      </c>
      <c r="W47" s="1"/>
      <c r="X47" s="1">
        <f t="shared" ref="X47:X54" si="32">+P47-T47</f>
        <v>-2268051.3800000004</v>
      </c>
      <c r="Y47" s="1"/>
      <c r="Z47" s="5">
        <f t="shared" ref="Z47:Z54" si="33">IF(T47=0,0,X47/T47)</f>
        <v>-0.88218894185809549</v>
      </c>
    </row>
    <row r="48" spans="1:26" s="23" customFormat="1" hidden="1" outlineLevel="2" x14ac:dyDescent="0.25">
      <c r="A48" s="25"/>
      <c r="B48" s="10" t="str">
        <f>CONCATENATE("          ", "6001", " - ", "ADMINISTRATIVE SALARIES")</f>
        <v xml:space="preserve">          6001 - ADMINISTRATIVE SALARIES</v>
      </c>
      <c r="C48" s="10"/>
      <c r="D48" s="6">
        <v>10037.35</v>
      </c>
      <c r="E48" s="2"/>
      <c r="F48" s="7">
        <f t="shared" si="26"/>
        <v>0.17497329383889562</v>
      </c>
      <c r="G48" s="2"/>
      <c r="H48" s="6">
        <v>9626.26</v>
      </c>
      <c r="I48" s="2"/>
      <c r="J48" s="7">
        <f t="shared" si="27"/>
        <v>2.0425236159618675E-2</v>
      </c>
      <c r="K48" s="2"/>
      <c r="L48" s="6">
        <f t="shared" si="28"/>
        <v>411.09000000000015</v>
      </c>
      <c r="M48" s="2"/>
      <c r="N48" s="7">
        <f t="shared" si="29"/>
        <v>4.2705058870215445E-2</v>
      </c>
      <c r="O48" s="10"/>
      <c r="P48" s="6">
        <v>97219.25</v>
      </c>
      <c r="Q48" s="2"/>
      <c r="R48" s="7">
        <f t="shared" si="30"/>
        <v>0.25163262223403871</v>
      </c>
      <c r="S48" s="2"/>
      <c r="T48" s="6">
        <v>152871.47</v>
      </c>
      <c r="U48" s="2"/>
      <c r="V48" s="7">
        <f t="shared" si="31"/>
        <v>2.1888568760572238E-2</v>
      </c>
      <c r="W48" s="2"/>
      <c r="X48" s="6">
        <f t="shared" si="32"/>
        <v>-55652.22</v>
      </c>
      <c r="Y48" s="2"/>
      <c r="Z48" s="7">
        <f t="shared" si="33"/>
        <v>-0.36404582228456361</v>
      </c>
    </row>
    <row r="49" spans="1:26" s="23" customFormat="1" hidden="1" outlineLevel="2" x14ac:dyDescent="0.25">
      <c r="A49" s="25"/>
      <c r="B49" s="10" t="str">
        <f>CONCATENATE("          ", "6002", " - ", "STAFF SALARIES")</f>
        <v xml:space="preserve">          6002 - STAFF SALARIES</v>
      </c>
      <c r="C49" s="10"/>
      <c r="D49" s="6">
        <v>14052.4</v>
      </c>
      <c r="E49" s="2"/>
      <c r="F49" s="7">
        <f t="shared" si="26"/>
        <v>0.24496452891865847</v>
      </c>
      <c r="G49" s="2"/>
      <c r="H49" s="6">
        <v>95703.33</v>
      </c>
      <c r="I49" s="2"/>
      <c r="J49" s="7">
        <f t="shared" si="27"/>
        <v>0.20306568870069153</v>
      </c>
      <c r="K49" s="2"/>
      <c r="L49" s="6">
        <f t="shared" si="28"/>
        <v>-81650.930000000008</v>
      </c>
      <c r="M49" s="2"/>
      <c r="N49" s="7">
        <f t="shared" si="29"/>
        <v>-0.85316707370579481</v>
      </c>
      <c r="O49" s="10"/>
      <c r="P49" s="6">
        <v>175141.41</v>
      </c>
      <c r="Q49" s="2"/>
      <c r="R49" s="7">
        <f t="shared" si="30"/>
        <v>0.45331857898581696</v>
      </c>
      <c r="S49" s="2"/>
      <c r="T49" s="6">
        <v>720577.18</v>
      </c>
      <c r="U49" s="2"/>
      <c r="V49" s="7">
        <f t="shared" si="31"/>
        <v>0.10317427543366488</v>
      </c>
      <c r="W49" s="2"/>
      <c r="X49" s="6">
        <f t="shared" si="32"/>
        <v>-545435.77</v>
      </c>
      <c r="Y49" s="2"/>
      <c r="Z49" s="7">
        <f t="shared" si="33"/>
        <v>-0.75694288570170931</v>
      </c>
    </row>
    <row r="50" spans="1:26" s="23" customFormat="1" hidden="1" outlineLevel="2" x14ac:dyDescent="0.25">
      <c r="A50" s="25"/>
      <c r="B50" s="10" t="str">
        <f>CONCATENATE("          ", "6004", " - ", "STAFF HOURLY")</f>
        <v xml:space="preserve">          6004 - STAFF HOURLY</v>
      </c>
      <c r="C50" s="10"/>
      <c r="D50" s="6">
        <v>2789.95</v>
      </c>
      <c r="E50" s="2"/>
      <c r="F50" s="7">
        <f t="shared" si="26"/>
        <v>4.863502230626876E-2</v>
      </c>
      <c r="G50" s="2"/>
      <c r="H50" s="6">
        <v>40876.6</v>
      </c>
      <c r="I50" s="2"/>
      <c r="J50" s="7">
        <f t="shared" si="27"/>
        <v>8.6732979205035879E-2</v>
      </c>
      <c r="K50" s="2"/>
      <c r="L50" s="6">
        <f t="shared" si="28"/>
        <v>-38086.65</v>
      </c>
      <c r="M50" s="2"/>
      <c r="N50" s="7">
        <f t="shared" si="29"/>
        <v>-0.93174701418415429</v>
      </c>
      <c r="O50" s="10"/>
      <c r="P50" s="6">
        <v>24559.33</v>
      </c>
      <c r="Q50" s="2"/>
      <c r="R50" s="7">
        <f t="shared" si="30"/>
        <v>6.3566923301826478E-2</v>
      </c>
      <c r="S50" s="2"/>
      <c r="T50" s="6">
        <v>214840.01</v>
      </c>
      <c r="U50" s="2"/>
      <c r="V50" s="7">
        <f t="shared" si="31"/>
        <v>3.0761399307581899E-2</v>
      </c>
      <c r="W50" s="2"/>
      <c r="X50" s="6">
        <f t="shared" si="32"/>
        <v>-190280.68</v>
      </c>
      <c r="Y50" s="2"/>
      <c r="Z50" s="7">
        <f t="shared" si="33"/>
        <v>-0.88568549219486625</v>
      </c>
    </row>
    <row r="51" spans="1:26" s="23" customFormat="1" hidden="1" outlineLevel="2" x14ac:dyDescent="0.25">
      <c r="A51" s="25"/>
      <c r="B51" s="10" t="str">
        <f>CONCATENATE("          ", "6005", " - ", "TEMPORARY WAGES-HOURLY")</f>
        <v xml:space="preserve">          6005 - TEMPORARY WAGES-HOURLY</v>
      </c>
      <c r="C51" s="10"/>
      <c r="D51" s="6">
        <v>172.33</v>
      </c>
      <c r="E51" s="2"/>
      <c r="F51" s="7">
        <f t="shared" si="26"/>
        <v>3.0040944798434728E-3</v>
      </c>
      <c r="G51" s="2"/>
      <c r="H51" s="6">
        <v>80742.61</v>
      </c>
      <c r="I51" s="2"/>
      <c r="J51" s="7">
        <f t="shared" si="27"/>
        <v>0.17132166359458278</v>
      </c>
      <c r="K51" s="2"/>
      <c r="L51" s="6">
        <f t="shared" si="28"/>
        <v>-80570.28</v>
      </c>
      <c r="M51" s="2"/>
      <c r="N51" s="7">
        <f t="shared" si="29"/>
        <v>-0.99786568702696132</v>
      </c>
      <c r="O51" s="10"/>
      <c r="P51" s="6">
        <v>5041</v>
      </c>
      <c r="Q51" s="2"/>
      <c r="R51" s="7">
        <f t="shared" si="30"/>
        <v>1.3047622242321238E-2</v>
      </c>
      <c r="S51" s="2"/>
      <c r="T51" s="6">
        <v>504922.78</v>
      </c>
      <c r="U51" s="2"/>
      <c r="V51" s="7">
        <f t="shared" si="31"/>
        <v>7.2296269466168461E-2</v>
      </c>
      <c r="W51" s="2"/>
      <c r="X51" s="6">
        <f t="shared" si="32"/>
        <v>-499881.78</v>
      </c>
      <c r="Y51" s="2"/>
      <c r="Z51" s="7">
        <f t="shared" si="33"/>
        <v>-0.99001629516497558</v>
      </c>
    </row>
    <row r="52" spans="1:26" s="23" customFormat="1" hidden="1" outlineLevel="2" x14ac:dyDescent="0.25">
      <c r="A52" s="25"/>
      <c r="B52" s="10" t="str">
        <f>CONCATENATE("          ", "6006", " - ", "TEMPORARY PART TIME")</f>
        <v xml:space="preserve">          6006 - TEMPORARY PART TIME</v>
      </c>
      <c r="C52" s="10"/>
      <c r="D52" s="6"/>
      <c r="E52" s="2"/>
      <c r="F52" s="7">
        <f t="shared" si="26"/>
        <v>0</v>
      </c>
      <c r="G52" s="2"/>
      <c r="H52" s="6">
        <v>8334.4599999999991</v>
      </c>
      <c r="I52" s="2"/>
      <c r="J52" s="7">
        <f t="shared" si="27"/>
        <v>1.7684263022492167E-2</v>
      </c>
      <c r="K52" s="2"/>
      <c r="L52" s="6">
        <f t="shared" si="28"/>
        <v>-8334.4599999999991</v>
      </c>
      <c r="M52" s="2"/>
      <c r="N52" s="7">
        <f t="shared" si="29"/>
        <v>-1</v>
      </c>
      <c r="O52" s="10"/>
      <c r="P52" s="6"/>
      <c r="Q52" s="2"/>
      <c r="R52" s="7">
        <f t="shared" si="30"/>
        <v>0</v>
      </c>
      <c r="S52" s="2"/>
      <c r="T52" s="6">
        <v>33612.15</v>
      </c>
      <c r="U52" s="2"/>
      <c r="V52" s="7">
        <f t="shared" si="31"/>
        <v>4.8126825526415631E-3</v>
      </c>
      <c r="W52" s="2"/>
      <c r="X52" s="6">
        <f t="shared" si="32"/>
        <v>-33612.15</v>
      </c>
      <c r="Y52" s="2"/>
      <c r="Z52" s="7">
        <f t="shared" si="33"/>
        <v>-1</v>
      </c>
    </row>
    <row r="53" spans="1:26" s="23" customFormat="1" hidden="1" outlineLevel="2" x14ac:dyDescent="0.25">
      <c r="A53" s="25"/>
      <c r="B53" s="10" t="str">
        <f>CONCATENATE("          ", "6007", " - ", "STUDENT HOURLY")</f>
        <v xml:space="preserve">          6007 - STUDENT HOURLY</v>
      </c>
      <c r="C53" s="10"/>
      <c r="D53" s="6">
        <v>368</v>
      </c>
      <c r="E53" s="2"/>
      <c r="F53" s="7">
        <f t="shared" si="26"/>
        <v>6.4150569754679856E-3</v>
      </c>
      <c r="G53" s="2"/>
      <c r="H53" s="6">
        <v>112243.14</v>
      </c>
      <c r="I53" s="2"/>
      <c r="J53" s="7">
        <f t="shared" si="27"/>
        <v>0.23816026595969164</v>
      </c>
      <c r="K53" s="2"/>
      <c r="L53" s="6">
        <f t="shared" si="28"/>
        <v>-111875.14</v>
      </c>
      <c r="M53" s="2"/>
      <c r="N53" s="7">
        <f t="shared" si="29"/>
        <v>-0.99672140319666747</v>
      </c>
      <c r="O53" s="10"/>
      <c r="P53" s="6">
        <v>923.71</v>
      </c>
      <c r="Q53" s="2"/>
      <c r="R53" s="7">
        <f t="shared" si="30"/>
        <v>2.3908389489098493E-3</v>
      </c>
      <c r="S53" s="2"/>
      <c r="T53" s="6">
        <v>896818.31</v>
      </c>
      <c r="U53" s="2"/>
      <c r="V53" s="7">
        <f t="shared" si="31"/>
        <v>0.12840897810543189</v>
      </c>
      <c r="W53" s="2"/>
      <c r="X53" s="6">
        <f t="shared" si="32"/>
        <v>-895894.60000000009</v>
      </c>
      <c r="Y53" s="2"/>
      <c r="Z53" s="7">
        <f t="shared" si="33"/>
        <v>-0.99897001433880184</v>
      </c>
    </row>
    <row r="54" spans="1:26" s="23" customFormat="1" hidden="1" outlineLevel="2" x14ac:dyDescent="0.25">
      <c r="A54" s="25"/>
      <c r="B54" s="10" t="str">
        <f>CONCATENATE("          ", "6008", " - ", "STUDENT HOURLY-FICA EXEMPT")</f>
        <v xml:space="preserve">          6008 - STUDENT HOURLY-FICA EXEMPT</v>
      </c>
      <c r="C54" s="10"/>
      <c r="D54" s="6"/>
      <c r="E54" s="2"/>
      <c r="F54" s="7">
        <f t="shared" si="26"/>
        <v>0</v>
      </c>
      <c r="G54" s="2"/>
      <c r="H54" s="6">
        <v>8510</v>
      </c>
      <c r="I54" s="2"/>
      <c r="J54" s="7">
        <f t="shared" si="27"/>
        <v>1.8056728128925972E-2</v>
      </c>
      <c r="K54" s="2"/>
      <c r="L54" s="6">
        <f t="shared" si="28"/>
        <v>-8510</v>
      </c>
      <c r="M54" s="2"/>
      <c r="N54" s="7">
        <f t="shared" si="29"/>
        <v>-1</v>
      </c>
      <c r="O54" s="10"/>
      <c r="P54" s="6"/>
      <c r="Q54" s="2"/>
      <c r="R54" s="7">
        <f t="shared" si="30"/>
        <v>0</v>
      </c>
      <c r="S54" s="2"/>
      <c r="T54" s="6">
        <v>47294.18</v>
      </c>
      <c r="U54" s="2"/>
      <c r="V54" s="7">
        <f t="shared" si="31"/>
        <v>6.7717142440304936E-3</v>
      </c>
      <c r="W54" s="2"/>
      <c r="X54" s="6">
        <f t="shared" si="32"/>
        <v>-47294.18</v>
      </c>
      <c r="Y54" s="2"/>
      <c r="Z54" s="7">
        <f t="shared" si="33"/>
        <v>-1</v>
      </c>
    </row>
    <row r="55" spans="1:26" s="26" customFormat="1" outlineLevel="1" collapsed="1" x14ac:dyDescent="0.25">
      <c r="A55" s="27"/>
      <c r="B55" s="12" t="str">
        <f>CONCATENATE("     ","Advertising/Promo                                 ")</f>
        <v xml:space="preserve">     Advertising/Promo                                 </v>
      </c>
      <c r="C55" s="12"/>
      <c r="D55" s="1">
        <f>SUM(OSRRefD22_2x_0)</f>
        <v>155.19</v>
      </c>
      <c r="E55" s="1"/>
      <c r="F55" s="5">
        <f t="shared" ref="F55:F64" si="34">IF(D$12=0,0,D55/D$12)</f>
        <v>2.7053062283230343E-3</v>
      </c>
      <c r="G55" s="1"/>
      <c r="H55" s="1">
        <f>SUM(OSRRefH22_2x_0)</f>
        <v>2134.1999999999998</v>
      </c>
      <c r="I55" s="1"/>
      <c r="J55" s="5">
        <f t="shared" ref="J55:J64" si="35">IF(H$12=0,0,H55/H$12)</f>
        <v>4.5283982576678969E-3</v>
      </c>
      <c r="K55" s="1"/>
      <c r="L55" s="1">
        <f t="shared" ref="L55:L64" si="36">+D55-H55</f>
        <v>-1979.0099999999998</v>
      </c>
      <c r="M55" s="1"/>
      <c r="N55" s="5">
        <f t="shared" ref="N55:N64" si="37">IF(H55=0,0,L55/H55)</f>
        <v>-0.92728422828226031</v>
      </c>
      <c r="O55" s="12"/>
      <c r="P55" s="1">
        <f>SUM(OSRRefP22_2x_0)</f>
        <v>373.02</v>
      </c>
      <c r="Q55" s="1"/>
      <c r="R55" s="5">
        <f t="shared" ref="R55:R64" si="38">IF(P$12=0,0,P55/P$12)</f>
        <v>9.6548780972637732E-4</v>
      </c>
      <c r="S55" s="1"/>
      <c r="T55" s="1">
        <f>SUM(OSRRefT22_2x_0)</f>
        <v>31745.09</v>
      </c>
      <c r="U55" s="1"/>
      <c r="V55" s="5">
        <f t="shared" ref="V55:V64" si="39">IF(T$12=0,0,T55/T$12)</f>
        <v>4.5453516295457493E-3</v>
      </c>
      <c r="W55" s="1"/>
      <c r="X55" s="1">
        <f t="shared" ref="X55:X64" si="40">+P55-T55</f>
        <v>-31372.07</v>
      </c>
      <c r="Y55" s="1"/>
      <c r="Z55" s="5">
        <f t="shared" ref="Z55:Z64" si="41">IF(T55=0,0,X55/T55)</f>
        <v>-0.98824952142205302</v>
      </c>
    </row>
    <row r="56" spans="1:26" s="23" customFormat="1" hidden="1" outlineLevel="2" x14ac:dyDescent="0.25">
      <c r="A56" s="25"/>
      <c r="B56" s="10" t="str">
        <f>CONCATENATE("          ", "6362", " - ", "ADVERTISING EXPENSE")</f>
        <v xml:space="preserve">          6362 - ADVERTISING EXPENSE</v>
      </c>
      <c r="C56" s="10"/>
      <c r="D56" s="6">
        <v>155.19</v>
      </c>
      <c r="E56" s="2"/>
      <c r="F56" s="7">
        <f t="shared" si="34"/>
        <v>2.7053062283230343E-3</v>
      </c>
      <c r="G56" s="2"/>
      <c r="H56" s="6">
        <v>2134.1999999999998</v>
      </c>
      <c r="I56" s="2"/>
      <c r="J56" s="7">
        <f t="shared" si="35"/>
        <v>4.5283982576678969E-3</v>
      </c>
      <c r="K56" s="2"/>
      <c r="L56" s="6">
        <f t="shared" si="36"/>
        <v>-1979.0099999999998</v>
      </c>
      <c r="M56" s="2"/>
      <c r="N56" s="7">
        <f t="shared" si="37"/>
        <v>-0.92728422828226031</v>
      </c>
      <c r="O56" s="10"/>
      <c r="P56" s="6">
        <v>373.02</v>
      </c>
      <c r="Q56" s="2"/>
      <c r="R56" s="7">
        <f t="shared" si="38"/>
        <v>9.6548780972637732E-4</v>
      </c>
      <c r="S56" s="2"/>
      <c r="T56" s="6">
        <v>31745.09</v>
      </c>
      <c r="U56" s="2"/>
      <c r="V56" s="7">
        <f t="shared" si="39"/>
        <v>4.5453516295457493E-3</v>
      </c>
      <c r="W56" s="2"/>
      <c r="X56" s="6">
        <f t="shared" si="40"/>
        <v>-31372.07</v>
      </c>
      <c r="Y56" s="2"/>
      <c r="Z56" s="7">
        <f t="shared" si="41"/>
        <v>-0.98824952142205302</v>
      </c>
    </row>
    <row r="57" spans="1:26" s="26" customFormat="1" outlineLevel="1" collapsed="1" x14ac:dyDescent="0.25">
      <c r="A57" s="27"/>
      <c r="B57" s="12" t="str">
        <f>CONCATENATE("     ","Bad Debts/Over/Short                              ")</f>
        <v xml:space="preserve">     Bad Debts/Over/Short                              </v>
      </c>
      <c r="C57" s="12"/>
      <c r="D57" s="1">
        <f>SUM(OSRRefD22_3x_0)</f>
        <v>-0.39</v>
      </c>
      <c r="E57" s="1"/>
      <c r="F57" s="5">
        <f t="shared" si="34"/>
        <v>-6.7985658163927024E-6</v>
      </c>
      <c r="G57" s="1"/>
      <c r="H57" s="1">
        <f>SUM(OSRRefH22_3x_0)</f>
        <v>-32.369999999999997</v>
      </c>
      <c r="I57" s="1"/>
      <c r="J57" s="5">
        <f t="shared" si="35"/>
        <v>-6.8683465280062708E-5</v>
      </c>
      <c r="K57" s="1"/>
      <c r="L57" s="1">
        <f t="shared" si="36"/>
        <v>31.979999999999997</v>
      </c>
      <c r="M57" s="1"/>
      <c r="N57" s="5">
        <f t="shared" si="37"/>
        <v>-0.98795180722891562</v>
      </c>
      <c r="O57" s="12"/>
      <c r="P57" s="1">
        <f>SUM(OSRRefP22_3x_0)</f>
        <v>11.71</v>
      </c>
      <c r="Q57" s="1"/>
      <c r="R57" s="5">
        <f t="shared" si="38"/>
        <v>3.0308997511918608E-5</v>
      </c>
      <c r="S57" s="1"/>
      <c r="T57" s="1">
        <f>SUM(OSRRefT22_3x_0)</f>
        <v>-689.57</v>
      </c>
      <c r="U57" s="1"/>
      <c r="V57" s="5">
        <f t="shared" si="39"/>
        <v>-9.873457984166567E-5</v>
      </c>
      <c r="W57" s="1"/>
      <c r="X57" s="1">
        <f t="shared" si="40"/>
        <v>701.28000000000009</v>
      </c>
      <c r="Y57" s="1"/>
      <c r="Z57" s="5">
        <f t="shared" si="41"/>
        <v>-1.0169815972272576</v>
      </c>
    </row>
    <row r="58" spans="1:26" s="23" customFormat="1" hidden="1" outlineLevel="2" x14ac:dyDescent="0.25">
      <c r="A58" s="25"/>
      <c r="B58" s="10" t="str">
        <f>CONCATENATE("          ", "6272", " - ", "CASH (OVER/SHORT)")</f>
        <v xml:space="preserve">          6272 - CASH (OVER/SHORT)</v>
      </c>
      <c r="C58" s="10"/>
      <c r="D58" s="6">
        <v>-0.39</v>
      </c>
      <c r="E58" s="2"/>
      <c r="F58" s="7">
        <f t="shared" si="34"/>
        <v>-6.7985658163927024E-6</v>
      </c>
      <c r="G58" s="2"/>
      <c r="H58" s="6">
        <v>-32.369999999999997</v>
      </c>
      <c r="I58" s="2"/>
      <c r="J58" s="7">
        <f t="shared" si="35"/>
        <v>-6.8683465280062708E-5</v>
      </c>
      <c r="K58" s="2"/>
      <c r="L58" s="6">
        <f t="shared" si="36"/>
        <v>31.979999999999997</v>
      </c>
      <c r="M58" s="2"/>
      <c r="N58" s="7">
        <f t="shared" si="37"/>
        <v>-0.98795180722891562</v>
      </c>
      <c r="O58" s="10"/>
      <c r="P58" s="6">
        <v>11.71</v>
      </c>
      <c r="Q58" s="2"/>
      <c r="R58" s="7">
        <f t="shared" si="38"/>
        <v>3.0308997511918608E-5</v>
      </c>
      <c r="S58" s="2"/>
      <c r="T58" s="6">
        <v>-689.57</v>
      </c>
      <c r="U58" s="2"/>
      <c r="V58" s="7">
        <f t="shared" si="39"/>
        <v>-9.873457984166567E-5</v>
      </c>
      <c r="W58" s="2"/>
      <c r="X58" s="6">
        <f t="shared" si="40"/>
        <v>701.28000000000009</v>
      </c>
      <c r="Y58" s="2"/>
      <c r="Z58" s="7">
        <f t="shared" si="41"/>
        <v>-1.0169815972272576</v>
      </c>
    </row>
    <row r="59" spans="1:26" s="26" customFormat="1" outlineLevel="1" collapsed="1" x14ac:dyDescent="0.25">
      <c r="A59" s="27"/>
      <c r="B59" s="12" t="str">
        <f>CONCATENATE("     ","Bank/card Fees                                    ")</f>
        <v xml:space="preserve">     Bank/card Fees                                    </v>
      </c>
      <c r="C59" s="12"/>
      <c r="D59" s="1">
        <f>SUM(OSRRefD22_4x_0)</f>
        <v>874.41</v>
      </c>
      <c r="E59" s="1"/>
      <c r="F59" s="5">
        <f t="shared" si="34"/>
        <v>1.5242907526953698E-2</v>
      </c>
      <c r="G59" s="1"/>
      <c r="H59" s="1">
        <f>SUM(OSRRefH22_4x_0)</f>
        <v>22120.27</v>
      </c>
      <c r="I59" s="1"/>
      <c r="J59" s="5">
        <f t="shared" si="35"/>
        <v>4.6935335079722362E-2</v>
      </c>
      <c r="K59" s="1"/>
      <c r="L59" s="1">
        <f t="shared" si="36"/>
        <v>-21245.86</v>
      </c>
      <c r="M59" s="1"/>
      <c r="N59" s="5">
        <f t="shared" si="37"/>
        <v>-0.96047019317576143</v>
      </c>
      <c r="O59" s="12"/>
      <c r="P59" s="1">
        <f>SUM(OSRRefP22_4x_0)</f>
        <v>6946.03</v>
      </c>
      <c r="Q59" s="1"/>
      <c r="R59" s="5">
        <f t="shared" si="38"/>
        <v>1.7978412125338343E-2</v>
      </c>
      <c r="S59" s="1"/>
      <c r="T59" s="1">
        <f>SUM(OSRRefT22_4x_0)</f>
        <v>235414.22</v>
      </c>
      <c r="U59" s="1"/>
      <c r="V59" s="5">
        <f t="shared" si="39"/>
        <v>3.3707272793847533E-2</v>
      </c>
      <c r="W59" s="1"/>
      <c r="X59" s="1">
        <f t="shared" si="40"/>
        <v>-228468.19</v>
      </c>
      <c r="Y59" s="1"/>
      <c r="Z59" s="5">
        <f t="shared" si="41"/>
        <v>-0.97049443317400286</v>
      </c>
    </row>
    <row r="60" spans="1:26" s="23" customFormat="1" hidden="1" outlineLevel="2" x14ac:dyDescent="0.25">
      <c r="A60" s="25"/>
      <c r="B60" s="10" t="str">
        <f>CONCATENATE("          ", "6381", " - ", "BANK/CREDIT CARD FEES")</f>
        <v xml:space="preserve">          6381 - BANK/CREDIT CARD FEES</v>
      </c>
      <c r="C60" s="10"/>
      <c r="D60" s="6">
        <v>874.41</v>
      </c>
      <c r="E60" s="2"/>
      <c r="F60" s="7">
        <f t="shared" si="34"/>
        <v>1.5242907526953698E-2</v>
      </c>
      <c r="G60" s="2"/>
      <c r="H60" s="6">
        <v>22120.27</v>
      </c>
      <c r="I60" s="2"/>
      <c r="J60" s="7">
        <f t="shared" si="35"/>
        <v>4.6935335079722362E-2</v>
      </c>
      <c r="K60" s="2"/>
      <c r="L60" s="6">
        <f t="shared" si="36"/>
        <v>-21245.86</v>
      </c>
      <c r="M60" s="2"/>
      <c r="N60" s="7">
        <f t="shared" si="37"/>
        <v>-0.96047019317576143</v>
      </c>
      <c r="O60" s="10"/>
      <c r="P60" s="6">
        <v>6946.03</v>
      </c>
      <c r="Q60" s="2"/>
      <c r="R60" s="7">
        <f t="shared" si="38"/>
        <v>1.7978412125338343E-2</v>
      </c>
      <c r="S60" s="2"/>
      <c r="T60" s="6">
        <v>235414.22</v>
      </c>
      <c r="U60" s="2"/>
      <c r="V60" s="7">
        <f t="shared" si="39"/>
        <v>3.3707272793847533E-2</v>
      </c>
      <c r="W60" s="2"/>
      <c r="X60" s="6">
        <f t="shared" si="40"/>
        <v>-228468.19</v>
      </c>
      <c r="Y60" s="2"/>
      <c r="Z60" s="7">
        <f t="shared" si="41"/>
        <v>-0.97049443317400286</v>
      </c>
    </row>
    <row r="61" spans="1:26" s="26" customFormat="1" outlineLevel="1" collapsed="1" x14ac:dyDescent="0.25">
      <c r="A61" s="27"/>
      <c r="B61" s="12" t="str">
        <f>CONCATENATE("     ","Depreciation                                      ")</f>
        <v xml:space="preserve">     Depreciation                                      </v>
      </c>
      <c r="C61" s="12"/>
      <c r="D61" s="1">
        <f>SUM(OSRRefD22_5x_0)</f>
        <v>45872.85</v>
      </c>
      <c r="E61" s="1"/>
      <c r="F61" s="5">
        <f t="shared" si="34"/>
        <v>0.79966561515515366</v>
      </c>
      <c r="G61" s="1"/>
      <c r="H61" s="1">
        <f>SUM(OSRRefH22_5x_0)</f>
        <v>52501.01</v>
      </c>
      <c r="I61" s="1"/>
      <c r="J61" s="5">
        <f t="shared" si="35"/>
        <v>0.11139793937297576</v>
      </c>
      <c r="K61" s="1"/>
      <c r="L61" s="1">
        <f t="shared" si="36"/>
        <v>-6628.1600000000035</v>
      </c>
      <c r="M61" s="1"/>
      <c r="N61" s="5">
        <f t="shared" si="37"/>
        <v>-0.12624823789104253</v>
      </c>
      <c r="O61" s="12"/>
      <c r="P61" s="1">
        <f>SUM(OSRRefP22_5x_0)</f>
        <v>415860.45</v>
      </c>
      <c r="Q61" s="1"/>
      <c r="R61" s="5">
        <f t="shared" si="38"/>
        <v>1.0763717629680063</v>
      </c>
      <c r="S61" s="1"/>
      <c r="T61" s="1">
        <f>SUM(OSRRefT22_5x_0)</f>
        <v>440489.12</v>
      </c>
      <c r="U61" s="1"/>
      <c r="V61" s="5">
        <f t="shared" si="39"/>
        <v>6.307047607643175E-2</v>
      </c>
      <c r="W61" s="1"/>
      <c r="X61" s="1">
        <f t="shared" si="40"/>
        <v>-24628.669999999984</v>
      </c>
      <c r="Y61" s="1"/>
      <c r="Z61" s="5">
        <f t="shared" si="41"/>
        <v>-5.5912096080829386E-2</v>
      </c>
    </row>
    <row r="62" spans="1:26" s="23" customFormat="1" hidden="1" outlineLevel="2" x14ac:dyDescent="0.25">
      <c r="A62" s="25"/>
      <c r="B62" s="10" t="str">
        <f>CONCATENATE("          ", "6321", " - ", "BUILDING DEPRECIATION")</f>
        <v xml:space="preserve">          6321 - BUILDING DEPRECIATION</v>
      </c>
      <c r="C62" s="10"/>
      <c r="D62" s="6">
        <v>28664</v>
      </c>
      <c r="E62" s="2"/>
      <c r="F62" s="7">
        <f t="shared" si="34"/>
        <v>0.49967715528482154</v>
      </c>
      <c r="G62" s="2"/>
      <c r="H62" s="6">
        <v>29123.47</v>
      </c>
      <c r="I62" s="2"/>
      <c r="J62" s="7">
        <f t="shared" si="35"/>
        <v>6.1794897762741677E-2</v>
      </c>
      <c r="K62" s="2"/>
      <c r="L62" s="6">
        <f t="shared" si="36"/>
        <v>-459.47000000000116</v>
      </c>
      <c r="M62" s="2"/>
      <c r="N62" s="7">
        <f t="shared" si="37"/>
        <v>-1.5776622771943079E-2</v>
      </c>
      <c r="O62" s="10"/>
      <c r="P62" s="6">
        <v>258760.19</v>
      </c>
      <c r="Q62" s="2"/>
      <c r="R62" s="7">
        <f t="shared" si="38"/>
        <v>0.66974909947853001</v>
      </c>
      <c r="S62" s="2"/>
      <c r="T62" s="6">
        <v>262111.23</v>
      </c>
      <c r="U62" s="2"/>
      <c r="V62" s="7">
        <f t="shared" si="39"/>
        <v>3.7529826073976813E-2</v>
      </c>
      <c r="W62" s="2"/>
      <c r="X62" s="6">
        <f t="shared" si="40"/>
        <v>-3351.0400000000081</v>
      </c>
      <c r="Y62" s="2"/>
      <c r="Z62" s="7">
        <f t="shared" si="41"/>
        <v>-1.2784801322705663E-2</v>
      </c>
    </row>
    <row r="63" spans="1:26" s="23" customFormat="1" hidden="1" outlineLevel="2" x14ac:dyDescent="0.25">
      <c r="A63" s="25"/>
      <c r="B63" s="10" t="str">
        <f>CONCATENATE("          ", "6322", " - ", "EQUIPMENT DEPRECIATION EXPENSE")</f>
        <v xml:space="preserve">          6322 - EQUIPMENT DEPRECIATION EXPENSE</v>
      </c>
      <c r="C63" s="10"/>
      <c r="D63" s="6">
        <v>17208.849999999999</v>
      </c>
      <c r="E63" s="2"/>
      <c r="F63" s="7">
        <f t="shared" si="34"/>
        <v>0.29998845987033212</v>
      </c>
      <c r="G63" s="2"/>
      <c r="H63" s="6">
        <v>22953.29</v>
      </c>
      <c r="I63" s="2"/>
      <c r="J63" s="7">
        <f t="shared" si="35"/>
        <v>4.8702857484652785E-2</v>
      </c>
      <c r="K63" s="2"/>
      <c r="L63" s="6">
        <f t="shared" si="36"/>
        <v>-5744.4400000000023</v>
      </c>
      <c r="M63" s="2"/>
      <c r="N63" s="7">
        <f t="shared" si="37"/>
        <v>-0.25026651952726614</v>
      </c>
      <c r="O63" s="10"/>
      <c r="P63" s="6">
        <v>157100.26</v>
      </c>
      <c r="Q63" s="2"/>
      <c r="R63" s="7">
        <f t="shared" si="38"/>
        <v>0.40662266348947623</v>
      </c>
      <c r="S63" s="2"/>
      <c r="T63" s="6">
        <v>174559.64</v>
      </c>
      <c r="U63" s="2"/>
      <c r="V63" s="7">
        <f t="shared" si="39"/>
        <v>2.4993942185292887E-2</v>
      </c>
      <c r="W63" s="2"/>
      <c r="X63" s="6">
        <f t="shared" si="40"/>
        <v>-17459.380000000005</v>
      </c>
      <c r="Y63" s="2"/>
      <c r="Z63" s="7">
        <f t="shared" si="41"/>
        <v>-0.10001956924292467</v>
      </c>
    </row>
    <row r="64" spans="1:26" s="23" customFormat="1" hidden="1" outlineLevel="2" x14ac:dyDescent="0.25">
      <c r="A64" s="25"/>
      <c r="B64" s="10" t="str">
        <f>CONCATENATE("          ", "6326", " - ", "VEHICLES DEPRECIATION EXPENSE")</f>
        <v xml:space="preserve">          6326 - VEHICLES DEPRECIATION EXPENSE</v>
      </c>
      <c r="C64" s="10"/>
      <c r="D64" s="6"/>
      <c r="E64" s="2"/>
      <c r="F64" s="7">
        <f t="shared" si="34"/>
        <v>0</v>
      </c>
      <c r="G64" s="2"/>
      <c r="H64" s="6">
        <v>424.25</v>
      </c>
      <c r="I64" s="2"/>
      <c r="J64" s="7">
        <f t="shared" si="35"/>
        <v>9.0018412558129769E-4</v>
      </c>
      <c r="K64" s="2"/>
      <c r="L64" s="6">
        <f t="shared" si="36"/>
        <v>-424.25</v>
      </c>
      <c r="M64" s="2"/>
      <c r="N64" s="7">
        <f t="shared" si="37"/>
        <v>-1</v>
      </c>
      <c r="O64" s="10"/>
      <c r="P64" s="6"/>
      <c r="Q64" s="2"/>
      <c r="R64" s="7">
        <f t="shared" si="38"/>
        <v>0</v>
      </c>
      <c r="S64" s="2"/>
      <c r="T64" s="6">
        <v>3818.25</v>
      </c>
      <c r="U64" s="2"/>
      <c r="V64" s="7">
        <f t="shared" si="39"/>
        <v>5.4670781716205743E-4</v>
      </c>
      <c r="W64" s="2"/>
      <c r="X64" s="6">
        <f t="shared" si="40"/>
        <v>-3818.25</v>
      </c>
      <c r="Y64" s="2"/>
      <c r="Z64" s="7">
        <f t="shared" si="41"/>
        <v>-1</v>
      </c>
    </row>
    <row r="65" spans="1:26" s="26" customFormat="1" outlineLevel="1" collapsed="1" x14ac:dyDescent="0.25">
      <c r="A65" s="27"/>
      <c r="B65" s="12" t="str">
        <f>CONCATENATE("     ","Discounts and Markdowns                           ")</f>
        <v xml:space="preserve">     Discounts and Markdowns                           </v>
      </c>
      <c r="C65" s="12"/>
      <c r="D65" s="1">
        <f>SUM(OSRRefD22_6x_0)</f>
        <v>0</v>
      </c>
      <c r="E65" s="1"/>
      <c r="F65" s="5">
        <f t="shared" ref="F65:F75" si="42">IF(D$12=0,0,D65/D$12)</f>
        <v>0</v>
      </c>
      <c r="G65" s="1"/>
      <c r="H65" s="1">
        <f>SUM(OSRRefH22_6x_0)</f>
        <v>5.91</v>
      </c>
      <c r="I65" s="1"/>
      <c r="J65" s="5">
        <f t="shared" ref="J65:J75" si="43">IF(H$12=0,0,H65/H$12)</f>
        <v>1.2539983929724148E-5</v>
      </c>
      <c r="K65" s="1"/>
      <c r="L65" s="1">
        <f t="shared" ref="L65:L75" si="44">+D65-H65</f>
        <v>-5.91</v>
      </c>
      <c r="M65" s="1"/>
      <c r="N65" s="5">
        <f t="shared" ref="N65:N75" si="45">IF(H65=0,0,L65/H65)</f>
        <v>-1</v>
      </c>
      <c r="O65" s="12"/>
      <c r="P65" s="1">
        <f>SUM(OSRRefP22_6x_0)</f>
        <v>0</v>
      </c>
      <c r="Q65" s="1"/>
      <c r="R65" s="5">
        <f t="shared" ref="R65:R75" si="46">IF(P$12=0,0,P65/P$12)</f>
        <v>0</v>
      </c>
      <c r="S65" s="1"/>
      <c r="T65" s="1">
        <f>SUM(OSRRefT22_6x_0)</f>
        <v>125.96</v>
      </c>
      <c r="U65" s="1"/>
      <c r="V65" s="5">
        <f t="shared" ref="V65:V75" si="47">IF(T$12=0,0,T65/T$12)</f>
        <v>1.8035308492040265E-5</v>
      </c>
      <c r="W65" s="1"/>
      <c r="X65" s="1">
        <f t="shared" ref="X65:X75" si="48">+P65-T65</f>
        <v>-125.96</v>
      </c>
      <c r="Y65" s="1"/>
      <c r="Z65" s="5">
        <f t="shared" ref="Z65:Z75" si="49">IF(T65=0,0,X65/T65)</f>
        <v>-1</v>
      </c>
    </row>
    <row r="66" spans="1:26" s="23" customFormat="1" hidden="1" outlineLevel="2" x14ac:dyDescent="0.25">
      <c r="A66" s="25"/>
      <c r="B66" s="10" t="str">
        <f>CONCATENATE("          ", "6382", " - ", "DISCOUNTS/MARK DOWNS")</f>
        <v xml:space="preserve">          6382 - DISCOUNTS/MARK DOWNS</v>
      </c>
      <c r="C66" s="10"/>
      <c r="D66" s="6"/>
      <c r="E66" s="2"/>
      <c r="F66" s="7">
        <f t="shared" si="42"/>
        <v>0</v>
      </c>
      <c r="G66" s="2"/>
      <c r="H66" s="6">
        <v>5.91</v>
      </c>
      <c r="I66" s="2"/>
      <c r="J66" s="7">
        <f t="shared" si="43"/>
        <v>1.2539983929724148E-5</v>
      </c>
      <c r="K66" s="2"/>
      <c r="L66" s="6">
        <f t="shared" si="44"/>
        <v>-5.91</v>
      </c>
      <c r="M66" s="2"/>
      <c r="N66" s="7">
        <f t="shared" si="45"/>
        <v>-1</v>
      </c>
      <c r="O66" s="10"/>
      <c r="P66" s="6"/>
      <c r="Q66" s="2"/>
      <c r="R66" s="7">
        <f t="shared" si="46"/>
        <v>0</v>
      </c>
      <c r="S66" s="2"/>
      <c r="T66" s="6">
        <v>125.96</v>
      </c>
      <c r="U66" s="2"/>
      <c r="V66" s="7">
        <f t="shared" si="47"/>
        <v>1.8035308492040265E-5</v>
      </c>
      <c r="W66" s="2"/>
      <c r="X66" s="6">
        <f t="shared" si="48"/>
        <v>-125.96</v>
      </c>
      <c r="Y66" s="2"/>
      <c r="Z66" s="7">
        <f t="shared" si="49"/>
        <v>-1</v>
      </c>
    </row>
    <row r="67" spans="1:26" s="26" customFormat="1" outlineLevel="1" collapsed="1" x14ac:dyDescent="0.25">
      <c r="A67" s="27"/>
      <c r="B67" s="12" t="str">
        <f>CONCATENATE("     ","Donations                                         ")</f>
        <v xml:space="preserve">     Donations                                         </v>
      </c>
      <c r="C67" s="12"/>
      <c r="D67" s="1">
        <f>SUM(OSRRefD22_7x_0)</f>
        <v>0</v>
      </c>
      <c r="E67" s="1"/>
      <c r="F67" s="5">
        <f t="shared" si="42"/>
        <v>0</v>
      </c>
      <c r="G67" s="1"/>
      <c r="H67" s="1">
        <f>SUM(OSRRefH22_7x_0)</f>
        <v>0</v>
      </c>
      <c r="I67" s="1"/>
      <c r="J67" s="5">
        <f t="shared" si="43"/>
        <v>0</v>
      </c>
      <c r="K67" s="1"/>
      <c r="L67" s="1">
        <f t="shared" si="44"/>
        <v>0</v>
      </c>
      <c r="M67" s="1"/>
      <c r="N67" s="5">
        <f t="shared" si="45"/>
        <v>0</v>
      </c>
      <c r="O67" s="12"/>
      <c r="P67" s="1">
        <f>SUM(OSRRefP22_7x_0)</f>
        <v>0</v>
      </c>
      <c r="Q67" s="1"/>
      <c r="R67" s="5">
        <f t="shared" si="46"/>
        <v>0</v>
      </c>
      <c r="S67" s="1"/>
      <c r="T67" s="1">
        <f>SUM(OSRRefT22_7x_0)</f>
        <v>236.68</v>
      </c>
      <c r="U67" s="1"/>
      <c r="V67" s="5">
        <f t="shared" si="47"/>
        <v>3.3888510748619326E-5</v>
      </c>
      <c r="W67" s="1"/>
      <c r="X67" s="1">
        <f t="shared" si="48"/>
        <v>-236.68</v>
      </c>
      <c r="Y67" s="1"/>
      <c r="Z67" s="5">
        <f t="shared" si="49"/>
        <v>-1</v>
      </c>
    </row>
    <row r="68" spans="1:26" s="23" customFormat="1" hidden="1" outlineLevel="2" x14ac:dyDescent="0.25">
      <c r="A68" s="25"/>
      <c r="B68" s="10" t="str">
        <f>CONCATENATE("          ", "6399", " - ", "DONATION-ON CAMPUS")</f>
        <v xml:space="preserve">          6399 - DONATION-ON CAMPUS</v>
      </c>
      <c r="C68" s="10"/>
      <c r="D68" s="6"/>
      <c r="E68" s="2"/>
      <c r="F68" s="7">
        <f t="shared" si="42"/>
        <v>0</v>
      </c>
      <c r="G68" s="2"/>
      <c r="H68" s="6"/>
      <c r="I68" s="2"/>
      <c r="J68" s="7">
        <f t="shared" si="43"/>
        <v>0</v>
      </c>
      <c r="K68" s="2"/>
      <c r="L68" s="6">
        <f t="shared" si="44"/>
        <v>0</v>
      </c>
      <c r="M68" s="2"/>
      <c r="N68" s="7">
        <f t="shared" si="45"/>
        <v>0</v>
      </c>
      <c r="O68" s="10"/>
      <c r="P68" s="6"/>
      <c r="Q68" s="2"/>
      <c r="R68" s="7">
        <f t="shared" si="46"/>
        <v>0</v>
      </c>
      <c r="S68" s="2"/>
      <c r="T68" s="6">
        <v>236.68</v>
      </c>
      <c r="U68" s="2"/>
      <c r="V68" s="7">
        <f t="shared" si="47"/>
        <v>3.3888510748619326E-5</v>
      </c>
      <c r="W68" s="2"/>
      <c r="X68" s="6">
        <f t="shared" si="48"/>
        <v>-236.68</v>
      </c>
      <c r="Y68" s="2"/>
      <c r="Z68" s="7">
        <f t="shared" si="49"/>
        <v>-1</v>
      </c>
    </row>
    <row r="69" spans="1:26" s="26" customFormat="1" outlineLevel="1" collapsed="1" x14ac:dyDescent="0.25">
      <c r="A69" s="27"/>
      <c r="B69" s="12" t="str">
        <f>CONCATENATE("     ","Employees' Appreciation                           ")</f>
        <v xml:space="preserve">     Employees' Appreciation                           </v>
      </c>
      <c r="C69" s="12"/>
      <c r="D69" s="1">
        <f>SUM(OSRRefD22_8x_0)</f>
        <v>0</v>
      </c>
      <c r="E69" s="1"/>
      <c r="F69" s="5">
        <f t="shared" si="42"/>
        <v>0</v>
      </c>
      <c r="G69" s="1"/>
      <c r="H69" s="1">
        <f>SUM(OSRRefH22_8x_0)</f>
        <v>213.24</v>
      </c>
      <c r="I69" s="1"/>
      <c r="J69" s="5">
        <f t="shared" si="43"/>
        <v>4.5245789732222967E-4</v>
      </c>
      <c r="K69" s="1"/>
      <c r="L69" s="1">
        <f t="shared" si="44"/>
        <v>-213.24</v>
      </c>
      <c r="M69" s="1"/>
      <c r="N69" s="5">
        <f t="shared" si="45"/>
        <v>-1</v>
      </c>
      <c r="O69" s="12"/>
      <c r="P69" s="1">
        <f>SUM(OSRRefP22_8x_0)</f>
        <v>10</v>
      </c>
      <c r="Q69" s="1"/>
      <c r="R69" s="5">
        <f t="shared" si="46"/>
        <v>2.5883003853047485E-5</v>
      </c>
      <c r="S69" s="1"/>
      <c r="T69" s="1">
        <f>SUM(OSRRefT22_8x_0)</f>
        <v>1836.65</v>
      </c>
      <c r="U69" s="1"/>
      <c r="V69" s="5">
        <f t="shared" si="47"/>
        <v>2.629767334225608E-4</v>
      </c>
      <c r="W69" s="1"/>
      <c r="X69" s="1">
        <f t="shared" si="48"/>
        <v>-1826.65</v>
      </c>
      <c r="Y69" s="1"/>
      <c r="Z69" s="5">
        <f t="shared" si="49"/>
        <v>-0.99455530449459617</v>
      </c>
    </row>
    <row r="70" spans="1:26" s="23" customFormat="1" hidden="1" outlineLevel="2" x14ac:dyDescent="0.25">
      <c r="A70" s="25"/>
      <c r="B70" s="10" t="str">
        <f>CONCATENATE("          ", "6277", " - ", "EMPLOYEE APPRECIATION")</f>
        <v xml:space="preserve">          6277 - EMPLOYEE APPRECIATION</v>
      </c>
      <c r="C70" s="10"/>
      <c r="D70" s="6"/>
      <c r="E70" s="2"/>
      <c r="F70" s="7">
        <f t="shared" si="42"/>
        <v>0</v>
      </c>
      <c r="G70" s="2"/>
      <c r="H70" s="6">
        <v>213.24</v>
      </c>
      <c r="I70" s="2"/>
      <c r="J70" s="7">
        <f t="shared" si="43"/>
        <v>4.5245789732222967E-4</v>
      </c>
      <c r="K70" s="2"/>
      <c r="L70" s="6">
        <f t="shared" si="44"/>
        <v>-213.24</v>
      </c>
      <c r="M70" s="2"/>
      <c r="N70" s="7">
        <f t="shared" si="45"/>
        <v>-1</v>
      </c>
      <c r="O70" s="10"/>
      <c r="P70" s="6">
        <v>10</v>
      </c>
      <c r="Q70" s="2"/>
      <c r="R70" s="7">
        <f t="shared" si="46"/>
        <v>2.5883003853047485E-5</v>
      </c>
      <c r="S70" s="2"/>
      <c r="T70" s="6">
        <v>1836.65</v>
      </c>
      <c r="U70" s="2"/>
      <c r="V70" s="7">
        <f t="shared" si="47"/>
        <v>2.629767334225608E-4</v>
      </c>
      <c r="W70" s="2"/>
      <c r="X70" s="6">
        <f t="shared" si="48"/>
        <v>-1826.65</v>
      </c>
      <c r="Y70" s="2"/>
      <c r="Z70" s="7">
        <f t="shared" si="49"/>
        <v>-0.99455530449459617</v>
      </c>
    </row>
    <row r="71" spans="1:26" s="26" customFormat="1" outlineLevel="1" collapsed="1" x14ac:dyDescent="0.25">
      <c r="A71" s="27"/>
      <c r="B71" s="12" t="str">
        <f>CONCATENATE("     ","Equipment Rental                                  ")</f>
        <v xml:space="preserve">     Equipment Rental                                  </v>
      </c>
      <c r="C71" s="12"/>
      <c r="D71" s="1">
        <f>SUM(OSRRefD22_9x_0)</f>
        <v>163.80000000000001</v>
      </c>
      <c r="E71" s="1"/>
      <c r="F71" s="5">
        <f t="shared" si="42"/>
        <v>2.8553976428849349E-3</v>
      </c>
      <c r="G71" s="1"/>
      <c r="H71" s="1">
        <f>SUM(OSRRefH22_9x_0)</f>
        <v>2216.17</v>
      </c>
      <c r="I71" s="1"/>
      <c r="J71" s="5">
        <f t="shared" si="43"/>
        <v>4.7023242276711952E-3</v>
      </c>
      <c r="K71" s="1"/>
      <c r="L71" s="1">
        <f t="shared" si="44"/>
        <v>-2052.37</v>
      </c>
      <c r="M71" s="1"/>
      <c r="N71" s="5">
        <f t="shared" si="45"/>
        <v>-0.92608870258148057</v>
      </c>
      <c r="O71" s="12"/>
      <c r="P71" s="1">
        <f>SUM(OSRRefP22_9x_0)</f>
        <v>5325.18</v>
      </c>
      <c r="Q71" s="1"/>
      <c r="R71" s="5">
        <f t="shared" si="46"/>
        <v>1.3783165445817142E-2</v>
      </c>
      <c r="S71" s="1"/>
      <c r="T71" s="1">
        <f>SUM(OSRRefT22_9x_0)</f>
        <v>24752.77</v>
      </c>
      <c r="U71" s="1"/>
      <c r="V71" s="5">
        <f t="shared" si="47"/>
        <v>3.5441715066887865E-3</v>
      </c>
      <c r="W71" s="1"/>
      <c r="X71" s="1">
        <f t="shared" si="48"/>
        <v>-19427.59</v>
      </c>
      <c r="Y71" s="1"/>
      <c r="Z71" s="5">
        <f t="shared" si="49"/>
        <v>-0.78486528982412873</v>
      </c>
    </row>
    <row r="72" spans="1:26" s="23" customFormat="1" hidden="1" outlineLevel="2" x14ac:dyDescent="0.25">
      <c r="A72" s="25"/>
      <c r="B72" s="10" t="str">
        <f>CONCATENATE("          ", "6351", " - ", "EQUIPMENT RENTAL")</f>
        <v xml:space="preserve">          6351 - EQUIPMENT RENTAL</v>
      </c>
      <c r="C72" s="10"/>
      <c r="D72" s="6">
        <v>163.80000000000001</v>
      </c>
      <c r="E72" s="2"/>
      <c r="F72" s="7">
        <f t="shared" si="42"/>
        <v>2.8553976428849349E-3</v>
      </c>
      <c r="G72" s="2"/>
      <c r="H72" s="6">
        <v>2216.17</v>
      </c>
      <c r="I72" s="2"/>
      <c r="J72" s="7">
        <f t="shared" si="43"/>
        <v>4.7023242276711952E-3</v>
      </c>
      <c r="K72" s="2"/>
      <c r="L72" s="6">
        <f t="shared" si="44"/>
        <v>-2052.37</v>
      </c>
      <c r="M72" s="2"/>
      <c r="N72" s="7">
        <f t="shared" si="45"/>
        <v>-0.92608870258148057</v>
      </c>
      <c r="O72" s="10"/>
      <c r="P72" s="6">
        <v>5325.18</v>
      </c>
      <c r="Q72" s="2"/>
      <c r="R72" s="7">
        <f t="shared" si="46"/>
        <v>1.3783165445817142E-2</v>
      </c>
      <c r="S72" s="2"/>
      <c r="T72" s="6">
        <v>24752.77</v>
      </c>
      <c r="U72" s="2"/>
      <c r="V72" s="7">
        <f t="shared" si="47"/>
        <v>3.5441715066887865E-3</v>
      </c>
      <c r="W72" s="2"/>
      <c r="X72" s="6">
        <f t="shared" si="48"/>
        <v>-19427.59</v>
      </c>
      <c r="Y72" s="2"/>
      <c r="Z72" s="7">
        <f t="shared" si="49"/>
        <v>-0.78486528982412873</v>
      </c>
    </row>
    <row r="73" spans="1:26" s="26" customFormat="1" outlineLevel="1" collapsed="1" x14ac:dyDescent="0.25">
      <c r="A73" s="27"/>
      <c r="B73" s="12" t="str">
        <f>CONCATENATE("     ","Freight out/Postage                               ")</f>
        <v xml:space="preserve">     Freight out/Postage                               </v>
      </c>
      <c r="C73" s="12"/>
      <c r="D73" s="1">
        <f>SUM(OSRRefD22_10x_0)</f>
        <v>41.93</v>
      </c>
      <c r="E73" s="1"/>
      <c r="F73" s="5">
        <f t="shared" si="42"/>
        <v>7.3093298636242555E-4</v>
      </c>
      <c r="G73" s="1"/>
      <c r="H73" s="1">
        <f>SUM(OSRRefH22_10x_0)</f>
        <v>56.71</v>
      </c>
      <c r="I73" s="1"/>
      <c r="J73" s="5">
        <f t="shared" si="43"/>
        <v>1.2032867828335979E-4</v>
      </c>
      <c r="K73" s="1"/>
      <c r="L73" s="1">
        <f t="shared" si="44"/>
        <v>-14.780000000000001</v>
      </c>
      <c r="M73" s="1"/>
      <c r="N73" s="5">
        <f t="shared" si="45"/>
        <v>-0.26062422853112327</v>
      </c>
      <c r="O73" s="12"/>
      <c r="P73" s="1">
        <f>SUM(OSRRefP22_10x_0)</f>
        <v>244.41</v>
      </c>
      <c r="Q73" s="1"/>
      <c r="R73" s="5">
        <f t="shared" si="46"/>
        <v>6.3260649717233365E-4</v>
      </c>
      <c r="S73" s="1"/>
      <c r="T73" s="1">
        <f>SUM(OSRRefT22_10x_0)</f>
        <v>311.17</v>
      </c>
      <c r="U73" s="1"/>
      <c r="V73" s="5">
        <f t="shared" si="47"/>
        <v>4.4554199297143297E-5</v>
      </c>
      <c r="W73" s="1"/>
      <c r="X73" s="1">
        <f t="shared" si="48"/>
        <v>-66.760000000000019</v>
      </c>
      <c r="Y73" s="1"/>
      <c r="Z73" s="5">
        <f t="shared" si="49"/>
        <v>-0.21454510396246429</v>
      </c>
    </row>
    <row r="74" spans="1:26" s="23" customFormat="1" hidden="1" outlineLevel="2" x14ac:dyDescent="0.25">
      <c r="A74" s="25"/>
      <c r="B74" s="10" t="str">
        <f>CONCATENATE("          ", "6305", " - ", "FREIGHT OUT")</f>
        <v xml:space="preserve">          6305 - FREIGHT OUT</v>
      </c>
      <c r="C74" s="10"/>
      <c r="D74" s="6">
        <v>41.93</v>
      </c>
      <c r="E74" s="2"/>
      <c r="F74" s="7">
        <f t="shared" si="42"/>
        <v>7.3093298636242555E-4</v>
      </c>
      <c r="G74" s="2"/>
      <c r="H74" s="6">
        <v>56.71</v>
      </c>
      <c r="I74" s="2"/>
      <c r="J74" s="7">
        <f t="shared" si="43"/>
        <v>1.2032867828335979E-4</v>
      </c>
      <c r="K74" s="2"/>
      <c r="L74" s="6">
        <f t="shared" si="44"/>
        <v>-14.780000000000001</v>
      </c>
      <c r="M74" s="2"/>
      <c r="N74" s="7">
        <f t="shared" si="45"/>
        <v>-0.26062422853112327</v>
      </c>
      <c r="O74" s="10"/>
      <c r="P74" s="6">
        <v>249.82</v>
      </c>
      <c r="Q74" s="2"/>
      <c r="R74" s="7">
        <f t="shared" si="46"/>
        <v>6.466092022568323E-4</v>
      </c>
      <c r="S74" s="2"/>
      <c r="T74" s="6">
        <v>311.17</v>
      </c>
      <c r="U74" s="2"/>
      <c r="V74" s="7">
        <f t="shared" si="47"/>
        <v>4.4554199297143297E-5</v>
      </c>
      <c r="W74" s="2"/>
      <c r="X74" s="6">
        <f t="shared" si="48"/>
        <v>-61.350000000000023</v>
      </c>
      <c r="Y74" s="2"/>
      <c r="Z74" s="7">
        <f t="shared" si="49"/>
        <v>-0.19715910916862173</v>
      </c>
    </row>
    <row r="75" spans="1:26" s="23" customFormat="1" hidden="1" outlineLevel="2" x14ac:dyDescent="0.25">
      <c r="A75" s="25"/>
      <c r="B75" s="10" t="str">
        <f>CONCATENATE("          ", "6307", " - ", "POSTAGE")</f>
        <v xml:space="preserve">          6307 - POSTAGE</v>
      </c>
      <c r="C75" s="10"/>
      <c r="D75" s="6"/>
      <c r="E75" s="2"/>
      <c r="F75" s="7">
        <f t="shared" si="42"/>
        <v>0</v>
      </c>
      <c r="G75" s="2"/>
      <c r="H75" s="6"/>
      <c r="I75" s="2"/>
      <c r="J75" s="7">
        <f t="shared" si="43"/>
        <v>0</v>
      </c>
      <c r="K75" s="2"/>
      <c r="L75" s="6">
        <f t="shared" si="44"/>
        <v>0</v>
      </c>
      <c r="M75" s="2"/>
      <c r="N75" s="7">
        <f t="shared" si="45"/>
        <v>0</v>
      </c>
      <c r="O75" s="10"/>
      <c r="P75" s="6">
        <v>-5.41</v>
      </c>
      <c r="Q75" s="2"/>
      <c r="R75" s="7">
        <f t="shared" si="46"/>
        <v>-1.400270508449869E-5</v>
      </c>
      <c r="S75" s="2"/>
      <c r="T75" s="6"/>
      <c r="U75" s="2"/>
      <c r="V75" s="7">
        <f t="shared" si="47"/>
        <v>0</v>
      </c>
      <c r="W75" s="2"/>
      <c r="X75" s="6">
        <f t="shared" si="48"/>
        <v>-5.41</v>
      </c>
      <c r="Y75" s="2"/>
      <c r="Z75" s="7">
        <f t="shared" si="49"/>
        <v>0</v>
      </c>
    </row>
    <row r="76" spans="1:26" s="26" customFormat="1" outlineLevel="1" collapsed="1" x14ac:dyDescent="0.25">
      <c r="A76" s="27"/>
      <c r="B76" s="12" t="str">
        <f>CONCATENATE("     ","General                                           ")</f>
        <v xml:space="preserve">     General                                           </v>
      </c>
      <c r="C76" s="12"/>
      <c r="D76" s="1">
        <f>SUM(OSRRefD22_11x_0)</f>
        <v>1101.3699999999999</v>
      </c>
      <c r="E76" s="1"/>
      <c r="F76" s="5">
        <f t="shared" ref="F76:F78" si="50">IF(D$12=0,0,D76/D$12)</f>
        <v>1.919932418769341E-2</v>
      </c>
      <c r="G76" s="1"/>
      <c r="H76" s="1">
        <f>SUM(OSRRefH22_11x_0)</f>
        <v>2038.5</v>
      </c>
      <c r="I76" s="1"/>
      <c r="J76" s="5">
        <f t="shared" ref="J76:J78" si="51">IF(H$12=0,0,H76/H$12)</f>
        <v>4.3253396346434308E-3</v>
      </c>
      <c r="K76" s="1"/>
      <c r="L76" s="1">
        <f t="shared" ref="L76:L78" si="52">+D76-H76</f>
        <v>-937.13000000000011</v>
      </c>
      <c r="M76" s="1"/>
      <c r="N76" s="5">
        <f t="shared" ref="N76:N78" si="53">IF(H76=0,0,L76/H76)</f>
        <v>-0.45971547706647048</v>
      </c>
      <c r="O76" s="12"/>
      <c r="P76" s="1">
        <f>SUM(OSRRefP22_11x_0)</f>
        <v>10860.34</v>
      </c>
      <c r="Q76" s="1"/>
      <c r="R76" s="5">
        <f t="shared" ref="R76:R78" si="54">IF(P$12=0,0,P76/P$12)</f>
        <v>2.8109822206540576E-2</v>
      </c>
      <c r="S76" s="1"/>
      <c r="T76" s="1">
        <f>SUM(OSRRefT22_11x_0)</f>
        <v>95049.06</v>
      </c>
      <c r="U76" s="1"/>
      <c r="V76" s="5">
        <f t="shared" ref="V76:V78" si="55">IF(T$12=0,0,T76/T$12)</f>
        <v>1.3609392815008295E-2</v>
      </c>
      <c r="W76" s="1"/>
      <c r="X76" s="1">
        <f t="shared" ref="X76:X78" si="56">+P76-T76</f>
        <v>-84188.72</v>
      </c>
      <c r="Y76" s="1"/>
      <c r="Z76" s="5">
        <f t="shared" ref="Z76:Z78" si="57">IF(T76=0,0,X76/T76)</f>
        <v>-0.88573963803534728</v>
      </c>
    </row>
    <row r="77" spans="1:26" s="23" customFormat="1" hidden="1" outlineLevel="2" x14ac:dyDescent="0.25">
      <c r="A77" s="25"/>
      <c r="B77" s="10" t="str">
        <f>CONCATENATE("          ", "6269", " - ", "ENTERTAINMENT")</f>
        <v xml:space="preserve">          6269 - ENTERTAINMENT</v>
      </c>
      <c r="C77" s="10"/>
      <c r="D77" s="6"/>
      <c r="E77" s="2"/>
      <c r="F77" s="7">
        <f t="shared" si="50"/>
        <v>0</v>
      </c>
      <c r="G77" s="2"/>
      <c r="H77" s="6"/>
      <c r="I77" s="2"/>
      <c r="J77" s="7">
        <f t="shared" si="51"/>
        <v>0</v>
      </c>
      <c r="K77" s="2"/>
      <c r="L77" s="6">
        <f t="shared" si="52"/>
        <v>0</v>
      </c>
      <c r="M77" s="2"/>
      <c r="N77" s="7">
        <f t="shared" si="53"/>
        <v>0</v>
      </c>
      <c r="O77" s="10"/>
      <c r="P77" s="6"/>
      <c r="Q77" s="2"/>
      <c r="R77" s="7">
        <f t="shared" si="54"/>
        <v>0</v>
      </c>
      <c r="S77" s="2"/>
      <c r="T77" s="6">
        <v>10050</v>
      </c>
      <c r="U77" s="2"/>
      <c r="V77" s="7">
        <f t="shared" si="55"/>
        <v>1.4389873796840638E-3</v>
      </c>
      <c r="W77" s="2"/>
      <c r="X77" s="6">
        <f t="shared" si="56"/>
        <v>-10050</v>
      </c>
      <c r="Y77" s="2"/>
      <c r="Z77" s="7">
        <f t="shared" si="57"/>
        <v>-1</v>
      </c>
    </row>
    <row r="78" spans="1:26" s="23" customFormat="1" hidden="1" outlineLevel="2" x14ac:dyDescent="0.25">
      <c r="A78" s="25"/>
      <c r="B78" s="10" t="str">
        <f>CONCATENATE("          ", "6279", " - ", "GENERAL EXPENSE")</f>
        <v xml:space="preserve">          6279 - GENERAL EXPENSE</v>
      </c>
      <c r="C78" s="10"/>
      <c r="D78" s="6">
        <v>1101.3699999999999</v>
      </c>
      <c r="E78" s="2"/>
      <c r="F78" s="7">
        <f t="shared" si="50"/>
        <v>1.919932418769341E-2</v>
      </c>
      <c r="G78" s="2"/>
      <c r="H78" s="6">
        <v>2038.5</v>
      </c>
      <c r="I78" s="2"/>
      <c r="J78" s="7">
        <f t="shared" si="51"/>
        <v>4.3253396346434308E-3</v>
      </c>
      <c r="K78" s="2"/>
      <c r="L78" s="6">
        <f t="shared" si="52"/>
        <v>-937.13000000000011</v>
      </c>
      <c r="M78" s="2"/>
      <c r="N78" s="7">
        <f t="shared" si="53"/>
        <v>-0.45971547706647048</v>
      </c>
      <c r="O78" s="10"/>
      <c r="P78" s="6">
        <v>10860.34</v>
      </c>
      <c r="Q78" s="2"/>
      <c r="R78" s="7">
        <f t="shared" si="54"/>
        <v>2.8109822206540576E-2</v>
      </c>
      <c r="S78" s="2"/>
      <c r="T78" s="6">
        <v>84999.06</v>
      </c>
      <c r="U78" s="2"/>
      <c r="V78" s="7">
        <f t="shared" si="55"/>
        <v>1.217040543532423E-2</v>
      </c>
      <c r="W78" s="2"/>
      <c r="X78" s="6">
        <f t="shared" si="56"/>
        <v>-74138.720000000001</v>
      </c>
      <c r="Y78" s="2"/>
      <c r="Z78" s="7">
        <f t="shared" si="57"/>
        <v>-0.87222988113045019</v>
      </c>
    </row>
    <row r="79" spans="1:26" s="26" customFormat="1" outlineLevel="1" collapsed="1" x14ac:dyDescent="0.25">
      <c r="A79" s="27"/>
      <c r="B79" s="12" t="str">
        <f>CONCATENATE("     ","Insurance                                         ")</f>
        <v xml:space="preserve">     Insurance                                         </v>
      </c>
      <c r="C79" s="12"/>
      <c r="D79" s="1">
        <f>SUM(OSRRefD22_12x_0)</f>
        <v>4483.67</v>
      </c>
      <c r="E79" s="1"/>
      <c r="F79" s="5">
        <f t="shared" ref="F79:F91" si="58">IF(D$12=0,0,D79/D$12)</f>
        <v>7.8160322035860166E-2</v>
      </c>
      <c r="G79" s="1"/>
      <c r="H79" s="1">
        <f>SUM(OSRRefH22_12x_0)</f>
        <v>4483.67</v>
      </c>
      <c r="I79" s="1"/>
      <c r="J79" s="5">
        <f t="shared" ref="J79:J91" si="59">IF(H$12=0,0,H79/H$12)</f>
        <v>9.5135617167827861E-3</v>
      </c>
      <c r="K79" s="1"/>
      <c r="L79" s="1">
        <f t="shared" ref="L79:L91" si="60">+D79-H79</f>
        <v>0</v>
      </c>
      <c r="M79" s="1"/>
      <c r="N79" s="5">
        <f t="shared" ref="N79:N91" si="61">IF(H79=0,0,L79/H79)</f>
        <v>0</v>
      </c>
      <c r="O79" s="12"/>
      <c r="P79" s="1">
        <f>SUM(OSRRefP22_12x_0)</f>
        <v>46465.03</v>
      </c>
      <c r="Q79" s="1"/>
      <c r="R79" s="5">
        <f t="shared" ref="R79:R91" si="62">IF(P$12=0,0,P79/P$12)</f>
        <v>0.1202654550521967</v>
      </c>
      <c r="S79" s="1"/>
      <c r="T79" s="1">
        <f>SUM(OSRRefT22_12x_0)</f>
        <v>46114.03</v>
      </c>
      <c r="U79" s="1"/>
      <c r="V79" s="5">
        <f t="shared" ref="V79:V91" si="63">IF(T$12=0,0,T79/T$12)</f>
        <v>6.6027370344649066E-3</v>
      </c>
      <c r="W79" s="1"/>
      <c r="X79" s="1">
        <f t="shared" ref="X79:X91" si="64">+P79-T79</f>
        <v>351</v>
      </c>
      <c r="Y79" s="1"/>
      <c r="Z79" s="5">
        <f t="shared" ref="Z79:Z91" si="65">IF(T79=0,0,X79/T79)</f>
        <v>7.6115663714492101E-3</v>
      </c>
    </row>
    <row r="80" spans="1:26" s="23" customFormat="1" hidden="1" outlineLevel="2" x14ac:dyDescent="0.25">
      <c r="A80" s="25"/>
      <c r="B80" s="10" t="str">
        <f>CONCATENATE("          ", "6314", " - ", "LIABILITY INSURANCE")</f>
        <v xml:space="preserve">          6314 - LIABILITY INSURANCE</v>
      </c>
      <c r="C80" s="10"/>
      <c r="D80" s="6">
        <v>4483.67</v>
      </c>
      <c r="E80" s="2"/>
      <c r="F80" s="7">
        <f t="shared" si="58"/>
        <v>7.8160322035860166E-2</v>
      </c>
      <c r="G80" s="2"/>
      <c r="H80" s="6">
        <v>4483.67</v>
      </c>
      <c r="I80" s="2"/>
      <c r="J80" s="7">
        <f t="shared" si="59"/>
        <v>9.5135617167827861E-3</v>
      </c>
      <c r="K80" s="2"/>
      <c r="L80" s="6">
        <f t="shared" si="60"/>
        <v>0</v>
      </c>
      <c r="M80" s="2"/>
      <c r="N80" s="7">
        <f t="shared" si="61"/>
        <v>0</v>
      </c>
      <c r="O80" s="10"/>
      <c r="P80" s="6">
        <v>46465.03</v>
      </c>
      <c r="Q80" s="2"/>
      <c r="R80" s="7">
        <f t="shared" si="62"/>
        <v>0.1202654550521967</v>
      </c>
      <c r="S80" s="2"/>
      <c r="T80" s="6">
        <v>46114.03</v>
      </c>
      <c r="U80" s="2"/>
      <c r="V80" s="7">
        <f t="shared" si="63"/>
        <v>6.6027370344649066E-3</v>
      </c>
      <c r="W80" s="2"/>
      <c r="X80" s="6">
        <f t="shared" si="64"/>
        <v>351</v>
      </c>
      <c r="Y80" s="2"/>
      <c r="Z80" s="7">
        <f t="shared" si="65"/>
        <v>7.6115663714492101E-3</v>
      </c>
    </row>
    <row r="81" spans="1:26" s="26" customFormat="1" outlineLevel="1" collapsed="1" x14ac:dyDescent="0.25">
      <c r="A81" s="27"/>
      <c r="B81" s="12" t="str">
        <f>CONCATENATE("     ","Interest                                          ")</f>
        <v xml:space="preserve">     Interest                                          </v>
      </c>
      <c r="C81" s="12"/>
      <c r="D81" s="1">
        <f>SUM(OSRRefD22_13x_0)</f>
        <v>11554</v>
      </c>
      <c r="E81" s="1"/>
      <c r="F81" s="5">
        <f t="shared" si="58"/>
        <v>0.20141187036564429</v>
      </c>
      <c r="G81" s="1"/>
      <c r="H81" s="1">
        <f>SUM(OSRRefH22_13x_0)</f>
        <v>11929</v>
      </c>
      <c r="I81" s="1"/>
      <c r="J81" s="5">
        <f t="shared" si="59"/>
        <v>2.5311246750876371E-2</v>
      </c>
      <c r="K81" s="1"/>
      <c r="L81" s="1">
        <f t="shared" si="60"/>
        <v>-375</v>
      </c>
      <c r="M81" s="1"/>
      <c r="N81" s="5">
        <f t="shared" si="61"/>
        <v>-3.1435996311509763E-2</v>
      </c>
      <c r="O81" s="12"/>
      <c r="P81" s="1">
        <f>SUM(OSRRefP22_13x_0)</f>
        <v>103237</v>
      </c>
      <c r="Q81" s="1"/>
      <c r="R81" s="5">
        <f t="shared" si="62"/>
        <v>0.26720836687770633</v>
      </c>
      <c r="S81" s="1"/>
      <c r="T81" s="1">
        <f>SUM(OSRRefT22_13x_0)</f>
        <v>106762</v>
      </c>
      <c r="U81" s="1"/>
      <c r="V81" s="5">
        <f t="shared" si="63"/>
        <v>1.5286484639784081E-2</v>
      </c>
      <c r="W81" s="1"/>
      <c r="X81" s="1">
        <f t="shared" si="64"/>
        <v>-3525</v>
      </c>
      <c r="Y81" s="1"/>
      <c r="Z81" s="5">
        <f t="shared" si="65"/>
        <v>-3.3017365729379369E-2</v>
      </c>
    </row>
    <row r="82" spans="1:26" s="23" customFormat="1" hidden="1" outlineLevel="2" x14ac:dyDescent="0.25">
      <c r="A82" s="25"/>
      <c r="B82" s="10" t="str">
        <f>CONCATENATE("          ", "6401", " - ", "INTEREST EXPENSE")</f>
        <v xml:space="preserve">          6401 - INTEREST EXPENSE</v>
      </c>
      <c r="C82" s="10"/>
      <c r="D82" s="6">
        <v>11554</v>
      </c>
      <c r="E82" s="2"/>
      <c r="F82" s="7">
        <f t="shared" si="58"/>
        <v>0.20141187036564429</v>
      </c>
      <c r="G82" s="2"/>
      <c r="H82" s="6">
        <v>11929</v>
      </c>
      <c r="I82" s="2"/>
      <c r="J82" s="7">
        <f t="shared" si="59"/>
        <v>2.5311246750876371E-2</v>
      </c>
      <c r="K82" s="2"/>
      <c r="L82" s="6">
        <f t="shared" si="60"/>
        <v>-375</v>
      </c>
      <c r="M82" s="2"/>
      <c r="N82" s="7">
        <f t="shared" si="61"/>
        <v>-3.1435996311509763E-2</v>
      </c>
      <c r="O82" s="10"/>
      <c r="P82" s="6">
        <v>103237</v>
      </c>
      <c r="Q82" s="2"/>
      <c r="R82" s="7">
        <f t="shared" si="62"/>
        <v>0.26720836687770633</v>
      </c>
      <c r="S82" s="2"/>
      <c r="T82" s="6">
        <v>106762</v>
      </c>
      <c r="U82" s="2"/>
      <c r="V82" s="7">
        <f t="shared" si="63"/>
        <v>1.5286484639784081E-2</v>
      </c>
      <c r="W82" s="2"/>
      <c r="X82" s="6">
        <f t="shared" si="64"/>
        <v>-3525</v>
      </c>
      <c r="Y82" s="2"/>
      <c r="Z82" s="7">
        <f t="shared" si="65"/>
        <v>-3.3017365729379369E-2</v>
      </c>
    </row>
    <row r="83" spans="1:26" s="26" customFormat="1" outlineLevel="1" collapsed="1" x14ac:dyDescent="0.25">
      <c r="A83" s="27"/>
      <c r="B83" s="12" t="str">
        <f>CONCATENATE("     ","Professional Services                             ")</f>
        <v xml:space="preserve">     Professional Services                             </v>
      </c>
      <c r="C83" s="12"/>
      <c r="D83" s="1">
        <f>SUM(OSRRefD22_14x_0)</f>
        <v>0</v>
      </c>
      <c r="E83" s="1"/>
      <c r="F83" s="5">
        <f t="shared" si="58"/>
        <v>0</v>
      </c>
      <c r="G83" s="1"/>
      <c r="H83" s="1">
        <f>SUM(OSRRefH22_14x_0)</f>
        <v>0</v>
      </c>
      <c r="I83" s="1"/>
      <c r="J83" s="5">
        <f t="shared" si="59"/>
        <v>0</v>
      </c>
      <c r="K83" s="1"/>
      <c r="L83" s="1">
        <f t="shared" si="60"/>
        <v>0</v>
      </c>
      <c r="M83" s="1"/>
      <c r="N83" s="5">
        <f t="shared" si="61"/>
        <v>0</v>
      </c>
      <c r="O83" s="12"/>
      <c r="P83" s="1">
        <f>SUM(OSRRefP22_14x_0)</f>
        <v>0</v>
      </c>
      <c r="Q83" s="1"/>
      <c r="R83" s="5">
        <f t="shared" si="62"/>
        <v>0</v>
      </c>
      <c r="S83" s="1"/>
      <c r="T83" s="1">
        <f>SUM(OSRRefT22_14x_0)</f>
        <v>125</v>
      </c>
      <c r="U83" s="1"/>
      <c r="V83" s="5">
        <f t="shared" si="63"/>
        <v>1.7897852981145072E-5</v>
      </c>
      <c r="W83" s="1"/>
      <c r="X83" s="1">
        <f t="shared" si="64"/>
        <v>-125</v>
      </c>
      <c r="Y83" s="1"/>
      <c r="Z83" s="5">
        <f t="shared" si="65"/>
        <v>-1</v>
      </c>
    </row>
    <row r="84" spans="1:26" s="23" customFormat="1" hidden="1" outlineLevel="2" x14ac:dyDescent="0.25">
      <c r="A84" s="25"/>
      <c r="B84" s="10" t="str">
        <f>CONCATENATE("          ", "6336", " - ", "PROFESSIONAL SERVICES")</f>
        <v xml:space="preserve">          6336 - PROFESSIONAL SERVICES</v>
      </c>
      <c r="C84" s="10"/>
      <c r="D84" s="6"/>
      <c r="E84" s="2"/>
      <c r="F84" s="7">
        <f t="shared" si="58"/>
        <v>0</v>
      </c>
      <c r="G84" s="2"/>
      <c r="H84" s="6"/>
      <c r="I84" s="2"/>
      <c r="J84" s="7">
        <f t="shared" si="59"/>
        <v>0</v>
      </c>
      <c r="K84" s="2"/>
      <c r="L84" s="6">
        <f t="shared" si="60"/>
        <v>0</v>
      </c>
      <c r="M84" s="2"/>
      <c r="N84" s="7">
        <f t="shared" si="61"/>
        <v>0</v>
      </c>
      <c r="O84" s="10"/>
      <c r="P84" s="6"/>
      <c r="Q84" s="2"/>
      <c r="R84" s="7">
        <f t="shared" si="62"/>
        <v>0</v>
      </c>
      <c r="S84" s="2"/>
      <c r="T84" s="6">
        <v>125</v>
      </c>
      <c r="U84" s="2"/>
      <c r="V84" s="7">
        <f t="shared" si="63"/>
        <v>1.7897852981145072E-5</v>
      </c>
      <c r="W84" s="2"/>
      <c r="X84" s="6">
        <f t="shared" si="64"/>
        <v>-125</v>
      </c>
      <c r="Y84" s="2"/>
      <c r="Z84" s="7">
        <f t="shared" si="65"/>
        <v>-1</v>
      </c>
    </row>
    <row r="85" spans="1:26" s="26" customFormat="1" outlineLevel="1" collapsed="1" x14ac:dyDescent="0.25">
      <c r="A85" s="27"/>
      <c r="B85" s="12" t="str">
        <f>CONCATENATE("     ","Rent                                              ")</f>
        <v xml:space="preserve">     Rent                                              </v>
      </c>
      <c r="C85" s="12"/>
      <c r="D85" s="1">
        <f>SUM(OSRRefD22_15x_0)</f>
        <v>0</v>
      </c>
      <c r="E85" s="1"/>
      <c r="F85" s="5">
        <f t="shared" si="58"/>
        <v>0</v>
      </c>
      <c r="G85" s="1"/>
      <c r="H85" s="1">
        <f>SUM(OSRRefH22_15x_0)</f>
        <v>3000</v>
      </c>
      <c r="I85" s="1"/>
      <c r="J85" s="5">
        <f t="shared" si="59"/>
        <v>6.3654740760021051E-3</v>
      </c>
      <c r="K85" s="1"/>
      <c r="L85" s="1">
        <f t="shared" si="60"/>
        <v>-3000</v>
      </c>
      <c r="M85" s="1"/>
      <c r="N85" s="5">
        <f t="shared" si="61"/>
        <v>-1</v>
      </c>
      <c r="O85" s="12"/>
      <c r="P85" s="1">
        <f>SUM(OSRRefP22_15x_0)</f>
        <v>11100</v>
      </c>
      <c r="Q85" s="1"/>
      <c r="R85" s="5">
        <f t="shared" si="62"/>
        <v>2.8730134276882709E-2</v>
      </c>
      <c r="S85" s="1"/>
      <c r="T85" s="1">
        <f>SUM(OSRRefT22_15x_0)</f>
        <v>27000</v>
      </c>
      <c r="U85" s="1"/>
      <c r="V85" s="5">
        <f t="shared" si="63"/>
        <v>3.8659362439273357E-3</v>
      </c>
      <c r="W85" s="1"/>
      <c r="X85" s="1">
        <f t="shared" si="64"/>
        <v>-15900</v>
      </c>
      <c r="Y85" s="1"/>
      <c r="Z85" s="5">
        <f t="shared" si="65"/>
        <v>-0.58888888888888891</v>
      </c>
    </row>
    <row r="86" spans="1:26" s="23" customFormat="1" hidden="1" outlineLevel="2" x14ac:dyDescent="0.25">
      <c r="A86" s="25"/>
      <c r="B86" s="10" t="str">
        <f>CONCATENATE("          ", "6273", " - ", "RENT")</f>
        <v xml:space="preserve">          6273 - RENT</v>
      </c>
      <c r="C86" s="10"/>
      <c r="D86" s="6"/>
      <c r="E86" s="2"/>
      <c r="F86" s="7">
        <f t="shared" si="58"/>
        <v>0</v>
      </c>
      <c r="G86" s="2"/>
      <c r="H86" s="6">
        <v>3000</v>
      </c>
      <c r="I86" s="2"/>
      <c r="J86" s="7">
        <f t="shared" si="59"/>
        <v>6.3654740760021051E-3</v>
      </c>
      <c r="K86" s="2"/>
      <c r="L86" s="6">
        <f t="shared" si="60"/>
        <v>-3000</v>
      </c>
      <c r="M86" s="2"/>
      <c r="N86" s="7">
        <f t="shared" si="61"/>
        <v>-1</v>
      </c>
      <c r="O86" s="10"/>
      <c r="P86" s="6">
        <v>11100</v>
      </c>
      <c r="Q86" s="2"/>
      <c r="R86" s="7">
        <f t="shared" si="62"/>
        <v>2.8730134276882709E-2</v>
      </c>
      <c r="S86" s="2"/>
      <c r="T86" s="6">
        <v>27000</v>
      </c>
      <c r="U86" s="2"/>
      <c r="V86" s="7">
        <f t="shared" si="63"/>
        <v>3.8659362439273357E-3</v>
      </c>
      <c r="W86" s="2"/>
      <c r="X86" s="6">
        <f t="shared" si="64"/>
        <v>-15900</v>
      </c>
      <c r="Y86" s="2"/>
      <c r="Z86" s="7">
        <f t="shared" si="65"/>
        <v>-0.58888888888888891</v>
      </c>
    </row>
    <row r="87" spans="1:26" s="26" customFormat="1" outlineLevel="1" collapsed="1" x14ac:dyDescent="0.25">
      <c r="A87" s="27"/>
      <c r="B87" s="12" t="str">
        <f>CONCATENATE("     ","Repair and Maintenance                            ")</f>
        <v xml:space="preserve">     Repair and Maintenance                            </v>
      </c>
      <c r="C87" s="12"/>
      <c r="D87" s="1">
        <f>SUM(OSRRefD22_16x_0)</f>
        <v>17476.16</v>
      </c>
      <c r="E87" s="1"/>
      <c r="F87" s="5">
        <f t="shared" si="58"/>
        <v>0.3046482666097679</v>
      </c>
      <c r="G87" s="1"/>
      <c r="H87" s="1">
        <f>SUM(OSRRefH22_16x_0)</f>
        <v>12382.65</v>
      </c>
      <c r="I87" s="1"/>
      <c r="J87" s="5">
        <f t="shared" si="59"/>
        <v>2.6273812522402486E-2</v>
      </c>
      <c r="K87" s="1"/>
      <c r="L87" s="1">
        <f t="shared" si="60"/>
        <v>5093.51</v>
      </c>
      <c r="M87" s="1"/>
      <c r="N87" s="5">
        <f t="shared" si="61"/>
        <v>0.41134248323258754</v>
      </c>
      <c r="O87" s="12"/>
      <c r="P87" s="1">
        <f>SUM(OSRRefP22_16x_0)</f>
        <v>44680.33</v>
      </c>
      <c r="Q87" s="1"/>
      <c r="R87" s="5">
        <f t="shared" si="62"/>
        <v>0.11564611535454332</v>
      </c>
      <c r="S87" s="1"/>
      <c r="T87" s="1">
        <f>SUM(OSRRefT22_16x_0)</f>
        <v>219872.14</v>
      </c>
      <c r="U87" s="1"/>
      <c r="V87" s="5">
        <f t="shared" si="63"/>
        <v>3.1481913890957974E-2</v>
      </c>
      <c r="W87" s="1"/>
      <c r="X87" s="1">
        <f t="shared" si="64"/>
        <v>-175191.81</v>
      </c>
      <c r="Y87" s="1"/>
      <c r="Z87" s="5">
        <f t="shared" si="65"/>
        <v>-0.7967894886546335</v>
      </c>
    </row>
    <row r="88" spans="1:26" s="23" customFormat="1" hidden="1" outlineLevel="2" x14ac:dyDescent="0.25">
      <c r="A88" s="25"/>
      <c r="B88" s="10" t="str">
        <f>CONCATENATE("          ", "6371", " - ", "COMPUTER SOFTWARE MAINTENANCE")</f>
        <v xml:space="preserve">          6371 - COMPUTER SOFTWARE MAINTENANCE</v>
      </c>
      <c r="C88" s="10"/>
      <c r="D88" s="6"/>
      <c r="E88" s="2"/>
      <c r="F88" s="7">
        <f t="shared" si="58"/>
        <v>0</v>
      </c>
      <c r="G88" s="2"/>
      <c r="H88" s="6"/>
      <c r="I88" s="2"/>
      <c r="J88" s="7">
        <f t="shared" si="59"/>
        <v>0</v>
      </c>
      <c r="K88" s="2"/>
      <c r="L88" s="6">
        <f t="shared" si="60"/>
        <v>0</v>
      </c>
      <c r="M88" s="2"/>
      <c r="N88" s="7">
        <f t="shared" si="61"/>
        <v>0</v>
      </c>
      <c r="O88" s="10"/>
      <c r="P88" s="6">
        <v>702.27</v>
      </c>
      <c r="Q88" s="2"/>
      <c r="R88" s="7">
        <f t="shared" si="62"/>
        <v>1.8176857115879657E-3</v>
      </c>
      <c r="S88" s="2"/>
      <c r="T88" s="6">
        <v>12244.62</v>
      </c>
      <c r="U88" s="2"/>
      <c r="V88" s="7">
        <f t="shared" si="63"/>
        <v>1.7532192685599088E-3</v>
      </c>
      <c r="W88" s="2"/>
      <c r="X88" s="6">
        <f t="shared" si="64"/>
        <v>-11542.35</v>
      </c>
      <c r="Y88" s="2"/>
      <c r="Z88" s="7">
        <f t="shared" si="65"/>
        <v>-0.94264664807891141</v>
      </c>
    </row>
    <row r="89" spans="1:26" s="23" customFormat="1" hidden="1" outlineLevel="2" x14ac:dyDescent="0.25">
      <c r="A89" s="25"/>
      <c r="B89" s="10" t="str">
        <f>CONCATENATE("          ", "6372", " - ", "COMPUTER HARDWARE MAINTENANCE")</f>
        <v xml:space="preserve">          6372 - COMPUTER HARDWARE MAINTENANCE</v>
      </c>
      <c r="C89" s="10"/>
      <c r="D89" s="6">
        <v>100</v>
      </c>
      <c r="E89" s="2"/>
      <c r="F89" s="7">
        <f t="shared" si="58"/>
        <v>1.7432220042032569E-3</v>
      </c>
      <c r="G89" s="2"/>
      <c r="H89" s="6"/>
      <c r="I89" s="2"/>
      <c r="J89" s="7">
        <f t="shared" si="59"/>
        <v>0</v>
      </c>
      <c r="K89" s="2"/>
      <c r="L89" s="6">
        <f t="shared" si="60"/>
        <v>100</v>
      </c>
      <c r="M89" s="2"/>
      <c r="N89" s="7">
        <f t="shared" si="61"/>
        <v>0</v>
      </c>
      <c r="O89" s="10"/>
      <c r="P89" s="6">
        <v>100</v>
      </c>
      <c r="Q89" s="2"/>
      <c r="R89" s="7">
        <f t="shared" si="62"/>
        <v>2.5883003853047486E-4</v>
      </c>
      <c r="S89" s="2"/>
      <c r="T89" s="6">
        <v>-0.01</v>
      </c>
      <c r="U89" s="2"/>
      <c r="V89" s="7">
        <f t="shared" si="63"/>
        <v>-1.4318282384916058E-9</v>
      </c>
      <c r="W89" s="2"/>
      <c r="X89" s="6">
        <f t="shared" si="64"/>
        <v>100.01</v>
      </c>
      <c r="Y89" s="2"/>
      <c r="Z89" s="7">
        <f t="shared" si="65"/>
        <v>-10001</v>
      </c>
    </row>
    <row r="90" spans="1:26" s="23" customFormat="1" hidden="1" outlineLevel="2" x14ac:dyDescent="0.25">
      <c r="A90" s="25"/>
      <c r="B90" s="10" t="str">
        <f>CONCATENATE("          ", "6373", " - ", "MAINTENANCE CONTRACTS")</f>
        <v xml:space="preserve">          6373 - MAINTENANCE CONTRACTS</v>
      </c>
      <c r="C90" s="10"/>
      <c r="D90" s="6">
        <v>7503.81</v>
      </c>
      <c r="E90" s="2"/>
      <c r="F90" s="7">
        <f t="shared" si="58"/>
        <v>0.13080806707360443</v>
      </c>
      <c r="G90" s="2"/>
      <c r="H90" s="6">
        <v>8004.29</v>
      </c>
      <c r="I90" s="2"/>
      <c r="J90" s="7">
        <f t="shared" si="59"/>
        <v>1.6983700163934298E-2</v>
      </c>
      <c r="K90" s="2"/>
      <c r="L90" s="6">
        <f t="shared" si="60"/>
        <v>-500.47999999999956</v>
      </c>
      <c r="M90" s="2"/>
      <c r="N90" s="7">
        <f t="shared" si="61"/>
        <v>-6.2526470180365723E-2</v>
      </c>
      <c r="O90" s="10"/>
      <c r="P90" s="6">
        <v>19481.849999999999</v>
      </c>
      <c r="Q90" s="2"/>
      <c r="R90" s="7">
        <f t="shared" si="62"/>
        <v>5.0424879861449314E-2</v>
      </c>
      <c r="S90" s="2"/>
      <c r="T90" s="6">
        <v>80539.78</v>
      </c>
      <c r="U90" s="2"/>
      <c r="V90" s="7">
        <f t="shared" si="63"/>
        <v>1.1531913132590147E-2</v>
      </c>
      <c r="W90" s="2"/>
      <c r="X90" s="6">
        <f t="shared" si="64"/>
        <v>-61057.93</v>
      </c>
      <c r="Y90" s="2"/>
      <c r="Z90" s="7">
        <f t="shared" si="65"/>
        <v>-0.75810897422366941</v>
      </c>
    </row>
    <row r="91" spans="1:26" s="23" customFormat="1" hidden="1" outlineLevel="2" x14ac:dyDescent="0.25">
      <c r="A91" s="25"/>
      <c r="B91" s="10" t="str">
        <f>CONCATENATE("          ", "6375", " - ", "OUTSIDE REPAIRS &amp; MAINTENANCE")</f>
        <v xml:space="preserve">          6375 - OUTSIDE REPAIRS &amp; MAINTENANCE</v>
      </c>
      <c r="C91" s="10"/>
      <c r="D91" s="6">
        <v>9872.35</v>
      </c>
      <c r="E91" s="2"/>
      <c r="F91" s="7">
        <f t="shared" si="58"/>
        <v>0.17209697753196024</v>
      </c>
      <c r="G91" s="2"/>
      <c r="H91" s="6">
        <v>4378.3599999999997</v>
      </c>
      <c r="I91" s="2"/>
      <c r="J91" s="7">
        <f t="shared" si="59"/>
        <v>9.2901123584681923E-3</v>
      </c>
      <c r="K91" s="2"/>
      <c r="L91" s="6">
        <f t="shared" si="60"/>
        <v>5493.9900000000007</v>
      </c>
      <c r="M91" s="2"/>
      <c r="N91" s="7">
        <f t="shared" si="61"/>
        <v>1.2548054522698</v>
      </c>
      <c r="O91" s="10"/>
      <c r="P91" s="6">
        <v>24396.21</v>
      </c>
      <c r="Q91" s="2"/>
      <c r="R91" s="7">
        <f t="shared" si="62"/>
        <v>6.3144719742975558E-2</v>
      </c>
      <c r="S91" s="2"/>
      <c r="T91" s="6">
        <v>127087.75</v>
      </c>
      <c r="U91" s="2"/>
      <c r="V91" s="7">
        <f t="shared" si="63"/>
        <v>1.8196782921636158E-2</v>
      </c>
      <c r="W91" s="2"/>
      <c r="X91" s="6">
        <f t="shared" si="64"/>
        <v>-102691.54000000001</v>
      </c>
      <c r="Y91" s="2"/>
      <c r="Z91" s="7">
        <f t="shared" si="65"/>
        <v>-0.80803649446937265</v>
      </c>
    </row>
    <row r="92" spans="1:26" s="26" customFormat="1" outlineLevel="1" collapsed="1" x14ac:dyDescent="0.25">
      <c r="A92" s="27"/>
      <c r="B92" s="12" t="str">
        <f>CONCATENATE("     ","Royalty &amp; Commissions                             ")</f>
        <v xml:space="preserve">     Royalty &amp; Commissions                             </v>
      </c>
      <c r="C92" s="12"/>
      <c r="D92" s="1">
        <f>SUM(OSRRefD22_17x_0)</f>
        <v>0</v>
      </c>
      <c r="E92" s="1"/>
      <c r="F92" s="5">
        <f t="shared" ref="F92:F94" si="66">IF(D$12=0,0,D92/D$12)</f>
        <v>0</v>
      </c>
      <c r="G92" s="1"/>
      <c r="H92" s="1">
        <f>SUM(OSRRefH22_17x_0)</f>
        <v>26181.17</v>
      </c>
      <c r="I92" s="1"/>
      <c r="J92" s="5">
        <f t="shared" ref="J92:J94" si="67">IF(H$12=0,0,H92/H$12)</f>
        <v>5.5551852971468009E-2</v>
      </c>
      <c r="K92" s="1"/>
      <c r="L92" s="1">
        <f t="shared" ref="L92:L94" si="68">+D92-H92</f>
        <v>-26181.17</v>
      </c>
      <c r="M92" s="1"/>
      <c r="N92" s="5">
        <f t="shared" ref="N92:N94" si="69">IF(H92=0,0,L92/H92)</f>
        <v>-1</v>
      </c>
      <c r="O92" s="12"/>
      <c r="P92" s="1">
        <f>SUM(OSRRefP22_17x_0)</f>
        <v>185.7</v>
      </c>
      <c r="Q92" s="1"/>
      <c r="R92" s="5">
        <f t="shared" ref="R92:R94" si="70">IF(P$12=0,0,P92/P$12)</f>
        <v>4.8064738155109178E-4</v>
      </c>
      <c r="S92" s="1"/>
      <c r="T92" s="1">
        <f>SUM(OSRRefT22_17x_0)</f>
        <v>258319.61</v>
      </c>
      <c r="U92" s="1"/>
      <c r="V92" s="5">
        <f t="shared" ref="V92:V94" si="71">IF(T$12=0,0,T92/T$12)</f>
        <v>3.6986931215413854E-2</v>
      </c>
      <c r="W92" s="1"/>
      <c r="X92" s="1">
        <f t="shared" ref="X92:X94" si="72">+P92-T92</f>
        <v>-258133.90999999997</v>
      </c>
      <c r="Y92" s="1"/>
      <c r="Z92" s="5">
        <f t="shared" ref="Z92:Z94" si="73">IF(T92=0,0,X92/T92)</f>
        <v>-0.99928112310172656</v>
      </c>
    </row>
    <row r="93" spans="1:26" s="23" customFormat="1" hidden="1" outlineLevel="2" x14ac:dyDescent="0.25">
      <c r="A93" s="25"/>
      <c r="B93" s="10" t="str">
        <f>CONCATENATE("          ", "6254", " - ", "ROYALTY &amp; COMMISSIONS")</f>
        <v xml:space="preserve">          6254 - ROYALTY &amp; COMMISSIONS</v>
      </c>
      <c r="C93" s="10"/>
      <c r="D93" s="6"/>
      <c r="E93" s="2"/>
      <c r="F93" s="7">
        <f t="shared" si="66"/>
        <v>0</v>
      </c>
      <c r="G93" s="2"/>
      <c r="H93" s="6">
        <v>19223.37</v>
      </c>
      <c r="I93" s="2"/>
      <c r="J93" s="7">
        <f t="shared" si="67"/>
        <v>4.0788621129465526E-2</v>
      </c>
      <c r="K93" s="2"/>
      <c r="L93" s="6">
        <f t="shared" si="68"/>
        <v>-19223.37</v>
      </c>
      <c r="M93" s="2"/>
      <c r="N93" s="7">
        <f t="shared" si="69"/>
        <v>-1</v>
      </c>
      <c r="O93" s="10"/>
      <c r="P93" s="6">
        <v>185.7</v>
      </c>
      <c r="Q93" s="2"/>
      <c r="R93" s="7">
        <f t="shared" si="70"/>
        <v>4.8064738155109178E-4</v>
      </c>
      <c r="S93" s="2"/>
      <c r="T93" s="6">
        <v>153649.65</v>
      </c>
      <c r="U93" s="2"/>
      <c r="V93" s="7">
        <f t="shared" si="71"/>
        <v>2.1999990770435175E-2</v>
      </c>
      <c r="W93" s="2"/>
      <c r="X93" s="6">
        <f t="shared" si="72"/>
        <v>-153463.94999999998</v>
      </c>
      <c r="Y93" s="2"/>
      <c r="Z93" s="7">
        <f t="shared" si="73"/>
        <v>-0.9987914062934734</v>
      </c>
    </row>
    <row r="94" spans="1:26" s="23" customFormat="1" hidden="1" outlineLevel="2" x14ac:dyDescent="0.25">
      <c r="A94" s="25"/>
      <c r="B94" s="10" t="str">
        <f>CONCATENATE("          ", "6259", " - ", "ROYALTY &amp; COMMISSIONS")</f>
        <v xml:space="preserve">          6259 - ROYALTY &amp; COMMISSIONS</v>
      </c>
      <c r="C94" s="10"/>
      <c r="D94" s="6"/>
      <c r="E94" s="2"/>
      <c r="F94" s="7">
        <f t="shared" si="66"/>
        <v>0</v>
      </c>
      <c r="G94" s="2"/>
      <c r="H94" s="6">
        <v>6957.8</v>
      </c>
      <c r="I94" s="2"/>
      <c r="J94" s="7">
        <f t="shared" si="67"/>
        <v>1.4763231842002483E-2</v>
      </c>
      <c r="K94" s="2"/>
      <c r="L94" s="6">
        <f t="shared" si="68"/>
        <v>-6957.8</v>
      </c>
      <c r="M94" s="2"/>
      <c r="N94" s="7">
        <f t="shared" si="69"/>
        <v>-1</v>
      </c>
      <c r="O94" s="10"/>
      <c r="P94" s="6"/>
      <c r="Q94" s="2"/>
      <c r="R94" s="7">
        <f t="shared" si="70"/>
        <v>0</v>
      </c>
      <c r="S94" s="2"/>
      <c r="T94" s="6">
        <v>104669.96</v>
      </c>
      <c r="U94" s="2"/>
      <c r="V94" s="7">
        <f t="shared" si="71"/>
        <v>1.4986940444978685E-2</v>
      </c>
      <c r="W94" s="2"/>
      <c r="X94" s="6">
        <f t="shared" si="72"/>
        <v>-104669.96</v>
      </c>
      <c r="Y94" s="2"/>
      <c r="Z94" s="7">
        <f t="shared" si="73"/>
        <v>-1</v>
      </c>
    </row>
    <row r="95" spans="1:26" s="26" customFormat="1" outlineLevel="1" collapsed="1" x14ac:dyDescent="0.25">
      <c r="A95" s="27"/>
      <c r="B95" s="12" t="str">
        <f>CONCATENATE("     ","Services                                          ")</f>
        <v xml:space="preserve">     Services                                          </v>
      </c>
      <c r="C95" s="12"/>
      <c r="D95" s="1">
        <f>SUM(OSRRefD22_18x_0)</f>
        <v>-5528.9699999999993</v>
      </c>
      <c r="E95" s="1"/>
      <c r="F95" s="5">
        <f t="shared" ref="F95:F100" si="74">IF(D$12=0,0,D95/D$12)</f>
        <v>-9.6382221645796795E-2</v>
      </c>
      <c r="G95" s="1"/>
      <c r="H95" s="1">
        <f>SUM(OSRRefH22_18x_0)</f>
        <v>27167.65</v>
      </c>
      <c r="I95" s="1"/>
      <c r="J95" s="5">
        <f t="shared" ref="J95:J100" si="75">IF(H$12=0,0,H95/H$12)</f>
        <v>5.7644990593632865E-2</v>
      </c>
      <c r="K95" s="1"/>
      <c r="L95" s="1">
        <f t="shared" ref="L95:L100" si="76">+D95-H95</f>
        <v>-32696.620000000003</v>
      </c>
      <c r="M95" s="1"/>
      <c r="N95" s="5">
        <f t="shared" ref="N95:N100" si="77">IF(H95=0,0,L95/H95)</f>
        <v>-1.2035130016766264</v>
      </c>
      <c r="O95" s="12"/>
      <c r="P95" s="1">
        <f>SUM(OSRRefP22_18x_0)</f>
        <v>46422.07</v>
      </c>
      <c r="Q95" s="1"/>
      <c r="R95" s="5">
        <f t="shared" ref="R95:R100" si="78">IF(P$12=0,0,P95/P$12)</f>
        <v>0.12015426166764401</v>
      </c>
      <c r="S95" s="1"/>
      <c r="T95" s="1">
        <f>SUM(OSRRefT22_18x_0)</f>
        <v>222974.89</v>
      </c>
      <c r="U95" s="1"/>
      <c r="V95" s="5">
        <f t="shared" ref="V95:V100" si="79">IF(T$12=0,0,T95/T$12)</f>
        <v>3.1926174397655958E-2</v>
      </c>
      <c r="W95" s="1"/>
      <c r="X95" s="1">
        <f t="shared" ref="X95:X100" si="80">+P95-T95</f>
        <v>-176552.82</v>
      </c>
      <c r="Y95" s="1"/>
      <c r="Z95" s="5">
        <f t="shared" ref="Z95:Z100" si="81">IF(T95=0,0,X95/T95)</f>
        <v>-0.79180583966203544</v>
      </c>
    </row>
    <row r="96" spans="1:26" s="23" customFormat="1" hidden="1" outlineLevel="2" x14ac:dyDescent="0.25">
      <c r="A96" s="25"/>
      <c r="B96" s="10" t="str">
        <f>CONCATENATE("          ", "6282", " - ", "JANITORIAL/EXTERMINATOR EXPENS")</f>
        <v xml:space="preserve">          6282 - JANITORIAL/EXTERMINATOR EXPENS</v>
      </c>
      <c r="C96" s="10"/>
      <c r="D96" s="6">
        <v>2022.27</v>
      </c>
      <c r="E96" s="2"/>
      <c r="F96" s="7">
        <f t="shared" si="74"/>
        <v>3.5252655624401205E-2</v>
      </c>
      <c r="G96" s="2"/>
      <c r="H96" s="6">
        <v>1747.89</v>
      </c>
      <c r="I96" s="2"/>
      <c r="J96" s="7">
        <f t="shared" si="75"/>
        <v>3.7087161609011066E-3</v>
      </c>
      <c r="K96" s="2"/>
      <c r="L96" s="6">
        <f t="shared" si="76"/>
        <v>274.37999999999988</v>
      </c>
      <c r="M96" s="2"/>
      <c r="N96" s="7">
        <f t="shared" si="77"/>
        <v>0.15697784185503658</v>
      </c>
      <c r="O96" s="10"/>
      <c r="P96" s="6">
        <v>10340.39</v>
      </c>
      <c r="Q96" s="2"/>
      <c r="R96" s="7">
        <f t="shared" si="78"/>
        <v>2.6764035421201367E-2</v>
      </c>
      <c r="S96" s="2"/>
      <c r="T96" s="6">
        <v>18683.830000000002</v>
      </c>
      <c r="U96" s="2"/>
      <c r="V96" s="7">
        <f t="shared" si="79"/>
        <v>2.6752035397176622E-3</v>
      </c>
      <c r="W96" s="2"/>
      <c r="X96" s="6">
        <f t="shared" si="80"/>
        <v>-8343.4400000000023</v>
      </c>
      <c r="Y96" s="2"/>
      <c r="Z96" s="7">
        <f t="shared" si="81"/>
        <v>-0.4465594045760426</v>
      </c>
    </row>
    <row r="97" spans="1:26" s="23" customFormat="1" hidden="1" outlineLevel="2" x14ac:dyDescent="0.25">
      <c r="A97" s="25"/>
      <c r="B97" s="10" t="str">
        <f>CONCATENATE("          ", "6283", " - ", "PLANT SERVICE")</f>
        <v xml:space="preserve">          6283 - PLANT SERVICE</v>
      </c>
      <c r="C97" s="10"/>
      <c r="D97" s="6"/>
      <c r="E97" s="2"/>
      <c r="F97" s="7">
        <f t="shared" si="74"/>
        <v>0</v>
      </c>
      <c r="G97" s="2"/>
      <c r="H97" s="6">
        <v>399.56</v>
      </c>
      <c r="I97" s="2"/>
      <c r="J97" s="7">
        <f t="shared" si="75"/>
        <v>8.4779627393580042E-4</v>
      </c>
      <c r="K97" s="2"/>
      <c r="L97" s="6">
        <f t="shared" si="76"/>
        <v>-399.56</v>
      </c>
      <c r="M97" s="2"/>
      <c r="N97" s="7">
        <f t="shared" si="77"/>
        <v>-1</v>
      </c>
      <c r="O97" s="10"/>
      <c r="P97" s="6"/>
      <c r="Q97" s="2"/>
      <c r="R97" s="7">
        <f t="shared" si="78"/>
        <v>0</v>
      </c>
      <c r="S97" s="2"/>
      <c r="T97" s="6">
        <v>1398.46</v>
      </c>
      <c r="U97" s="2"/>
      <c r="V97" s="7">
        <f t="shared" si="79"/>
        <v>2.002354518400971E-4</v>
      </c>
      <c r="W97" s="2"/>
      <c r="X97" s="6">
        <f t="shared" si="80"/>
        <v>-1398.46</v>
      </c>
      <c r="Y97" s="2"/>
      <c r="Z97" s="7">
        <f t="shared" si="81"/>
        <v>-1</v>
      </c>
    </row>
    <row r="98" spans="1:26" s="23" customFormat="1" hidden="1" outlineLevel="2" x14ac:dyDescent="0.25">
      <c r="A98" s="25"/>
      <c r="B98" s="10" t="str">
        <f>CONCATENATE("          ", "6284", " - ", "TRASH REMOVAL EXPENSE")</f>
        <v xml:space="preserve">          6284 - TRASH REMOVAL EXPENSE</v>
      </c>
      <c r="C98" s="10"/>
      <c r="D98" s="6">
        <v>-9244</v>
      </c>
      <c r="E98" s="2"/>
      <c r="F98" s="7">
        <f t="shared" si="74"/>
        <v>-0.16114344206854905</v>
      </c>
      <c r="G98" s="2"/>
      <c r="H98" s="6">
        <v>5419</v>
      </c>
      <c r="I98" s="2"/>
      <c r="J98" s="7">
        <f t="shared" si="75"/>
        <v>1.1498168005951803E-2</v>
      </c>
      <c r="K98" s="2"/>
      <c r="L98" s="6">
        <f t="shared" si="76"/>
        <v>-14663</v>
      </c>
      <c r="M98" s="2"/>
      <c r="N98" s="7">
        <f t="shared" si="77"/>
        <v>-2.7058497877837238</v>
      </c>
      <c r="O98" s="10"/>
      <c r="P98" s="6">
        <v>21518</v>
      </c>
      <c r="Q98" s="2"/>
      <c r="R98" s="7">
        <f t="shared" si="78"/>
        <v>5.5695047690987584E-2</v>
      </c>
      <c r="S98" s="2"/>
      <c r="T98" s="6">
        <v>40883</v>
      </c>
      <c r="U98" s="2"/>
      <c r="V98" s="7">
        <f t="shared" si="79"/>
        <v>5.8537433874252323E-3</v>
      </c>
      <c r="W98" s="2"/>
      <c r="X98" s="6">
        <f t="shared" si="80"/>
        <v>-19365</v>
      </c>
      <c r="Y98" s="2"/>
      <c r="Z98" s="7">
        <f t="shared" si="81"/>
        <v>-0.47366876207714698</v>
      </c>
    </row>
    <row r="99" spans="1:26" s="23" customFormat="1" hidden="1" outlineLevel="2" x14ac:dyDescent="0.25">
      <c r="A99" s="25"/>
      <c r="B99" s="10" t="str">
        <f>CONCATENATE("          ", "6285", " - ", "JANITORIAL SERVICES")</f>
        <v xml:space="preserve">          6285 - JANITORIAL SERVICES</v>
      </c>
      <c r="C99" s="10"/>
      <c r="D99" s="6">
        <v>1692.76</v>
      </c>
      <c r="E99" s="2"/>
      <c r="F99" s="7">
        <f t="shared" si="74"/>
        <v>2.9508564798351049E-2</v>
      </c>
      <c r="G99" s="2"/>
      <c r="H99" s="6">
        <v>18067.37</v>
      </c>
      <c r="I99" s="2"/>
      <c r="J99" s="7">
        <f t="shared" si="75"/>
        <v>3.8335791785512718E-2</v>
      </c>
      <c r="K99" s="2"/>
      <c r="L99" s="6">
        <f t="shared" si="76"/>
        <v>-16374.609999999999</v>
      </c>
      <c r="M99" s="2"/>
      <c r="N99" s="7">
        <f t="shared" si="77"/>
        <v>-0.90630844444985625</v>
      </c>
      <c r="O99" s="10"/>
      <c r="P99" s="6">
        <v>13658.97</v>
      </c>
      <c r="Q99" s="2"/>
      <c r="R99" s="7">
        <f t="shared" si="78"/>
        <v>3.5353517313866004E-2</v>
      </c>
      <c r="S99" s="2"/>
      <c r="T99" s="6">
        <v>128941.35</v>
      </c>
      <c r="U99" s="2"/>
      <c r="V99" s="7">
        <f t="shared" si="79"/>
        <v>1.8462186603922962E-2</v>
      </c>
      <c r="W99" s="2"/>
      <c r="X99" s="6">
        <f t="shared" si="80"/>
        <v>-115282.38</v>
      </c>
      <c r="Y99" s="2"/>
      <c r="Z99" s="7">
        <f t="shared" si="81"/>
        <v>-0.89406834967991256</v>
      </c>
    </row>
    <row r="100" spans="1:26" s="23" customFormat="1" hidden="1" outlineLevel="2" x14ac:dyDescent="0.25">
      <c r="A100" s="25"/>
      <c r="B100" s="10" t="str">
        <f>CONCATENATE("          ", "6286", " - ", "LAUNDRY EXPENSE")</f>
        <v xml:space="preserve">          6286 - LAUNDRY EXPENSE</v>
      </c>
      <c r="C100" s="10"/>
      <c r="D100" s="6"/>
      <c r="E100" s="2"/>
      <c r="F100" s="7">
        <f t="shared" si="74"/>
        <v>0</v>
      </c>
      <c r="G100" s="2"/>
      <c r="H100" s="6">
        <v>1533.83</v>
      </c>
      <c r="I100" s="2"/>
      <c r="J100" s="7">
        <f t="shared" si="75"/>
        <v>3.2545183673314362E-3</v>
      </c>
      <c r="K100" s="2"/>
      <c r="L100" s="6">
        <f t="shared" si="76"/>
        <v>-1533.83</v>
      </c>
      <c r="M100" s="2"/>
      <c r="N100" s="7">
        <f t="shared" si="77"/>
        <v>-1</v>
      </c>
      <c r="O100" s="10"/>
      <c r="P100" s="6">
        <v>904.71</v>
      </c>
      <c r="Q100" s="2"/>
      <c r="R100" s="7">
        <f t="shared" si="78"/>
        <v>2.3416612415890592E-3</v>
      </c>
      <c r="S100" s="2"/>
      <c r="T100" s="6">
        <v>33068.25</v>
      </c>
      <c r="U100" s="2"/>
      <c r="V100" s="7">
        <f t="shared" si="79"/>
        <v>4.7348054147500042E-3</v>
      </c>
      <c r="W100" s="2"/>
      <c r="X100" s="6">
        <f t="shared" si="80"/>
        <v>-32163.54</v>
      </c>
      <c r="Y100" s="2"/>
      <c r="Z100" s="7">
        <f t="shared" si="81"/>
        <v>-0.97264112857499263</v>
      </c>
    </row>
    <row r="101" spans="1:26" s="26" customFormat="1" outlineLevel="1" collapsed="1" x14ac:dyDescent="0.25">
      <c r="A101" s="27"/>
      <c r="B101" s="12" t="str">
        <f>CONCATENATE("     ","Subscriptions &amp; Dues                              ")</f>
        <v xml:space="preserve">     Subscriptions &amp; Dues                              </v>
      </c>
      <c r="C101" s="12"/>
      <c r="D101" s="1">
        <f>SUM(OSRRefD22_19x_0)</f>
        <v>119.07</v>
      </c>
      <c r="E101" s="1"/>
      <c r="F101" s="5">
        <f t="shared" ref="F101:F103" si="82">IF(D$12=0,0,D101/D$12)</f>
        <v>2.0756544404048178E-3</v>
      </c>
      <c r="G101" s="1"/>
      <c r="H101" s="1">
        <f>SUM(OSRRefH22_19x_0)</f>
        <v>161.99</v>
      </c>
      <c r="I101" s="1"/>
      <c r="J101" s="5">
        <f t="shared" ref="J101:J103" si="83">IF(H$12=0,0,H101/H$12)</f>
        <v>3.4371438185719366E-4</v>
      </c>
      <c r="K101" s="1"/>
      <c r="L101" s="1">
        <f t="shared" ref="L101:L103" si="84">+D101-H101</f>
        <v>-42.920000000000016</v>
      </c>
      <c r="M101" s="1"/>
      <c r="N101" s="5">
        <f t="shared" ref="N101:N103" si="85">IF(H101=0,0,L101/H101)</f>
        <v>-0.26495462682881665</v>
      </c>
      <c r="O101" s="12"/>
      <c r="P101" s="1">
        <f>SUM(OSRRefP22_19x_0)</f>
        <v>916.08</v>
      </c>
      <c r="Q101" s="1"/>
      <c r="R101" s="5">
        <f t="shared" ref="R101:R103" si="86">IF(P$12=0,0,P101/P$12)</f>
        <v>2.3710902169699743E-3</v>
      </c>
      <c r="S101" s="1"/>
      <c r="T101" s="1">
        <f>SUM(OSRRefT22_19x_0)</f>
        <v>8707.5</v>
      </c>
      <c r="U101" s="1"/>
      <c r="V101" s="5">
        <f t="shared" ref="V101:V103" si="87">IF(T$12=0,0,T101/T$12)</f>
        <v>1.2467644386665658E-3</v>
      </c>
      <c r="W101" s="1"/>
      <c r="X101" s="1">
        <f t="shared" ref="X101:X103" si="88">+P101-T101</f>
        <v>-7791.42</v>
      </c>
      <c r="Y101" s="1"/>
      <c r="Z101" s="5">
        <f t="shared" ref="Z101:Z103" si="89">IF(T101=0,0,X101/T101)</f>
        <v>-0.89479414298018956</v>
      </c>
    </row>
    <row r="102" spans="1:26" s="23" customFormat="1" hidden="1" outlineLevel="2" x14ac:dyDescent="0.25">
      <c r="A102" s="25"/>
      <c r="B102" s="10" t="str">
        <f>CONCATENATE("          ", "6258", " - ", "MEMBERSHIP DUES")</f>
        <v xml:space="preserve">          6258 - MEMBERSHIP DUES</v>
      </c>
      <c r="C102" s="10"/>
      <c r="D102" s="6"/>
      <c r="E102" s="2"/>
      <c r="F102" s="7">
        <f t="shared" si="82"/>
        <v>0</v>
      </c>
      <c r="G102" s="2"/>
      <c r="H102" s="6"/>
      <c r="I102" s="2"/>
      <c r="J102" s="7">
        <f t="shared" si="83"/>
        <v>0</v>
      </c>
      <c r="K102" s="2"/>
      <c r="L102" s="6">
        <f t="shared" si="84"/>
        <v>0</v>
      </c>
      <c r="M102" s="2"/>
      <c r="N102" s="7">
        <f t="shared" si="85"/>
        <v>0</v>
      </c>
      <c r="O102" s="10"/>
      <c r="P102" s="6"/>
      <c r="Q102" s="2"/>
      <c r="R102" s="7">
        <f t="shared" si="86"/>
        <v>0</v>
      </c>
      <c r="S102" s="2"/>
      <c r="T102" s="6">
        <v>3730</v>
      </c>
      <c r="U102" s="2"/>
      <c r="V102" s="7">
        <f t="shared" si="87"/>
        <v>5.3407193295736892E-4</v>
      </c>
      <c r="W102" s="2"/>
      <c r="X102" s="6">
        <f t="shared" si="88"/>
        <v>-3730</v>
      </c>
      <c r="Y102" s="2"/>
      <c r="Z102" s="7">
        <f t="shared" si="89"/>
        <v>-1</v>
      </c>
    </row>
    <row r="103" spans="1:26" s="23" customFormat="1" hidden="1" outlineLevel="2" x14ac:dyDescent="0.25">
      <c r="A103" s="25"/>
      <c r="B103" s="10" t="str">
        <f>CONCATENATE("          ", "6275", " - ", "SUBSCRIPTIONS")</f>
        <v xml:space="preserve">          6275 - SUBSCRIPTIONS</v>
      </c>
      <c r="C103" s="10"/>
      <c r="D103" s="6">
        <v>119.07</v>
      </c>
      <c r="E103" s="2"/>
      <c r="F103" s="7">
        <f t="shared" si="82"/>
        <v>2.0756544404048178E-3</v>
      </c>
      <c r="G103" s="2"/>
      <c r="H103" s="6">
        <v>161.99</v>
      </c>
      <c r="I103" s="2"/>
      <c r="J103" s="7">
        <f t="shared" si="83"/>
        <v>3.4371438185719366E-4</v>
      </c>
      <c r="K103" s="2"/>
      <c r="L103" s="6">
        <f t="shared" si="84"/>
        <v>-42.920000000000016</v>
      </c>
      <c r="M103" s="2"/>
      <c r="N103" s="7">
        <f t="shared" si="85"/>
        <v>-0.26495462682881665</v>
      </c>
      <c r="O103" s="10"/>
      <c r="P103" s="6">
        <v>916.08</v>
      </c>
      <c r="Q103" s="2"/>
      <c r="R103" s="7">
        <f t="shared" si="86"/>
        <v>2.3710902169699743E-3</v>
      </c>
      <c r="S103" s="2"/>
      <c r="T103" s="6">
        <v>4977.5</v>
      </c>
      <c r="U103" s="2"/>
      <c r="V103" s="7">
        <f t="shared" si="87"/>
        <v>7.1269250570919675E-4</v>
      </c>
      <c r="W103" s="2"/>
      <c r="X103" s="6">
        <f t="shared" si="88"/>
        <v>-4061.42</v>
      </c>
      <c r="Y103" s="2"/>
      <c r="Z103" s="7">
        <f t="shared" si="89"/>
        <v>-0.81595580110497234</v>
      </c>
    </row>
    <row r="104" spans="1:26" s="26" customFormat="1" outlineLevel="1" collapsed="1" x14ac:dyDescent="0.25">
      <c r="A104" s="27"/>
      <c r="B104" s="12" t="str">
        <f>CONCATENATE("     ","Supplies                                          ")</f>
        <v xml:space="preserve">     Supplies                                          </v>
      </c>
      <c r="C104" s="12"/>
      <c r="D104" s="1">
        <f>SUM(OSRRefD22_20x_0)</f>
        <v>94.92</v>
      </c>
      <c r="E104" s="1"/>
      <c r="F104" s="5">
        <f t="shared" ref="F104:F114" si="90">IF(D$12=0,0,D104/D$12)</f>
        <v>1.6546663263897314E-3</v>
      </c>
      <c r="G104" s="1"/>
      <c r="H104" s="1">
        <f>SUM(OSRRefH22_20x_0)</f>
        <v>13244.029999999999</v>
      </c>
      <c r="I104" s="1"/>
      <c r="J104" s="5">
        <f t="shared" ref="J104:J114" si="91">IF(H$12=0,0,H104/H$12)</f>
        <v>2.8101509875598049E-2</v>
      </c>
      <c r="K104" s="1"/>
      <c r="L104" s="1">
        <f t="shared" ref="L104:L114" si="92">+D104-H104</f>
        <v>-13149.109999999999</v>
      </c>
      <c r="M104" s="1"/>
      <c r="N104" s="5">
        <f t="shared" ref="N104:N114" si="93">IF(H104=0,0,L104/H104)</f>
        <v>-0.99283299720704343</v>
      </c>
      <c r="O104" s="12"/>
      <c r="P104" s="1">
        <f>SUM(OSRRefP22_20x_0)</f>
        <v>-20157.850000000002</v>
      </c>
      <c r="Q104" s="1"/>
      <c r="R104" s="5">
        <f t="shared" ref="R104:R114" si="94">IF(P$12=0,0,P104/P$12)</f>
        <v>-5.2174570921915332E-2</v>
      </c>
      <c r="S104" s="1"/>
      <c r="T104" s="1">
        <f>SUM(OSRRefT22_20x_0)</f>
        <v>215729.27999999997</v>
      </c>
      <c r="U104" s="1"/>
      <c r="V104" s="5">
        <f t="shared" ref="V104:V114" si="95">IF(T$12=0,0,T104/T$12)</f>
        <v>3.0888727497346235E-2</v>
      </c>
      <c r="W104" s="1"/>
      <c r="X104" s="1">
        <f t="shared" ref="X104:X114" si="96">+P104-T104</f>
        <v>-235887.12999999998</v>
      </c>
      <c r="Y104" s="1"/>
      <c r="Z104" s="5">
        <f t="shared" ref="Z104:Z114" si="97">IF(T104=0,0,X104/T104)</f>
        <v>-1.0934404917125762</v>
      </c>
    </row>
    <row r="105" spans="1:26" s="23" customFormat="1" hidden="1" outlineLevel="2" x14ac:dyDescent="0.25">
      <c r="A105" s="25"/>
      <c r="B105" s="10" t="str">
        <f>CONCATENATE("          ", "6234", " - ", "EXPENDABLE SUPPLIES &amp; EQUIPMEN")</f>
        <v xml:space="preserve">          6234 - EXPENDABLE SUPPLIES &amp; EQUIPMEN</v>
      </c>
      <c r="C105" s="10"/>
      <c r="D105" s="6"/>
      <c r="E105" s="2"/>
      <c r="F105" s="7">
        <f t="shared" si="90"/>
        <v>0</v>
      </c>
      <c r="G105" s="2"/>
      <c r="H105" s="6">
        <v>972.3</v>
      </c>
      <c r="I105" s="2"/>
      <c r="J105" s="7">
        <f t="shared" si="91"/>
        <v>2.063050148032282E-3</v>
      </c>
      <c r="K105" s="2"/>
      <c r="L105" s="6">
        <f t="shared" si="92"/>
        <v>-972.3</v>
      </c>
      <c r="M105" s="2"/>
      <c r="N105" s="7">
        <f t="shared" si="93"/>
        <v>-1</v>
      </c>
      <c r="O105" s="10"/>
      <c r="P105" s="6">
        <v>627.58000000000004</v>
      </c>
      <c r="Q105" s="2"/>
      <c r="R105" s="7">
        <f t="shared" si="94"/>
        <v>1.6243655558095542E-3</v>
      </c>
      <c r="S105" s="2"/>
      <c r="T105" s="6">
        <v>15636.88</v>
      </c>
      <c r="U105" s="2"/>
      <c r="V105" s="7">
        <f t="shared" si="95"/>
        <v>2.2389326345904621E-3</v>
      </c>
      <c r="W105" s="2"/>
      <c r="X105" s="6">
        <f t="shared" si="96"/>
        <v>-15009.3</v>
      </c>
      <c r="Y105" s="2"/>
      <c r="Z105" s="7">
        <f t="shared" si="97"/>
        <v>-0.95986539514276503</v>
      </c>
    </row>
    <row r="106" spans="1:26" s="23" customFormat="1" hidden="1" outlineLevel="2" x14ac:dyDescent="0.25">
      <c r="A106" s="25"/>
      <c r="B106" s="10" t="str">
        <f>CONCATENATE("          ", "6235", " - ", "COVID-19 EXPENSES")</f>
        <v xml:space="preserve">          6235 - COVID-19 EXPENSES</v>
      </c>
      <c r="C106" s="10"/>
      <c r="D106" s="6"/>
      <c r="E106" s="2"/>
      <c r="F106" s="7">
        <f t="shared" si="90"/>
        <v>0</v>
      </c>
      <c r="G106" s="2"/>
      <c r="H106" s="6"/>
      <c r="I106" s="2"/>
      <c r="J106" s="7">
        <f t="shared" si="91"/>
        <v>0</v>
      </c>
      <c r="K106" s="2"/>
      <c r="L106" s="6">
        <f t="shared" si="92"/>
        <v>0</v>
      </c>
      <c r="M106" s="2"/>
      <c r="N106" s="7">
        <f t="shared" si="93"/>
        <v>0</v>
      </c>
      <c r="O106" s="10"/>
      <c r="P106" s="6">
        <v>7089.13</v>
      </c>
      <c r="Q106" s="2"/>
      <c r="R106" s="7">
        <f t="shared" si="94"/>
        <v>1.8348797910475452E-2</v>
      </c>
      <c r="S106" s="2"/>
      <c r="T106" s="6"/>
      <c r="U106" s="2"/>
      <c r="V106" s="7">
        <f t="shared" si="95"/>
        <v>0</v>
      </c>
      <c r="W106" s="2"/>
      <c r="X106" s="6">
        <f t="shared" si="96"/>
        <v>7089.13</v>
      </c>
      <c r="Y106" s="2"/>
      <c r="Z106" s="7">
        <f t="shared" si="97"/>
        <v>0</v>
      </c>
    </row>
    <row r="107" spans="1:26" s="23" customFormat="1" hidden="1" outlineLevel="2" x14ac:dyDescent="0.25">
      <c r="A107" s="25"/>
      <c r="B107" s="10" t="str">
        <f>CONCATENATE("          ", "6237", " - ", "JANITORIAL SUPPLIES")</f>
        <v xml:space="preserve">          6237 - JANITORIAL SUPPLIES</v>
      </c>
      <c r="C107" s="10"/>
      <c r="D107" s="6"/>
      <c r="E107" s="2"/>
      <c r="F107" s="7">
        <f t="shared" si="90"/>
        <v>0</v>
      </c>
      <c r="G107" s="2"/>
      <c r="H107" s="6">
        <v>5763.7</v>
      </c>
      <c r="I107" s="2"/>
      <c r="J107" s="7">
        <f t="shared" si="91"/>
        <v>1.2229560977284443E-2</v>
      </c>
      <c r="K107" s="2"/>
      <c r="L107" s="6">
        <f t="shared" si="92"/>
        <v>-5763.7</v>
      </c>
      <c r="M107" s="2"/>
      <c r="N107" s="7">
        <f t="shared" si="93"/>
        <v>-1</v>
      </c>
      <c r="O107" s="10"/>
      <c r="P107" s="6">
        <v>676.48</v>
      </c>
      <c r="Q107" s="2"/>
      <c r="R107" s="7">
        <f t="shared" si="94"/>
        <v>1.7509334446509563E-3</v>
      </c>
      <c r="S107" s="2"/>
      <c r="T107" s="6">
        <v>52852.57</v>
      </c>
      <c r="U107" s="2"/>
      <c r="V107" s="7">
        <f t="shared" si="95"/>
        <v>7.5675802202854288E-3</v>
      </c>
      <c r="W107" s="2"/>
      <c r="X107" s="6">
        <f t="shared" si="96"/>
        <v>-52176.09</v>
      </c>
      <c r="Y107" s="2"/>
      <c r="Z107" s="7">
        <f t="shared" si="97"/>
        <v>-0.98720062241060358</v>
      </c>
    </row>
    <row r="108" spans="1:26" s="23" customFormat="1" hidden="1" outlineLevel="2" x14ac:dyDescent="0.25">
      <c r="A108" s="25"/>
      <c r="B108" s="10" t="str">
        <f>CONCATENATE("          ", "6239", " - ", "KITCHEN SUPPLIES")</f>
        <v xml:space="preserve">          6239 - KITCHEN SUPPLIES</v>
      </c>
      <c r="C108" s="10"/>
      <c r="D108" s="6"/>
      <c r="E108" s="2"/>
      <c r="F108" s="7">
        <f t="shared" si="90"/>
        <v>0</v>
      </c>
      <c r="G108" s="2"/>
      <c r="H108" s="6">
        <v>1579.39</v>
      </c>
      <c r="I108" s="2"/>
      <c r="J108" s="7">
        <f t="shared" si="91"/>
        <v>3.3511887002989882E-3</v>
      </c>
      <c r="K108" s="2"/>
      <c r="L108" s="6">
        <f t="shared" si="92"/>
        <v>-1579.39</v>
      </c>
      <c r="M108" s="2"/>
      <c r="N108" s="7">
        <f t="shared" si="93"/>
        <v>-1</v>
      </c>
      <c r="O108" s="10"/>
      <c r="P108" s="6">
        <v>19.829999999999998</v>
      </c>
      <c r="Q108" s="2"/>
      <c r="R108" s="7">
        <f t="shared" si="94"/>
        <v>5.1325996640593161E-5</v>
      </c>
      <c r="S108" s="2"/>
      <c r="T108" s="6">
        <v>45576.54</v>
      </c>
      <c r="U108" s="2"/>
      <c r="V108" s="7">
        <f t="shared" si="95"/>
        <v>6.5257776984742211E-3</v>
      </c>
      <c r="W108" s="2"/>
      <c r="X108" s="6">
        <f t="shared" si="96"/>
        <v>-45556.71</v>
      </c>
      <c r="Y108" s="2"/>
      <c r="Z108" s="7">
        <f t="shared" si="97"/>
        <v>-0.99956490773542706</v>
      </c>
    </row>
    <row r="109" spans="1:26" s="23" customFormat="1" hidden="1" outlineLevel="2" x14ac:dyDescent="0.25">
      <c r="A109" s="25"/>
      <c r="B109" s="10" t="str">
        <f>CONCATENATE("          ", "6241", " - ", "OFFICE EXPENSE")</f>
        <v xml:space="preserve">          6241 - OFFICE EXPENSE</v>
      </c>
      <c r="C109" s="10"/>
      <c r="D109" s="6"/>
      <c r="E109" s="2"/>
      <c r="F109" s="7">
        <f t="shared" si="90"/>
        <v>0</v>
      </c>
      <c r="G109" s="2"/>
      <c r="H109" s="6">
        <v>1302.72</v>
      </c>
      <c r="I109" s="2"/>
      <c r="J109" s="7">
        <f t="shared" si="91"/>
        <v>2.7641434627631543E-3</v>
      </c>
      <c r="K109" s="2"/>
      <c r="L109" s="6">
        <f t="shared" si="92"/>
        <v>-1302.72</v>
      </c>
      <c r="M109" s="2"/>
      <c r="N109" s="7">
        <f t="shared" si="93"/>
        <v>-1</v>
      </c>
      <c r="O109" s="10"/>
      <c r="P109" s="6">
        <v>-28852.560000000001</v>
      </c>
      <c r="Q109" s="2"/>
      <c r="R109" s="7">
        <f t="shared" si="94"/>
        <v>-7.4679092165028382E-2</v>
      </c>
      <c r="S109" s="2"/>
      <c r="T109" s="6">
        <v>19105.439999999999</v>
      </c>
      <c r="U109" s="2"/>
      <c r="V109" s="7">
        <f t="shared" si="95"/>
        <v>2.7355708500807065E-3</v>
      </c>
      <c r="W109" s="2"/>
      <c r="X109" s="6">
        <f t="shared" si="96"/>
        <v>-47958</v>
      </c>
      <c r="Y109" s="2"/>
      <c r="Z109" s="7">
        <f t="shared" si="97"/>
        <v>-2.5101751124287115</v>
      </c>
    </row>
    <row r="110" spans="1:26" s="23" customFormat="1" hidden="1" outlineLevel="2" x14ac:dyDescent="0.25">
      <c r="A110" s="25"/>
      <c r="B110" s="10" t="str">
        <f>CONCATENATE("          ", "6243", " - ", "PAPER SUPPLIES")</f>
        <v xml:space="preserve">          6243 - PAPER SUPPLIES</v>
      </c>
      <c r="C110" s="10"/>
      <c r="D110" s="6">
        <v>94.92</v>
      </c>
      <c r="E110" s="2"/>
      <c r="F110" s="7">
        <f t="shared" si="90"/>
        <v>1.6546663263897314E-3</v>
      </c>
      <c r="G110" s="2"/>
      <c r="H110" s="6">
        <v>1918.87</v>
      </c>
      <c r="I110" s="2"/>
      <c r="J110" s="7">
        <f t="shared" si="91"/>
        <v>4.071505746739386E-3</v>
      </c>
      <c r="K110" s="2"/>
      <c r="L110" s="6">
        <f t="shared" si="92"/>
        <v>-1823.9499999999998</v>
      </c>
      <c r="M110" s="2"/>
      <c r="N110" s="7">
        <f t="shared" si="93"/>
        <v>-0.95053338683704469</v>
      </c>
      <c r="O110" s="10"/>
      <c r="P110" s="6">
        <v>160.41</v>
      </c>
      <c r="Q110" s="2"/>
      <c r="R110" s="7">
        <f t="shared" si="94"/>
        <v>4.151892648067347E-4</v>
      </c>
      <c r="S110" s="2"/>
      <c r="T110" s="6">
        <v>34117.769999999997</v>
      </c>
      <c r="U110" s="2"/>
      <c r="V110" s="7">
        <f t="shared" si="95"/>
        <v>4.8850786520361752E-3</v>
      </c>
      <c r="W110" s="2"/>
      <c r="X110" s="6">
        <f t="shared" si="96"/>
        <v>-33957.359999999993</v>
      </c>
      <c r="Y110" s="2"/>
      <c r="Z110" s="7">
        <f t="shared" si="97"/>
        <v>-0.99529834452837906</v>
      </c>
    </row>
    <row r="111" spans="1:26" s="23" customFormat="1" hidden="1" outlineLevel="2" x14ac:dyDescent="0.25">
      <c r="A111" s="25"/>
      <c r="B111" s="10" t="str">
        <f>CONCATENATE("          ", "6245", " - ", "PRINTING")</f>
        <v xml:space="preserve">          6245 - PRINTING</v>
      </c>
      <c r="C111" s="10"/>
      <c r="D111" s="6"/>
      <c r="E111" s="2"/>
      <c r="F111" s="7">
        <f t="shared" si="90"/>
        <v>0</v>
      </c>
      <c r="G111" s="2"/>
      <c r="H111" s="6"/>
      <c r="I111" s="2"/>
      <c r="J111" s="7">
        <f t="shared" si="91"/>
        <v>0</v>
      </c>
      <c r="K111" s="2"/>
      <c r="L111" s="6">
        <f t="shared" si="92"/>
        <v>0</v>
      </c>
      <c r="M111" s="2"/>
      <c r="N111" s="7">
        <f t="shared" si="93"/>
        <v>0</v>
      </c>
      <c r="O111" s="10"/>
      <c r="P111" s="6"/>
      <c r="Q111" s="2"/>
      <c r="R111" s="7">
        <f t="shared" si="94"/>
        <v>0</v>
      </c>
      <c r="S111" s="2"/>
      <c r="T111" s="6">
        <v>613.02</v>
      </c>
      <c r="U111" s="2"/>
      <c r="V111" s="7">
        <f t="shared" si="95"/>
        <v>8.7773934676012411E-5</v>
      </c>
      <c r="W111" s="2"/>
      <c r="X111" s="6">
        <f t="shared" si="96"/>
        <v>-613.02</v>
      </c>
      <c r="Y111" s="2"/>
      <c r="Z111" s="7">
        <f t="shared" si="97"/>
        <v>-1</v>
      </c>
    </row>
    <row r="112" spans="1:26" s="23" customFormat="1" hidden="1" outlineLevel="2" x14ac:dyDescent="0.25">
      <c r="A112" s="25"/>
      <c r="B112" s="10" t="str">
        <f>CONCATENATE("          ", "6246", " - ", "REPLACEMENTS")</f>
        <v xml:space="preserve">          6246 - REPLACEMENTS</v>
      </c>
      <c r="C112" s="10"/>
      <c r="D112" s="6"/>
      <c r="E112" s="2"/>
      <c r="F112" s="7">
        <f t="shared" si="90"/>
        <v>0</v>
      </c>
      <c r="G112" s="2"/>
      <c r="H112" s="6"/>
      <c r="I112" s="2"/>
      <c r="J112" s="7">
        <f t="shared" si="91"/>
        <v>0</v>
      </c>
      <c r="K112" s="2"/>
      <c r="L112" s="6">
        <f t="shared" si="92"/>
        <v>0</v>
      </c>
      <c r="M112" s="2"/>
      <c r="N112" s="7">
        <f t="shared" si="93"/>
        <v>0</v>
      </c>
      <c r="O112" s="10"/>
      <c r="P112" s="6"/>
      <c r="Q112" s="2"/>
      <c r="R112" s="7">
        <f t="shared" si="94"/>
        <v>0</v>
      </c>
      <c r="S112" s="2"/>
      <c r="T112" s="6">
        <v>25.87</v>
      </c>
      <c r="U112" s="2"/>
      <c r="V112" s="7">
        <f t="shared" si="95"/>
        <v>3.7041396529777844E-6</v>
      </c>
      <c r="W112" s="2"/>
      <c r="X112" s="6">
        <f t="shared" si="96"/>
        <v>-25.87</v>
      </c>
      <c r="Y112" s="2"/>
      <c r="Z112" s="7">
        <f t="shared" si="97"/>
        <v>-1</v>
      </c>
    </row>
    <row r="113" spans="1:26" s="23" customFormat="1" hidden="1" outlineLevel="2" x14ac:dyDescent="0.25">
      <c r="A113" s="25"/>
      <c r="B113" s="10" t="str">
        <f>CONCATENATE("          ", "6247", " - ", "STORE SUPPLIES")</f>
        <v xml:space="preserve">          6247 - STORE SUPPLIES</v>
      </c>
      <c r="C113" s="10"/>
      <c r="D113" s="6"/>
      <c r="E113" s="2"/>
      <c r="F113" s="7">
        <f t="shared" si="90"/>
        <v>0</v>
      </c>
      <c r="G113" s="2"/>
      <c r="H113" s="6">
        <v>1170.82</v>
      </c>
      <c r="I113" s="2"/>
      <c r="J113" s="7">
        <f t="shared" si="91"/>
        <v>2.4842747858882614E-3</v>
      </c>
      <c r="K113" s="2"/>
      <c r="L113" s="6">
        <f t="shared" si="92"/>
        <v>-1170.82</v>
      </c>
      <c r="M113" s="2"/>
      <c r="N113" s="7">
        <f t="shared" si="93"/>
        <v>-1</v>
      </c>
      <c r="O113" s="10"/>
      <c r="P113" s="6">
        <v>121.28</v>
      </c>
      <c r="Q113" s="2"/>
      <c r="R113" s="7">
        <f t="shared" si="94"/>
        <v>3.139090707297599E-4</v>
      </c>
      <c r="S113" s="2"/>
      <c r="T113" s="6">
        <v>42924.19</v>
      </c>
      <c r="U113" s="2"/>
      <c r="V113" s="7">
        <f t="shared" si="95"/>
        <v>6.1460067356379003E-3</v>
      </c>
      <c r="W113" s="2"/>
      <c r="X113" s="6">
        <f t="shared" si="96"/>
        <v>-42802.91</v>
      </c>
      <c r="Y113" s="2"/>
      <c r="Z113" s="7">
        <f t="shared" si="97"/>
        <v>-0.99717455355593199</v>
      </c>
    </row>
    <row r="114" spans="1:26" s="23" customFormat="1" hidden="1" outlineLevel="2" x14ac:dyDescent="0.25">
      <c r="A114" s="25"/>
      <c r="B114" s="10" t="str">
        <f>CONCATENATE("          ", "6248", " - ", "UNIFORMS")</f>
        <v xml:space="preserve">          6248 - UNIFORMS</v>
      </c>
      <c r="C114" s="10"/>
      <c r="D114" s="6"/>
      <c r="E114" s="2"/>
      <c r="F114" s="7">
        <f t="shared" si="90"/>
        <v>0</v>
      </c>
      <c r="G114" s="2"/>
      <c r="H114" s="6">
        <v>536.23</v>
      </c>
      <c r="I114" s="2"/>
      <c r="J114" s="7">
        <f t="shared" si="91"/>
        <v>1.1377860545915364E-3</v>
      </c>
      <c r="K114" s="2"/>
      <c r="L114" s="6">
        <f t="shared" si="92"/>
        <v>-536.23</v>
      </c>
      <c r="M114" s="2"/>
      <c r="N114" s="7">
        <f t="shared" si="93"/>
        <v>-1</v>
      </c>
      <c r="O114" s="10"/>
      <c r="P114" s="6"/>
      <c r="Q114" s="2"/>
      <c r="R114" s="7">
        <f t="shared" si="94"/>
        <v>0</v>
      </c>
      <c r="S114" s="2"/>
      <c r="T114" s="6">
        <v>4877</v>
      </c>
      <c r="U114" s="2"/>
      <c r="V114" s="7">
        <f t="shared" si="95"/>
        <v>6.9830263191235614E-4</v>
      </c>
      <c r="W114" s="2"/>
      <c r="X114" s="6">
        <f t="shared" si="96"/>
        <v>-4877</v>
      </c>
      <c r="Y114" s="2"/>
      <c r="Z114" s="7">
        <f t="shared" si="97"/>
        <v>-1</v>
      </c>
    </row>
    <row r="115" spans="1:26" s="26" customFormat="1" outlineLevel="1" collapsed="1" x14ac:dyDescent="0.25">
      <c r="A115" s="27"/>
      <c r="B115" s="12" t="str">
        <f>CONCATENATE("     ","Telephone/Data Lines                              ")</f>
        <v xml:space="preserve">     Telephone/Data Lines                              </v>
      </c>
      <c r="C115" s="12"/>
      <c r="D115" s="1">
        <f>SUM(OSRRefD22_21x_0)</f>
        <v>581.45000000000005</v>
      </c>
      <c r="E115" s="1"/>
      <c r="F115" s="5">
        <f t="shared" ref="F115:F122" si="98">IF(D$12=0,0,D115/D$12)</f>
        <v>1.0135964343439838E-2</v>
      </c>
      <c r="G115" s="1"/>
      <c r="H115" s="1">
        <f>SUM(OSRRefH22_21x_0)</f>
        <v>2802.89</v>
      </c>
      <c r="I115" s="1"/>
      <c r="J115" s="5">
        <f t="shared" ref="J115:J122" si="99">IF(H$12=0,0,H115/H$12)</f>
        <v>5.9472412109618468E-3</v>
      </c>
      <c r="K115" s="1"/>
      <c r="L115" s="1">
        <f t="shared" ref="L115:L122" si="100">+D115-H115</f>
        <v>-2221.4399999999996</v>
      </c>
      <c r="M115" s="1"/>
      <c r="N115" s="5">
        <f t="shared" ref="N115:N122" si="101">IF(H115=0,0,L115/H115)</f>
        <v>-0.79255340024046594</v>
      </c>
      <c r="O115" s="12"/>
      <c r="P115" s="1">
        <f>SUM(OSRRefP22_21x_0)</f>
        <v>8790.2999999999993</v>
      </c>
      <c r="Q115" s="1"/>
      <c r="R115" s="5">
        <f t="shared" ref="R115:R122" si="102">IF(P$12=0,0,P115/P$12)</f>
        <v>2.275193687694433E-2</v>
      </c>
      <c r="S115" s="1"/>
      <c r="T115" s="1">
        <f>SUM(OSRRefT22_21x_0)</f>
        <v>20659.55</v>
      </c>
      <c r="U115" s="1"/>
      <c r="V115" s="5">
        <f t="shared" ref="V115:V122" si="103">IF(T$12=0,0,T115/T$12)</f>
        <v>2.9580927084529255E-3</v>
      </c>
      <c r="W115" s="1"/>
      <c r="X115" s="1">
        <f t="shared" ref="X115:X122" si="104">+P115-T115</f>
        <v>-11869.25</v>
      </c>
      <c r="Y115" s="1"/>
      <c r="Z115" s="5">
        <f t="shared" ref="Z115:Z122" si="105">IF(T115=0,0,X115/T115)</f>
        <v>-0.57451638588449416</v>
      </c>
    </row>
    <row r="116" spans="1:26" s="23" customFormat="1" hidden="1" outlineLevel="2" x14ac:dyDescent="0.25">
      <c r="A116" s="25"/>
      <c r="B116" s="10" t="str">
        <f>CONCATENATE("          ", "6309", " - ", "TELEPHONE")</f>
        <v xml:space="preserve">          6309 - TELEPHONE</v>
      </c>
      <c r="C116" s="10"/>
      <c r="D116" s="6">
        <v>581.45000000000005</v>
      </c>
      <c r="E116" s="2"/>
      <c r="F116" s="7">
        <f t="shared" si="98"/>
        <v>1.0135964343439838E-2</v>
      </c>
      <c r="G116" s="2"/>
      <c r="H116" s="6">
        <v>2802.89</v>
      </c>
      <c r="I116" s="2"/>
      <c r="J116" s="7">
        <f t="shared" si="99"/>
        <v>5.9472412109618468E-3</v>
      </c>
      <c r="K116" s="2"/>
      <c r="L116" s="6">
        <f t="shared" si="100"/>
        <v>-2221.4399999999996</v>
      </c>
      <c r="M116" s="2"/>
      <c r="N116" s="7">
        <f t="shared" si="101"/>
        <v>-0.79255340024046594</v>
      </c>
      <c r="O116" s="10"/>
      <c r="P116" s="6">
        <v>8790.2999999999993</v>
      </c>
      <c r="Q116" s="2"/>
      <c r="R116" s="7">
        <f t="shared" si="102"/>
        <v>2.275193687694433E-2</v>
      </c>
      <c r="S116" s="2"/>
      <c r="T116" s="6">
        <v>20659.55</v>
      </c>
      <c r="U116" s="2"/>
      <c r="V116" s="7">
        <f t="shared" si="103"/>
        <v>2.9580927084529255E-3</v>
      </c>
      <c r="W116" s="2"/>
      <c r="X116" s="6">
        <f t="shared" si="104"/>
        <v>-11869.25</v>
      </c>
      <c r="Y116" s="2"/>
      <c r="Z116" s="7">
        <f t="shared" si="105"/>
        <v>-0.57451638588449416</v>
      </c>
    </row>
    <row r="117" spans="1:26" s="26" customFormat="1" outlineLevel="1" collapsed="1" x14ac:dyDescent="0.25">
      <c r="A117" s="27"/>
      <c r="B117" s="12" t="str">
        <f>CONCATENATE("     ","Training                                          ")</f>
        <v xml:space="preserve">     Training                                          </v>
      </c>
      <c r="C117" s="12"/>
      <c r="D117" s="1">
        <f>SUM(OSRRefD22_22x_0)</f>
        <v>0</v>
      </c>
      <c r="E117" s="1"/>
      <c r="F117" s="5">
        <f t="shared" si="98"/>
        <v>0</v>
      </c>
      <c r="G117" s="1"/>
      <c r="H117" s="1">
        <f>SUM(OSRRefH22_22x_0)</f>
        <v>100</v>
      </c>
      <c r="I117" s="1"/>
      <c r="J117" s="5">
        <f t="shared" si="99"/>
        <v>2.1218246920007018E-4</v>
      </c>
      <c r="K117" s="1"/>
      <c r="L117" s="1">
        <f t="shared" si="100"/>
        <v>-100</v>
      </c>
      <c r="M117" s="1"/>
      <c r="N117" s="5">
        <f t="shared" si="101"/>
        <v>-1</v>
      </c>
      <c r="O117" s="12"/>
      <c r="P117" s="1">
        <f>SUM(OSRRefP22_22x_0)</f>
        <v>400</v>
      </c>
      <c r="Q117" s="1"/>
      <c r="R117" s="5">
        <f t="shared" si="102"/>
        <v>1.0353201541218994E-3</v>
      </c>
      <c r="S117" s="1"/>
      <c r="T117" s="1">
        <f>SUM(OSRRefT22_22x_0)</f>
        <v>2113.0100000000002</v>
      </c>
      <c r="U117" s="1"/>
      <c r="V117" s="5">
        <f t="shared" si="103"/>
        <v>3.0254673862151481E-4</v>
      </c>
      <c r="W117" s="1"/>
      <c r="X117" s="1">
        <f t="shared" si="104"/>
        <v>-1713.0100000000002</v>
      </c>
      <c r="Y117" s="1"/>
      <c r="Z117" s="5">
        <f t="shared" si="105"/>
        <v>-0.81069658922579635</v>
      </c>
    </row>
    <row r="118" spans="1:26" s="23" customFormat="1" hidden="1" outlineLevel="2" x14ac:dyDescent="0.25">
      <c r="A118" s="25"/>
      <c r="B118" s="10" t="str">
        <f>CONCATENATE("          ", "6376", " - ", "TRAINING")</f>
        <v xml:space="preserve">          6376 - TRAINING</v>
      </c>
      <c r="C118" s="10"/>
      <c r="D118" s="6"/>
      <c r="E118" s="2"/>
      <c r="F118" s="7">
        <f t="shared" si="98"/>
        <v>0</v>
      </c>
      <c r="G118" s="2"/>
      <c r="H118" s="6">
        <v>100</v>
      </c>
      <c r="I118" s="2"/>
      <c r="J118" s="7">
        <f t="shared" si="99"/>
        <v>2.1218246920007018E-4</v>
      </c>
      <c r="K118" s="2"/>
      <c r="L118" s="6">
        <f t="shared" si="100"/>
        <v>-100</v>
      </c>
      <c r="M118" s="2"/>
      <c r="N118" s="7">
        <f t="shared" si="101"/>
        <v>-1</v>
      </c>
      <c r="O118" s="10"/>
      <c r="P118" s="6">
        <v>400</v>
      </c>
      <c r="Q118" s="2"/>
      <c r="R118" s="7">
        <f t="shared" si="102"/>
        <v>1.0353201541218994E-3</v>
      </c>
      <c r="S118" s="2"/>
      <c r="T118" s="6">
        <v>2113.0100000000002</v>
      </c>
      <c r="U118" s="2"/>
      <c r="V118" s="7">
        <f t="shared" si="103"/>
        <v>3.0254673862151481E-4</v>
      </c>
      <c r="W118" s="2"/>
      <c r="X118" s="6">
        <f t="shared" si="104"/>
        <v>-1713.0100000000002</v>
      </c>
      <c r="Y118" s="2"/>
      <c r="Z118" s="7">
        <f t="shared" si="105"/>
        <v>-0.81069658922579635</v>
      </c>
    </row>
    <row r="119" spans="1:26" s="26" customFormat="1" outlineLevel="1" collapsed="1" x14ac:dyDescent="0.25">
      <c r="A119" s="27"/>
      <c r="B119" s="12" t="str">
        <f>CONCATENATE("     ","Travel                                            ")</f>
        <v xml:space="preserve">     Travel                                            </v>
      </c>
      <c r="C119" s="12"/>
      <c r="D119" s="1">
        <f>SUM(OSRRefD22_23x_0)</f>
        <v>0</v>
      </c>
      <c r="E119" s="1"/>
      <c r="F119" s="5">
        <f t="shared" si="98"/>
        <v>0</v>
      </c>
      <c r="G119" s="1"/>
      <c r="H119" s="1">
        <f>SUM(OSRRefH22_23x_0)</f>
        <v>1389.05</v>
      </c>
      <c r="I119" s="1"/>
      <c r="J119" s="5">
        <f t="shared" si="99"/>
        <v>2.9473205884235744E-3</v>
      </c>
      <c r="K119" s="1"/>
      <c r="L119" s="1">
        <f t="shared" si="100"/>
        <v>-1389.05</v>
      </c>
      <c r="M119" s="1"/>
      <c r="N119" s="5">
        <f t="shared" si="101"/>
        <v>-1</v>
      </c>
      <c r="O119" s="12"/>
      <c r="P119" s="1">
        <f>SUM(OSRRefP22_23x_0)</f>
        <v>332.21</v>
      </c>
      <c r="Q119" s="1"/>
      <c r="R119" s="5">
        <f t="shared" si="102"/>
        <v>8.5985927100209049E-4</v>
      </c>
      <c r="S119" s="1"/>
      <c r="T119" s="1">
        <f>SUM(OSRRefT22_23x_0)</f>
        <v>4603.8899999999994</v>
      </c>
      <c r="U119" s="1"/>
      <c r="V119" s="5">
        <f t="shared" si="103"/>
        <v>6.5919797089091176E-4</v>
      </c>
      <c r="W119" s="1"/>
      <c r="X119" s="1">
        <f t="shared" si="104"/>
        <v>-4271.6799999999994</v>
      </c>
      <c r="Y119" s="1"/>
      <c r="Z119" s="5">
        <f t="shared" si="105"/>
        <v>-0.92784145581236732</v>
      </c>
    </row>
    <row r="120" spans="1:26" s="23" customFormat="1" hidden="1" outlineLevel="2" x14ac:dyDescent="0.25">
      <c r="A120" s="25"/>
      <c r="B120" s="10" t="str">
        <f>CONCATENATE("          ", "6292", " - ", "TRAVEL/CONFERENCE")</f>
        <v xml:space="preserve">          6292 - TRAVEL/CONFERENCE</v>
      </c>
      <c r="C120" s="10"/>
      <c r="D120" s="6"/>
      <c r="E120" s="2"/>
      <c r="F120" s="7">
        <f t="shared" si="98"/>
        <v>0</v>
      </c>
      <c r="G120" s="2"/>
      <c r="H120" s="6">
        <v>1212.73</v>
      </c>
      <c r="I120" s="2"/>
      <c r="J120" s="7">
        <f t="shared" si="99"/>
        <v>2.5732004587300109E-3</v>
      </c>
      <c r="K120" s="2"/>
      <c r="L120" s="6">
        <f t="shared" si="100"/>
        <v>-1212.73</v>
      </c>
      <c r="M120" s="2"/>
      <c r="N120" s="7">
        <f t="shared" si="101"/>
        <v>-1</v>
      </c>
      <c r="O120" s="10"/>
      <c r="P120" s="6"/>
      <c r="Q120" s="2"/>
      <c r="R120" s="7">
        <f t="shared" si="102"/>
        <v>0</v>
      </c>
      <c r="S120" s="2"/>
      <c r="T120" s="6">
        <v>3448.6</v>
      </c>
      <c r="U120" s="2"/>
      <c r="V120" s="7">
        <f t="shared" si="103"/>
        <v>4.937802863262151E-4</v>
      </c>
      <c r="W120" s="2"/>
      <c r="X120" s="6">
        <f t="shared" si="104"/>
        <v>-3448.6</v>
      </c>
      <c r="Y120" s="2"/>
      <c r="Z120" s="7">
        <f t="shared" si="105"/>
        <v>-1</v>
      </c>
    </row>
    <row r="121" spans="1:26" s="23" customFormat="1" hidden="1" outlineLevel="2" x14ac:dyDescent="0.25">
      <c r="A121" s="25"/>
      <c r="B121" s="10" t="str">
        <f>CONCATENATE("          ", "6294", " - ", "TRAVEL OPERATIONAL")</f>
        <v xml:space="preserve">          6294 - TRAVEL OPERATIONAL</v>
      </c>
      <c r="C121" s="10"/>
      <c r="D121" s="6"/>
      <c r="E121" s="2"/>
      <c r="F121" s="7">
        <f t="shared" si="98"/>
        <v>0</v>
      </c>
      <c r="G121" s="2"/>
      <c r="H121" s="6">
        <v>11.5</v>
      </c>
      <c r="I121" s="2"/>
      <c r="J121" s="7">
        <f t="shared" si="99"/>
        <v>2.4400983958008069E-5</v>
      </c>
      <c r="K121" s="2"/>
      <c r="L121" s="6">
        <f t="shared" si="100"/>
        <v>-11.5</v>
      </c>
      <c r="M121" s="2"/>
      <c r="N121" s="7">
        <f t="shared" si="101"/>
        <v>-1</v>
      </c>
      <c r="O121" s="10"/>
      <c r="P121" s="6"/>
      <c r="Q121" s="2"/>
      <c r="R121" s="7">
        <f t="shared" si="102"/>
        <v>0</v>
      </c>
      <c r="S121" s="2"/>
      <c r="T121" s="6">
        <v>56.99</v>
      </c>
      <c r="U121" s="2"/>
      <c r="V121" s="7">
        <f t="shared" si="103"/>
        <v>8.1599891311636615E-6</v>
      </c>
      <c r="W121" s="2"/>
      <c r="X121" s="6">
        <f t="shared" si="104"/>
        <v>-56.99</v>
      </c>
      <c r="Y121" s="2"/>
      <c r="Z121" s="7">
        <f t="shared" si="105"/>
        <v>-1</v>
      </c>
    </row>
    <row r="122" spans="1:26" s="23" customFormat="1" hidden="1" outlineLevel="2" x14ac:dyDescent="0.25">
      <c r="A122" s="25"/>
      <c r="B122" s="10" t="str">
        <f>CONCATENATE("          ", "6298", " - ", "VEHICLE MILEAGE")</f>
        <v xml:space="preserve">          6298 - VEHICLE MILEAGE</v>
      </c>
      <c r="C122" s="10"/>
      <c r="D122" s="6"/>
      <c r="E122" s="2"/>
      <c r="F122" s="7">
        <f t="shared" si="98"/>
        <v>0</v>
      </c>
      <c r="G122" s="2"/>
      <c r="H122" s="6">
        <v>164.82</v>
      </c>
      <c r="I122" s="2"/>
      <c r="J122" s="7">
        <f t="shared" si="99"/>
        <v>3.4971914573555564E-4</v>
      </c>
      <c r="K122" s="2"/>
      <c r="L122" s="6">
        <f t="shared" si="100"/>
        <v>-164.82</v>
      </c>
      <c r="M122" s="2"/>
      <c r="N122" s="7">
        <f t="shared" si="101"/>
        <v>-1</v>
      </c>
      <c r="O122" s="10"/>
      <c r="P122" s="6">
        <v>332.21</v>
      </c>
      <c r="Q122" s="2"/>
      <c r="R122" s="7">
        <f t="shared" si="102"/>
        <v>8.5985927100209049E-4</v>
      </c>
      <c r="S122" s="2"/>
      <c r="T122" s="6">
        <v>1098.3</v>
      </c>
      <c r="U122" s="2"/>
      <c r="V122" s="7">
        <f t="shared" si="103"/>
        <v>1.5725769543353306E-4</v>
      </c>
      <c r="W122" s="2"/>
      <c r="X122" s="6">
        <f t="shared" si="104"/>
        <v>-766.08999999999992</v>
      </c>
      <c r="Y122" s="2"/>
      <c r="Z122" s="7">
        <f t="shared" si="105"/>
        <v>-0.69752344532459254</v>
      </c>
    </row>
    <row r="123" spans="1:26" s="26" customFormat="1" outlineLevel="1" collapsed="1" x14ac:dyDescent="0.25">
      <c r="A123" s="27"/>
      <c r="B123" s="12" t="str">
        <f>CONCATENATE("     ","Utilities                                         ")</f>
        <v xml:space="preserve">     Utilities                                         </v>
      </c>
      <c r="C123" s="12"/>
      <c r="D123" s="1">
        <f>SUM(OSRRefD22_24x_0)</f>
        <v>-10954</v>
      </c>
      <c r="E123" s="1"/>
      <c r="F123" s="5">
        <f t="shared" ref="F123:F124" si="106">IF(D$12=0,0,D123/D$12)</f>
        <v>-0.19095253834042475</v>
      </c>
      <c r="G123" s="1"/>
      <c r="H123" s="1">
        <f>SUM(OSRRefH22_24x_0)</f>
        <v>16705</v>
      </c>
      <c r="I123" s="1"/>
      <c r="J123" s="5">
        <f t="shared" ref="J123:J124" si="107">IF(H$12=0,0,H123/H$12)</f>
        <v>3.5445081479871722E-2</v>
      </c>
      <c r="K123" s="1"/>
      <c r="L123" s="1">
        <f t="shared" ref="L123:L124" si="108">+D123-H123</f>
        <v>-27659</v>
      </c>
      <c r="M123" s="1"/>
      <c r="N123" s="5">
        <f t="shared" ref="N123:N124" si="109">IF(H123=0,0,L123/H123)</f>
        <v>-1.6557318168213109</v>
      </c>
      <c r="O123" s="12"/>
      <c r="P123" s="1">
        <f>SUM(OSRRefP22_24x_0)</f>
        <v>3188</v>
      </c>
      <c r="Q123" s="1"/>
      <c r="R123" s="5">
        <f t="shared" ref="R123:R124" si="110">IF(P$12=0,0,P123/P$12)</f>
        <v>8.2515016283515388E-3</v>
      </c>
      <c r="S123" s="1"/>
      <c r="T123" s="1">
        <f>SUM(OSRRefT22_24x_0)</f>
        <v>152439.12</v>
      </c>
      <c r="U123" s="1"/>
      <c r="V123" s="5">
        <f t="shared" ref="V123:V124" si="111">IF(T$12=0,0,T123/T$12)</f>
        <v>2.182666366668105E-2</v>
      </c>
      <c r="W123" s="1"/>
      <c r="X123" s="1">
        <f t="shared" ref="X123:X124" si="112">+P123-T123</f>
        <v>-149251.12</v>
      </c>
      <c r="Y123" s="1"/>
      <c r="Z123" s="5">
        <f t="shared" ref="Z123:Z124" si="113">IF(T123=0,0,X123/T123)</f>
        <v>-0.97908673311680094</v>
      </c>
    </row>
    <row r="124" spans="1:26" s="23" customFormat="1" hidden="1" outlineLevel="2" x14ac:dyDescent="0.25">
      <c r="A124" s="25"/>
      <c r="B124" s="10" t="str">
        <f>CONCATENATE("          ", "6274", " - ", "UTILITIES")</f>
        <v xml:space="preserve">          6274 - UTILITIES</v>
      </c>
      <c r="C124" s="10"/>
      <c r="D124" s="6">
        <v>-10954</v>
      </c>
      <c r="E124" s="2"/>
      <c r="F124" s="7">
        <f t="shared" si="106"/>
        <v>-0.19095253834042475</v>
      </c>
      <c r="G124" s="2"/>
      <c r="H124" s="6">
        <v>16705</v>
      </c>
      <c r="I124" s="2"/>
      <c r="J124" s="7">
        <f t="shared" si="107"/>
        <v>3.5445081479871722E-2</v>
      </c>
      <c r="K124" s="2"/>
      <c r="L124" s="6">
        <f t="shared" si="108"/>
        <v>-27659</v>
      </c>
      <c r="M124" s="2"/>
      <c r="N124" s="7">
        <f t="shared" si="109"/>
        <v>-1.6557318168213109</v>
      </c>
      <c r="O124" s="10"/>
      <c r="P124" s="6">
        <v>3188</v>
      </c>
      <c r="Q124" s="2"/>
      <c r="R124" s="7">
        <f t="shared" si="110"/>
        <v>8.2515016283515388E-3</v>
      </c>
      <c r="S124" s="2"/>
      <c r="T124" s="6">
        <v>152439.12</v>
      </c>
      <c r="U124" s="2"/>
      <c r="V124" s="7">
        <f t="shared" si="111"/>
        <v>2.182666366668105E-2</v>
      </c>
      <c r="W124" s="2"/>
      <c r="X124" s="6">
        <f t="shared" si="112"/>
        <v>-149251.12</v>
      </c>
      <c r="Y124" s="2"/>
      <c r="Z124" s="7">
        <f t="shared" si="113"/>
        <v>-0.97908673311680094</v>
      </c>
    </row>
    <row r="125" spans="1:26" s="60" customFormat="1" x14ac:dyDescent="0.25">
      <c r="A125" s="37"/>
      <c r="B125" s="37"/>
      <c r="C125" s="37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7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4" customFormat="1" collapsed="1" x14ac:dyDescent="0.25">
      <c r="A126" s="11"/>
      <c r="B126" s="28" t="s">
        <v>292</v>
      </c>
      <c r="C126" s="11"/>
      <c r="D126" s="4">
        <f>SUM(OSRRefD25x_0)</f>
        <v>3116.44</v>
      </c>
      <c r="E126" s="4"/>
      <c r="F126" s="13">
        <f t="shared" ref="F126:F129" si="114">IF(D$12=0,0,D126/D$12)</f>
        <v>5.4326467827791977E-2</v>
      </c>
      <c r="G126" s="4"/>
      <c r="H126" s="4">
        <f>SUM(OSRRefH25x_0)</f>
        <v>49428.82</v>
      </c>
      <c r="I126" s="4"/>
      <c r="J126" s="13">
        <f t="shared" ref="J126:J129" si="115">IF(H$12=0,0,H126/H$12)</f>
        <v>0.10487929077245813</v>
      </c>
      <c r="K126" s="4"/>
      <c r="L126" s="4">
        <f t="shared" ref="L126:L129" si="116">+D126-H126</f>
        <v>-46312.38</v>
      </c>
      <c r="M126" s="4"/>
      <c r="N126" s="13">
        <f t="shared" ref="N126:N129" si="117">IF(H126=0,0,L126/H126)</f>
        <v>-0.93695095290561248</v>
      </c>
      <c r="O126" s="11"/>
      <c r="P126" s="4">
        <f>SUM(OSRRefP25x_0)</f>
        <v>20865.659999999996</v>
      </c>
      <c r="Q126" s="4"/>
      <c r="R126" s="13">
        <f t="shared" ref="R126:R129" si="118">IF(P$12=0,0,P126/P$12)</f>
        <v>5.4006595817637872E-2</v>
      </c>
      <c r="S126" s="4"/>
      <c r="T126" s="4">
        <f>SUM(OSRRefT25x_0)</f>
        <v>656215.76</v>
      </c>
      <c r="U126" s="4"/>
      <c r="V126" s="13">
        <f t="shared" ref="V126:V129" si="119">IF(T$12=0,0,T126/T$12)</f>
        <v>9.3958825571123034E-2</v>
      </c>
      <c r="W126" s="4"/>
      <c r="X126" s="4">
        <f t="shared" ref="X126:X129" si="120">+P126-T126</f>
        <v>-635350.1</v>
      </c>
      <c r="Y126" s="4"/>
      <c r="Z126" s="13">
        <f t="shared" ref="Z126:Z129" si="121">IF(T126=0,0,X126/T126)</f>
        <v>-0.96820304955796854</v>
      </c>
    </row>
    <row r="127" spans="1:26" s="23" customFormat="1" hidden="1" outlineLevel="1" x14ac:dyDescent="0.25">
      <c r="A127" s="44"/>
      <c r="B127" s="10" t="str">
        <f>CONCATENATE("          ", "9150", " - ", "MISC. INCOME")</f>
        <v xml:space="preserve">          9150 - MISC. INCOME</v>
      </c>
      <c r="C127" s="10"/>
      <c r="D127" s="2">
        <f>--3116.44</f>
        <v>3116.44</v>
      </c>
      <c r="E127" s="2"/>
      <c r="F127" s="19">
        <f t="shared" si="114"/>
        <v>5.4326467827791977E-2</v>
      </c>
      <c r="G127" s="2"/>
      <c r="H127" s="2">
        <f>--45376.64</f>
        <v>45376.639999999999</v>
      </c>
      <c r="I127" s="2"/>
      <c r="J127" s="19">
        <f t="shared" si="115"/>
        <v>9.6281275192026713E-2</v>
      </c>
      <c r="K127" s="2"/>
      <c r="L127" s="2">
        <f t="shared" si="116"/>
        <v>-42260.2</v>
      </c>
      <c r="M127" s="2"/>
      <c r="N127" s="19">
        <f t="shared" si="117"/>
        <v>-0.93132060901820846</v>
      </c>
      <c r="O127" s="10"/>
      <c r="P127" s="2">
        <f>--4844.49</f>
        <v>4844.49</v>
      </c>
      <c r="Q127" s="2"/>
      <c r="R127" s="19">
        <f t="shared" si="118"/>
        <v>1.2538995333605002E-2</v>
      </c>
      <c r="S127" s="2"/>
      <c r="T127" s="2">
        <f>--293259.16</f>
        <v>293259.15999999997</v>
      </c>
      <c r="U127" s="2"/>
      <c r="V127" s="19">
        <f t="shared" si="119"/>
        <v>4.1989674648432791E-2</v>
      </c>
      <c r="W127" s="2"/>
      <c r="X127" s="2">
        <f t="shared" si="120"/>
        <v>-288414.67</v>
      </c>
      <c r="Y127" s="2"/>
      <c r="Z127" s="19">
        <f t="shared" si="121"/>
        <v>-0.9834805160050244</v>
      </c>
    </row>
    <row r="128" spans="1:26" s="23" customFormat="1" hidden="1" outlineLevel="1" x14ac:dyDescent="0.25">
      <c r="A128" s="44"/>
      <c r="B128" s="10" t="str">
        <f>CONCATENATE("          ", "9160", " - ", "MISC. INCOME")</f>
        <v xml:space="preserve">          9160 - MISC. INCOME</v>
      </c>
      <c r="C128" s="10"/>
      <c r="D128" s="2">
        <f t="shared" ref="D128:D129" si="122">0</f>
        <v>0</v>
      </c>
      <c r="E128" s="2"/>
      <c r="F128" s="19">
        <f t="shared" si="114"/>
        <v>0</v>
      </c>
      <c r="G128" s="2"/>
      <c r="H128" s="2">
        <f>0</f>
        <v>0</v>
      </c>
      <c r="I128" s="2"/>
      <c r="J128" s="19">
        <f t="shared" si="115"/>
        <v>0</v>
      </c>
      <c r="K128" s="2"/>
      <c r="L128" s="2">
        <f t="shared" si="116"/>
        <v>0</v>
      </c>
      <c r="M128" s="2"/>
      <c r="N128" s="19">
        <f t="shared" si="117"/>
        <v>0</v>
      </c>
      <c r="O128" s="10"/>
      <c r="P128" s="2">
        <f>--12882.96</f>
        <v>12882.96</v>
      </c>
      <c r="Q128" s="2"/>
      <c r="R128" s="19">
        <f t="shared" si="118"/>
        <v>3.3344970331865662E-2</v>
      </c>
      <c r="S128" s="2"/>
      <c r="T128" s="2">
        <f>--130089.32</f>
        <v>130089.32</v>
      </c>
      <c r="U128" s="2"/>
      <c r="V128" s="19">
        <f t="shared" si="119"/>
        <v>1.8626556190217084E-2</v>
      </c>
      <c r="W128" s="2"/>
      <c r="X128" s="2">
        <f t="shared" si="120"/>
        <v>-117206.36000000002</v>
      </c>
      <c r="Y128" s="2"/>
      <c r="Z128" s="19">
        <f t="shared" si="121"/>
        <v>-0.90096835005364018</v>
      </c>
    </row>
    <row r="129" spans="1:26" s="23" customFormat="1" hidden="1" outlineLevel="1" x14ac:dyDescent="0.25">
      <c r="A129" s="44"/>
      <c r="B129" s="10" t="str">
        <f>CONCATENATE("          ", "9165", " - ", "OTHER INCOME")</f>
        <v xml:space="preserve">          9165 - OTHER INCOME</v>
      </c>
      <c r="C129" s="10"/>
      <c r="D129" s="2">
        <f t="shared" si="122"/>
        <v>0</v>
      </c>
      <c r="E129" s="2"/>
      <c r="F129" s="19">
        <f t="shared" si="114"/>
        <v>0</v>
      </c>
      <c r="G129" s="2"/>
      <c r="H129" s="2">
        <f>--4052.18</f>
        <v>4052.18</v>
      </c>
      <c r="I129" s="2"/>
      <c r="J129" s="19">
        <f t="shared" si="115"/>
        <v>8.5980155804314031E-3</v>
      </c>
      <c r="K129" s="2"/>
      <c r="L129" s="2">
        <f t="shared" si="116"/>
        <v>-4052.18</v>
      </c>
      <c r="M129" s="2"/>
      <c r="N129" s="19">
        <f t="shared" si="117"/>
        <v>-1</v>
      </c>
      <c r="O129" s="10"/>
      <c r="P129" s="2">
        <f>--3138.21</f>
        <v>3138.21</v>
      </c>
      <c r="Q129" s="2"/>
      <c r="R129" s="19">
        <f t="shared" si="118"/>
        <v>8.1226301521672151E-3</v>
      </c>
      <c r="S129" s="2"/>
      <c r="T129" s="2">
        <f>--232867.28</f>
        <v>232867.28</v>
      </c>
      <c r="U129" s="2"/>
      <c r="V129" s="19">
        <f t="shared" si="119"/>
        <v>3.3342594732473155E-2</v>
      </c>
      <c r="W129" s="2"/>
      <c r="X129" s="2">
        <f t="shared" si="120"/>
        <v>-229729.07</v>
      </c>
      <c r="Y129" s="2"/>
      <c r="Z129" s="19">
        <f t="shared" si="121"/>
        <v>-0.9865236112175142</v>
      </c>
    </row>
    <row r="130" spans="1:26" x14ac:dyDescent="0.25">
      <c r="A130" s="9"/>
      <c r="B130" s="11"/>
      <c r="C130" s="11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1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x14ac:dyDescent="0.25">
      <c r="A131" s="11"/>
      <c r="B131" s="29" t="s">
        <v>276</v>
      </c>
      <c r="C131" s="29"/>
      <c r="D131" s="22">
        <f>+D34-D36+D126</f>
        <v>-45704.900000000016</v>
      </c>
      <c r="E131" s="14"/>
      <c r="F131" s="20">
        <f>IF(D$12=0,0,D131/D$12)</f>
        <v>-0.79673787379909466</v>
      </c>
      <c r="G131" s="14"/>
      <c r="H131" s="22">
        <f>+H34-H36+H126</f>
        <v>-292876.93999999989</v>
      </c>
      <c r="I131" s="14"/>
      <c r="J131" s="20">
        <f>IF(H$12=0,0,H131/H$12)</f>
        <v>-0.62143352300960775</v>
      </c>
      <c r="K131" s="15"/>
      <c r="L131" s="22">
        <f>+D131-H131</f>
        <v>247172.03999999986</v>
      </c>
      <c r="M131" s="15"/>
      <c r="N131" s="20">
        <f>IF(H131=0,0,L131/H131)</f>
        <v>-0.84394503712036861</v>
      </c>
      <c r="O131" s="28"/>
      <c r="P131" s="22">
        <f>+P34-P36+P126</f>
        <v>-840559.66999999993</v>
      </c>
      <c r="Q131" s="14"/>
      <c r="R131" s="20">
        <f>IF(P$12=0,0,P131/P$12)</f>
        <v>-2.175620917732632</v>
      </c>
      <c r="S131" s="14"/>
      <c r="T131" s="22">
        <f>+T34-T36+T126</f>
        <v>-443571.91999999969</v>
      </c>
      <c r="U131" s="14"/>
      <c r="V131" s="20">
        <f>IF(T$12=0,0,T131/T$12)</f>
        <v>-6.3511880085793906E-2</v>
      </c>
      <c r="W131" s="15"/>
      <c r="X131" s="22">
        <f>+P131-T131</f>
        <v>-396987.75000000023</v>
      </c>
      <c r="Y131" s="15"/>
      <c r="Z131" s="20">
        <f>IF(T131=0,0,X131/T131)</f>
        <v>0.89497944324338774</v>
      </c>
    </row>
    <row r="132" spans="1:26" x14ac:dyDescent="0.25">
      <c r="A132" s="9"/>
      <c r="B132" s="11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4" customFormat="1" x14ac:dyDescent="0.25">
      <c r="A133" s="51"/>
      <c r="B133" s="11" t="s">
        <v>127</v>
      </c>
      <c r="C133" s="11"/>
      <c r="D133" s="4">
        <v>14472.7</v>
      </c>
      <c r="E133" s="4"/>
      <c r="F133" s="13">
        <f>IF(D$12=0,0,D133/D$12)</f>
        <v>0.25229129100232478</v>
      </c>
      <c r="G133" s="4"/>
      <c r="H133" s="4">
        <v>84579.25</v>
      </c>
      <c r="I133" s="4"/>
      <c r="J133" s="13">
        <f>IF(H$12=0,0,H133/H$12)</f>
        <v>0.17946234108090034</v>
      </c>
      <c r="K133" s="4"/>
      <c r="L133" s="4">
        <f>+D133-H133</f>
        <v>-70106.55</v>
      </c>
      <c r="M133" s="4"/>
      <c r="N133" s="13">
        <f>IF(H133=0,0,L133/H133)</f>
        <v>-0.82888592651270854</v>
      </c>
      <c r="O133" s="11"/>
      <c r="P133" s="4">
        <v>79624.27</v>
      </c>
      <c r="Q133" s="4"/>
      <c r="R133" s="13">
        <f>IF(P$12=0,0,P133/P$12)</f>
        <v>0.20609152872060935</v>
      </c>
      <c r="S133" s="4"/>
      <c r="T133" s="4">
        <v>748360.89</v>
      </c>
      <c r="U133" s="4"/>
      <c r="V133" s="13">
        <f>IF(T$12=0,0,T133/T$12)</f>
        <v>0.10715242548847104</v>
      </c>
      <c r="W133" s="4"/>
      <c r="X133" s="4">
        <f>+P133-T133</f>
        <v>-668736.62</v>
      </c>
      <c r="Y133" s="4"/>
      <c r="Z133" s="13">
        <f>IF(T133=0,0,X133/T133)</f>
        <v>-0.89360177547493158</v>
      </c>
    </row>
    <row r="134" spans="1:26" x14ac:dyDescent="0.25">
      <c r="A134" s="9"/>
      <c r="B134" s="11"/>
      <c r="C134" s="11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O134" s="11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4" customFormat="1" ht="15.75" thickBot="1" x14ac:dyDescent="0.3">
      <c r="A135" s="11"/>
      <c r="B135" s="29" t="s">
        <v>125</v>
      </c>
      <c r="C135" s="29"/>
      <c r="D135" s="30">
        <f>+D131-D133</f>
        <v>-60177.60000000002</v>
      </c>
      <c r="E135" s="14"/>
      <c r="F135" s="36">
        <f>IF(D$12=0,0,D135/D$12)</f>
        <v>-1.0490291648014194</v>
      </c>
      <c r="G135" s="14"/>
      <c r="H135" s="30">
        <f>+H131-H133</f>
        <v>-377456.18999999989</v>
      </c>
      <c r="I135" s="14"/>
      <c r="J135" s="36">
        <f>IF(H$12=0,0,H135/H$12)</f>
        <v>-0.80089586409050806</v>
      </c>
      <c r="K135" s="15"/>
      <c r="L135" s="30">
        <f>D135-H135</f>
        <v>317278.58999999985</v>
      </c>
      <c r="M135" s="15"/>
      <c r="N135" s="36">
        <f>IF(H135=0,0,L135/H135)</f>
        <v>-0.84057063682012989</v>
      </c>
      <c r="O135" s="28"/>
      <c r="P135" s="30">
        <f>+P131-P133</f>
        <v>-920183.94</v>
      </c>
      <c r="Q135" s="14"/>
      <c r="R135" s="36">
        <f>IF(P$12=0,0,P135/P$12)</f>
        <v>-2.3817124464532418</v>
      </c>
      <c r="S135" s="14"/>
      <c r="T135" s="30">
        <f>+T131-T133</f>
        <v>-1191932.8099999996</v>
      </c>
      <c r="U135" s="14"/>
      <c r="V135" s="36">
        <f>IF(T$12=0,0,T135/T$12)</f>
        <v>-0.17066430557426493</v>
      </c>
      <c r="W135" s="15"/>
      <c r="X135" s="30">
        <f>P135-T135</f>
        <v>271748.86999999965</v>
      </c>
      <c r="Y135" s="15"/>
      <c r="Z135" s="36">
        <f>IF(T135=0,0,X135/T135)</f>
        <v>-0.22799009115287275</v>
      </c>
    </row>
    <row r="136" spans="1:26" ht="15.75" thickTop="1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4" customFormat="1" ht="15.75" thickBot="1" x14ac:dyDescent="0.3">
      <c r="A138" s="11"/>
      <c r="B138" s="29" t="s">
        <v>293</v>
      </c>
      <c r="C138" s="29"/>
      <c r="D138" s="35">
        <f>SUM(D135:D137)</f>
        <v>-60177.60000000002</v>
      </c>
      <c r="E138" s="14"/>
      <c r="F138" s="34">
        <f>IF(D$12=0,0,D138/D$12)</f>
        <v>-1.0490291648014194</v>
      </c>
      <c r="G138" s="14"/>
      <c r="H138" s="35">
        <f>SUM(H135:H137)</f>
        <v>-377456.18999999989</v>
      </c>
      <c r="I138" s="14"/>
      <c r="J138" s="34">
        <f>IF(H$12=0,0,H138/H$12)</f>
        <v>-0.80089586409050806</v>
      </c>
      <c r="K138" s="15"/>
      <c r="L138" s="35">
        <f>+D138-H138</f>
        <v>317278.58999999985</v>
      </c>
      <c r="M138" s="15"/>
      <c r="N138" s="34">
        <f>IF(H138=0,0,L138/H138)</f>
        <v>-0.84057063682012989</v>
      </c>
      <c r="O138" s="28"/>
      <c r="P138" s="35">
        <f>SUM(P135:P137)</f>
        <v>-920183.94</v>
      </c>
      <c r="Q138" s="14"/>
      <c r="R138" s="34">
        <f>IF(P$12=0,0,P138/P$12)</f>
        <v>-2.3817124464532418</v>
      </c>
      <c r="S138" s="14"/>
      <c r="T138" s="35">
        <f>SUM(T135:T137)</f>
        <v>-1191932.8099999996</v>
      </c>
      <c r="U138" s="14"/>
      <c r="V138" s="34">
        <f>IF(T$12=0,0,T138/T$12)</f>
        <v>-0.17066430557426493</v>
      </c>
      <c r="W138" s="15"/>
      <c r="X138" s="35">
        <f>+P138-T138</f>
        <v>271748.86999999965</v>
      </c>
      <c r="Y138" s="15"/>
      <c r="Z138" s="34">
        <f>IF(T138=0,0,X138/T138)</f>
        <v>-0.22799009115287275</v>
      </c>
    </row>
    <row r="139" spans="1:26" ht="15.75" thickTop="1" x14ac:dyDescent="0.25">
      <c r="A139" s="9"/>
      <c r="C139" s="9"/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  <row r="140" spans="1:26" x14ac:dyDescent="0.25">
      <c r="A140" s="9"/>
      <c r="B140" s="54">
        <v>44295.963175196761</v>
      </c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  <row r="141" spans="1:26" x14ac:dyDescent="0.25">
      <c r="A141" s="9"/>
      <c r="B141" s="58" t="s">
        <v>56</v>
      </c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25">
      <c r="A142" s="9"/>
      <c r="B142" s="62"/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  <row r="143" spans="1:26" x14ac:dyDescent="0.25"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105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57264.49</v>
      </c>
      <c r="E12" s="4"/>
      <c r="F12" s="13"/>
      <c r="G12" s="4"/>
      <c r="H12" s="4">
        <f>SUM(OSRRefH13x_0)</f>
        <v>308816.90000000002</v>
      </c>
      <c r="I12" s="4"/>
      <c r="J12" s="13"/>
      <c r="K12" s="4"/>
      <c r="L12" s="4">
        <f t="shared" ref="L12:L22" si="0">+D12-H12</f>
        <v>-251552.41000000003</v>
      </c>
      <c r="M12" s="4"/>
      <c r="N12" s="13">
        <f t="shared" ref="N12:N22" si="1">IF(H12=0,0,L12/H12)</f>
        <v>-0.81456814701527025</v>
      </c>
      <c r="O12" s="11"/>
      <c r="P12" s="4">
        <f>SUM(OSRRefP13x_0)</f>
        <v>383532.89999999997</v>
      </c>
      <c r="Q12" s="4"/>
      <c r="R12" s="13"/>
      <c r="S12" s="4"/>
      <c r="T12" s="4">
        <f>SUM(OSRRefT13x_0)</f>
        <v>4619542.3499999996</v>
      </c>
      <c r="U12" s="4"/>
      <c r="V12" s="13"/>
      <c r="W12" s="4"/>
      <c r="X12" s="4">
        <f t="shared" ref="X12:X22" si="2">+P12-T12</f>
        <v>-4236009.4499999993</v>
      </c>
      <c r="Y12" s="4"/>
      <c r="Z12" s="13">
        <f t="shared" ref="Z12:Z22" si="3">IF(T12=0,0,X12/T12)</f>
        <v>-0.91697599655082707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--2604.58</f>
        <v>2604.58</v>
      </c>
      <c r="E13" s="2"/>
      <c r="F13" s="19"/>
      <c r="G13" s="2"/>
      <c r="H13" s="2">
        <f>--28468.23</f>
        <v>28468.23</v>
      </c>
      <c r="I13" s="2"/>
      <c r="J13" s="19"/>
      <c r="K13" s="2"/>
      <c r="L13" s="2">
        <f t="shared" si="0"/>
        <v>-25863.65</v>
      </c>
      <c r="M13" s="2"/>
      <c r="N13" s="19">
        <f t="shared" si="1"/>
        <v>-0.90850923994923471</v>
      </c>
      <c r="O13" s="10"/>
      <c r="P13" s="2">
        <f>--25569.06</f>
        <v>25569.06</v>
      </c>
      <c r="Q13" s="2"/>
      <c r="R13" s="19"/>
      <c r="S13" s="2"/>
      <c r="T13" s="2">
        <f>--454738.68</f>
        <v>454738.68</v>
      </c>
      <c r="U13" s="2"/>
      <c r="V13" s="19"/>
      <c r="W13" s="2"/>
      <c r="X13" s="2">
        <f t="shared" si="2"/>
        <v>-429169.62</v>
      </c>
      <c r="Y13" s="2"/>
      <c r="Z13" s="19">
        <f t="shared" si="3"/>
        <v>-0.94377197031050886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>--51782.31</f>
        <v>51782.31</v>
      </c>
      <c r="E14" s="2"/>
      <c r="F14" s="19"/>
      <c r="G14" s="2"/>
      <c r="H14" s="2">
        <f>--48334.99</f>
        <v>48334.99</v>
      </c>
      <c r="I14" s="2"/>
      <c r="J14" s="19"/>
      <c r="K14" s="2"/>
      <c r="L14" s="2">
        <f t="shared" si="0"/>
        <v>3447.3199999999997</v>
      </c>
      <c r="M14" s="2"/>
      <c r="N14" s="19">
        <f t="shared" si="1"/>
        <v>7.1321417465897888E-2</v>
      </c>
      <c r="O14" s="10"/>
      <c r="P14" s="2">
        <f>--331940.11</f>
        <v>331940.11</v>
      </c>
      <c r="Q14" s="2"/>
      <c r="R14" s="19"/>
      <c r="S14" s="2"/>
      <c r="T14" s="2">
        <f>--836487.29</f>
        <v>836487.29</v>
      </c>
      <c r="U14" s="2"/>
      <c r="V14" s="19"/>
      <c r="W14" s="2"/>
      <c r="X14" s="2">
        <f t="shared" si="2"/>
        <v>-504547.18000000005</v>
      </c>
      <c r="Y14" s="2"/>
      <c r="Z14" s="19">
        <f t="shared" si="3"/>
        <v>-0.60317375533584028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 t="shared" ref="D15:D17" si="4">0</f>
        <v>0</v>
      </c>
      <c r="E15" s="2"/>
      <c r="F15" s="19"/>
      <c r="G15" s="2"/>
      <c r="H15" s="2">
        <f>--30950.4</f>
        <v>30950.400000000001</v>
      </c>
      <c r="I15" s="2"/>
      <c r="J15" s="19"/>
      <c r="K15" s="2"/>
      <c r="L15" s="2">
        <f t="shared" si="0"/>
        <v>-30950.400000000001</v>
      </c>
      <c r="M15" s="2"/>
      <c r="N15" s="19">
        <f t="shared" si="1"/>
        <v>-1</v>
      </c>
      <c r="O15" s="10"/>
      <c r="P15" s="2">
        <f t="shared" ref="P15:P16" si="5">0</f>
        <v>0</v>
      </c>
      <c r="Q15" s="2"/>
      <c r="R15" s="19"/>
      <c r="S15" s="2"/>
      <c r="T15" s="2">
        <f>--253270.4</f>
        <v>253270.39999999999</v>
      </c>
      <c r="U15" s="2"/>
      <c r="V15" s="19"/>
      <c r="W15" s="2"/>
      <c r="X15" s="2">
        <f t="shared" si="2"/>
        <v>-253270.39999999999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"4055", " - ", "TAXABLE SALES-FOOD")</f>
        <v xml:space="preserve">          4055 - TAXABLE SALES-FOOD</v>
      </c>
      <c r="C16" s="10"/>
      <c r="D16" s="2">
        <f t="shared" si="4"/>
        <v>0</v>
      </c>
      <c r="E16" s="2"/>
      <c r="F16" s="19"/>
      <c r="G16" s="2"/>
      <c r="H16" s="2">
        <f>--24162.83</f>
        <v>24162.83</v>
      </c>
      <c r="I16" s="2"/>
      <c r="J16" s="19"/>
      <c r="K16" s="2"/>
      <c r="L16" s="2">
        <f t="shared" si="0"/>
        <v>-24162.83</v>
      </c>
      <c r="M16" s="2"/>
      <c r="N16" s="19">
        <f t="shared" si="1"/>
        <v>-1</v>
      </c>
      <c r="O16" s="10"/>
      <c r="P16" s="2">
        <f t="shared" si="5"/>
        <v>0</v>
      </c>
      <c r="Q16" s="2"/>
      <c r="R16" s="19"/>
      <c r="S16" s="2"/>
      <c r="T16" s="2">
        <f>--381406.04</f>
        <v>381406.04</v>
      </c>
      <c r="U16" s="2"/>
      <c r="V16" s="19"/>
      <c r="W16" s="2"/>
      <c r="X16" s="2">
        <f t="shared" si="2"/>
        <v>-381406.04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"4058", " - ", "TAXABLE SALES-FOOD")</f>
        <v xml:space="preserve">          4058 - TAXABLE SALES-FOOD</v>
      </c>
      <c r="C17" s="10"/>
      <c r="D17" s="2">
        <f t="shared" si="4"/>
        <v>0</v>
      </c>
      <c r="E17" s="2"/>
      <c r="F17" s="19"/>
      <c r="G17" s="2"/>
      <c r="H17" s="2">
        <f>--6106.33</f>
        <v>6106.33</v>
      </c>
      <c r="I17" s="2"/>
      <c r="J17" s="19"/>
      <c r="K17" s="2"/>
      <c r="L17" s="2">
        <f t="shared" si="0"/>
        <v>-6106.33</v>
      </c>
      <c r="M17" s="2"/>
      <c r="N17" s="19">
        <f t="shared" si="1"/>
        <v>-1</v>
      </c>
      <c r="O17" s="10"/>
      <c r="P17" s="2">
        <f>--974.91</f>
        <v>974.91</v>
      </c>
      <c r="Q17" s="2"/>
      <c r="R17" s="19"/>
      <c r="S17" s="2"/>
      <c r="T17" s="2">
        <f>--117077.57</f>
        <v>117077.57</v>
      </c>
      <c r="U17" s="2"/>
      <c r="V17" s="19"/>
      <c r="W17" s="2"/>
      <c r="X17" s="2">
        <f t="shared" si="2"/>
        <v>-116102.66</v>
      </c>
      <c r="Y17" s="2"/>
      <c r="Z17" s="19">
        <f t="shared" si="3"/>
        <v>-0.99167295665600164</v>
      </c>
    </row>
    <row r="18" spans="1:26" s="23" customFormat="1" hidden="1" outlineLevel="1" x14ac:dyDescent="0.25">
      <c r="A18" s="44"/>
      <c r="B18" s="10" t="str">
        <f>CONCATENATE("          ", "4151", " - ", "NON-TAXABLE SALES-FOOD")</f>
        <v xml:space="preserve">          4151 - NON-TAXABLE SALES-FOOD</v>
      </c>
      <c r="C18" s="10"/>
      <c r="D18" s="2">
        <f>--2877.6</f>
        <v>2877.6</v>
      </c>
      <c r="E18" s="2"/>
      <c r="F18" s="19"/>
      <c r="G18" s="2"/>
      <c r="H18" s="2">
        <f>--90012.01</f>
        <v>90012.01</v>
      </c>
      <c r="I18" s="2"/>
      <c r="J18" s="19"/>
      <c r="K18" s="2"/>
      <c r="L18" s="2">
        <f t="shared" si="0"/>
        <v>-87134.409999999989</v>
      </c>
      <c r="M18" s="2"/>
      <c r="N18" s="19">
        <f t="shared" si="1"/>
        <v>-0.96803093276108365</v>
      </c>
      <c r="O18" s="10"/>
      <c r="P18" s="2">
        <f>--25048.82</f>
        <v>25048.82</v>
      </c>
      <c r="Q18" s="2"/>
      <c r="R18" s="19"/>
      <c r="S18" s="2"/>
      <c r="T18" s="2">
        <f>--1363402.11</f>
        <v>1363402.11</v>
      </c>
      <c r="U18" s="2"/>
      <c r="V18" s="19"/>
      <c r="W18" s="2"/>
      <c r="X18" s="2">
        <f t="shared" si="2"/>
        <v>-1338353.29</v>
      </c>
      <c r="Y18" s="2"/>
      <c r="Z18" s="19">
        <f t="shared" si="3"/>
        <v>-0.9816277092309913</v>
      </c>
    </row>
    <row r="19" spans="1:26" s="23" customFormat="1" hidden="1" outlineLevel="1" x14ac:dyDescent="0.25">
      <c r="A19" s="44"/>
      <c r="B19" s="10" t="str">
        <f>CONCATENATE("          ", "4152", " - ", "NON-TAXABLE SALES-FOOD")</f>
        <v xml:space="preserve">          4152 - NON-TAXABLE SALES-FOOD</v>
      </c>
      <c r="C19" s="10"/>
      <c r="D19" s="2">
        <f t="shared" ref="D19:D22" si="6">0</f>
        <v>0</v>
      </c>
      <c r="E19" s="2"/>
      <c r="F19" s="19"/>
      <c r="G19" s="2"/>
      <c r="H19" s="2">
        <f>--3688.2</f>
        <v>3688.2</v>
      </c>
      <c r="I19" s="2"/>
      <c r="J19" s="19"/>
      <c r="K19" s="2"/>
      <c r="L19" s="2">
        <f t="shared" si="0"/>
        <v>-3688.2</v>
      </c>
      <c r="M19" s="2"/>
      <c r="N19" s="19">
        <f t="shared" si="1"/>
        <v>-1</v>
      </c>
      <c r="O19" s="10"/>
      <c r="P19" s="2">
        <f t="shared" ref="P19:P22" si="7">0</f>
        <v>0</v>
      </c>
      <c r="Q19" s="2"/>
      <c r="R19" s="19"/>
      <c r="S19" s="2"/>
      <c r="T19" s="2">
        <f>--51415.27</f>
        <v>51415.27</v>
      </c>
      <c r="U19" s="2"/>
      <c r="V19" s="19"/>
      <c r="W19" s="2"/>
      <c r="X19" s="2">
        <f t="shared" si="2"/>
        <v>-51415.27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"4153", " - ", "NON-TAXABLE SALES-FOOD")</f>
        <v xml:space="preserve">          4153 - NON-TAXABLE SALES-FOOD</v>
      </c>
      <c r="C20" s="10"/>
      <c r="D20" s="2">
        <f t="shared" si="6"/>
        <v>0</v>
      </c>
      <c r="E20" s="2"/>
      <c r="F20" s="19"/>
      <c r="G20" s="2"/>
      <c r="H20" s="2">
        <f>-304.12</f>
        <v>-304.12</v>
      </c>
      <c r="I20" s="2"/>
      <c r="J20" s="19"/>
      <c r="K20" s="2"/>
      <c r="L20" s="2">
        <f t="shared" si="0"/>
        <v>304.12</v>
      </c>
      <c r="M20" s="2"/>
      <c r="N20" s="19">
        <f t="shared" si="1"/>
        <v>-1</v>
      </c>
      <c r="O20" s="10"/>
      <c r="P20" s="2">
        <f t="shared" si="7"/>
        <v>0</v>
      </c>
      <c r="Q20" s="2"/>
      <c r="R20" s="19"/>
      <c r="S20" s="2"/>
      <c r="T20" s="2">
        <f>-498.41</f>
        <v>-498.41</v>
      </c>
      <c r="U20" s="2"/>
      <c r="V20" s="19"/>
      <c r="W20" s="2"/>
      <c r="X20" s="2">
        <f t="shared" si="2"/>
        <v>498.41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"4155", " - ", "NON-TAXABLE SALES-FOOD")</f>
        <v xml:space="preserve">          4155 - NON-TAXABLE SALES-FOOD</v>
      </c>
      <c r="C21" s="10"/>
      <c r="D21" s="2">
        <f t="shared" si="6"/>
        <v>0</v>
      </c>
      <c r="E21" s="2"/>
      <c r="F21" s="19"/>
      <c r="G21" s="2"/>
      <c r="H21" s="2">
        <f>--43938.14</f>
        <v>43938.14</v>
      </c>
      <c r="I21" s="2"/>
      <c r="J21" s="19"/>
      <c r="K21" s="2"/>
      <c r="L21" s="2">
        <f t="shared" si="0"/>
        <v>-43938.14</v>
      </c>
      <c r="M21" s="2"/>
      <c r="N21" s="19">
        <f t="shared" si="1"/>
        <v>-1</v>
      </c>
      <c r="O21" s="10"/>
      <c r="P21" s="2">
        <f t="shared" si="7"/>
        <v>0</v>
      </c>
      <c r="Q21" s="2"/>
      <c r="R21" s="19"/>
      <c r="S21" s="2"/>
      <c r="T21" s="2">
        <f>--687389.73</f>
        <v>687389.73</v>
      </c>
      <c r="U21" s="2"/>
      <c r="V21" s="19"/>
      <c r="W21" s="2"/>
      <c r="X21" s="2">
        <f t="shared" si="2"/>
        <v>-687389.73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"4158", " - ", "NON-TAXABLE SALES-FOOD")</f>
        <v xml:space="preserve">          4158 - NON-TAXABLE SALES-FOOD</v>
      </c>
      <c r="C22" s="10"/>
      <c r="D22" s="2">
        <f t="shared" si="6"/>
        <v>0</v>
      </c>
      <c r="E22" s="2"/>
      <c r="F22" s="19"/>
      <c r="G22" s="2"/>
      <c r="H22" s="2">
        <f>--33459.89</f>
        <v>33459.89</v>
      </c>
      <c r="I22" s="2"/>
      <c r="J22" s="19"/>
      <c r="K22" s="2"/>
      <c r="L22" s="2">
        <f t="shared" si="0"/>
        <v>-33459.89</v>
      </c>
      <c r="M22" s="2"/>
      <c r="N22" s="19">
        <f t="shared" si="1"/>
        <v>-1</v>
      </c>
      <c r="O22" s="10"/>
      <c r="P22" s="2">
        <f t="shared" si="7"/>
        <v>0</v>
      </c>
      <c r="Q22" s="2"/>
      <c r="R22" s="19"/>
      <c r="S22" s="2"/>
      <c r="T22" s="2">
        <f>--474853.67</f>
        <v>474853.67</v>
      </c>
      <c r="U22" s="2"/>
      <c r="V22" s="19"/>
      <c r="W22" s="2"/>
      <c r="X22" s="2">
        <f t="shared" si="2"/>
        <v>-474853.67</v>
      </c>
      <c r="Y22" s="2"/>
      <c r="Z22" s="19">
        <f t="shared" si="3"/>
        <v>-1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collapsed="1" x14ac:dyDescent="0.25">
      <c r="A24" s="11"/>
      <c r="B24" s="28" t="s">
        <v>256</v>
      </c>
      <c r="C24" s="11"/>
      <c r="D24" s="4">
        <f>SUM(OSRRefD16x_0)</f>
        <v>-6210.29</v>
      </c>
      <c r="E24" s="4"/>
      <c r="F24" s="13">
        <f t="shared" ref="F24:F26" si="8">IF(D$12=0,0,D24/D$12)</f>
        <v>-0.10844923267455975</v>
      </c>
      <c r="G24" s="4"/>
      <c r="H24" s="4">
        <f>SUM(OSRRefH16x_0)</f>
        <v>94247.32</v>
      </c>
      <c r="I24" s="4"/>
      <c r="J24" s="13">
        <f t="shared" ref="J24:J26" si="9">IF(H$12=0,0,H24/H$12)</f>
        <v>0.30518834947180673</v>
      </c>
      <c r="K24" s="4"/>
      <c r="L24" s="4">
        <f t="shared" ref="L24:L26" si="10">+D24-H24</f>
        <v>-100457.61</v>
      </c>
      <c r="M24" s="4"/>
      <c r="N24" s="13">
        <f t="shared" ref="N24:N26" si="11">IF(H24=0,0,L24/H24)</f>
        <v>-1.0658935447713527</v>
      </c>
      <c r="O24" s="11"/>
      <c r="P24" s="4">
        <f>SUM(OSRRefP16x_0)</f>
        <v>9643.9500000000007</v>
      </c>
      <c r="Q24" s="4"/>
      <c r="R24" s="13">
        <f t="shared" ref="R24:R26" si="12">IF(P$12=0,0,P24/P$12)</f>
        <v>2.514503970845787E-2</v>
      </c>
      <c r="S24" s="4"/>
      <c r="T24" s="4">
        <f>SUM(OSRRefT16x_0)</f>
        <v>1529512.47</v>
      </c>
      <c r="U24" s="4"/>
      <c r="V24" s="13">
        <f t="shared" ref="V24:V26" si="13">IF(T$12=0,0,T24/T$12)</f>
        <v>0.33109610305878029</v>
      </c>
      <c r="W24" s="4"/>
      <c r="X24" s="4">
        <f t="shared" ref="X24:X26" si="14">+P24-T24</f>
        <v>-1519868.52</v>
      </c>
      <c r="Y24" s="4"/>
      <c r="Z24" s="13">
        <f t="shared" ref="Z24:Z26" si="15">IF(T24=0,0,X24/T24)</f>
        <v>-0.9936947555582859</v>
      </c>
    </row>
    <row r="25" spans="1:26" s="23" customFormat="1" hidden="1" outlineLevel="1" x14ac:dyDescent="0.25">
      <c r="A25" s="44"/>
      <c r="B25" s="10" t="str">
        <f>CONCATENATE("          ", "5053", " - ", "PURCHASES @ COST-FOOD")</f>
        <v xml:space="preserve">          5053 - PURCHASES @ COST-FOOD</v>
      </c>
      <c r="C25" s="10"/>
      <c r="D25" s="2">
        <v>-5711.29</v>
      </c>
      <c r="E25" s="2"/>
      <c r="F25" s="19">
        <f t="shared" si="8"/>
        <v>-9.9735280974300136E-2</v>
      </c>
      <c r="G25" s="2"/>
      <c r="H25" s="2">
        <v>118460.32</v>
      </c>
      <c r="I25" s="2"/>
      <c r="J25" s="19">
        <f t="shared" si="9"/>
        <v>0.38359403258047081</v>
      </c>
      <c r="K25" s="2"/>
      <c r="L25" s="2">
        <f t="shared" si="10"/>
        <v>-124171.61</v>
      </c>
      <c r="M25" s="2"/>
      <c r="N25" s="19">
        <f t="shared" si="11"/>
        <v>-1.048212684213583</v>
      </c>
      <c r="O25" s="10"/>
      <c r="P25" s="2">
        <v>4393.87</v>
      </c>
      <c r="Q25" s="2"/>
      <c r="R25" s="19">
        <f t="shared" si="12"/>
        <v>1.1456305313051371E-2</v>
      </c>
      <c r="S25" s="2"/>
      <c r="T25" s="2">
        <v>1583731.48</v>
      </c>
      <c r="U25" s="2"/>
      <c r="V25" s="19">
        <f t="shared" si="13"/>
        <v>0.34283298214594787</v>
      </c>
      <c r="W25" s="2"/>
      <c r="X25" s="2">
        <f t="shared" si="14"/>
        <v>-1579337.6099999999</v>
      </c>
      <c r="Y25" s="2"/>
      <c r="Z25" s="19">
        <f t="shared" si="15"/>
        <v>-0.99722562185857411</v>
      </c>
    </row>
    <row r="26" spans="1:26" s="23" customFormat="1" hidden="1" outlineLevel="1" x14ac:dyDescent="0.25">
      <c r="A26" s="44"/>
      <c r="B26" s="10" t="str">
        <f>CONCATENATE("          ", "5059", " - ", "PURCHASES @ COST-FOOD")</f>
        <v xml:space="preserve">          5059 - PURCHASES @ COST-FOOD</v>
      </c>
      <c r="C26" s="10"/>
      <c r="D26" s="2">
        <v>-499</v>
      </c>
      <c r="E26" s="2"/>
      <c r="F26" s="19">
        <f t="shared" si="8"/>
        <v>-8.7139517002596204E-3</v>
      </c>
      <c r="G26" s="2"/>
      <c r="H26" s="2">
        <v>-24213</v>
      </c>
      <c r="I26" s="2"/>
      <c r="J26" s="19">
        <f t="shared" si="9"/>
        <v>-7.8405683108664054E-2</v>
      </c>
      <c r="K26" s="2"/>
      <c r="L26" s="2">
        <f t="shared" si="10"/>
        <v>23714</v>
      </c>
      <c r="M26" s="2"/>
      <c r="N26" s="19">
        <f t="shared" si="11"/>
        <v>-0.97939123611283196</v>
      </c>
      <c r="O26" s="10"/>
      <c r="P26" s="2">
        <v>5250.08</v>
      </c>
      <c r="Q26" s="2"/>
      <c r="R26" s="19">
        <f t="shared" si="12"/>
        <v>1.3688734395406497E-2</v>
      </c>
      <c r="S26" s="2"/>
      <c r="T26" s="2">
        <v>-54219.01</v>
      </c>
      <c r="U26" s="2"/>
      <c r="V26" s="19">
        <f t="shared" si="13"/>
        <v>-1.1736879087167586E-2</v>
      </c>
      <c r="W26" s="2"/>
      <c r="X26" s="2">
        <f t="shared" si="14"/>
        <v>59469.090000000004</v>
      </c>
      <c r="Y26" s="2"/>
      <c r="Z26" s="19">
        <f t="shared" si="15"/>
        <v>-1.0968309823436466</v>
      </c>
    </row>
    <row r="27" spans="1:26" x14ac:dyDescent="0.25">
      <c r="A27" s="9"/>
      <c r="B27" s="11"/>
      <c r="C27" s="11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1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11"/>
      <c r="B28" s="29" t="s">
        <v>107</v>
      </c>
      <c r="C28" s="29"/>
      <c r="D28" s="22">
        <f>D12-D24</f>
        <v>63474.78</v>
      </c>
      <c r="E28" s="14"/>
      <c r="F28" s="20">
        <f>IF(D$12=0,0,D28/D$12)</f>
        <v>1.1084492326745599</v>
      </c>
      <c r="G28" s="14"/>
      <c r="H28" s="22">
        <f>H12-H24</f>
        <v>214569.58000000002</v>
      </c>
      <c r="I28" s="14"/>
      <c r="J28" s="20">
        <f>IF(H$12=0,0,H28/H$12)</f>
        <v>0.69481165052819327</v>
      </c>
      <c r="K28" s="15"/>
      <c r="L28" s="22">
        <f>+D28-H28</f>
        <v>-151094.80000000002</v>
      </c>
      <c r="M28" s="15"/>
      <c r="N28" s="20">
        <f>IF(H28=0,0,L28/H28)</f>
        <v>-0.70417623970741805</v>
      </c>
      <c r="O28" s="28"/>
      <c r="P28" s="22">
        <f>P12-P24</f>
        <v>373888.94999999995</v>
      </c>
      <c r="Q28" s="14"/>
      <c r="R28" s="20">
        <f>IF(P$12=0,0,P28/P$12)</f>
        <v>0.97485496029154206</v>
      </c>
      <c r="S28" s="14"/>
      <c r="T28" s="22">
        <f>T12-T24</f>
        <v>3090029.88</v>
      </c>
      <c r="U28" s="14"/>
      <c r="V28" s="20">
        <f>IF(T$12=0,0,T28/T$12)</f>
        <v>0.66890389694121977</v>
      </c>
      <c r="W28" s="15"/>
      <c r="X28" s="22">
        <f>+P28-T28</f>
        <v>-2716140.9299999997</v>
      </c>
      <c r="Y28" s="15"/>
      <c r="Z28" s="20">
        <f>IF(T28=0,0,X28/T28)</f>
        <v>-0.87900150984947756</v>
      </c>
    </row>
    <row r="29" spans="1:26" x14ac:dyDescent="0.25">
      <c r="A29" s="9"/>
      <c r="B29" s="11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4" customFormat="1" x14ac:dyDescent="0.25">
      <c r="A30" s="11"/>
      <c r="B30" s="28" t="s">
        <v>294</v>
      </c>
      <c r="C30" s="11"/>
      <c r="D30" s="21">
        <f>SUM(OSRRefD22x_0)</f>
        <v>98262.280000000028</v>
      </c>
      <c r="E30" s="21"/>
      <c r="F30" s="31">
        <f t="shared" ref="F30:F40" si="16">IF(D$12=0,0,D30/D$12)</f>
        <v>1.715937398551878</v>
      </c>
      <c r="G30" s="21"/>
      <c r="H30" s="21">
        <f>SUM(OSRRefH22x_0)</f>
        <v>527362.84000000008</v>
      </c>
      <c r="I30" s="21"/>
      <c r="J30" s="31">
        <f t="shared" ref="J30:J40" si="17">IF(H$12=0,0,H30/H$12)</f>
        <v>1.7076877593162811</v>
      </c>
      <c r="K30" s="4"/>
      <c r="L30" s="21">
        <f t="shared" ref="L30:L40" si="18">+D30-H30</f>
        <v>-429100.56000000006</v>
      </c>
      <c r="M30" s="4"/>
      <c r="N30" s="31">
        <f t="shared" ref="N30:N40" si="19">IF(H30=0,0,L30/H30)</f>
        <v>-0.81367234748659956</v>
      </c>
      <c r="O30" s="11"/>
      <c r="P30" s="21">
        <f>SUM(OSRRefP22x_0)</f>
        <v>992385.04</v>
      </c>
      <c r="Q30" s="21"/>
      <c r="R30" s="31">
        <f t="shared" ref="R30:R40" si="20">IF(P$12=0,0,P30/P$12)</f>
        <v>2.5874834727346729</v>
      </c>
      <c r="S30" s="21"/>
      <c r="T30" s="21">
        <f>SUM(OSRRefT22x_0)</f>
        <v>4462443.8299999991</v>
      </c>
      <c r="U30" s="21"/>
      <c r="V30" s="31">
        <f t="shared" ref="V30:V40" si="21">IF(T$12=0,0,T30/T$12)</f>
        <v>0.96599262262418695</v>
      </c>
      <c r="W30" s="4"/>
      <c r="X30" s="21">
        <f t="shared" ref="X30:X40" si="22">+P30-T30</f>
        <v>-3470058.7899999991</v>
      </c>
      <c r="Y30" s="4"/>
      <c r="Z30" s="31">
        <f t="shared" ref="Z30:Z40" si="23">IF(T30=0,0,X30/T30)</f>
        <v>-0.77761399856096336</v>
      </c>
    </row>
    <row r="31" spans="1:26" s="26" customFormat="1" outlineLevel="1" collapsed="1" x14ac:dyDescent="0.25">
      <c r="A31" s="27"/>
      <c r="B31" s="12" t="str">
        <f>CONCATENATE("     ","*Benefits                                         ")</f>
        <v xml:space="preserve">     *Benefits                                         </v>
      </c>
      <c r="C31" s="12"/>
      <c r="D31" s="1">
        <f>SUM(OSRRefD22_0x_0)</f>
        <v>18745.780000000002</v>
      </c>
      <c r="E31" s="1"/>
      <c r="F31" s="5">
        <f t="shared" si="16"/>
        <v>0.32735435171080723</v>
      </c>
      <c r="G31" s="1"/>
      <c r="H31" s="1">
        <f>SUM(OSRRefH22_0x_0)</f>
        <v>72591.899999999994</v>
      </c>
      <c r="I31" s="1"/>
      <c r="J31" s="5">
        <f t="shared" si="17"/>
        <v>0.23506453176623426</v>
      </c>
      <c r="K31" s="1"/>
      <c r="L31" s="1">
        <f t="shared" si="18"/>
        <v>-53846.119999999995</v>
      </c>
      <c r="M31" s="1"/>
      <c r="N31" s="5">
        <f t="shared" si="19"/>
        <v>-0.74176485255241975</v>
      </c>
      <c r="O31" s="12"/>
      <c r="P31" s="1">
        <f>SUM(OSRRefP22_0x_0)</f>
        <v>186815.97</v>
      </c>
      <c r="Q31" s="1"/>
      <c r="R31" s="5">
        <f t="shared" si="20"/>
        <v>0.48709242414405651</v>
      </c>
      <c r="S31" s="1"/>
      <c r="T31" s="1">
        <f>SUM(OSRRefT22_0x_0)</f>
        <v>620128.30999999994</v>
      </c>
      <c r="U31" s="1"/>
      <c r="V31" s="5">
        <f t="shared" si="21"/>
        <v>0.13424020455186431</v>
      </c>
      <c r="W31" s="1"/>
      <c r="X31" s="1">
        <f t="shared" si="22"/>
        <v>-433312.33999999997</v>
      </c>
      <c r="Y31" s="1"/>
      <c r="Z31" s="5">
        <f t="shared" si="23"/>
        <v>-0.69874626430133469</v>
      </c>
    </row>
    <row r="32" spans="1:26" s="23" customFormat="1" hidden="1" outlineLevel="2" x14ac:dyDescent="0.25">
      <c r="A32" s="25"/>
      <c r="B32" s="10" t="str">
        <f>CONCATENATE("          ", "6111", " - ", "F.I.C.A.")</f>
        <v xml:space="preserve">          6111 - F.I.C.A.</v>
      </c>
      <c r="C32" s="10"/>
      <c r="D32" s="6">
        <v>2329.63</v>
      </c>
      <c r="E32" s="2"/>
      <c r="F32" s="7">
        <f t="shared" si="16"/>
        <v>4.0681930459871382E-2</v>
      </c>
      <c r="G32" s="2"/>
      <c r="H32" s="6">
        <v>22154.46</v>
      </c>
      <c r="I32" s="2"/>
      <c r="J32" s="7">
        <f t="shared" si="17"/>
        <v>7.1739791442761061E-2</v>
      </c>
      <c r="K32" s="2"/>
      <c r="L32" s="6">
        <f t="shared" si="18"/>
        <v>-19824.829999999998</v>
      </c>
      <c r="M32" s="2"/>
      <c r="N32" s="7">
        <f t="shared" si="19"/>
        <v>-0.89484600391975244</v>
      </c>
      <c r="O32" s="10"/>
      <c r="P32" s="6">
        <v>22070.04</v>
      </c>
      <c r="Q32" s="2"/>
      <c r="R32" s="7">
        <f t="shared" si="20"/>
        <v>5.7544059453569704E-2</v>
      </c>
      <c r="S32" s="2"/>
      <c r="T32" s="6">
        <v>126894.79</v>
      </c>
      <c r="U32" s="2"/>
      <c r="V32" s="7">
        <f t="shared" si="21"/>
        <v>2.7469125810698544E-2</v>
      </c>
      <c r="W32" s="2"/>
      <c r="X32" s="6">
        <f t="shared" si="22"/>
        <v>-104824.75</v>
      </c>
      <c r="Y32" s="2"/>
      <c r="Z32" s="7">
        <f t="shared" si="23"/>
        <v>-0.82607607451811071</v>
      </c>
    </row>
    <row r="33" spans="1:26" s="23" customFormat="1" hidden="1" outlineLevel="2" x14ac:dyDescent="0.25">
      <c r="A33" s="25"/>
      <c r="B33" s="10" t="str">
        <f>CONCATENATE("          ", "6112", " - ", "COMPENSATION INSURANCE")</f>
        <v xml:space="preserve">          6112 - COMPENSATION INSURANCE</v>
      </c>
      <c r="C33" s="10"/>
      <c r="D33" s="6">
        <v>611.25</v>
      </c>
      <c r="E33" s="2"/>
      <c r="F33" s="7">
        <f t="shared" si="16"/>
        <v>1.0674154262091569E-2</v>
      </c>
      <c r="G33" s="2"/>
      <c r="H33" s="6">
        <v>14535.26</v>
      </c>
      <c r="I33" s="2"/>
      <c r="J33" s="7">
        <f t="shared" si="17"/>
        <v>4.7067566574238648E-2</v>
      </c>
      <c r="K33" s="2"/>
      <c r="L33" s="6">
        <f t="shared" si="18"/>
        <v>-13924.01</v>
      </c>
      <c r="M33" s="2"/>
      <c r="N33" s="7">
        <f t="shared" si="19"/>
        <v>-0.95794708866576861</v>
      </c>
      <c r="O33" s="10"/>
      <c r="P33" s="6">
        <v>6403.47</v>
      </c>
      <c r="Q33" s="2"/>
      <c r="R33" s="7">
        <f t="shared" si="20"/>
        <v>1.6696012258661515E-2</v>
      </c>
      <c r="S33" s="2"/>
      <c r="T33" s="6">
        <v>68856.98</v>
      </c>
      <c r="U33" s="2"/>
      <c r="V33" s="7">
        <f t="shared" si="21"/>
        <v>1.4905584749103988E-2</v>
      </c>
      <c r="W33" s="2"/>
      <c r="X33" s="6">
        <f t="shared" si="22"/>
        <v>-62453.509999999995</v>
      </c>
      <c r="Y33" s="2"/>
      <c r="Z33" s="7">
        <f t="shared" si="23"/>
        <v>-0.90700332776720671</v>
      </c>
    </row>
    <row r="34" spans="1:26" s="23" customFormat="1" hidden="1" outlineLevel="2" x14ac:dyDescent="0.25">
      <c r="A34" s="25"/>
      <c r="B34" s="10" t="str">
        <f>CONCATENATE("          ", "6113", " - ", "GROUP INSURANCE")</f>
        <v xml:space="preserve">          6113 - GROUP INSURANCE</v>
      </c>
      <c r="C34" s="10"/>
      <c r="D34" s="6">
        <v>8554.93</v>
      </c>
      <c r="E34" s="2"/>
      <c r="F34" s="7">
        <f t="shared" si="16"/>
        <v>0.14939328019860126</v>
      </c>
      <c r="G34" s="2"/>
      <c r="H34" s="6">
        <v>29308.98</v>
      </c>
      <c r="I34" s="2"/>
      <c r="J34" s="7">
        <f t="shared" si="17"/>
        <v>9.4907305914928866E-2</v>
      </c>
      <c r="K34" s="2"/>
      <c r="L34" s="6">
        <f t="shared" si="18"/>
        <v>-20754.05</v>
      </c>
      <c r="M34" s="2"/>
      <c r="N34" s="7">
        <f t="shared" si="19"/>
        <v>-0.70811232598336749</v>
      </c>
      <c r="O34" s="10"/>
      <c r="P34" s="6">
        <v>86596.64</v>
      </c>
      <c r="Q34" s="2"/>
      <c r="R34" s="7">
        <f t="shared" si="20"/>
        <v>0.22578673172497069</v>
      </c>
      <c r="S34" s="2"/>
      <c r="T34" s="6">
        <v>208476.3</v>
      </c>
      <c r="U34" s="2"/>
      <c r="V34" s="7">
        <f t="shared" si="21"/>
        <v>4.5129210689019879E-2</v>
      </c>
      <c r="W34" s="2"/>
      <c r="X34" s="6">
        <f t="shared" si="22"/>
        <v>-121879.65999999999</v>
      </c>
      <c r="Y34" s="2"/>
      <c r="Z34" s="7">
        <f t="shared" si="23"/>
        <v>-0.58462117756310905</v>
      </c>
    </row>
    <row r="35" spans="1:26" s="23" customFormat="1" hidden="1" outlineLevel="2" x14ac:dyDescent="0.25">
      <c r="A35" s="25"/>
      <c r="B35" s="10" t="str">
        <f>CONCATENATE("          ", "6114", " - ", "STATE UNEMPLOYMENT INSURANCE")</f>
        <v xml:space="preserve">          6114 - STATE UNEMPLOYMENT INSURANCE</v>
      </c>
      <c r="C35" s="10"/>
      <c r="D35" s="6">
        <v>78.73</v>
      </c>
      <c r="E35" s="2"/>
      <c r="F35" s="7">
        <f t="shared" si="16"/>
        <v>1.3748485317864527E-3</v>
      </c>
      <c r="G35" s="2"/>
      <c r="H35" s="6">
        <v>1037.21</v>
      </c>
      <c r="I35" s="2"/>
      <c r="J35" s="7">
        <f t="shared" si="17"/>
        <v>3.3586568610720459E-3</v>
      </c>
      <c r="K35" s="2"/>
      <c r="L35" s="6">
        <f t="shared" si="18"/>
        <v>-958.48</v>
      </c>
      <c r="M35" s="2"/>
      <c r="N35" s="7">
        <f t="shared" si="19"/>
        <v>-0.92409444567638177</v>
      </c>
      <c r="O35" s="10"/>
      <c r="P35" s="6">
        <v>833.25</v>
      </c>
      <c r="Q35" s="2"/>
      <c r="R35" s="7">
        <f t="shared" si="20"/>
        <v>2.1725645961532896E-3</v>
      </c>
      <c r="S35" s="2"/>
      <c r="T35" s="6">
        <v>5892.6</v>
      </c>
      <c r="U35" s="2"/>
      <c r="V35" s="7">
        <f t="shared" si="21"/>
        <v>1.2755809025108301E-3</v>
      </c>
      <c r="W35" s="2"/>
      <c r="X35" s="6">
        <f t="shared" si="22"/>
        <v>-5059.3500000000004</v>
      </c>
      <c r="Y35" s="2"/>
      <c r="Z35" s="7">
        <f t="shared" si="23"/>
        <v>-0.85859382954892582</v>
      </c>
    </row>
    <row r="36" spans="1:26" s="23" customFormat="1" hidden="1" outlineLevel="2" x14ac:dyDescent="0.25">
      <c r="A36" s="25"/>
      <c r="B36" s="10" t="str">
        <f>CONCATENATE("          ", "6115", " - ", "P.E.R.S.")</f>
        <v xml:space="preserve">          6115 - P.E.R.S.</v>
      </c>
      <c r="C36" s="10"/>
      <c r="D36" s="6">
        <v>2783.65</v>
      </c>
      <c r="E36" s="2"/>
      <c r="F36" s="7">
        <f t="shared" si="16"/>
        <v>4.8610404109073531E-2</v>
      </c>
      <c r="G36" s="2"/>
      <c r="H36" s="6">
        <v>8264.74</v>
      </c>
      <c r="I36" s="2"/>
      <c r="J36" s="7">
        <f t="shared" si="17"/>
        <v>2.6762589741688356E-2</v>
      </c>
      <c r="K36" s="2"/>
      <c r="L36" s="6">
        <f t="shared" si="18"/>
        <v>-5481.09</v>
      </c>
      <c r="M36" s="2"/>
      <c r="N36" s="7">
        <f t="shared" si="19"/>
        <v>-0.66318964661925239</v>
      </c>
      <c r="O36" s="10"/>
      <c r="P36" s="6">
        <v>29710.1</v>
      </c>
      <c r="Q36" s="2"/>
      <c r="R36" s="7">
        <f t="shared" si="20"/>
        <v>7.7464280117820403E-2</v>
      </c>
      <c r="S36" s="2"/>
      <c r="T36" s="6">
        <v>67610.509999999995</v>
      </c>
      <c r="U36" s="2"/>
      <c r="V36" s="7">
        <f t="shared" si="21"/>
        <v>1.4635759319318721E-2</v>
      </c>
      <c r="W36" s="2"/>
      <c r="X36" s="6">
        <f t="shared" si="22"/>
        <v>-37900.409999999996</v>
      </c>
      <c r="Y36" s="2"/>
      <c r="Z36" s="7">
        <f t="shared" si="23"/>
        <v>-0.56056979898539439</v>
      </c>
    </row>
    <row r="37" spans="1:26" s="23" customFormat="1" hidden="1" outlineLevel="2" x14ac:dyDescent="0.25">
      <c r="A37" s="25"/>
      <c r="B37" s="10" t="str">
        <f>CONCATENATE("          ", "6117", " - ", "RETIREMENT STAFF HOURLY")</f>
        <v xml:space="preserve">          6117 - RETIREMENT STAFF HOURLY</v>
      </c>
      <c r="C37" s="10"/>
      <c r="D37" s="6"/>
      <c r="E37" s="2"/>
      <c r="F37" s="7">
        <f t="shared" si="16"/>
        <v>0</v>
      </c>
      <c r="G37" s="2"/>
      <c r="H37" s="6">
        <v>133.72999999999999</v>
      </c>
      <c r="I37" s="2"/>
      <c r="J37" s="7">
        <f t="shared" si="17"/>
        <v>4.3303977211091744E-4</v>
      </c>
      <c r="K37" s="2"/>
      <c r="L37" s="6">
        <f t="shared" si="18"/>
        <v>-133.72999999999999</v>
      </c>
      <c r="M37" s="2"/>
      <c r="N37" s="7">
        <f t="shared" si="19"/>
        <v>-1</v>
      </c>
      <c r="O37" s="10"/>
      <c r="P37" s="6"/>
      <c r="Q37" s="2"/>
      <c r="R37" s="7">
        <f t="shared" si="20"/>
        <v>0</v>
      </c>
      <c r="S37" s="2"/>
      <c r="T37" s="6">
        <v>846.58</v>
      </c>
      <c r="U37" s="2"/>
      <c r="V37" s="7">
        <f t="shared" si="21"/>
        <v>1.8326057774965525E-4</v>
      </c>
      <c r="W37" s="2"/>
      <c r="X37" s="6">
        <f t="shared" si="22"/>
        <v>-846.58</v>
      </c>
      <c r="Y37" s="2"/>
      <c r="Z37" s="7">
        <f t="shared" si="23"/>
        <v>-1</v>
      </c>
    </row>
    <row r="38" spans="1:26" s="23" customFormat="1" hidden="1" outlineLevel="2" x14ac:dyDescent="0.25">
      <c r="A38" s="25"/>
      <c r="B38" s="10" t="str">
        <f>CONCATENATE("          ", "6118", " - ", "VACATION")</f>
        <v xml:space="preserve">          6118 - VACATION</v>
      </c>
      <c r="C38" s="10"/>
      <c r="D38" s="6">
        <v>2462.92</v>
      </c>
      <c r="E38" s="2"/>
      <c r="F38" s="7">
        <f t="shared" si="16"/>
        <v>4.3009550945097043E-2</v>
      </c>
      <c r="G38" s="2"/>
      <c r="H38" s="6">
        <v>10147.459999999999</v>
      </c>
      <c r="I38" s="2"/>
      <c r="J38" s="7">
        <f t="shared" si="17"/>
        <v>3.2859147281123532E-2</v>
      </c>
      <c r="K38" s="2"/>
      <c r="L38" s="6">
        <f t="shared" si="18"/>
        <v>-7684.5399999999991</v>
      </c>
      <c r="M38" s="2"/>
      <c r="N38" s="7">
        <f t="shared" si="19"/>
        <v>-0.7572870452310233</v>
      </c>
      <c r="O38" s="10"/>
      <c r="P38" s="6">
        <v>23434.92</v>
      </c>
      <c r="Q38" s="2"/>
      <c r="R38" s="7">
        <f t="shared" si="20"/>
        <v>6.1102763283149897E-2</v>
      </c>
      <c r="S38" s="2"/>
      <c r="T38" s="6">
        <v>68651.320000000007</v>
      </c>
      <c r="U38" s="2"/>
      <c r="V38" s="7">
        <f t="shared" si="21"/>
        <v>1.4861065187550454E-2</v>
      </c>
      <c r="W38" s="2"/>
      <c r="X38" s="6">
        <f t="shared" si="22"/>
        <v>-45216.400000000009</v>
      </c>
      <c r="Y38" s="2"/>
      <c r="Z38" s="7">
        <f t="shared" si="23"/>
        <v>-0.65863846463549436</v>
      </c>
    </row>
    <row r="39" spans="1:26" s="23" customFormat="1" hidden="1" outlineLevel="2" x14ac:dyDescent="0.25">
      <c r="A39" s="25"/>
      <c r="B39" s="10" t="str">
        <f>CONCATENATE("          ", "6119", " - ", "SICK LEAVE")</f>
        <v xml:space="preserve">          6119 - SICK LEAVE</v>
      </c>
      <c r="C39" s="10"/>
      <c r="D39" s="6">
        <v>1382.86</v>
      </c>
      <c r="E39" s="2"/>
      <c r="F39" s="7">
        <f t="shared" si="16"/>
        <v>2.4148647792026086E-2</v>
      </c>
      <c r="G39" s="2"/>
      <c r="H39" s="6">
        <v>-15016.86</v>
      </c>
      <c r="I39" s="2"/>
      <c r="J39" s="7">
        <f t="shared" si="17"/>
        <v>-4.8627066718175072E-2</v>
      </c>
      <c r="K39" s="2"/>
      <c r="L39" s="6">
        <f t="shared" si="18"/>
        <v>16399.72</v>
      </c>
      <c r="M39" s="2"/>
      <c r="N39" s="7">
        <f t="shared" si="19"/>
        <v>-1.092087160698042</v>
      </c>
      <c r="O39" s="10"/>
      <c r="P39" s="6">
        <v>13508.14</v>
      </c>
      <c r="Q39" s="2"/>
      <c r="R39" s="7">
        <f t="shared" si="20"/>
        <v>3.5220290097668285E-2</v>
      </c>
      <c r="S39" s="2"/>
      <c r="T39" s="6">
        <v>48014.7</v>
      </c>
      <c r="U39" s="2"/>
      <c r="V39" s="7">
        <f t="shared" si="21"/>
        <v>1.0393821803581907E-2</v>
      </c>
      <c r="W39" s="2"/>
      <c r="X39" s="6">
        <f t="shared" si="22"/>
        <v>-34506.559999999998</v>
      </c>
      <c r="Y39" s="2"/>
      <c r="Z39" s="7">
        <f t="shared" si="23"/>
        <v>-0.7186665750280643</v>
      </c>
    </row>
    <row r="40" spans="1:26" s="23" customFormat="1" hidden="1" outlineLevel="2" x14ac:dyDescent="0.25">
      <c r="A40" s="25"/>
      <c r="B40" s="10" t="str">
        <f>CONCATENATE("          ", "6156", " - ", "EMPLOYEE MEALS")</f>
        <v xml:space="preserve">          6156 - EMPLOYEE MEALS</v>
      </c>
      <c r="C40" s="10"/>
      <c r="D40" s="6">
        <v>541.80999999999995</v>
      </c>
      <c r="E40" s="2"/>
      <c r="F40" s="7">
        <f t="shared" si="16"/>
        <v>9.4615354122598479E-3</v>
      </c>
      <c r="G40" s="2"/>
      <c r="H40" s="6">
        <v>2026.92</v>
      </c>
      <c r="I40" s="2"/>
      <c r="J40" s="7">
        <f t="shared" si="17"/>
        <v>6.5635008964859106E-3</v>
      </c>
      <c r="K40" s="2"/>
      <c r="L40" s="6">
        <f t="shared" si="18"/>
        <v>-1485.1100000000001</v>
      </c>
      <c r="M40" s="2"/>
      <c r="N40" s="7">
        <f t="shared" si="19"/>
        <v>-0.73269295285457747</v>
      </c>
      <c r="O40" s="10"/>
      <c r="P40" s="6">
        <v>4259.41</v>
      </c>
      <c r="Q40" s="2"/>
      <c r="R40" s="7">
        <f t="shared" si="20"/>
        <v>1.1105722612062746E-2</v>
      </c>
      <c r="S40" s="2"/>
      <c r="T40" s="6">
        <v>24884.53</v>
      </c>
      <c r="U40" s="2"/>
      <c r="V40" s="7">
        <f t="shared" si="21"/>
        <v>5.3867955123303507E-3</v>
      </c>
      <c r="W40" s="2"/>
      <c r="X40" s="6">
        <f t="shared" si="22"/>
        <v>-20625.12</v>
      </c>
      <c r="Y40" s="2"/>
      <c r="Z40" s="7">
        <f t="shared" si="23"/>
        <v>-0.82883301392471542</v>
      </c>
    </row>
    <row r="41" spans="1:26" s="26" customFormat="1" outlineLevel="1" collapsed="1" x14ac:dyDescent="0.25">
      <c r="A41" s="27"/>
      <c r="B41" s="12" t="str">
        <f>CONCATENATE("     ","*Payroll                                          ")</f>
        <v xml:space="preserve">     *Payroll                                          </v>
      </c>
      <c r="C41" s="12"/>
      <c r="D41" s="1">
        <f>SUM(OSRRefD22_1x_0)</f>
        <v>27420.030000000002</v>
      </c>
      <c r="E41" s="1"/>
      <c r="F41" s="5">
        <f t="shared" ref="F41:F48" si="24">IF(D$12=0,0,D41/D$12)</f>
        <v>0.47883129667268498</v>
      </c>
      <c r="G41" s="1"/>
      <c r="H41" s="1">
        <f>SUM(OSRRefH22_1x_0)</f>
        <v>291554.07</v>
      </c>
      <c r="I41" s="1"/>
      <c r="J41" s="5">
        <f t="shared" ref="J41:J48" si="25">IF(H$12=0,0,H41/H$12)</f>
        <v>0.94410011239669844</v>
      </c>
      <c r="K41" s="1"/>
      <c r="L41" s="1">
        <f t="shared" ref="L41:L48" si="26">+D41-H41</f>
        <v>-264134.03999999998</v>
      </c>
      <c r="M41" s="1"/>
      <c r="N41" s="5">
        <f t="shared" ref="N41:N48" si="27">IF(H41=0,0,L41/H41)</f>
        <v>-0.90595216180655602</v>
      </c>
      <c r="O41" s="12"/>
      <c r="P41" s="1">
        <f>SUM(OSRRefP22_1x_0)</f>
        <v>260924.32</v>
      </c>
      <c r="Q41" s="1"/>
      <c r="R41" s="5">
        <f t="shared" ref="R41:R48" si="28">IF(P$12=0,0,P41/P$12)</f>
        <v>0.68031795968481457</v>
      </c>
      <c r="S41" s="1"/>
      <c r="T41" s="1">
        <f>SUM(OSRRefT22_1x_0)</f>
        <v>2079780.56</v>
      </c>
      <c r="U41" s="1"/>
      <c r="V41" s="5">
        <f t="shared" ref="V41:V48" si="29">IF(T$12=0,0,T41/T$12)</f>
        <v>0.45021354983356743</v>
      </c>
      <c r="W41" s="1"/>
      <c r="X41" s="1">
        <f t="shared" ref="X41:X48" si="30">+P41-T41</f>
        <v>-1818856.24</v>
      </c>
      <c r="Y41" s="1"/>
      <c r="Z41" s="5">
        <f t="shared" ref="Z41:Z48" si="31">IF(T41=0,0,X41/T41)</f>
        <v>-0.87454237960566372</v>
      </c>
    </row>
    <row r="42" spans="1:26" s="23" customFormat="1" hidden="1" outlineLevel="2" x14ac:dyDescent="0.25">
      <c r="A42" s="25"/>
      <c r="B42" s="10" t="str">
        <f>CONCATENATE("          ", "6001", " - ", "ADMINISTRATIVE SALARIES")</f>
        <v xml:space="preserve">          6001 - ADMINISTRATIVE SALARIES</v>
      </c>
      <c r="C42" s="10"/>
      <c r="D42" s="6">
        <v>10037.35</v>
      </c>
      <c r="E42" s="2"/>
      <c r="F42" s="7">
        <f t="shared" si="24"/>
        <v>0.1752805272517052</v>
      </c>
      <c r="G42" s="2"/>
      <c r="H42" s="6">
        <v>9626.26</v>
      </c>
      <c r="I42" s="2"/>
      <c r="J42" s="7">
        <f t="shared" si="25"/>
        <v>3.1171415813059451E-2</v>
      </c>
      <c r="K42" s="2"/>
      <c r="L42" s="6">
        <f t="shared" si="26"/>
        <v>411.09000000000015</v>
      </c>
      <c r="M42" s="2"/>
      <c r="N42" s="7">
        <f t="shared" si="27"/>
        <v>4.2705058870215445E-2</v>
      </c>
      <c r="O42" s="10"/>
      <c r="P42" s="6">
        <v>97219.25</v>
      </c>
      <c r="Q42" s="2"/>
      <c r="R42" s="7">
        <f t="shared" si="28"/>
        <v>0.25348346908439928</v>
      </c>
      <c r="S42" s="2"/>
      <c r="T42" s="6">
        <v>152871.47</v>
      </c>
      <c r="U42" s="2"/>
      <c r="V42" s="7">
        <f t="shared" si="29"/>
        <v>3.3092340846274527E-2</v>
      </c>
      <c r="W42" s="2"/>
      <c r="X42" s="6">
        <f t="shared" si="30"/>
        <v>-55652.22</v>
      </c>
      <c r="Y42" s="2"/>
      <c r="Z42" s="7">
        <f t="shared" si="31"/>
        <v>-0.36404582228456361</v>
      </c>
    </row>
    <row r="43" spans="1:26" s="23" customFormat="1" hidden="1" outlineLevel="2" x14ac:dyDescent="0.25">
      <c r="A43" s="25"/>
      <c r="B43" s="10" t="str">
        <f>CONCATENATE("          ", "6002", " - ", "STAFF SALARIES")</f>
        <v xml:space="preserve">          6002 - STAFF SALARIES</v>
      </c>
      <c r="C43" s="10"/>
      <c r="D43" s="6">
        <v>14052.4</v>
      </c>
      <c r="E43" s="2"/>
      <c r="F43" s="7">
        <f t="shared" si="24"/>
        <v>0.24539465906358374</v>
      </c>
      <c r="G43" s="2"/>
      <c r="H43" s="6">
        <v>82232.67</v>
      </c>
      <c r="I43" s="2"/>
      <c r="J43" s="7">
        <f t="shared" si="25"/>
        <v>0.26628293334982633</v>
      </c>
      <c r="K43" s="2"/>
      <c r="L43" s="6">
        <f t="shared" si="26"/>
        <v>-68180.27</v>
      </c>
      <c r="M43" s="2"/>
      <c r="N43" s="7">
        <f t="shared" si="27"/>
        <v>-0.82911414648217074</v>
      </c>
      <c r="O43" s="10"/>
      <c r="P43" s="6">
        <v>135312.99</v>
      </c>
      <c r="Q43" s="2"/>
      <c r="R43" s="7">
        <f t="shared" si="28"/>
        <v>0.35280673444181715</v>
      </c>
      <c r="S43" s="2"/>
      <c r="T43" s="6">
        <v>579636.06999999995</v>
      </c>
      <c r="U43" s="2"/>
      <c r="V43" s="7">
        <f t="shared" si="29"/>
        <v>0.1254747821502275</v>
      </c>
      <c r="W43" s="2"/>
      <c r="X43" s="6">
        <f t="shared" si="30"/>
        <v>-444323.07999999996</v>
      </c>
      <c r="Y43" s="2"/>
      <c r="Z43" s="7">
        <f t="shared" si="31"/>
        <v>-0.76655526285657138</v>
      </c>
    </row>
    <row r="44" spans="1:26" s="23" customFormat="1" hidden="1" outlineLevel="2" x14ac:dyDescent="0.25">
      <c r="A44" s="25"/>
      <c r="B44" s="10" t="str">
        <f>CONCATENATE("          ", "6004", " - ", "STAFF HOURLY")</f>
        <v xml:space="preserve">          6004 - STAFF HOURLY</v>
      </c>
      <c r="C44" s="10"/>
      <c r="D44" s="6">
        <v>2789.95</v>
      </c>
      <c r="E44" s="2"/>
      <c r="F44" s="7">
        <f t="shared" si="24"/>
        <v>4.872041993214294E-2</v>
      </c>
      <c r="G44" s="2"/>
      <c r="H44" s="6">
        <v>40876.6</v>
      </c>
      <c r="I44" s="2"/>
      <c r="J44" s="7">
        <f t="shared" si="25"/>
        <v>0.13236516524840447</v>
      </c>
      <c r="K44" s="2"/>
      <c r="L44" s="6">
        <f t="shared" si="26"/>
        <v>-38086.65</v>
      </c>
      <c r="M44" s="2"/>
      <c r="N44" s="7">
        <f t="shared" si="27"/>
        <v>-0.93174701418415429</v>
      </c>
      <c r="O44" s="10"/>
      <c r="P44" s="6">
        <v>24559.33</v>
      </c>
      <c r="Q44" s="2"/>
      <c r="R44" s="7">
        <f t="shared" si="28"/>
        <v>6.4034480483942849E-2</v>
      </c>
      <c r="S44" s="2"/>
      <c r="T44" s="6">
        <v>214585.37</v>
      </c>
      <c r="U44" s="2"/>
      <c r="V44" s="7">
        <f t="shared" si="29"/>
        <v>4.6451651211726633E-2</v>
      </c>
      <c r="W44" s="2"/>
      <c r="X44" s="6">
        <f t="shared" si="30"/>
        <v>-190026.03999999998</v>
      </c>
      <c r="Y44" s="2"/>
      <c r="Z44" s="7">
        <f t="shared" si="31"/>
        <v>-0.88554983967453127</v>
      </c>
    </row>
    <row r="45" spans="1:26" s="23" customFormat="1" hidden="1" outlineLevel="2" x14ac:dyDescent="0.25">
      <c r="A45" s="25"/>
      <c r="B45" s="10" t="str">
        <f>CONCATENATE("          ", "6005", " - ", "TEMPORARY WAGES-HOURLY")</f>
        <v xml:space="preserve">          6005 - TEMPORARY WAGES-HOURLY</v>
      </c>
      <c r="C45" s="10"/>
      <c r="D45" s="6">
        <v>172.33</v>
      </c>
      <c r="E45" s="2"/>
      <c r="F45" s="7">
        <f t="shared" si="24"/>
        <v>3.0093693316748304E-3</v>
      </c>
      <c r="G45" s="2"/>
      <c r="H45" s="6">
        <v>70273.850000000006</v>
      </c>
      <c r="I45" s="2"/>
      <c r="J45" s="7">
        <f t="shared" si="25"/>
        <v>0.22755830396587751</v>
      </c>
      <c r="K45" s="2"/>
      <c r="L45" s="6">
        <f t="shared" si="26"/>
        <v>-70101.52</v>
      </c>
      <c r="M45" s="2"/>
      <c r="N45" s="7">
        <f t="shared" si="27"/>
        <v>-0.99754773646242523</v>
      </c>
      <c r="O45" s="10"/>
      <c r="P45" s="6">
        <v>2909.04</v>
      </c>
      <c r="Q45" s="2"/>
      <c r="R45" s="7">
        <f t="shared" si="28"/>
        <v>7.5848512604785668E-3</v>
      </c>
      <c r="S45" s="2"/>
      <c r="T45" s="6">
        <v>437635.56</v>
      </c>
      <c r="U45" s="2"/>
      <c r="V45" s="7">
        <f t="shared" si="29"/>
        <v>9.4735696058723229E-2</v>
      </c>
      <c r="W45" s="2"/>
      <c r="X45" s="6">
        <f t="shared" si="30"/>
        <v>-434726.52</v>
      </c>
      <c r="Y45" s="2"/>
      <c r="Z45" s="7">
        <f t="shared" si="31"/>
        <v>-0.99335282535084679</v>
      </c>
    </row>
    <row r="46" spans="1:26" s="23" customFormat="1" hidden="1" outlineLevel="2" x14ac:dyDescent="0.25">
      <c r="A46" s="25"/>
      <c r="B46" s="10" t="str">
        <f>CONCATENATE("          ", "6006", " - ", "TEMPORARY PART TIME")</f>
        <v xml:space="preserve">          6006 - TEMPORARY PART TIME</v>
      </c>
      <c r="C46" s="10"/>
      <c r="D46" s="6"/>
      <c r="E46" s="2"/>
      <c r="F46" s="7">
        <f t="shared" si="24"/>
        <v>0</v>
      </c>
      <c r="G46" s="2"/>
      <c r="H46" s="6">
        <v>589.54999999999995</v>
      </c>
      <c r="I46" s="2"/>
      <c r="J46" s="7">
        <f t="shared" si="25"/>
        <v>1.9090600287743316E-3</v>
      </c>
      <c r="K46" s="2"/>
      <c r="L46" s="6">
        <f t="shared" si="26"/>
        <v>-589.54999999999995</v>
      </c>
      <c r="M46" s="2"/>
      <c r="N46" s="7">
        <f t="shared" si="27"/>
        <v>-1</v>
      </c>
      <c r="O46" s="10"/>
      <c r="P46" s="6"/>
      <c r="Q46" s="2"/>
      <c r="R46" s="7">
        <f t="shared" si="28"/>
        <v>0</v>
      </c>
      <c r="S46" s="2"/>
      <c r="T46" s="6">
        <v>11826.56</v>
      </c>
      <c r="U46" s="2"/>
      <c r="V46" s="7">
        <f t="shared" si="29"/>
        <v>2.5601150728708009E-3</v>
      </c>
      <c r="W46" s="2"/>
      <c r="X46" s="6">
        <f t="shared" si="30"/>
        <v>-11826.56</v>
      </c>
      <c r="Y46" s="2"/>
      <c r="Z46" s="7">
        <f t="shared" si="31"/>
        <v>-1</v>
      </c>
    </row>
    <row r="47" spans="1:26" s="23" customFormat="1" hidden="1" outlineLevel="2" x14ac:dyDescent="0.25">
      <c r="A47" s="25"/>
      <c r="B47" s="10" t="str">
        <f>CONCATENATE("          ", "6007", " - ", "STUDENT HOURLY")</f>
        <v xml:space="preserve">          6007 - STUDENT HOURLY</v>
      </c>
      <c r="C47" s="10"/>
      <c r="D47" s="6">
        <v>368</v>
      </c>
      <c r="E47" s="2"/>
      <c r="F47" s="7">
        <f t="shared" si="24"/>
        <v>6.4263210935782368E-3</v>
      </c>
      <c r="G47" s="2"/>
      <c r="H47" s="6">
        <v>80453.100000000006</v>
      </c>
      <c r="I47" s="2"/>
      <c r="J47" s="7">
        <f t="shared" si="25"/>
        <v>0.26052039250442577</v>
      </c>
      <c r="K47" s="2"/>
      <c r="L47" s="6">
        <f t="shared" si="26"/>
        <v>-80085.100000000006</v>
      </c>
      <c r="M47" s="2"/>
      <c r="N47" s="7">
        <f t="shared" si="27"/>
        <v>-0.99542590652193641</v>
      </c>
      <c r="O47" s="10"/>
      <c r="P47" s="6">
        <v>923.71</v>
      </c>
      <c r="Q47" s="2"/>
      <c r="R47" s="7">
        <f t="shared" si="28"/>
        <v>2.4084244141767243E-3</v>
      </c>
      <c r="S47" s="2"/>
      <c r="T47" s="6">
        <v>646768.24</v>
      </c>
      <c r="U47" s="2"/>
      <c r="V47" s="7">
        <f t="shared" si="29"/>
        <v>0.14000699441579967</v>
      </c>
      <c r="W47" s="2"/>
      <c r="X47" s="6">
        <f t="shared" si="30"/>
        <v>-645844.53</v>
      </c>
      <c r="Y47" s="2"/>
      <c r="Z47" s="7">
        <f t="shared" si="31"/>
        <v>-0.99857180680362423</v>
      </c>
    </row>
    <row r="48" spans="1:26" s="23" customFormat="1" hidden="1" outlineLevel="2" x14ac:dyDescent="0.25">
      <c r="A48" s="25"/>
      <c r="B48" s="10" t="str">
        <f>CONCATENATE("          ", "6008", " - ", "STUDENT HOURLY-FICA EXEMPT")</f>
        <v xml:space="preserve">          6008 - STUDENT HOURLY-FICA EXEMPT</v>
      </c>
      <c r="C48" s="10"/>
      <c r="D48" s="6"/>
      <c r="E48" s="2"/>
      <c r="F48" s="7">
        <f t="shared" si="24"/>
        <v>0</v>
      </c>
      <c r="G48" s="2"/>
      <c r="H48" s="6">
        <v>7502.04</v>
      </c>
      <c r="I48" s="2"/>
      <c r="J48" s="7">
        <f t="shared" si="25"/>
        <v>2.4292841486330572E-2</v>
      </c>
      <c r="K48" s="2"/>
      <c r="L48" s="6">
        <f t="shared" si="26"/>
        <v>-7502.04</v>
      </c>
      <c r="M48" s="2"/>
      <c r="N48" s="7">
        <f t="shared" si="27"/>
        <v>-1</v>
      </c>
      <c r="O48" s="10"/>
      <c r="P48" s="6"/>
      <c r="Q48" s="2"/>
      <c r="R48" s="7">
        <f t="shared" si="28"/>
        <v>0</v>
      </c>
      <c r="S48" s="2"/>
      <c r="T48" s="6">
        <v>36457.29</v>
      </c>
      <c r="U48" s="2"/>
      <c r="V48" s="7">
        <f t="shared" si="29"/>
        <v>7.89197007794506E-3</v>
      </c>
      <c r="W48" s="2"/>
      <c r="X48" s="6">
        <f t="shared" si="30"/>
        <v>-36457.29</v>
      </c>
      <c r="Y48" s="2"/>
      <c r="Z48" s="7">
        <f t="shared" si="31"/>
        <v>-1</v>
      </c>
    </row>
    <row r="49" spans="1:26" s="26" customFormat="1" outlineLevel="1" collapsed="1" x14ac:dyDescent="0.25">
      <c r="A49" s="27"/>
      <c r="B49" s="12" t="str">
        <f>CONCATENATE("     ","Advertising/Promo                                 ")</f>
        <v xml:space="preserve">     Advertising/Promo                                 </v>
      </c>
      <c r="C49" s="12"/>
      <c r="D49" s="1">
        <f>SUM(OSRRefD22_2x_0)</f>
        <v>155.19</v>
      </c>
      <c r="E49" s="1"/>
      <c r="F49" s="5">
        <f t="shared" ref="F49:F58" si="32">IF(D$12=0,0,D49/D$12)</f>
        <v>2.7100564416098006E-3</v>
      </c>
      <c r="G49" s="1"/>
      <c r="H49" s="1">
        <f>SUM(OSRRefH22_2x_0)</f>
        <v>2053.31</v>
      </c>
      <c r="I49" s="1"/>
      <c r="J49" s="5">
        <f t="shared" ref="J49:J58" si="33">IF(H$12=0,0,H49/H$12)</f>
        <v>6.6489560642568456E-3</v>
      </c>
      <c r="K49" s="1"/>
      <c r="L49" s="1">
        <f t="shared" ref="L49:L58" si="34">+D49-H49</f>
        <v>-1898.12</v>
      </c>
      <c r="M49" s="1"/>
      <c r="N49" s="5">
        <f t="shared" ref="N49:N58" si="35">IF(H49=0,0,L49/H49)</f>
        <v>-0.92441959567722354</v>
      </c>
      <c r="O49" s="12"/>
      <c r="P49" s="1">
        <f>SUM(OSRRefP22_2x_0)</f>
        <v>373.02</v>
      </c>
      <c r="Q49" s="1"/>
      <c r="R49" s="5">
        <f t="shared" ref="R49:R58" si="36">IF(P$12=0,0,P49/P$12)</f>
        <v>9.7258931371989213E-4</v>
      </c>
      <c r="S49" s="1"/>
      <c r="T49" s="1">
        <f>SUM(OSRRefT22_2x_0)</f>
        <v>28137.9</v>
      </c>
      <c r="U49" s="1"/>
      <c r="V49" s="5">
        <f t="shared" ref="V49:V58" si="37">IF(T$12=0,0,T49/T$12)</f>
        <v>6.0910579161591628E-3</v>
      </c>
      <c r="W49" s="1"/>
      <c r="X49" s="1">
        <f t="shared" ref="X49:X58" si="38">+P49-T49</f>
        <v>-27764.880000000001</v>
      </c>
      <c r="Y49" s="1"/>
      <c r="Z49" s="5">
        <f t="shared" ref="Z49:Z58" si="39">IF(T49=0,0,X49/T49)</f>
        <v>-0.98674314714317701</v>
      </c>
    </row>
    <row r="50" spans="1:26" s="23" customFormat="1" hidden="1" outlineLevel="2" x14ac:dyDescent="0.25">
      <c r="A50" s="25"/>
      <c r="B50" s="10" t="str">
        <f>CONCATENATE("          ", "6362", " - ", "ADVERTISING EXPENSE")</f>
        <v xml:space="preserve">          6362 - ADVERTISING EXPENSE</v>
      </c>
      <c r="C50" s="10"/>
      <c r="D50" s="6">
        <v>155.19</v>
      </c>
      <c r="E50" s="2"/>
      <c r="F50" s="7">
        <f t="shared" si="32"/>
        <v>2.7100564416098006E-3</v>
      </c>
      <c r="G50" s="2"/>
      <c r="H50" s="6">
        <v>2053.31</v>
      </c>
      <c r="I50" s="2"/>
      <c r="J50" s="7">
        <f t="shared" si="33"/>
        <v>6.6489560642568456E-3</v>
      </c>
      <c r="K50" s="2"/>
      <c r="L50" s="6">
        <f t="shared" si="34"/>
        <v>-1898.12</v>
      </c>
      <c r="M50" s="2"/>
      <c r="N50" s="7">
        <f t="shared" si="35"/>
        <v>-0.92441959567722354</v>
      </c>
      <c r="O50" s="10"/>
      <c r="P50" s="6">
        <v>373.02</v>
      </c>
      <c r="Q50" s="2"/>
      <c r="R50" s="7">
        <f t="shared" si="36"/>
        <v>9.7258931371989213E-4</v>
      </c>
      <c r="S50" s="2"/>
      <c r="T50" s="6">
        <v>28137.9</v>
      </c>
      <c r="U50" s="2"/>
      <c r="V50" s="7">
        <f t="shared" si="37"/>
        <v>6.0910579161591628E-3</v>
      </c>
      <c r="W50" s="2"/>
      <c r="X50" s="6">
        <f t="shared" si="38"/>
        <v>-27764.880000000001</v>
      </c>
      <c r="Y50" s="2"/>
      <c r="Z50" s="7">
        <f t="shared" si="39"/>
        <v>-0.98674314714317701</v>
      </c>
    </row>
    <row r="51" spans="1:26" s="26" customFormat="1" outlineLevel="1" collapsed="1" x14ac:dyDescent="0.25">
      <c r="A51" s="27"/>
      <c r="B51" s="12" t="str">
        <f>CONCATENATE("     ","Bad Debts/Over/Short                              ")</f>
        <v xml:space="preserve">     Bad Debts/Over/Short                              </v>
      </c>
      <c r="C51" s="12"/>
      <c r="D51" s="1">
        <f>SUM(OSRRefD22_3x_0)</f>
        <v>-0.39</v>
      </c>
      <c r="E51" s="1"/>
      <c r="F51" s="5">
        <f t="shared" si="32"/>
        <v>-6.8105033328682402E-6</v>
      </c>
      <c r="G51" s="1"/>
      <c r="H51" s="1">
        <f>SUM(OSRRefH22_3x_0)</f>
        <v>9.48</v>
      </c>
      <c r="I51" s="1"/>
      <c r="J51" s="5">
        <f t="shared" si="33"/>
        <v>3.0697801836622281E-5</v>
      </c>
      <c r="K51" s="1"/>
      <c r="L51" s="1">
        <f t="shared" si="34"/>
        <v>-9.870000000000001</v>
      </c>
      <c r="M51" s="1"/>
      <c r="N51" s="5">
        <f t="shared" si="35"/>
        <v>-1.0411392405063291</v>
      </c>
      <c r="O51" s="12"/>
      <c r="P51" s="1">
        <f>SUM(OSRRefP22_3x_0)</f>
        <v>8.4</v>
      </c>
      <c r="Q51" s="1"/>
      <c r="R51" s="5">
        <f t="shared" si="36"/>
        <v>2.1901641293354499E-5</v>
      </c>
      <c r="S51" s="1"/>
      <c r="T51" s="1">
        <f>SUM(OSRRefT22_3x_0)</f>
        <v>-260.64999999999998</v>
      </c>
      <c r="U51" s="1"/>
      <c r="V51" s="5">
        <f t="shared" si="37"/>
        <v>-5.6423338125691175E-5</v>
      </c>
      <c r="W51" s="1"/>
      <c r="X51" s="1">
        <f t="shared" si="38"/>
        <v>269.04999999999995</v>
      </c>
      <c r="Y51" s="1"/>
      <c r="Z51" s="5">
        <f t="shared" si="39"/>
        <v>-1.0322271244964512</v>
      </c>
    </row>
    <row r="52" spans="1:26" s="23" customFormat="1" hidden="1" outlineLevel="2" x14ac:dyDescent="0.25">
      <c r="A52" s="25"/>
      <c r="B52" s="10" t="str">
        <f>CONCATENATE("          ", "6272", " - ", "CASH (OVER/SHORT)")</f>
        <v xml:space="preserve">          6272 - CASH (OVER/SHORT)</v>
      </c>
      <c r="C52" s="10"/>
      <c r="D52" s="6">
        <v>-0.39</v>
      </c>
      <c r="E52" s="2"/>
      <c r="F52" s="7">
        <f t="shared" si="32"/>
        <v>-6.8105033328682402E-6</v>
      </c>
      <c r="G52" s="2"/>
      <c r="H52" s="6">
        <v>9.48</v>
      </c>
      <c r="I52" s="2"/>
      <c r="J52" s="7">
        <f t="shared" si="33"/>
        <v>3.0697801836622281E-5</v>
      </c>
      <c r="K52" s="2"/>
      <c r="L52" s="6">
        <f t="shared" si="34"/>
        <v>-9.870000000000001</v>
      </c>
      <c r="M52" s="2"/>
      <c r="N52" s="7">
        <f t="shared" si="35"/>
        <v>-1.0411392405063291</v>
      </c>
      <c r="O52" s="10"/>
      <c r="P52" s="6">
        <v>8.4</v>
      </c>
      <c r="Q52" s="2"/>
      <c r="R52" s="7">
        <f t="shared" si="36"/>
        <v>2.1901641293354499E-5</v>
      </c>
      <c r="S52" s="2"/>
      <c r="T52" s="6">
        <v>-260.64999999999998</v>
      </c>
      <c r="U52" s="2"/>
      <c r="V52" s="7">
        <f t="shared" si="37"/>
        <v>-5.6423338125691175E-5</v>
      </c>
      <c r="W52" s="2"/>
      <c r="X52" s="6">
        <f t="shared" si="38"/>
        <v>269.04999999999995</v>
      </c>
      <c r="Y52" s="2"/>
      <c r="Z52" s="7">
        <f t="shared" si="39"/>
        <v>-1.0322271244964512</v>
      </c>
    </row>
    <row r="53" spans="1:26" s="26" customFormat="1" outlineLevel="1" collapsed="1" x14ac:dyDescent="0.25">
      <c r="A53" s="27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649.46</v>
      </c>
      <c r="E53" s="1"/>
      <c r="F53" s="5">
        <f t="shared" si="32"/>
        <v>1.1341408960422071E-2</v>
      </c>
      <c r="G53" s="1"/>
      <c r="H53" s="1">
        <f>SUM(OSRRefH22_4x_0)</f>
        <v>13539.18</v>
      </c>
      <c r="I53" s="1"/>
      <c r="J53" s="5">
        <f t="shared" si="33"/>
        <v>4.3842095429362835E-2</v>
      </c>
      <c r="K53" s="1"/>
      <c r="L53" s="1">
        <f t="shared" si="34"/>
        <v>-12889.720000000001</v>
      </c>
      <c r="M53" s="1"/>
      <c r="N53" s="5">
        <f t="shared" si="35"/>
        <v>-0.95203106835125917</v>
      </c>
      <c r="O53" s="12"/>
      <c r="P53" s="1">
        <f>SUM(OSRRefP22_4x_0)</f>
        <v>5357.85</v>
      </c>
      <c r="Q53" s="1"/>
      <c r="R53" s="5">
        <f t="shared" si="36"/>
        <v>1.3969727238523738E-2</v>
      </c>
      <c r="S53" s="1"/>
      <c r="T53" s="1">
        <f>SUM(OSRRefT22_4x_0)</f>
        <v>146313.59</v>
      </c>
      <c r="U53" s="1"/>
      <c r="V53" s="5">
        <f t="shared" si="37"/>
        <v>3.167274567793496E-2</v>
      </c>
      <c r="W53" s="1"/>
      <c r="X53" s="1">
        <f t="shared" si="38"/>
        <v>-140955.74</v>
      </c>
      <c r="Y53" s="1"/>
      <c r="Z53" s="5">
        <f t="shared" si="39"/>
        <v>-0.96338105024967258</v>
      </c>
    </row>
    <row r="54" spans="1:26" s="23" customFormat="1" hidden="1" outlineLevel="2" x14ac:dyDescent="0.25">
      <c r="A54" s="25"/>
      <c r="B54" s="10" t="str">
        <f>CONCATENATE("          ", "6381", " - ", "BANK/CREDIT CARD FEES")</f>
        <v xml:space="preserve">          6381 - BANK/CREDIT CARD FEES</v>
      </c>
      <c r="C54" s="10"/>
      <c r="D54" s="6">
        <v>649.46</v>
      </c>
      <c r="E54" s="2"/>
      <c r="F54" s="7">
        <f t="shared" si="32"/>
        <v>1.1341408960422071E-2</v>
      </c>
      <c r="G54" s="2"/>
      <c r="H54" s="6">
        <v>13539.18</v>
      </c>
      <c r="I54" s="2"/>
      <c r="J54" s="7">
        <f t="shared" si="33"/>
        <v>4.3842095429362835E-2</v>
      </c>
      <c r="K54" s="2"/>
      <c r="L54" s="6">
        <f t="shared" si="34"/>
        <v>-12889.720000000001</v>
      </c>
      <c r="M54" s="2"/>
      <c r="N54" s="7">
        <f t="shared" si="35"/>
        <v>-0.95203106835125917</v>
      </c>
      <c r="O54" s="10"/>
      <c r="P54" s="6">
        <v>5357.85</v>
      </c>
      <c r="Q54" s="2"/>
      <c r="R54" s="7">
        <f t="shared" si="36"/>
        <v>1.3969727238523738E-2</v>
      </c>
      <c r="S54" s="2"/>
      <c r="T54" s="6">
        <v>146313.59</v>
      </c>
      <c r="U54" s="2"/>
      <c r="V54" s="7">
        <f t="shared" si="37"/>
        <v>3.167274567793496E-2</v>
      </c>
      <c r="W54" s="2"/>
      <c r="X54" s="6">
        <f t="shared" si="38"/>
        <v>-140955.74</v>
      </c>
      <c r="Y54" s="2"/>
      <c r="Z54" s="7">
        <f t="shared" si="39"/>
        <v>-0.96338105024967258</v>
      </c>
    </row>
    <row r="55" spans="1:26" s="26" customFormat="1" outlineLevel="1" collapsed="1" x14ac:dyDescent="0.25">
      <c r="A55" s="27"/>
      <c r="B55" s="12" t="str">
        <f>CONCATENATE("     ","Depreciation                                      ")</f>
        <v xml:space="preserve">     Depreciation                                      </v>
      </c>
      <c r="C55" s="12"/>
      <c r="D55" s="1">
        <f>SUM(OSRRefD22_5x_0)</f>
        <v>36720.76</v>
      </c>
      <c r="E55" s="1"/>
      <c r="F55" s="5">
        <f t="shared" si="32"/>
        <v>0.6412483547832174</v>
      </c>
      <c r="G55" s="1"/>
      <c r="H55" s="1">
        <f>SUM(OSRRefH22_5x_0)</f>
        <v>43421.61</v>
      </c>
      <c r="I55" s="1"/>
      <c r="J55" s="5">
        <f t="shared" si="33"/>
        <v>0.14060632692057978</v>
      </c>
      <c r="K55" s="1"/>
      <c r="L55" s="1">
        <f t="shared" si="34"/>
        <v>-6700.8499999999985</v>
      </c>
      <c r="M55" s="1"/>
      <c r="N55" s="5">
        <f t="shared" si="35"/>
        <v>-0.15432062514494507</v>
      </c>
      <c r="O55" s="12"/>
      <c r="P55" s="1">
        <f>SUM(OSRRefP22_5x_0)</f>
        <v>333310.36</v>
      </c>
      <c r="Q55" s="1"/>
      <c r="R55" s="5">
        <f t="shared" si="36"/>
        <v>0.86905285048557768</v>
      </c>
      <c r="S55" s="1"/>
      <c r="T55" s="1">
        <f>SUM(OSRRefT22_5x_0)</f>
        <v>363751.62</v>
      </c>
      <c r="U55" s="1"/>
      <c r="V55" s="5">
        <f t="shared" si="37"/>
        <v>7.8741916934693762E-2</v>
      </c>
      <c r="W55" s="1"/>
      <c r="X55" s="1">
        <f t="shared" si="38"/>
        <v>-30441.260000000009</v>
      </c>
      <c r="Y55" s="1"/>
      <c r="Z55" s="5">
        <f t="shared" si="39"/>
        <v>-8.3686940005930452E-2</v>
      </c>
    </row>
    <row r="56" spans="1:26" s="23" customFormat="1" hidden="1" outlineLevel="2" x14ac:dyDescent="0.25">
      <c r="A56" s="25"/>
      <c r="B56" s="10" t="str">
        <f>CONCATENATE("          ", "6321", " - ", "BUILDING DEPRECIATION")</f>
        <v xml:space="preserve">          6321 - BUILDING DEPRECIATION</v>
      </c>
      <c r="C56" s="10"/>
      <c r="D56" s="6">
        <v>23583.49</v>
      </c>
      <c r="E56" s="2"/>
      <c r="F56" s="7">
        <f t="shared" si="32"/>
        <v>0.41183445447606365</v>
      </c>
      <c r="G56" s="2"/>
      <c r="H56" s="6">
        <v>24042.959999999999</v>
      </c>
      <c r="I56" s="2"/>
      <c r="J56" s="7">
        <f t="shared" si="33"/>
        <v>7.7855065574455276E-2</v>
      </c>
      <c r="K56" s="2"/>
      <c r="L56" s="6">
        <f t="shared" si="34"/>
        <v>-459.46999999999753</v>
      </c>
      <c r="M56" s="2"/>
      <c r="N56" s="7">
        <f t="shared" si="35"/>
        <v>-1.911037576072154E-2</v>
      </c>
      <c r="O56" s="10"/>
      <c r="P56" s="6">
        <v>213035.6</v>
      </c>
      <c r="Q56" s="2"/>
      <c r="R56" s="7">
        <f t="shared" si="36"/>
        <v>0.55545586832316085</v>
      </c>
      <c r="S56" s="2"/>
      <c r="T56" s="6">
        <v>216386.64</v>
      </c>
      <c r="U56" s="2"/>
      <c r="V56" s="7">
        <f t="shared" si="37"/>
        <v>4.6841575118366438E-2</v>
      </c>
      <c r="W56" s="2"/>
      <c r="X56" s="6">
        <f t="shared" si="38"/>
        <v>-3351.0400000000081</v>
      </c>
      <c r="Y56" s="2"/>
      <c r="Z56" s="7">
        <f t="shared" si="39"/>
        <v>-1.5486353501306772E-2</v>
      </c>
    </row>
    <row r="57" spans="1:26" s="23" customFormat="1" hidden="1" outlineLevel="2" x14ac:dyDescent="0.25">
      <c r="A57" s="25"/>
      <c r="B57" s="10" t="str">
        <f>CONCATENATE("          ", "6322", " - ", "EQUIPMENT DEPRECIATION EXPENSE")</f>
        <v xml:space="preserve">          6322 - EQUIPMENT DEPRECIATION EXPENSE</v>
      </c>
      <c r="C57" s="10"/>
      <c r="D57" s="6">
        <v>13137.27</v>
      </c>
      <c r="E57" s="2"/>
      <c r="F57" s="7">
        <f t="shared" si="32"/>
        <v>0.22941390030715372</v>
      </c>
      <c r="G57" s="2"/>
      <c r="H57" s="6">
        <v>18954.400000000001</v>
      </c>
      <c r="I57" s="2"/>
      <c r="J57" s="7">
        <f t="shared" si="33"/>
        <v>6.1377469950640653E-2</v>
      </c>
      <c r="K57" s="2"/>
      <c r="L57" s="6">
        <f t="shared" si="34"/>
        <v>-5817.130000000001</v>
      </c>
      <c r="M57" s="2"/>
      <c r="N57" s="7">
        <f t="shared" si="35"/>
        <v>-0.30690129996201415</v>
      </c>
      <c r="O57" s="10"/>
      <c r="P57" s="6">
        <v>120274.76</v>
      </c>
      <c r="Q57" s="2"/>
      <c r="R57" s="7">
        <f t="shared" si="36"/>
        <v>0.31359698216241683</v>
      </c>
      <c r="S57" s="2"/>
      <c r="T57" s="6">
        <v>143546.73000000001</v>
      </c>
      <c r="U57" s="2"/>
      <c r="V57" s="7">
        <f t="shared" si="37"/>
        <v>3.1073798901313249E-2</v>
      </c>
      <c r="W57" s="2"/>
      <c r="X57" s="6">
        <f t="shared" si="38"/>
        <v>-23271.970000000016</v>
      </c>
      <c r="Y57" s="2"/>
      <c r="Z57" s="7">
        <f t="shared" si="39"/>
        <v>-0.16212121307117211</v>
      </c>
    </row>
    <row r="58" spans="1:26" s="23" customFormat="1" hidden="1" outlineLevel="2" x14ac:dyDescent="0.25">
      <c r="A58" s="25"/>
      <c r="B58" s="10" t="str">
        <f>CONCATENATE("          ", "6326", " - ", "VEHICLES DEPRECIATION EXPENSE")</f>
        <v xml:space="preserve">          6326 - VEHICLES DEPRECIATION EXPENSE</v>
      </c>
      <c r="C58" s="10"/>
      <c r="D58" s="6"/>
      <c r="E58" s="2"/>
      <c r="F58" s="7">
        <f t="shared" si="32"/>
        <v>0</v>
      </c>
      <c r="G58" s="2"/>
      <c r="H58" s="6">
        <v>424.25</v>
      </c>
      <c r="I58" s="2"/>
      <c r="J58" s="7">
        <f t="shared" si="33"/>
        <v>1.373791395483861E-3</v>
      </c>
      <c r="K58" s="2"/>
      <c r="L58" s="6">
        <f t="shared" si="34"/>
        <v>-424.25</v>
      </c>
      <c r="M58" s="2"/>
      <c r="N58" s="7">
        <f t="shared" si="35"/>
        <v>-1</v>
      </c>
      <c r="O58" s="10"/>
      <c r="P58" s="6"/>
      <c r="Q58" s="2"/>
      <c r="R58" s="7">
        <f t="shared" si="36"/>
        <v>0</v>
      </c>
      <c r="S58" s="2"/>
      <c r="T58" s="6">
        <v>3818.25</v>
      </c>
      <c r="U58" s="2"/>
      <c r="V58" s="7">
        <f t="shared" si="37"/>
        <v>8.2654291501408153E-4</v>
      </c>
      <c r="W58" s="2"/>
      <c r="X58" s="6">
        <f t="shared" si="38"/>
        <v>-3818.25</v>
      </c>
      <c r="Y58" s="2"/>
      <c r="Z58" s="7">
        <f t="shared" si="39"/>
        <v>-1</v>
      </c>
    </row>
    <row r="59" spans="1:26" s="26" customFormat="1" outlineLevel="1" collapsed="1" x14ac:dyDescent="0.25">
      <c r="A59" s="27"/>
      <c r="B59" s="12" t="str">
        <f>CONCATENATE("     ","Discounts and Markdowns                           ")</f>
        <v xml:space="preserve">     Discounts and Markdowns                           </v>
      </c>
      <c r="C59" s="12"/>
      <c r="D59" s="1">
        <f>SUM(OSRRefD22_6x_0)</f>
        <v>0</v>
      </c>
      <c r="E59" s="1"/>
      <c r="F59" s="5">
        <f t="shared" ref="F59:F71" si="40">IF(D$12=0,0,D59/D$12)</f>
        <v>0</v>
      </c>
      <c r="G59" s="1"/>
      <c r="H59" s="1">
        <f>SUM(OSRRefH22_6x_0)</f>
        <v>0</v>
      </c>
      <c r="I59" s="1"/>
      <c r="J59" s="5">
        <f t="shared" ref="J59:J71" si="41">IF(H$12=0,0,H59/H$12)</f>
        <v>0</v>
      </c>
      <c r="K59" s="1"/>
      <c r="L59" s="1">
        <f t="shared" ref="L59:L71" si="42">+D59-H59</f>
        <v>0</v>
      </c>
      <c r="M59" s="1"/>
      <c r="N59" s="5">
        <f t="shared" ref="N59:N71" si="43">IF(H59=0,0,L59/H59)</f>
        <v>0</v>
      </c>
      <c r="O59" s="12"/>
      <c r="P59" s="1">
        <f>SUM(OSRRefP22_6x_0)</f>
        <v>0</v>
      </c>
      <c r="Q59" s="1"/>
      <c r="R59" s="5">
        <f t="shared" ref="R59:R71" si="44">IF(P$12=0,0,P59/P$12)</f>
        <v>0</v>
      </c>
      <c r="S59" s="1"/>
      <c r="T59" s="1">
        <f>SUM(OSRRefT22_6x_0)</f>
        <v>0.09</v>
      </c>
      <c r="U59" s="1"/>
      <c r="V59" s="5">
        <f t="shared" ref="V59:V71" si="45">IF(T$12=0,0,T59/T$12)</f>
        <v>1.9482449381592965E-8</v>
      </c>
      <c r="W59" s="1"/>
      <c r="X59" s="1">
        <f t="shared" ref="X59:X71" si="46">+P59-T59</f>
        <v>-0.09</v>
      </c>
      <c r="Y59" s="1"/>
      <c r="Z59" s="5">
        <f t="shared" ref="Z59:Z71" si="47">IF(T59=0,0,X59/T59)</f>
        <v>-1</v>
      </c>
    </row>
    <row r="60" spans="1:26" s="23" customFormat="1" hidden="1" outlineLevel="2" x14ac:dyDescent="0.25">
      <c r="A60" s="25"/>
      <c r="B60" s="10" t="str">
        <f>CONCATENATE("          ", "6382", " - ", "DISCOUNTS/MARK DOWNS")</f>
        <v xml:space="preserve">          6382 - DISCOUNTS/MARK DOWNS</v>
      </c>
      <c r="C60" s="10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0"/>
      <c r="P60" s="6"/>
      <c r="Q60" s="2"/>
      <c r="R60" s="7">
        <f t="shared" si="44"/>
        <v>0</v>
      </c>
      <c r="S60" s="2"/>
      <c r="T60" s="6">
        <v>0.09</v>
      </c>
      <c r="U60" s="2"/>
      <c r="V60" s="7">
        <f t="shared" si="45"/>
        <v>1.9482449381592965E-8</v>
      </c>
      <c r="W60" s="2"/>
      <c r="X60" s="6">
        <f t="shared" si="46"/>
        <v>-0.09</v>
      </c>
      <c r="Y60" s="2"/>
      <c r="Z60" s="7">
        <f t="shared" si="47"/>
        <v>-1</v>
      </c>
    </row>
    <row r="61" spans="1:26" s="26" customFormat="1" outlineLevel="1" collapsed="1" x14ac:dyDescent="0.25">
      <c r="A61" s="27"/>
      <c r="B61" s="12" t="str">
        <f>CONCATENATE("     ","Donations                                         ")</f>
        <v xml:space="preserve">     Donations                                         </v>
      </c>
      <c r="C61" s="12"/>
      <c r="D61" s="1">
        <f>SUM(OSRRefD22_7x_0)</f>
        <v>0</v>
      </c>
      <c r="E61" s="1"/>
      <c r="F61" s="5">
        <f t="shared" si="40"/>
        <v>0</v>
      </c>
      <c r="G61" s="1"/>
      <c r="H61" s="1">
        <f>SUM(OSRRefH22_7x_0)</f>
        <v>0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2"/>
      <c r="P61" s="1">
        <f>SUM(OSRRefP22_7x_0)</f>
        <v>0</v>
      </c>
      <c r="Q61" s="1"/>
      <c r="R61" s="5">
        <f t="shared" si="44"/>
        <v>0</v>
      </c>
      <c r="S61" s="1"/>
      <c r="T61" s="1">
        <f>SUM(OSRRefT22_7x_0)</f>
        <v>236.68</v>
      </c>
      <c r="U61" s="1"/>
      <c r="V61" s="5">
        <f t="shared" si="45"/>
        <v>5.123451244039359E-5</v>
      </c>
      <c r="W61" s="1"/>
      <c r="X61" s="1">
        <f t="shared" si="46"/>
        <v>-236.68</v>
      </c>
      <c r="Y61" s="1"/>
      <c r="Z61" s="5">
        <f t="shared" si="47"/>
        <v>-1</v>
      </c>
    </row>
    <row r="62" spans="1:26" s="23" customFormat="1" hidden="1" outlineLevel="2" x14ac:dyDescent="0.25">
      <c r="A62" s="25"/>
      <c r="B62" s="10" t="str">
        <f>CONCATENATE("          ", "6399", " - ", "DONATION-ON CAMPUS")</f>
        <v xml:space="preserve">          6399 - DONATION-ON CAMPUS</v>
      </c>
      <c r="C62" s="10"/>
      <c r="D62" s="6"/>
      <c r="E62" s="2"/>
      <c r="F62" s="7">
        <f t="shared" si="40"/>
        <v>0</v>
      </c>
      <c r="G62" s="2"/>
      <c r="H62" s="6"/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0"/>
      <c r="P62" s="6"/>
      <c r="Q62" s="2"/>
      <c r="R62" s="7">
        <f t="shared" si="44"/>
        <v>0</v>
      </c>
      <c r="S62" s="2"/>
      <c r="T62" s="6">
        <v>236.68</v>
      </c>
      <c r="U62" s="2"/>
      <c r="V62" s="7">
        <f t="shared" si="45"/>
        <v>5.123451244039359E-5</v>
      </c>
      <c r="W62" s="2"/>
      <c r="X62" s="6">
        <f t="shared" si="46"/>
        <v>-236.68</v>
      </c>
      <c r="Y62" s="2"/>
      <c r="Z62" s="7">
        <f t="shared" si="47"/>
        <v>-1</v>
      </c>
    </row>
    <row r="63" spans="1:26" s="26" customFormat="1" outlineLevel="1" collapsed="1" x14ac:dyDescent="0.25">
      <c r="A63" s="27"/>
      <c r="B63" s="12" t="str">
        <f>CONCATENATE("     ","Employees' Appreciation                           ")</f>
        <v xml:space="preserve">     Employees' Appreciation                           </v>
      </c>
      <c r="C63" s="12"/>
      <c r="D63" s="1">
        <f>SUM(OSRRefD22_8x_0)</f>
        <v>0</v>
      </c>
      <c r="E63" s="1"/>
      <c r="F63" s="5">
        <f t="shared" si="40"/>
        <v>0</v>
      </c>
      <c r="G63" s="1"/>
      <c r="H63" s="1">
        <f>SUM(OSRRefH22_8x_0)</f>
        <v>186.23</v>
      </c>
      <c r="I63" s="1"/>
      <c r="J63" s="5">
        <f t="shared" si="41"/>
        <v>6.0304342152259151E-4</v>
      </c>
      <c r="K63" s="1"/>
      <c r="L63" s="1">
        <f t="shared" si="42"/>
        <v>-186.23</v>
      </c>
      <c r="M63" s="1"/>
      <c r="N63" s="5">
        <f t="shared" si="43"/>
        <v>-1</v>
      </c>
      <c r="O63" s="12"/>
      <c r="P63" s="1">
        <f>SUM(OSRRefP22_8x_0)</f>
        <v>10</v>
      </c>
      <c r="Q63" s="1"/>
      <c r="R63" s="5">
        <f t="shared" si="44"/>
        <v>2.6073382492088687E-5</v>
      </c>
      <c r="S63" s="1"/>
      <c r="T63" s="1">
        <f>SUM(OSRRefT22_8x_0)</f>
        <v>1672.81</v>
      </c>
      <c r="U63" s="1"/>
      <c r="V63" s="5">
        <f t="shared" si="45"/>
        <v>3.6211595722247249E-4</v>
      </c>
      <c r="W63" s="1"/>
      <c r="X63" s="1">
        <f t="shared" si="46"/>
        <v>-1662.81</v>
      </c>
      <c r="Y63" s="1"/>
      <c r="Z63" s="5">
        <f t="shared" si="47"/>
        <v>-0.99402203477980167</v>
      </c>
    </row>
    <row r="64" spans="1:26" s="23" customFormat="1" hidden="1" outlineLevel="2" x14ac:dyDescent="0.25">
      <c r="A64" s="25"/>
      <c r="B64" s="10" t="str">
        <f>CONCATENATE("          ", "6277", " - ", "EMPLOYEE APPRECIATION")</f>
        <v xml:space="preserve">          6277 - EMPLOYEE APPRECIATION</v>
      </c>
      <c r="C64" s="10"/>
      <c r="D64" s="6"/>
      <c r="E64" s="2"/>
      <c r="F64" s="7">
        <f t="shared" si="40"/>
        <v>0</v>
      </c>
      <c r="G64" s="2"/>
      <c r="H64" s="6">
        <v>186.23</v>
      </c>
      <c r="I64" s="2"/>
      <c r="J64" s="7">
        <f t="shared" si="41"/>
        <v>6.0304342152259151E-4</v>
      </c>
      <c r="K64" s="2"/>
      <c r="L64" s="6">
        <f t="shared" si="42"/>
        <v>-186.23</v>
      </c>
      <c r="M64" s="2"/>
      <c r="N64" s="7">
        <f t="shared" si="43"/>
        <v>-1</v>
      </c>
      <c r="O64" s="10"/>
      <c r="P64" s="6">
        <v>10</v>
      </c>
      <c r="Q64" s="2"/>
      <c r="R64" s="7">
        <f t="shared" si="44"/>
        <v>2.6073382492088687E-5</v>
      </c>
      <c r="S64" s="2"/>
      <c r="T64" s="6">
        <v>1672.81</v>
      </c>
      <c r="U64" s="2"/>
      <c r="V64" s="7">
        <f t="shared" si="45"/>
        <v>3.6211595722247249E-4</v>
      </c>
      <c r="W64" s="2"/>
      <c r="X64" s="6">
        <f t="shared" si="46"/>
        <v>-1662.81</v>
      </c>
      <c r="Y64" s="2"/>
      <c r="Z64" s="7">
        <f t="shared" si="47"/>
        <v>-0.99402203477980167</v>
      </c>
    </row>
    <row r="65" spans="1:26" s="26" customFormat="1" outlineLevel="1" collapsed="1" x14ac:dyDescent="0.25">
      <c r="A65" s="27"/>
      <c r="B65" s="12" t="str">
        <f>CONCATENATE("     ","Equipment Rental                                  ")</f>
        <v xml:space="preserve">     Equipment Rental                                  </v>
      </c>
      <c r="C65" s="12"/>
      <c r="D65" s="1">
        <f>SUM(OSRRefD22_9x_0)</f>
        <v>163.80000000000001</v>
      </c>
      <c r="E65" s="1"/>
      <c r="F65" s="5">
        <f t="shared" si="40"/>
        <v>2.8604113998046609E-3</v>
      </c>
      <c r="G65" s="1"/>
      <c r="H65" s="1">
        <f>SUM(OSRRefH22_9x_0)</f>
        <v>2179.9</v>
      </c>
      <c r="I65" s="1"/>
      <c r="J65" s="5">
        <f t="shared" si="41"/>
        <v>7.0588753400477756E-3</v>
      </c>
      <c r="K65" s="1"/>
      <c r="L65" s="1">
        <f t="shared" si="42"/>
        <v>-2016.1000000000001</v>
      </c>
      <c r="M65" s="1"/>
      <c r="N65" s="5">
        <f t="shared" si="43"/>
        <v>-0.92485893848341671</v>
      </c>
      <c r="O65" s="12"/>
      <c r="P65" s="1">
        <f>SUM(OSRRefP22_9x_0)</f>
        <v>4884.2299999999996</v>
      </c>
      <c r="Q65" s="1"/>
      <c r="R65" s="5">
        <f t="shared" si="44"/>
        <v>1.2734839696933431E-2</v>
      </c>
      <c r="S65" s="1"/>
      <c r="T65" s="1">
        <f>SUM(OSRRefT22_9x_0)</f>
        <v>23839.19</v>
      </c>
      <c r="U65" s="1"/>
      <c r="V65" s="5">
        <f t="shared" si="45"/>
        <v>5.1605090274797457E-3</v>
      </c>
      <c r="W65" s="1"/>
      <c r="X65" s="1">
        <f t="shared" si="46"/>
        <v>-18954.96</v>
      </c>
      <c r="Y65" s="1"/>
      <c r="Z65" s="5">
        <f t="shared" si="47"/>
        <v>-0.795117619348644</v>
      </c>
    </row>
    <row r="66" spans="1:26" s="23" customFormat="1" hidden="1" outlineLevel="2" x14ac:dyDescent="0.25">
      <c r="A66" s="25"/>
      <c r="B66" s="10" t="str">
        <f>CONCATENATE("          ", "6351", " - ", "EQUIPMENT RENTAL")</f>
        <v xml:space="preserve">          6351 - EQUIPMENT RENTAL</v>
      </c>
      <c r="C66" s="10"/>
      <c r="D66" s="6">
        <v>163.80000000000001</v>
      </c>
      <c r="E66" s="2"/>
      <c r="F66" s="7">
        <f t="shared" si="40"/>
        <v>2.8604113998046609E-3</v>
      </c>
      <c r="G66" s="2"/>
      <c r="H66" s="6">
        <v>2179.9</v>
      </c>
      <c r="I66" s="2"/>
      <c r="J66" s="7">
        <f t="shared" si="41"/>
        <v>7.0588753400477756E-3</v>
      </c>
      <c r="K66" s="2"/>
      <c r="L66" s="6">
        <f t="shared" si="42"/>
        <v>-2016.1000000000001</v>
      </c>
      <c r="M66" s="2"/>
      <c r="N66" s="7">
        <f t="shared" si="43"/>
        <v>-0.92485893848341671</v>
      </c>
      <c r="O66" s="10"/>
      <c r="P66" s="6">
        <v>4884.2299999999996</v>
      </c>
      <c r="Q66" s="2"/>
      <c r="R66" s="7">
        <f t="shared" si="44"/>
        <v>1.2734839696933431E-2</v>
      </c>
      <c r="S66" s="2"/>
      <c r="T66" s="6">
        <v>23839.19</v>
      </c>
      <c r="U66" s="2"/>
      <c r="V66" s="7">
        <f t="shared" si="45"/>
        <v>5.1605090274797457E-3</v>
      </c>
      <c r="W66" s="2"/>
      <c r="X66" s="6">
        <f t="shared" si="46"/>
        <v>-18954.96</v>
      </c>
      <c r="Y66" s="2"/>
      <c r="Z66" s="7">
        <f t="shared" si="47"/>
        <v>-0.795117619348644</v>
      </c>
    </row>
    <row r="67" spans="1:26" s="26" customFormat="1" outlineLevel="1" collapsed="1" x14ac:dyDescent="0.25">
      <c r="A67" s="27"/>
      <c r="B67" s="12" t="str">
        <f>CONCATENATE("     ","Freight out/Postage                               ")</f>
        <v xml:space="preserve">     Freight out/Postage                               </v>
      </c>
      <c r="C67" s="12"/>
      <c r="D67" s="1">
        <f>SUM(OSRRefD22_10x_0)</f>
        <v>0</v>
      </c>
      <c r="E67" s="1"/>
      <c r="F67" s="5">
        <f t="shared" si="40"/>
        <v>0</v>
      </c>
      <c r="G67" s="1"/>
      <c r="H67" s="1">
        <f>SUM(OSRRefH22_10x_0)</f>
        <v>0</v>
      </c>
      <c r="I67" s="1"/>
      <c r="J67" s="5">
        <f t="shared" si="41"/>
        <v>0</v>
      </c>
      <c r="K67" s="1"/>
      <c r="L67" s="1">
        <f t="shared" si="42"/>
        <v>0</v>
      </c>
      <c r="M67" s="1"/>
      <c r="N67" s="5">
        <f t="shared" si="43"/>
        <v>0</v>
      </c>
      <c r="O67" s="12"/>
      <c r="P67" s="1">
        <f>SUM(OSRRefP22_10x_0)</f>
        <v>-5.41</v>
      </c>
      <c r="Q67" s="1"/>
      <c r="R67" s="5">
        <f t="shared" si="44"/>
        <v>-1.410569992821998E-5</v>
      </c>
      <c r="S67" s="1"/>
      <c r="T67" s="1">
        <f>SUM(OSRRefT22_10x_0)</f>
        <v>0</v>
      </c>
      <c r="U67" s="1"/>
      <c r="V67" s="5">
        <f t="shared" si="45"/>
        <v>0</v>
      </c>
      <c r="W67" s="1"/>
      <c r="X67" s="1">
        <f t="shared" si="46"/>
        <v>-5.41</v>
      </c>
      <c r="Y67" s="1"/>
      <c r="Z67" s="5">
        <f t="shared" si="47"/>
        <v>0</v>
      </c>
    </row>
    <row r="68" spans="1:26" s="23" customFormat="1" hidden="1" outlineLevel="2" x14ac:dyDescent="0.25">
      <c r="A68" s="25"/>
      <c r="B68" s="10" t="str">
        <f>CONCATENATE("          ", "6307", " - ", "POSTAGE")</f>
        <v xml:space="preserve">          6307 - POSTAGE</v>
      </c>
      <c r="C68" s="10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0"/>
      <c r="P68" s="6">
        <v>-5.41</v>
      </c>
      <c r="Q68" s="2"/>
      <c r="R68" s="7">
        <f t="shared" si="44"/>
        <v>-1.410569992821998E-5</v>
      </c>
      <c r="S68" s="2"/>
      <c r="T68" s="6"/>
      <c r="U68" s="2"/>
      <c r="V68" s="7">
        <f t="shared" si="45"/>
        <v>0</v>
      </c>
      <c r="W68" s="2"/>
      <c r="X68" s="6">
        <f t="shared" si="46"/>
        <v>-5.41</v>
      </c>
      <c r="Y68" s="2"/>
      <c r="Z68" s="7">
        <f t="shared" si="47"/>
        <v>0</v>
      </c>
    </row>
    <row r="69" spans="1:26" s="26" customFormat="1" outlineLevel="1" collapsed="1" x14ac:dyDescent="0.25">
      <c r="A69" s="27"/>
      <c r="B69" s="12" t="str">
        <f>CONCATENATE("     ","General                                           ")</f>
        <v xml:space="preserve">     General                                           </v>
      </c>
      <c r="C69" s="12"/>
      <c r="D69" s="1">
        <f>SUM(OSRRefD22_11x_0)</f>
        <v>455</v>
      </c>
      <c r="E69" s="1"/>
      <c r="F69" s="5">
        <f t="shared" si="40"/>
        <v>7.9455872216796144E-3</v>
      </c>
      <c r="G69" s="1"/>
      <c r="H69" s="1">
        <f>SUM(OSRRefH22_11x_0)</f>
        <v>1988</v>
      </c>
      <c r="I69" s="1"/>
      <c r="J69" s="5">
        <f t="shared" si="41"/>
        <v>6.4374715243887227E-3</v>
      </c>
      <c r="K69" s="1"/>
      <c r="L69" s="1">
        <f t="shared" si="42"/>
        <v>-1533</v>
      </c>
      <c r="M69" s="1"/>
      <c r="N69" s="5">
        <f t="shared" si="43"/>
        <v>-0.77112676056338025</v>
      </c>
      <c r="O69" s="12"/>
      <c r="P69" s="1">
        <f>SUM(OSRRefP22_11x_0)</f>
        <v>7425.48</v>
      </c>
      <c r="Q69" s="1"/>
      <c r="R69" s="5">
        <f t="shared" si="44"/>
        <v>1.9360738022735469E-2</v>
      </c>
      <c r="S69" s="1"/>
      <c r="T69" s="1">
        <f>SUM(OSRRefT22_11x_0)</f>
        <v>84267.92</v>
      </c>
      <c r="U69" s="1"/>
      <c r="V69" s="5">
        <f t="shared" si="45"/>
        <v>1.8241616509912503E-2</v>
      </c>
      <c r="W69" s="1"/>
      <c r="X69" s="1">
        <f t="shared" si="46"/>
        <v>-76842.44</v>
      </c>
      <c r="Y69" s="1"/>
      <c r="Z69" s="5">
        <f t="shared" si="47"/>
        <v>-0.91188248149473727</v>
      </c>
    </row>
    <row r="70" spans="1:26" s="23" customFormat="1" hidden="1" outlineLevel="2" x14ac:dyDescent="0.25">
      <c r="A70" s="25"/>
      <c r="B70" s="10" t="str">
        <f>CONCATENATE("          ", "6269", " - ", "ENTERTAINMENT")</f>
        <v xml:space="preserve">          6269 - ENTERTAINMENT</v>
      </c>
      <c r="C70" s="10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0"/>
      <c r="P70" s="6"/>
      <c r="Q70" s="2"/>
      <c r="R70" s="7">
        <f t="shared" si="44"/>
        <v>0</v>
      </c>
      <c r="S70" s="2"/>
      <c r="T70" s="6">
        <v>10050</v>
      </c>
      <c r="U70" s="2"/>
      <c r="V70" s="7">
        <f t="shared" si="45"/>
        <v>2.1755401809445477E-3</v>
      </c>
      <c r="W70" s="2"/>
      <c r="X70" s="6">
        <f t="shared" si="46"/>
        <v>-10050</v>
      </c>
      <c r="Y70" s="2"/>
      <c r="Z70" s="7">
        <f t="shared" si="47"/>
        <v>-1</v>
      </c>
    </row>
    <row r="71" spans="1:26" s="23" customFormat="1" hidden="1" outlineLevel="2" x14ac:dyDescent="0.25">
      <c r="A71" s="25"/>
      <c r="B71" s="10" t="str">
        <f>CONCATENATE("          ", "6279", " - ", "GENERAL EXPENSE")</f>
        <v xml:space="preserve">          6279 - GENERAL EXPENSE</v>
      </c>
      <c r="C71" s="10"/>
      <c r="D71" s="6">
        <v>455</v>
      </c>
      <c r="E71" s="2"/>
      <c r="F71" s="7">
        <f t="shared" si="40"/>
        <v>7.9455872216796144E-3</v>
      </c>
      <c r="G71" s="2"/>
      <c r="H71" s="6">
        <v>1988</v>
      </c>
      <c r="I71" s="2"/>
      <c r="J71" s="7">
        <f t="shared" si="41"/>
        <v>6.4374715243887227E-3</v>
      </c>
      <c r="K71" s="2"/>
      <c r="L71" s="6">
        <f t="shared" si="42"/>
        <v>-1533</v>
      </c>
      <c r="M71" s="2"/>
      <c r="N71" s="7">
        <f t="shared" si="43"/>
        <v>-0.77112676056338025</v>
      </c>
      <c r="O71" s="10"/>
      <c r="P71" s="6">
        <v>7425.48</v>
      </c>
      <c r="Q71" s="2"/>
      <c r="R71" s="7">
        <f t="shared" si="44"/>
        <v>1.9360738022735469E-2</v>
      </c>
      <c r="S71" s="2"/>
      <c r="T71" s="6">
        <v>74217.919999999998</v>
      </c>
      <c r="U71" s="2"/>
      <c r="V71" s="7">
        <f t="shared" si="45"/>
        <v>1.6066076328967956E-2</v>
      </c>
      <c r="W71" s="2"/>
      <c r="X71" s="6">
        <f t="shared" si="46"/>
        <v>-66792.44</v>
      </c>
      <c r="Y71" s="2"/>
      <c r="Z71" s="7">
        <f t="shared" si="47"/>
        <v>-0.8999503084969237</v>
      </c>
    </row>
    <row r="72" spans="1:26" s="26" customFormat="1" outlineLevel="1" collapsed="1" x14ac:dyDescent="0.25">
      <c r="A72" s="27"/>
      <c r="B72" s="12" t="str">
        <f>CONCATENATE("     ","Insurance                                         ")</f>
        <v xml:space="preserve">     Insurance                                         </v>
      </c>
      <c r="C72" s="12"/>
      <c r="D72" s="1">
        <f>SUM(OSRRefD22_12x_0)</f>
        <v>4240.13</v>
      </c>
      <c r="E72" s="1"/>
      <c r="F72" s="5">
        <f t="shared" ref="F72:F84" si="48">IF(D$12=0,0,D72/D$12)</f>
        <v>7.4044665376396437E-2</v>
      </c>
      <c r="G72" s="1"/>
      <c r="H72" s="1">
        <f>SUM(OSRRefH22_12x_0)</f>
        <v>4240.13</v>
      </c>
      <c r="I72" s="1"/>
      <c r="J72" s="5">
        <f t="shared" ref="J72:J84" si="49">IF(H$12=0,0,H72/H$12)</f>
        <v>1.3730239504379455E-2</v>
      </c>
      <c r="K72" s="1"/>
      <c r="L72" s="1">
        <f t="shared" ref="L72:L84" si="50">+D72-H72</f>
        <v>0</v>
      </c>
      <c r="M72" s="1"/>
      <c r="N72" s="5">
        <f t="shared" ref="N72:N84" si="51">IF(H72=0,0,L72/H72)</f>
        <v>0</v>
      </c>
      <c r="O72" s="12"/>
      <c r="P72" s="1">
        <f>SUM(OSRRefP22_12x_0)</f>
        <v>44273.17</v>
      </c>
      <c r="Q72" s="1"/>
      <c r="R72" s="5">
        <f t="shared" ref="R72:R84" si="52">IF(P$12=0,0,P72/P$12)</f>
        <v>0.1154351295547266</v>
      </c>
      <c r="S72" s="1"/>
      <c r="T72" s="1">
        <f>SUM(OSRRefT22_12x_0)</f>
        <v>43922.17</v>
      </c>
      <c r="U72" s="1"/>
      <c r="V72" s="5">
        <f t="shared" ref="V72:V84" si="53">IF(T$12=0,0,T72/T$12)</f>
        <v>9.5079050417191217E-3</v>
      </c>
      <c r="W72" s="1"/>
      <c r="X72" s="1">
        <f t="shared" ref="X72:X84" si="54">+P72-T72</f>
        <v>351</v>
      </c>
      <c r="Y72" s="1"/>
      <c r="Z72" s="5">
        <f t="shared" ref="Z72:Z84" si="55">IF(T72=0,0,X72/T72)</f>
        <v>7.9914084390639174E-3</v>
      </c>
    </row>
    <row r="73" spans="1:26" s="23" customFormat="1" hidden="1" outlineLevel="2" x14ac:dyDescent="0.25">
      <c r="A73" s="25"/>
      <c r="B73" s="10" t="str">
        <f>CONCATENATE("          ", "6314", " - ", "LIABILITY INSURANCE")</f>
        <v xml:space="preserve">          6314 - LIABILITY INSURANCE</v>
      </c>
      <c r="C73" s="10"/>
      <c r="D73" s="6">
        <v>4240.13</v>
      </c>
      <c r="E73" s="2"/>
      <c r="F73" s="7">
        <f t="shared" si="48"/>
        <v>7.4044665376396437E-2</v>
      </c>
      <c r="G73" s="2"/>
      <c r="H73" s="6">
        <v>4240.13</v>
      </c>
      <c r="I73" s="2"/>
      <c r="J73" s="7">
        <f t="shared" si="49"/>
        <v>1.3730239504379455E-2</v>
      </c>
      <c r="K73" s="2"/>
      <c r="L73" s="6">
        <f t="shared" si="50"/>
        <v>0</v>
      </c>
      <c r="M73" s="2"/>
      <c r="N73" s="7">
        <f t="shared" si="51"/>
        <v>0</v>
      </c>
      <c r="O73" s="10"/>
      <c r="P73" s="6">
        <v>44273.17</v>
      </c>
      <c r="Q73" s="2"/>
      <c r="R73" s="7">
        <f t="shared" si="52"/>
        <v>0.1154351295547266</v>
      </c>
      <c r="S73" s="2"/>
      <c r="T73" s="6">
        <v>43922.17</v>
      </c>
      <c r="U73" s="2"/>
      <c r="V73" s="7">
        <f t="shared" si="53"/>
        <v>9.5079050417191217E-3</v>
      </c>
      <c r="W73" s="2"/>
      <c r="X73" s="6">
        <f t="shared" si="54"/>
        <v>351</v>
      </c>
      <c r="Y73" s="2"/>
      <c r="Z73" s="7">
        <f t="shared" si="55"/>
        <v>7.9914084390639174E-3</v>
      </c>
    </row>
    <row r="74" spans="1:26" s="26" customFormat="1" outlineLevel="1" collapsed="1" x14ac:dyDescent="0.25">
      <c r="A74" s="27"/>
      <c r="B74" s="12" t="str">
        <f>CONCATENATE("     ","Interest                                          ")</f>
        <v xml:space="preserve">     Interest                                          </v>
      </c>
      <c r="C74" s="12"/>
      <c r="D74" s="1">
        <f>SUM(OSRRefD22_13x_0)</f>
        <v>7510</v>
      </c>
      <c r="E74" s="1"/>
      <c r="F74" s="5">
        <f t="shared" si="48"/>
        <v>0.13114584623036021</v>
      </c>
      <c r="G74" s="1"/>
      <c r="H74" s="1">
        <f>SUM(OSRRefH22_13x_0)</f>
        <v>7754</v>
      </c>
      <c r="I74" s="1"/>
      <c r="J74" s="5">
        <f t="shared" si="49"/>
        <v>2.5108729476916579E-2</v>
      </c>
      <c r="K74" s="1"/>
      <c r="L74" s="1">
        <f t="shared" si="50"/>
        <v>-244</v>
      </c>
      <c r="M74" s="1"/>
      <c r="N74" s="5">
        <f t="shared" si="51"/>
        <v>-3.1467629610523601E-2</v>
      </c>
      <c r="O74" s="12"/>
      <c r="P74" s="1">
        <f>SUM(OSRRefP22_13x_0)</f>
        <v>67103.149999999994</v>
      </c>
      <c r="Q74" s="1"/>
      <c r="R74" s="5">
        <f t="shared" si="52"/>
        <v>0.17496060963740007</v>
      </c>
      <c r="S74" s="1"/>
      <c r="T74" s="1">
        <f>SUM(OSRRefT22_13x_0)</f>
        <v>69393.05</v>
      </c>
      <c r="U74" s="1"/>
      <c r="V74" s="5">
        <f t="shared" si="53"/>
        <v>1.5021628711770553E-2</v>
      </c>
      <c r="W74" s="1"/>
      <c r="X74" s="1">
        <f t="shared" si="54"/>
        <v>-2289.9000000000087</v>
      </c>
      <c r="Y74" s="1"/>
      <c r="Z74" s="5">
        <f t="shared" si="55"/>
        <v>-3.2998981886514699E-2</v>
      </c>
    </row>
    <row r="75" spans="1:26" s="23" customFormat="1" hidden="1" outlineLevel="2" x14ac:dyDescent="0.25">
      <c r="A75" s="25"/>
      <c r="B75" s="10" t="str">
        <f>CONCATENATE("          ", "6401", " - ", "INTEREST EXPENSE")</f>
        <v xml:space="preserve">          6401 - INTEREST EXPENSE</v>
      </c>
      <c r="C75" s="10"/>
      <c r="D75" s="6">
        <v>7510</v>
      </c>
      <c r="E75" s="2"/>
      <c r="F75" s="7">
        <f t="shared" si="48"/>
        <v>0.13114584623036021</v>
      </c>
      <c r="G75" s="2"/>
      <c r="H75" s="6">
        <v>7754</v>
      </c>
      <c r="I75" s="2"/>
      <c r="J75" s="7">
        <f t="shared" si="49"/>
        <v>2.5108729476916579E-2</v>
      </c>
      <c r="K75" s="2"/>
      <c r="L75" s="6">
        <f t="shared" si="50"/>
        <v>-244</v>
      </c>
      <c r="M75" s="2"/>
      <c r="N75" s="7">
        <f t="shared" si="51"/>
        <v>-3.1467629610523601E-2</v>
      </c>
      <c r="O75" s="10"/>
      <c r="P75" s="6">
        <v>67103.149999999994</v>
      </c>
      <c r="Q75" s="2"/>
      <c r="R75" s="7">
        <f t="shared" si="52"/>
        <v>0.17496060963740007</v>
      </c>
      <c r="S75" s="2"/>
      <c r="T75" s="6">
        <v>69393.05</v>
      </c>
      <c r="U75" s="2"/>
      <c r="V75" s="7">
        <f t="shared" si="53"/>
        <v>1.5021628711770553E-2</v>
      </c>
      <c r="W75" s="2"/>
      <c r="X75" s="6">
        <f t="shared" si="54"/>
        <v>-2289.9000000000087</v>
      </c>
      <c r="Y75" s="2"/>
      <c r="Z75" s="7">
        <f t="shared" si="55"/>
        <v>-3.2998981886514699E-2</v>
      </c>
    </row>
    <row r="76" spans="1:26" s="26" customFormat="1" outlineLevel="1" collapsed="1" x14ac:dyDescent="0.25">
      <c r="A76" s="27"/>
      <c r="B76" s="12" t="str">
        <f>CONCATENATE("     ","Professional Services                             ")</f>
        <v xml:space="preserve">     Professional Services                             </v>
      </c>
      <c r="C76" s="12"/>
      <c r="D76" s="1">
        <f>SUM(OSRRefD22_14x_0)</f>
        <v>0</v>
      </c>
      <c r="E76" s="1"/>
      <c r="F76" s="5">
        <f t="shared" si="48"/>
        <v>0</v>
      </c>
      <c r="G76" s="1"/>
      <c r="H76" s="1">
        <f>SUM(OSRRefH22_14x_0)</f>
        <v>0</v>
      </c>
      <c r="I76" s="1"/>
      <c r="J76" s="5">
        <f t="shared" si="49"/>
        <v>0</v>
      </c>
      <c r="K76" s="1"/>
      <c r="L76" s="1">
        <f t="shared" si="50"/>
        <v>0</v>
      </c>
      <c r="M76" s="1"/>
      <c r="N76" s="5">
        <f t="shared" si="51"/>
        <v>0</v>
      </c>
      <c r="O76" s="12"/>
      <c r="P76" s="1">
        <f>SUM(OSRRefP22_14x_0)</f>
        <v>0</v>
      </c>
      <c r="Q76" s="1"/>
      <c r="R76" s="5">
        <f t="shared" si="52"/>
        <v>0</v>
      </c>
      <c r="S76" s="1"/>
      <c r="T76" s="1">
        <f>SUM(OSRRefT22_14x_0)</f>
        <v>125</v>
      </c>
      <c r="U76" s="1"/>
      <c r="V76" s="5">
        <f t="shared" si="53"/>
        <v>2.7058957474434672E-5</v>
      </c>
      <c r="W76" s="1"/>
      <c r="X76" s="1">
        <f t="shared" si="54"/>
        <v>-125</v>
      </c>
      <c r="Y76" s="1"/>
      <c r="Z76" s="5">
        <f t="shared" si="55"/>
        <v>-1</v>
      </c>
    </row>
    <row r="77" spans="1:26" s="23" customFormat="1" hidden="1" outlineLevel="2" x14ac:dyDescent="0.25">
      <c r="A77" s="25"/>
      <c r="B77" s="10" t="str">
        <f>CONCATENATE("          ", "6336", " - ", "PROFESSIONAL SERVICES")</f>
        <v xml:space="preserve">          6336 - PROFESSIONAL SERVICES</v>
      </c>
      <c r="C77" s="10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0"/>
      <c r="P77" s="6"/>
      <c r="Q77" s="2"/>
      <c r="R77" s="7">
        <f t="shared" si="52"/>
        <v>0</v>
      </c>
      <c r="S77" s="2"/>
      <c r="T77" s="6">
        <v>125</v>
      </c>
      <c r="U77" s="2"/>
      <c r="V77" s="7">
        <f t="shared" si="53"/>
        <v>2.7058957474434672E-5</v>
      </c>
      <c r="W77" s="2"/>
      <c r="X77" s="6">
        <f t="shared" si="54"/>
        <v>-125</v>
      </c>
      <c r="Y77" s="2"/>
      <c r="Z77" s="7">
        <f t="shared" si="55"/>
        <v>-1</v>
      </c>
    </row>
    <row r="78" spans="1:26" s="26" customFormat="1" outlineLevel="1" collapsed="1" x14ac:dyDescent="0.25">
      <c r="A78" s="27"/>
      <c r="B78" s="12" t="str">
        <f>CONCATENATE("     ","Rent                                              ")</f>
        <v xml:space="preserve">     Rent                                              </v>
      </c>
      <c r="C78" s="12"/>
      <c r="D78" s="1">
        <f>SUM(OSRRefD22_15x_0)</f>
        <v>0</v>
      </c>
      <c r="E78" s="1"/>
      <c r="F78" s="5">
        <f t="shared" si="48"/>
        <v>0</v>
      </c>
      <c r="G78" s="1"/>
      <c r="H78" s="1">
        <f>SUM(OSRRefH22_15x_0)</f>
        <v>1850</v>
      </c>
      <c r="I78" s="1"/>
      <c r="J78" s="5">
        <f t="shared" si="49"/>
        <v>5.9906047887923232E-3</v>
      </c>
      <c r="K78" s="1"/>
      <c r="L78" s="1">
        <f t="shared" si="50"/>
        <v>-1850</v>
      </c>
      <c r="M78" s="1"/>
      <c r="N78" s="5">
        <f t="shared" si="51"/>
        <v>-1</v>
      </c>
      <c r="O78" s="12"/>
      <c r="P78" s="1">
        <f>SUM(OSRRefP22_15x_0)</f>
        <v>11100</v>
      </c>
      <c r="Q78" s="1"/>
      <c r="R78" s="5">
        <f t="shared" si="52"/>
        <v>2.8941454566218442E-2</v>
      </c>
      <c r="S78" s="1"/>
      <c r="T78" s="1">
        <f>SUM(OSRRefT22_15x_0)</f>
        <v>16650</v>
      </c>
      <c r="U78" s="1"/>
      <c r="V78" s="5">
        <f t="shared" si="53"/>
        <v>3.6042531355946982E-3</v>
      </c>
      <c r="W78" s="1"/>
      <c r="X78" s="1">
        <f t="shared" si="54"/>
        <v>-5550</v>
      </c>
      <c r="Y78" s="1"/>
      <c r="Z78" s="5">
        <f t="shared" si="55"/>
        <v>-0.33333333333333331</v>
      </c>
    </row>
    <row r="79" spans="1:26" s="23" customFormat="1" hidden="1" outlineLevel="2" x14ac:dyDescent="0.25">
      <c r="A79" s="25"/>
      <c r="B79" s="10" t="str">
        <f>CONCATENATE("          ", "6273", " - ", "RENT")</f>
        <v xml:space="preserve">          6273 - RENT</v>
      </c>
      <c r="C79" s="10"/>
      <c r="D79" s="6"/>
      <c r="E79" s="2"/>
      <c r="F79" s="7">
        <f t="shared" si="48"/>
        <v>0</v>
      </c>
      <c r="G79" s="2"/>
      <c r="H79" s="6">
        <v>1850</v>
      </c>
      <c r="I79" s="2"/>
      <c r="J79" s="7">
        <f t="shared" si="49"/>
        <v>5.9906047887923232E-3</v>
      </c>
      <c r="K79" s="2"/>
      <c r="L79" s="6">
        <f t="shared" si="50"/>
        <v>-1850</v>
      </c>
      <c r="M79" s="2"/>
      <c r="N79" s="7">
        <f t="shared" si="51"/>
        <v>-1</v>
      </c>
      <c r="O79" s="10"/>
      <c r="P79" s="6">
        <v>11100</v>
      </c>
      <c r="Q79" s="2"/>
      <c r="R79" s="7">
        <f t="shared" si="52"/>
        <v>2.8941454566218442E-2</v>
      </c>
      <c r="S79" s="2"/>
      <c r="T79" s="6">
        <v>16650</v>
      </c>
      <c r="U79" s="2"/>
      <c r="V79" s="7">
        <f t="shared" si="53"/>
        <v>3.6042531355946982E-3</v>
      </c>
      <c r="W79" s="2"/>
      <c r="X79" s="6">
        <f t="shared" si="54"/>
        <v>-5550</v>
      </c>
      <c r="Y79" s="2"/>
      <c r="Z79" s="7">
        <f t="shared" si="55"/>
        <v>-0.33333333333333331</v>
      </c>
    </row>
    <row r="80" spans="1:26" s="26" customFormat="1" outlineLevel="1" collapsed="1" x14ac:dyDescent="0.25">
      <c r="A80" s="27"/>
      <c r="B80" s="12" t="str">
        <f>CONCATENATE("     ","Repair and Maintenance                            ")</f>
        <v xml:space="preserve">     Repair and Maintenance                            </v>
      </c>
      <c r="C80" s="12"/>
      <c r="D80" s="1">
        <f>SUM(OSRRefD22_16x_0)</f>
        <v>17049.71</v>
      </c>
      <c r="E80" s="1"/>
      <c r="F80" s="5">
        <f t="shared" si="48"/>
        <v>0.29773617122932555</v>
      </c>
      <c r="G80" s="1"/>
      <c r="H80" s="1">
        <f>SUM(OSRRefH22_16x_0)</f>
        <v>10787.68</v>
      </c>
      <c r="I80" s="1"/>
      <c r="J80" s="5">
        <f t="shared" si="49"/>
        <v>3.4932285117815765E-2</v>
      </c>
      <c r="K80" s="1"/>
      <c r="L80" s="1">
        <f t="shared" si="50"/>
        <v>6262.0299999999988</v>
      </c>
      <c r="M80" s="1"/>
      <c r="N80" s="5">
        <f t="shared" si="51"/>
        <v>0.58047976951485381</v>
      </c>
      <c r="O80" s="12"/>
      <c r="P80" s="1">
        <f>SUM(OSRRefP22_16x_0)</f>
        <v>41854.03</v>
      </c>
      <c r="Q80" s="1"/>
      <c r="R80" s="5">
        <f t="shared" si="52"/>
        <v>0.10912761330253547</v>
      </c>
      <c r="S80" s="1"/>
      <c r="T80" s="1">
        <f>SUM(OSRRefT22_16x_0)</f>
        <v>202539.23</v>
      </c>
      <c r="U80" s="1"/>
      <c r="V80" s="5">
        <f t="shared" si="53"/>
        <v>4.3844003291797946E-2</v>
      </c>
      <c r="W80" s="1"/>
      <c r="X80" s="1">
        <f t="shared" si="54"/>
        <v>-160685.20000000001</v>
      </c>
      <c r="Y80" s="1"/>
      <c r="Z80" s="5">
        <f t="shared" si="55"/>
        <v>-0.79335346540025853</v>
      </c>
    </row>
    <row r="81" spans="1:26" s="23" customFormat="1" hidden="1" outlineLevel="2" x14ac:dyDescent="0.25">
      <c r="A81" s="25"/>
      <c r="B81" s="10" t="str">
        <f>CONCATENATE("          ", "6371", " - ", "COMPUTER SOFTWARE MAINTENANCE")</f>
        <v xml:space="preserve">          6371 - COMPUTER SOFTWARE MAINTENANCE</v>
      </c>
      <c r="C81" s="10"/>
      <c r="D81" s="6"/>
      <c r="E81" s="2"/>
      <c r="F81" s="7">
        <f t="shared" si="48"/>
        <v>0</v>
      </c>
      <c r="G81" s="2"/>
      <c r="H81" s="6"/>
      <c r="I81" s="2"/>
      <c r="J81" s="7">
        <f t="shared" si="49"/>
        <v>0</v>
      </c>
      <c r="K81" s="2"/>
      <c r="L81" s="6">
        <f t="shared" si="50"/>
        <v>0</v>
      </c>
      <c r="M81" s="2"/>
      <c r="N81" s="7">
        <f t="shared" si="51"/>
        <v>0</v>
      </c>
      <c r="O81" s="10"/>
      <c r="P81" s="6">
        <v>702.27</v>
      </c>
      <c r="Q81" s="2"/>
      <c r="R81" s="7">
        <f t="shared" si="52"/>
        <v>1.8310554322719121E-3</v>
      </c>
      <c r="S81" s="2"/>
      <c r="T81" s="6">
        <v>10932.69</v>
      </c>
      <c r="U81" s="2"/>
      <c r="V81" s="7">
        <f t="shared" si="53"/>
        <v>2.3666175503294176E-3</v>
      </c>
      <c r="W81" s="2"/>
      <c r="X81" s="6">
        <f t="shared" si="54"/>
        <v>-10230.42</v>
      </c>
      <c r="Y81" s="2"/>
      <c r="Z81" s="7">
        <f t="shared" si="55"/>
        <v>-0.93576420807687766</v>
      </c>
    </row>
    <row r="82" spans="1:26" s="23" customFormat="1" hidden="1" outlineLevel="2" x14ac:dyDescent="0.25">
      <c r="A82" s="25"/>
      <c r="B82" s="10" t="str">
        <f>CONCATENATE("          ", "6372", " - ", "COMPUTER HARDWARE MAINTENANCE")</f>
        <v xml:space="preserve">          6372 - COMPUTER HARDWARE MAINTENANCE</v>
      </c>
      <c r="C82" s="10"/>
      <c r="D82" s="6">
        <v>100</v>
      </c>
      <c r="E82" s="2"/>
      <c r="F82" s="7">
        <f t="shared" si="48"/>
        <v>1.7462829058636513E-3</v>
      </c>
      <c r="G82" s="2"/>
      <c r="H82" s="6"/>
      <c r="I82" s="2"/>
      <c r="J82" s="7">
        <f t="shared" si="49"/>
        <v>0</v>
      </c>
      <c r="K82" s="2"/>
      <c r="L82" s="6">
        <f t="shared" si="50"/>
        <v>100</v>
      </c>
      <c r="M82" s="2"/>
      <c r="N82" s="7">
        <f t="shared" si="51"/>
        <v>0</v>
      </c>
      <c r="O82" s="10"/>
      <c r="P82" s="6">
        <v>100</v>
      </c>
      <c r="Q82" s="2"/>
      <c r="R82" s="7">
        <f t="shared" si="52"/>
        <v>2.6073382492088689E-4</v>
      </c>
      <c r="S82" s="2"/>
      <c r="T82" s="6">
        <v>-0.01</v>
      </c>
      <c r="U82" s="2"/>
      <c r="V82" s="7">
        <f t="shared" si="53"/>
        <v>-2.1647165979547737E-9</v>
      </c>
      <c r="W82" s="2"/>
      <c r="X82" s="6">
        <f t="shared" si="54"/>
        <v>100.01</v>
      </c>
      <c r="Y82" s="2"/>
      <c r="Z82" s="7">
        <f t="shared" si="55"/>
        <v>-10001</v>
      </c>
    </row>
    <row r="83" spans="1:26" s="23" customFormat="1" hidden="1" outlineLevel="2" x14ac:dyDescent="0.25">
      <c r="A83" s="25"/>
      <c r="B83" s="10" t="str">
        <f>CONCATENATE("          ", "6373", " - ", "MAINTENANCE CONTRACTS")</f>
        <v xml:space="preserve">          6373 - MAINTENANCE CONTRACTS</v>
      </c>
      <c r="C83" s="10"/>
      <c r="D83" s="6">
        <v>7202.36</v>
      </c>
      <c r="E83" s="2"/>
      <c r="F83" s="7">
        <f t="shared" si="48"/>
        <v>0.12577358149876128</v>
      </c>
      <c r="G83" s="2"/>
      <c r="H83" s="6">
        <v>7702.84</v>
      </c>
      <c r="I83" s="2"/>
      <c r="J83" s="7">
        <f t="shared" si="49"/>
        <v>2.4943064968270843E-2</v>
      </c>
      <c r="K83" s="2"/>
      <c r="L83" s="6">
        <f t="shared" si="50"/>
        <v>-500.48000000000047</v>
      </c>
      <c r="M83" s="2"/>
      <c r="N83" s="7">
        <f t="shared" si="51"/>
        <v>-6.4973438368186337E-2</v>
      </c>
      <c r="O83" s="10"/>
      <c r="P83" s="6">
        <v>18223.8</v>
      </c>
      <c r="Q83" s="2"/>
      <c r="R83" s="7">
        <f t="shared" si="52"/>
        <v>4.7515610785932576E-2</v>
      </c>
      <c r="S83" s="2"/>
      <c r="T83" s="6">
        <v>79655.710000000006</v>
      </c>
      <c r="U83" s="2"/>
      <c r="V83" s="7">
        <f t="shared" si="53"/>
        <v>1.7243203755887206E-2</v>
      </c>
      <c r="W83" s="2"/>
      <c r="X83" s="6">
        <f t="shared" si="54"/>
        <v>-61431.91</v>
      </c>
      <c r="Y83" s="2"/>
      <c r="Z83" s="7">
        <f t="shared" si="55"/>
        <v>-0.77121790766788723</v>
      </c>
    </row>
    <row r="84" spans="1:26" s="23" customFormat="1" hidden="1" outlineLevel="2" x14ac:dyDescent="0.25">
      <c r="A84" s="25"/>
      <c r="B84" s="10" t="str">
        <f>CONCATENATE("          ", "6375", " - ", "OUTSIDE REPAIRS &amp; MAINTENANCE")</f>
        <v xml:space="preserve">          6375 - OUTSIDE REPAIRS &amp; MAINTENANCE</v>
      </c>
      <c r="C84" s="10"/>
      <c r="D84" s="6">
        <v>9747.35</v>
      </c>
      <c r="E84" s="2"/>
      <c r="F84" s="7">
        <f t="shared" si="48"/>
        <v>0.17021630682470063</v>
      </c>
      <c r="G84" s="2"/>
      <c r="H84" s="6">
        <v>3084.84</v>
      </c>
      <c r="I84" s="2"/>
      <c r="J84" s="7">
        <f t="shared" si="49"/>
        <v>9.9892201495449251E-3</v>
      </c>
      <c r="K84" s="2"/>
      <c r="L84" s="6">
        <f t="shared" si="50"/>
        <v>6662.51</v>
      </c>
      <c r="M84" s="2"/>
      <c r="N84" s="7">
        <f t="shared" si="51"/>
        <v>2.1597586908883444</v>
      </c>
      <c r="O84" s="10"/>
      <c r="P84" s="6">
        <v>22827.96</v>
      </c>
      <c r="Q84" s="2"/>
      <c r="R84" s="7">
        <f t="shared" si="52"/>
        <v>5.9520213259410079E-2</v>
      </c>
      <c r="S84" s="2"/>
      <c r="T84" s="6">
        <v>111950.84</v>
      </c>
      <c r="U84" s="2"/>
      <c r="V84" s="7">
        <f t="shared" si="53"/>
        <v>2.4234184150297919E-2</v>
      </c>
      <c r="W84" s="2"/>
      <c r="X84" s="6">
        <f t="shared" si="54"/>
        <v>-89122.880000000005</v>
      </c>
      <c r="Y84" s="2"/>
      <c r="Z84" s="7">
        <f t="shared" si="55"/>
        <v>-0.79608942639465685</v>
      </c>
    </row>
    <row r="85" spans="1:26" s="26" customFormat="1" outlineLevel="1" collapsed="1" x14ac:dyDescent="0.25">
      <c r="A85" s="27"/>
      <c r="B85" s="12" t="str">
        <f>CONCATENATE("     ","Royalty &amp; Commissions                             ")</f>
        <v xml:space="preserve">     Royalty &amp; Commissions                             </v>
      </c>
      <c r="C85" s="12"/>
      <c r="D85" s="1">
        <f>SUM(OSRRefD22_17x_0)</f>
        <v>0</v>
      </c>
      <c r="E85" s="1"/>
      <c r="F85" s="5">
        <f t="shared" ref="F85:F87" si="56">IF(D$12=0,0,D85/D$12)</f>
        <v>0</v>
      </c>
      <c r="G85" s="1"/>
      <c r="H85" s="1">
        <f>SUM(OSRRefH22_17x_0)</f>
        <v>16959.82</v>
      </c>
      <c r="I85" s="1"/>
      <c r="J85" s="5">
        <f t="shared" ref="J85:J87" si="57">IF(H$12=0,0,H85/H$12)</f>
        <v>5.4918691302192332E-2</v>
      </c>
      <c r="K85" s="1"/>
      <c r="L85" s="1">
        <f t="shared" ref="L85:L87" si="58">+D85-H85</f>
        <v>-16959.82</v>
      </c>
      <c r="M85" s="1"/>
      <c r="N85" s="5">
        <f t="shared" ref="N85:N87" si="59">IF(H85=0,0,L85/H85)</f>
        <v>-1</v>
      </c>
      <c r="O85" s="12"/>
      <c r="P85" s="1">
        <f>SUM(OSRRefP22_17x_0)</f>
        <v>0</v>
      </c>
      <c r="Q85" s="1"/>
      <c r="R85" s="5">
        <f t="shared" ref="R85:R87" si="60">IF(P$12=0,0,P85/P$12)</f>
        <v>0</v>
      </c>
      <c r="S85" s="1"/>
      <c r="T85" s="1">
        <f>SUM(OSRRefT22_17x_0)</f>
        <v>233763.47</v>
      </c>
      <c r="U85" s="1"/>
      <c r="V85" s="5">
        <f t="shared" ref="V85:V87" si="61">IF(T$12=0,0,T85/T$12)</f>
        <v>5.0603166350450285E-2</v>
      </c>
      <c r="W85" s="1"/>
      <c r="X85" s="1">
        <f t="shared" ref="X85:X87" si="62">+P85-T85</f>
        <v>-233763.47</v>
      </c>
      <c r="Y85" s="1"/>
      <c r="Z85" s="5">
        <f t="shared" ref="Z85:Z87" si="63">IF(T85=0,0,X85/T85)</f>
        <v>-1</v>
      </c>
    </row>
    <row r="86" spans="1:26" s="23" customFormat="1" hidden="1" outlineLevel="2" x14ac:dyDescent="0.25">
      <c r="A86" s="25"/>
      <c r="B86" s="10" t="str">
        <f>CONCATENATE("          ", "6254", " - ", "ROYALTY &amp; COMMISSIONS")</f>
        <v xml:space="preserve">          6254 - ROYALTY &amp; COMMISSIONS</v>
      </c>
      <c r="C86" s="10"/>
      <c r="D86" s="6"/>
      <c r="E86" s="2"/>
      <c r="F86" s="7">
        <f t="shared" si="56"/>
        <v>0</v>
      </c>
      <c r="G86" s="2"/>
      <c r="H86" s="6">
        <v>10002.02</v>
      </c>
      <c r="I86" s="2"/>
      <c r="J86" s="7">
        <f t="shared" si="57"/>
        <v>3.2388188599781938E-2</v>
      </c>
      <c r="K86" s="2"/>
      <c r="L86" s="6">
        <f t="shared" si="58"/>
        <v>-10002.02</v>
      </c>
      <c r="M86" s="2"/>
      <c r="N86" s="7">
        <f t="shared" si="59"/>
        <v>-1</v>
      </c>
      <c r="O86" s="10"/>
      <c r="P86" s="6"/>
      <c r="Q86" s="2"/>
      <c r="R86" s="7">
        <f t="shared" si="60"/>
        <v>0</v>
      </c>
      <c r="S86" s="2"/>
      <c r="T86" s="6">
        <v>129093.51</v>
      </c>
      <c r="U86" s="2"/>
      <c r="V86" s="7">
        <f t="shared" si="61"/>
        <v>2.7945086378524057E-2</v>
      </c>
      <c r="W86" s="2"/>
      <c r="X86" s="6">
        <f t="shared" si="62"/>
        <v>-129093.51</v>
      </c>
      <c r="Y86" s="2"/>
      <c r="Z86" s="7">
        <f t="shared" si="63"/>
        <v>-1</v>
      </c>
    </row>
    <row r="87" spans="1:26" s="23" customFormat="1" hidden="1" outlineLevel="2" x14ac:dyDescent="0.25">
      <c r="A87" s="25"/>
      <c r="B87" s="10" t="str">
        <f>CONCATENATE("          ", "6259", " - ", "ROYALTY &amp; COMMISSIONS")</f>
        <v xml:space="preserve">          6259 - ROYALTY &amp; COMMISSIONS</v>
      </c>
      <c r="C87" s="10"/>
      <c r="D87" s="6"/>
      <c r="E87" s="2"/>
      <c r="F87" s="7">
        <f t="shared" si="56"/>
        <v>0</v>
      </c>
      <c r="G87" s="2"/>
      <c r="H87" s="6">
        <v>6957.8</v>
      </c>
      <c r="I87" s="2"/>
      <c r="J87" s="7">
        <f t="shared" si="57"/>
        <v>2.2530502702410391E-2</v>
      </c>
      <c r="K87" s="2"/>
      <c r="L87" s="6">
        <f t="shared" si="58"/>
        <v>-6957.8</v>
      </c>
      <c r="M87" s="2"/>
      <c r="N87" s="7">
        <f t="shared" si="59"/>
        <v>-1</v>
      </c>
      <c r="O87" s="10"/>
      <c r="P87" s="6"/>
      <c r="Q87" s="2"/>
      <c r="R87" s="7">
        <f t="shared" si="60"/>
        <v>0</v>
      </c>
      <c r="S87" s="2"/>
      <c r="T87" s="6">
        <v>104669.96</v>
      </c>
      <c r="U87" s="2"/>
      <c r="V87" s="7">
        <f t="shared" si="61"/>
        <v>2.2658079971926228E-2</v>
      </c>
      <c r="W87" s="2"/>
      <c r="X87" s="6">
        <f t="shared" si="62"/>
        <v>-104669.96</v>
      </c>
      <c r="Y87" s="2"/>
      <c r="Z87" s="7">
        <f t="shared" si="63"/>
        <v>-1</v>
      </c>
    </row>
    <row r="88" spans="1:26" s="26" customFormat="1" outlineLevel="1" collapsed="1" x14ac:dyDescent="0.25">
      <c r="A88" s="27"/>
      <c r="B88" s="12" t="str">
        <f>CONCATENATE("     ","Services                                          ")</f>
        <v xml:space="preserve">     Services                                          </v>
      </c>
      <c r="C88" s="12"/>
      <c r="D88" s="1">
        <f>SUM(OSRRefD22_18x_0)</f>
        <v>-5689.18</v>
      </c>
      <c r="E88" s="1"/>
      <c r="F88" s="5">
        <f t="shared" ref="F88:F93" si="64">IF(D$12=0,0,D88/D$12)</f>
        <v>-9.9349177823813681E-2</v>
      </c>
      <c r="G88" s="1"/>
      <c r="H88" s="1">
        <f>SUM(OSRRefH22_18x_0)</f>
        <v>25989.710000000003</v>
      </c>
      <c r="I88" s="1"/>
      <c r="J88" s="5">
        <f t="shared" ref="J88:J93" si="65">IF(H$12=0,0,H88/H$12)</f>
        <v>8.4158962802877699E-2</v>
      </c>
      <c r="K88" s="1"/>
      <c r="L88" s="1">
        <f t="shared" ref="L88:L93" si="66">+D88-H88</f>
        <v>-31678.890000000003</v>
      </c>
      <c r="M88" s="1"/>
      <c r="N88" s="5">
        <f t="shared" ref="N88:N93" si="67">IF(H88=0,0,L88/H88)</f>
        <v>-1.2189012497638487</v>
      </c>
      <c r="O88" s="12"/>
      <c r="P88" s="1">
        <f>SUM(OSRRefP22_18x_0)</f>
        <v>44416.71</v>
      </c>
      <c r="Q88" s="1"/>
      <c r="R88" s="5">
        <f t="shared" ref="R88:R93" si="68">IF(P$12=0,0,P88/P$12)</f>
        <v>0.11580938688701804</v>
      </c>
      <c r="S88" s="1"/>
      <c r="T88" s="1">
        <f>SUM(OSRRefT22_18x_0)</f>
        <v>207258.47999999998</v>
      </c>
      <c r="U88" s="1"/>
      <c r="V88" s="5">
        <f t="shared" ref="V88:V93" si="69">IF(T$12=0,0,T88/T$12)</f>
        <v>4.4865587172287745E-2</v>
      </c>
      <c r="W88" s="1"/>
      <c r="X88" s="1">
        <f t="shared" ref="X88:X93" si="70">+P88-T88</f>
        <v>-162841.76999999999</v>
      </c>
      <c r="Y88" s="1"/>
      <c r="Z88" s="5">
        <f t="shared" ref="Z88:Z93" si="71">IF(T88=0,0,X88/T88)</f>
        <v>-0.7856941245540352</v>
      </c>
    </row>
    <row r="89" spans="1:26" s="23" customFormat="1" hidden="1" outlineLevel="2" x14ac:dyDescent="0.25">
      <c r="A89" s="25"/>
      <c r="B89" s="10" t="str">
        <f>CONCATENATE("          ", "6282", " - ", "JANITORIAL/EXTERMINATOR EXPENS")</f>
        <v xml:space="preserve">          6282 - JANITORIAL/EXTERMINATOR EXPENS</v>
      </c>
      <c r="C89" s="10"/>
      <c r="D89" s="6">
        <v>1581.06</v>
      </c>
      <c r="E89" s="2"/>
      <c r="F89" s="7">
        <f t="shared" si="64"/>
        <v>2.7609780511447846E-2</v>
      </c>
      <c r="G89" s="2"/>
      <c r="H89" s="6">
        <v>1180.6099999999999</v>
      </c>
      <c r="I89" s="2"/>
      <c r="J89" s="7">
        <f t="shared" si="65"/>
        <v>3.8230096863222183E-3</v>
      </c>
      <c r="K89" s="2"/>
      <c r="L89" s="6">
        <f t="shared" si="66"/>
        <v>400.45000000000005</v>
      </c>
      <c r="M89" s="2"/>
      <c r="N89" s="7">
        <f t="shared" si="67"/>
        <v>0.33918906328084641</v>
      </c>
      <c r="O89" s="10"/>
      <c r="P89" s="6">
        <v>8405.43</v>
      </c>
      <c r="Q89" s="2"/>
      <c r="R89" s="7">
        <f t="shared" si="68"/>
        <v>2.1915799140047702E-2</v>
      </c>
      <c r="S89" s="2"/>
      <c r="T89" s="6">
        <v>12678.74</v>
      </c>
      <c r="U89" s="2"/>
      <c r="V89" s="7">
        <f t="shared" si="69"/>
        <v>2.7445878919153109E-3</v>
      </c>
      <c r="W89" s="2"/>
      <c r="X89" s="6">
        <f t="shared" si="70"/>
        <v>-4273.3099999999995</v>
      </c>
      <c r="Y89" s="2"/>
      <c r="Z89" s="7">
        <f t="shared" si="71"/>
        <v>-0.33704532153826006</v>
      </c>
    </row>
    <row r="90" spans="1:26" s="23" customFormat="1" hidden="1" outlineLevel="2" x14ac:dyDescent="0.25">
      <c r="A90" s="25"/>
      <c r="B90" s="10" t="str">
        <f>CONCATENATE("          ", "6283", " - ", "PLANT SERVICE")</f>
        <v xml:space="preserve">          6283 - PLANT SERVICE</v>
      </c>
      <c r="C90" s="10"/>
      <c r="D90" s="6"/>
      <c r="E90" s="2"/>
      <c r="F90" s="7">
        <f t="shared" si="64"/>
        <v>0</v>
      </c>
      <c r="G90" s="2"/>
      <c r="H90" s="6">
        <v>399.56</v>
      </c>
      <c r="I90" s="2"/>
      <c r="J90" s="7">
        <f t="shared" si="65"/>
        <v>1.2938411077891138E-3</v>
      </c>
      <c r="K90" s="2"/>
      <c r="L90" s="6">
        <f t="shared" si="66"/>
        <v>-399.56</v>
      </c>
      <c r="M90" s="2"/>
      <c r="N90" s="7">
        <f t="shared" si="67"/>
        <v>-1</v>
      </c>
      <c r="O90" s="10"/>
      <c r="P90" s="6"/>
      <c r="Q90" s="2"/>
      <c r="R90" s="7">
        <f t="shared" si="68"/>
        <v>0</v>
      </c>
      <c r="S90" s="2"/>
      <c r="T90" s="6">
        <v>1398.46</v>
      </c>
      <c r="U90" s="2"/>
      <c r="V90" s="7">
        <f t="shared" si="69"/>
        <v>3.0272695735758331E-4</v>
      </c>
      <c r="W90" s="2"/>
      <c r="X90" s="6">
        <f t="shared" si="70"/>
        <v>-1398.46</v>
      </c>
      <c r="Y90" s="2"/>
      <c r="Z90" s="7">
        <f t="shared" si="71"/>
        <v>-1</v>
      </c>
    </row>
    <row r="91" spans="1:26" s="23" customFormat="1" hidden="1" outlineLevel="2" x14ac:dyDescent="0.25">
      <c r="A91" s="25"/>
      <c r="B91" s="10" t="str">
        <f>CONCATENATE("          ", "6284", " - ", "TRASH REMOVAL EXPENSE")</f>
        <v xml:space="preserve">          6284 - TRASH REMOVAL EXPENSE</v>
      </c>
      <c r="C91" s="10"/>
      <c r="D91" s="6">
        <v>-8963</v>
      </c>
      <c r="E91" s="2"/>
      <c r="F91" s="7">
        <f t="shared" si="64"/>
        <v>-0.15651933685255906</v>
      </c>
      <c r="G91" s="2"/>
      <c r="H91" s="6">
        <v>5130</v>
      </c>
      <c r="I91" s="2"/>
      <c r="J91" s="7">
        <f t="shared" si="65"/>
        <v>1.6611785171083575E-2</v>
      </c>
      <c r="K91" s="2"/>
      <c r="L91" s="6">
        <f t="shared" si="66"/>
        <v>-14093</v>
      </c>
      <c r="M91" s="2"/>
      <c r="N91" s="7">
        <f t="shared" si="67"/>
        <v>-2.7471734892787523</v>
      </c>
      <c r="O91" s="10"/>
      <c r="P91" s="6">
        <v>20643</v>
      </c>
      <c r="Q91" s="2"/>
      <c r="R91" s="7">
        <f t="shared" si="68"/>
        <v>5.3823283478418672E-2</v>
      </c>
      <c r="S91" s="2"/>
      <c r="T91" s="6">
        <v>38283</v>
      </c>
      <c r="U91" s="2"/>
      <c r="V91" s="7">
        <f t="shared" si="69"/>
        <v>8.2871845519502611E-3</v>
      </c>
      <c r="W91" s="2"/>
      <c r="X91" s="6">
        <f t="shared" si="70"/>
        <v>-17640</v>
      </c>
      <c r="Y91" s="2"/>
      <c r="Z91" s="7">
        <f t="shared" si="71"/>
        <v>-0.46077893582007678</v>
      </c>
    </row>
    <row r="92" spans="1:26" s="23" customFormat="1" hidden="1" outlineLevel="2" x14ac:dyDescent="0.25">
      <c r="A92" s="25"/>
      <c r="B92" s="10" t="str">
        <f>CONCATENATE("          ", "6285", " - ", "JANITORIAL SERVICES")</f>
        <v xml:space="preserve">          6285 - JANITORIAL SERVICES</v>
      </c>
      <c r="C92" s="10"/>
      <c r="D92" s="6">
        <v>1692.76</v>
      </c>
      <c r="E92" s="2"/>
      <c r="F92" s="7">
        <f t="shared" si="64"/>
        <v>2.9560378517297543E-2</v>
      </c>
      <c r="G92" s="2"/>
      <c r="H92" s="6">
        <v>17933.27</v>
      </c>
      <c r="I92" s="2"/>
      <c r="J92" s="7">
        <f t="shared" si="65"/>
        <v>5.8070882778759839E-2</v>
      </c>
      <c r="K92" s="2"/>
      <c r="L92" s="6">
        <f t="shared" si="66"/>
        <v>-16240.51</v>
      </c>
      <c r="M92" s="2"/>
      <c r="N92" s="7">
        <f t="shared" si="67"/>
        <v>-0.90560784508346781</v>
      </c>
      <c r="O92" s="10"/>
      <c r="P92" s="6">
        <v>14463.57</v>
      </c>
      <c r="Q92" s="2"/>
      <c r="R92" s="7">
        <f t="shared" si="68"/>
        <v>3.7711419281109916E-2</v>
      </c>
      <c r="S92" s="2"/>
      <c r="T92" s="6">
        <v>127887.67</v>
      </c>
      <c r="U92" s="2"/>
      <c r="V92" s="7">
        <f t="shared" si="69"/>
        <v>2.7684056192276277E-2</v>
      </c>
      <c r="W92" s="2"/>
      <c r="X92" s="6">
        <f t="shared" si="70"/>
        <v>-113424.1</v>
      </c>
      <c r="Y92" s="2"/>
      <c r="Z92" s="7">
        <f t="shared" si="71"/>
        <v>-0.88690410889493887</v>
      </c>
    </row>
    <row r="93" spans="1:26" s="23" customFormat="1" hidden="1" outlineLevel="2" x14ac:dyDescent="0.25">
      <c r="A93" s="25"/>
      <c r="B93" s="10" t="str">
        <f>CONCATENATE("          ", "6286", " - ", "LAUNDRY EXPENSE")</f>
        <v xml:space="preserve">          6286 - LAUNDRY EXPENSE</v>
      </c>
      <c r="C93" s="10"/>
      <c r="D93" s="6"/>
      <c r="E93" s="2"/>
      <c r="F93" s="7">
        <f t="shared" si="64"/>
        <v>0</v>
      </c>
      <c r="G93" s="2"/>
      <c r="H93" s="6">
        <v>1346.27</v>
      </c>
      <c r="I93" s="2"/>
      <c r="J93" s="7">
        <f t="shared" si="65"/>
        <v>4.3594440589229408E-3</v>
      </c>
      <c r="K93" s="2"/>
      <c r="L93" s="6">
        <f t="shared" si="66"/>
        <v>-1346.27</v>
      </c>
      <c r="M93" s="2"/>
      <c r="N93" s="7">
        <f t="shared" si="67"/>
        <v>-1</v>
      </c>
      <c r="O93" s="10"/>
      <c r="P93" s="6">
        <v>904.71</v>
      </c>
      <c r="Q93" s="2"/>
      <c r="R93" s="7">
        <f t="shared" si="68"/>
        <v>2.3588849874417554E-3</v>
      </c>
      <c r="S93" s="2"/>
      <c r="T93" s="6">
        <v>27010.61</v>
      </c>
      <c r="U93" s="2"/>
      <c r="V93" s="7">
        <f t="shared" si="69"/>
        <v>5.8470315787883193E-3</v>
      </c>
      <c r="W93" s="2"/>
      <c r="X93" s="6">
        <f t="shared" si="70"/>
        <v>-26105.9</v>
      </c>
      <c r="Y93" s="2"/>
      <c r="Z93" s="7">
        <f t="shared" si="71"/>
        <v>-0.96650538436562528</v>
      </c>
    </row>
    <row r="94" spans="1:26" s="26" customFormat="1" outlineLevel="1" collapsed="1" x14ac:dyDescent="0.25">
      <c r="A94" s="27"/>
      <c r="B94" s="12" t="str">
        <f>CONCATENATE("     ","Subscriptions &amp; Dues                              ")</f>
        <v xml:space="preserve">     Subscriptions &amp; Dues                              </v>
      </c>
      <c r="C94" s="12"/>
      <c r="D94" s="1">
        <f>SUM(OSRRefD22_19x_0)</f>
        <v>119.07</v>
      </c>
      <c r="E94" s="1"/>
      <c r="F94" s="5">
        <f t="shared" ref="F94:F96" si="72">IF(D$12=0,0,D94/D$12)</f>
        <v>2.0792990560118494E-3</v>
      </c>
      <c r="G94" s="1"/>
      <c r="H94" s="1">
        <f>SUM(OSRRefH22_19x_0)</f>
        <v>161.99</v>
      </c>
      <c r="I94" s="1"/>
      <c r="J94" s="5">
        <f t="shared" ref="J94:J96" si="73">IF(H$12=0,0,H94/H$12)</f>
        <v>5.2455030796565865E-4</v>
      </c>
      <c r="K94" s="1"/>
      <c r="L94" s="1">
        <f t="shared" ref="L94:L96" si="74">+D94-H94</f>
        <v>-42.920000000000016</v>
      </c>
      <c r="M94" s="1"/>
      <c r="N94" s="5">
        <f t="shared" ref="N94:N96" si="75">IF(H94=0,0,L94/H94)</f>
        <v>-0.26495462682881665</v>
      </c>
      <c r="O94" s="12"/>
      <c r="P94" s="1">
        <f>SUM(OSRRefP22_19x_0)</f>
        <v>916.08</v>
      </c>
      <c r="Q94" s="1"/>
      <c r="R94" s="5">
        <f t="shared" ref="R94:R96" si="76">IF(P$12=0,0,P94/P$12)</f>
        <v>2.3885304233352603E-3</v>
      </c>
      <c r="S94" s="1"/>
      <c r="T94" s="1">
        <f>SUM(OSRRefT22_19x_0)</f>
        <v>7296.3</v>
      </c>
      <c r="U94" s="1"/>
      <c r="V94" s="5">
        <f t="shared" ref="V94:V96" si="77">IF(T$12=0,0,T94/T$12)</f>
        <v>1.5794421713657416E-3</v>
      </c>
      <c r="W94" s="1"/>
      <c r="X94" s="1">
        <f t="shared" ref="X94:X96" si="78">+P94-T94</f>
        <v>-6380.22</v>
      </c>
      <c r="Y94" s="1"/>
      <c r="Z94" s="5">
        <f t="shared" ref="Z94:Z96" si="79">IF(T94=0,0,X94/T94)</f>
        <v>-0.87444595205789233</v>
      </c>
    </row>
    <row r="95" spans="1:26" s="23" customFormat="1" hidden="1" outlineLevel="2" x14ac:dyDescent="0.25">
      <c r="A95" s="25"/>
      <c r="B95" s="10" t="str">
        <f>CONCATENATE("          ", "6258", " - ", "MEMBERSHIP DUES")</f>
        <v xml:space="preserve">          6258 - MEMBERSHIP DUES</v>
      </c>
      <c r="C95" s="10"/>
      <c r="D95" s="6"/>
      <c r="E95" s="2"/>
      <c r="F95" s="7">
        <f t="shared" si="72"/>
        <v>0</v>
      </c>
      <c r="G95" s="2"/>
      <c r="H95" s="6"/>
      <c r="I95" s="2"/>
      <c r="J95" s="7">
        <f t="shared" si="73"/>
        <v>0</v>
      </c>
      <c r="K95" s="2"/>
      <c r="L95" s="6">
        <f t="shared" si="74"/>
        <v>0</v>
      </c>
      <c r="M95" s="2"/>
      <c r="N95" s="7">
        <f t="shared" si="75"/>
        <v>0</v>
      </c>
      <c r="O95" s="10"/>
      <c r="P95" s="6"/>
      <c r="Q95" s="2"/>
      <c r="R95" s="7">
        <f t="shared" si="76"/>
        <v>0</v>
      </c>
      <c r="S95" s="2"/>
      <c r="T95" s="6">
        <v>3730</v>
      </c>
      <c r="U95" s="2"/>
      <c r="V95" s="7">
        <f t="shared" si="77"/>
        <v>8.0743929103713067E-4</v>
      </c>
      <c r="W95" s="2"/>
      <c r="X95" s="6">
        <f t="shared" si="78"/>
        <v>-3730</v>
      </c>
      <c r="Y95" s="2"/>
      <c r="Z95" s="7">
        <f t="shared" si="79"/>
        <v>-1</v>
      </c>
    </row>
    <row r="96" spans="1:26" s="23" customFormat="1" hidden="1" outlineLevel="2" x14ac:dyDescent="0.25">
      <c r="A96" s="25"/>
      <c r="B96" s="10" t="str">
        <f>CONCATENATE("          ", "6275", " - ", "SUBSCRIPTIONS")</f>
        <v xml:space="preserve">          6275 - SUBSCRIPTIONS</v>
      </c>
      <c r="C96" s="10"/>
      <c r="D96" s="6">
        <v>119.07</v>
      </c>
      <c r="E96" s="2"/>
      <c r="F96" s="7">
        <f t="shared" si="72"/>
        <v>2.0792990560118494E-3</v>
      </c>
      <c r="G96" s="2"/>
      <c r="H96" s="6">
        <v>161.99</v>
      </c>
      <c r="I96" s="2"/>
      <c r="J96" s="7">
        <f t="shared" si="73"/>
        <v>5.2455030796565865E-4</v>
      </c>
      <c r="K96" s="2"/>
      <c r="L96" s="6">
        <f t="shared" si="74"/>
        <v>-42.920000000000016</v>
      </c>
      <c r="M96" s="2"/>
      <c r="N96" s="7">
        <f t="shared" si="75"/>
        <v>-0.26495462682881665</v>
      </c>
      <c r="O96" s="10"/>
      <c r="P96" s="6">
        <v>916.08</v>
      </c>
      <c r="Q96" s="2"/>
      <c r="R96" s="7">
        <f t="shared" si="76"/>
        <v>2.3885304233352603E-3</v>
      </c>
      <c r="S96" s="2"/>
      <c r="T96" s="6">
        <v>3566.3</v>
      </c>
      <c r="U96" s="2"/>
      <c r="V96" s="7">
        <f t="shared" si="77"/>
        <v>7.7200288032861105E-4</v>
      </c>
      <c r="W96" s="2"/>
      <c r="X96" s="6">
        <f t="shared" si="78"/>
        <v>-2650.2200000000003</v>
      </c>
      <c r="Y96" s="2"/>
      <c r="Z96" s="7">
        <f t="shared" si="79"/>
        <v>-0.7431287328603875</v>
      </c>
    </row>
    <row r="97" spans="1:26" s="26" customFormat="1" outlineLevel="1" collapsed="1" x14ac:dyDescent="0.25">
      <c r="A97" s="27"/>
      <c r="B97" s="12" t="str">
        <f>CONCATENATE("     ","Supplies                                          ")</f>
        <v xml:space="preserve">     Supplies                                          </v>
      </c>
      <c r="C97" s="12"/>
      <c r="D97" s="1">
        <f>SUM(OSRRefD22_20x_0)</f>
        <v>94.92</v>
      </c>
      <c r="E97" s="1"/>
      <c r="F97" s="5">
        <f t="shared" ref="F97:F107" si="80">IF(D$12=0,0,D97/D$12)</f>
        <v>1.6575717342457779E-3</v>
      </c>
      <c r="G97" s="1"/>
      <c r="H97" s="1">
        <f>SUM(OSRRefH22_20x_0)</f>
        <v>12784.26</v>
      </c>
      <c r="I97" s="1"/>
      <c r="J97" s="5">
        <f t="shared" ref="J97:J107" si="81">IF(H$12=0,0,H97/H$12)</f>
        <v>4.1397540095765482E-2</v>
      </c>
      <c r="K97" s="1"/>
      <c r="L97" s="1">
        <f t="shared" ref="L97:L107" si="82">+D97-H97</f>
        <v>-12689.34</v>
      </c>
      <c r="M97" s="1"/>
      <c r="N97" s="5">
        <f t="shared" ref="N97:N107" si="83">IF(H97=0,0,L97/H97)</f>
        <v>-0.99257524487142779</v>
      </c>
      <c r="O97" s="12"/>
      <c r="P97" s="1">
        <f>SUM(OSRRefP22_20x_0)</f>
        <v>-21251.940000000002</v>
      </c>
      <c r="Q97" s="1"/>
      <c r="R97" s="5">
        <f t="shared" ref="R97:R107" si="84">IF(P$12=0,0,P97/P$12)</f>
        <v>-5.5410996031891931E-2</v>
      </c>
      <c r="S97" s="1"/>
      <c r="T97" s="1">
        <f>SUM(OSRRefT22_20x_0)</f>
        <v>166221.96</v>
      </c>
      <c r="U97" s="1"/>
      <c r="V97" s="5">
        <f t="shared" ref="V97:V107" si="85">IF(T$12=0,0,T97/T$12)</f>
        <v>3.5982343575657445E-2</v>
      </c>
      <c r="W97" s="1"/>
      <c r="X97" s="1">
        <f t="shared" ref="X97:X107" si="86">+P97-T97</f>
        <v>-187473.9</v>
      </c>
      <c r="Y97" s="1"/>
      <c r="Z97" s="5">
        <f t="shared" ref="Z97:Z107" si="87">IF(T97=0,0,X97/T97)</f>
        <v>-1.1278527819067949</v>
      </c>
    </row>
    <row r="98" spans="1:26" s="23" customFormat="1" hidden="1" outlineLevel="2" x14ac:dyDescent="0.25">
      <c r="A98" s="25"/>
      <c r="B98" s="10" t="str">
        <f>CONCATENATE("          ", "6234", " - ", "EXPENDABLE SUPPLIES &amp; EQUIPMEN")</f>
        <v xml:space="preserve">          6234 - EXPENDABLE SUPPLIES &amp; EQUIPMEN</v>
      </c>
      <c r="C98" s="10"/>
      <c r="D98" s="6"/>
      <c r="E98" s="2"/>
      <c r="F98" s="7">
        <f t="shared" si="80"/>
        <v>0</v>
      </c>
      <c r="G98" s="2"/>
      <c r="H98" s="6">
        <v>972.3</v>
      </c>
      <c r="I98" s="2"/>
      <c r="J98" s="7">
        <f t="shared" si="81"/>
        <v>3.1484675871042028E-3</v>
      </c>
      <c r="K98" s="2"/>
      <c r="L98" s="6">
        <f t="shared" si="82"/>
        <v>-972.3</v>
      </c>
      <c r="M98" s="2"/>
      <c r="N98" s="7">
        <f t="shared" si="83"/>
        <v>-1</v>
      </c>
      <c r="O98" s="10"/>
      <c r="P98" s="6">
        <v>310.91000000000003</v>
      </c>
      <c r="Q98" s="2"/>
      <c r="R98" s="7">
        <f t="shared" si="84"/>
        <v>8.1064753506152943E-4</v>
      </c>
      <c r="S98" s="2"/>
      <c r="T98" s="6">
        <v>14544.42</v>
      </c>
      <c r="U98" s="2"/>
      <c r="V98" s="7">
        <f t="shared" si="85"/>
        <v>3.1484547381625369E-3</v>
      </c>
      <c r="W98" s="2"/>
      <c r="X98" s="6">
        <f t="shared" si="86"/>
        <v>-14233.51</v>
      </c>
      <c r="Y98" s="2"/>
      <c r="Z98" s="7">
        <f t="shared" si="87"/>
        <v>-0.97862341709054057</v>
      </c>
    </row>
    <row r="99" spans="1:26" s="23" customFormat="1" hidden="1" outlineLevel="2" x14ac:dyDescent="0.25">
      <c r="A99" s="25"/>
      <c r="B99" s="10" t="str">
        <f>CONCATENATE("          ", "6235", " - ", "COVID-19 EXPENSES")</f>
        <v xml:space="preserve">          6235 - COVID-19 EXPENSES</v>
      </c>
      <c r="C99" s="10"/>
      <c r="D99" s="6"/>
      <c r="E99" s="2"/>
      <c r="F99" s="7">
        <f t="shared" si="80"/>
        <v>0</v>
      </c>
      <c r="G99" s="2"/>
      <c r="H99" s="6"/>
      <c r="I99" s="2"/>
      <c r="J99" s="7">
        <f t="shared" si="81"/>
        <v>0</v>
      </c>
      <c r="K99" s="2"/>
      <c r="L99" s="6">
        <f t="shared" si="82"/>
        <v>0</v>
      </c>
      <c r="M99" s="2"/>
      <c r="N99" s="7">
        <f t="shared" si="83"/>
        <v>0</v>
      </c>
      <c r="O99" s="10"/>
      <c r="P99" s="6">
        <v>6881.86</v>
      </c>
      <c r="Q99" s="2"/>
      <c r="R99" s="7">
        <f t="shared" si="84"/>
        <v>1.7943336803700544E-2</v>
      </c>
      <c r="S99" s="2"/>
      <c r="T99" s="6"/>
      <c r="U99" s="2"/>
      <c r="V99" s="7">
        <f t="shared" si="85"/>
        <v>0</v>
      </c>
      <c r="W99" s="2"/>
      <c r="X99" s="6">
        <f t="shared" si="86"/>
        <v>6881.86</v>
      </c>
      <c r="Y99" s="2"/>
      <c r="Z99" s="7">
        <f t="shared" si="87"/>
        <v>0</v>
      </c>
    </row>
    <row r="100" spans="1:26" s="23" customFormat="1" hidden="1" outlineLevel="2" x14ac:dyDescent="0.25">
      <c r="A100" s="25"/>
      <c r="B100" s="10" t="str">
        <f>CONCATENATE("          ", "6237", " - ", "JANITORIAL SUPPLIES")</f>
        <v xml:space="preserve">          6237 - JANITORIAL SUPPLIES</v>
      </c>
      <c r="C100" s="10"/>
      <c r="D100" s="6"/>
      <c r="E100" s="2"/>
      <c r="F100" s="7">
        <f t="shared" si="80"/>
        <v>0</v>
      </c>
      <c r="G100" s="2"/>
      <c r="H100" s="6">
        <v>5763.7</v>
      </c>
      <c r="I100" s="2"/>
      <c r="J100" s="7">
        <f t="shared" si="81"/>
        <v>1.8663810173601247E-2</v>
      </c>
      <c r="K100" s="2"/>
      <c r="L100" s="6">
        <f t="shared" si="82"/>
        <v>-5763.7</v>
      </c>
      <c r="M100" s="2"/>
      <c r="N100" s="7">
        <f t="shared" si="83"/>
        <v>-1</v>
      </c>
      <c r="O100" s="10"/>
      <c r="P100" s="6">
        <v>358.91</v>
      </c>
      <c r="Q100" s="2"/>
      <c r="R100" s="7">
        <f t="shared" si="84"/>
        <v>9.3579977102355508E-4</v>
      </c>
      <c r="S100" s="2"/>
      <c r="T100" s="6">
        <v>48433.599999999999</v>
      </c>
      <c r="U100" s="2"/>
      <c r="V100" s="7">
        <f t="shared" si="85"/>
        <v>1.0484501781870232E-2</v>
      </c>
      <c r="W100" s="2"/>
      <c r="X100" s="6">
        <f t="shared" si="86"/>
        <v>-48074.689999999995</v>
      </c>
      <c r="Y100" s="2"/>
      <c r="Z100" s="7">
        <f t="shared" si="87"/>
        <v>-0.99258964850847342</v>
      </c>
    </row>
    <row r="101" spans="1:26" s="23" customFormat="1" hidden="1" outlineLevel="2" x14ac:dyDescent="0.25">
      <c r="A101" s="25"/>
      <c r="B101" s="10" t="str">
        <f>CONCATENATE("          ", "6239", " - ", "KITCHEN SUPPLIES")</f>
        <v xml:space="preserve">          6239 - KITCHEN SUPPLIES</v>
      </c>
      <c r="C101" s="10"/>
      <c r="D101" s="6"/>
      <c r="E101" s="2"/>
      <c r="F101" s="7">
        <f t="shared" si="80"/>
        <v>0</v>
      </c>
      <c r="G101" s="2"/>
      <c r="H101" s="6">
        <v>1579.39</v>
      </c>
      <c r="I101" s="2"/>
      <c r="J101" s="7">
        <f t="shared" si="81"/>
        <v>5.1143250256057878E-3</v>
      </c>
      <c r="K101" s="2"/>
      <c r="L101" s="6">
        <f t="shared" si="82"/>
        <v>-1579.39</v>
      </c>
      <c r="M101" s="2"/>
      <c r="N101" s="7">
        <f t="shared" si="83"/>
        <v>-1</v>
      </c>
      <c r="O101" s="10"/>
      <c r="P101" s="6">
        <v>19.829999999999998</v>
      </c>
      <c r="Q101" s="2"/>
      <c r="R101" s="7">
        <f t="shared" si="84"/>
        <v>5.170351748181186E-5</v>
      </c>
      <c r="S101" s="2"/>
      <c r="T101" s="6">
        <v>45135.34</v>
      </c>
      <c r="U101" s="2"/>
      <c r="V101" s="7">
        <f t="shared" si="85"/>
        <v>9.7705219652332014E-3</v>
      </c>
      <c r="W101" s="2"/>
      <c r="X101" s="6">
        <f t="shared" si="86"/>
        <v>-45115.509999999995</v>
      </c>
      <c r="Y101" s="2"/>
      <c r="Z101" s="7">
        <f t="shared" si="87"/>
        <v>-0.99956065468876487</v>
      </c>
    </row>
    <row r="102" spans="1:26" s="23" customFormat="1" hidden="1" outlineLevel="2" x14ac:dyDescent="0.25">
      <c r="A102" s="25"/>
      <c r="B102" s="10" t="str">
        <f>CONCATENATE("          ", "6241", " - ", "OFFICE EXPENSE")</f>
        <v xml:space="preserve">          6241 - OFFICE EXPENSE</v>
      </c>
      <c r="C102" s="10"/>
      <c r="D102" s="6"/>
      <c r="E102" s="2"/>
      <c r="F102" s="7">
        <f t="shared" si="80"/>
        <v>0</v>
      </c>
      <c r="G102" s="2"/>
      <c r="H102" s="6">
        <v>1268.98</v>
      </c>
      <c r="I102" s="2"/>
      <c r="J102" s="7">
        <f t="shared" si="81"/>
        <v>4.1091663053414501E-3</v>
      </c>
      <c r="K102" s="2"/>
      <c r="L102" s="6">
        <f t="shared" si="82"/>
        <v>-1268.98</v>
      </c>
      <c r="M102" s="2"/>
      <c r="N102" s="7">
        <f t="shared" si="83"/>
        <v>-1</v>
      </c>
      <c r="O102" s="10"/>
      <c r="P102" s="6">
        <v>-28983.86</v>
      </c>
      <c r="Q102" s="2"/>
      <c r="R102" s="7">
        <f t="shared" si="84"/>
        <v>-7.5570726787714967E-2</v>
      </c>
      <c r="S102" s="2"/>
      <c r="T102" s="6">
        <v>16728.23</v>
      </c>
      <c r="U102" s="2"/>
      <c r="V102" s="7">
        <f t="shared" si="85"/>
        <v>3.6211877135404985E-3</v>
      </c>
      <c r="W102" s="2"/>
      <c r="X102" s="6">
        <f t="shared" si="86"/>
        <v>-45712.09</v>
      </c>
      <c r="Y102" s="2"/>
      <c r="Z102" s="7">
        <f t="shared" si="87"/>
        <v>-2.7326316053760618</v>
      </c>
    </row>
    <row r="103" spans="1:26" s="23" customFormat="1" hidden="1" outlineLevel="2" x14ac:dyDescent="0.25">
      <c r="A103" s="25"/>
      <c r="B103" s="10" t="str">
        <f>CONCATENATE("          ", "6243", " - ", "PAPER SUPPLIES")</f>
        <v xml:space="preserve">          6243 - PAPER SUPPLIES</v>
      </c>
      <c r="C103" s="10"/>
      <c r="D103" s="6">
        <v>94.92</v>
      </c>
      <c r="E103" s="2"/>
      <c r="F103" s="7">
        <f t="shared" si="80"/>
        <v>1.6575717342457779E-3</v>
      </c>
      <c r="G103" s="2"/>
      <c r="H103" s="6">
        <v>1791.43</v>
      </c>
      <c r="I103" s="2"/>
      <c r="J103" s="7">
        <f t="shared" si="81"/>
        <v>5.8009454793439084E-3</v>
      </c>
      <c r="K103" s="2"/>
      <c r="L103" s="6">
        <f t="shared" si="82"/>
        <v>-1696.51</v>
      </c>
      <c r="M103" s="2"/>
      <c r="N103" s="7">
        <f t="shared" si="83"/>
        <v>-0.94701439632025808</v>
      </c>
      <c r="O103" s="10"/>
      <c r="P103" s="6">
        <v>160.41</v>
      </c>
      <c r="Q103" s="2"/>
      <c r="R103" s="7">
        <f t="shared" si="84"/>
        <v>4.1824312855559461E-4</v>
      </c>
      <c r="S103" s="2"/>
      <c r="T103" s="6">
        <v>29152.85</v>
      </c>
      <c r="U103" s="2"/>
      <c r="V103" s="7">
        <f t="shared" si="85"/>
        <v>6.3107658272685821E-3</v>
      </c>
      <c r="W103" s="2"/>
      <c r="X103" s="6">
        <f t="shared" si="86"/>
        <v>-28992.44</v>
      </c>
      <c r="Y103" s="2"/>
      <c r="Z103" s="7">
        <f t="shared" si="87"/>
        <v>-0.99449762201637237</v>
      </c>
    </row>
    <row r="104" spans="1:26" s="23" customFormat="1" hidden="1" outlineLevel="2" x14ac:dyDescent="0.25">
      <c r="A104" s="25"/>
      <c r="B104" s="10" t="str">
        <f>CONCATENATE("          ", "6245", " - ", "PRINTING")</f>
        <v xml:space="preserve">          6245 - PRINTING</v>
      </c>
      <c r="C104" s="10"/>
      <c r="D104" s="6"/>
      <c r="E104" s="2"/>
      <c r="F104" s="7">
        <f t="shared" si="80"/>
        <v>0</v>
      </c>
      <c r="G104" s="2"/>
      <c r="H104" s="6"/>
      <c r="I104" s="2"/>
      <c r="J104" s="7">
        <f t="shared" si="81"/>
        <v>0</v>
      </c>
      <c r="K104" s="2"/>
      <c r="L104" s="6">
        <f t="shared" si="82"/>
        <v>0</v>
      </c>
      <c r="M104" s="2"/>
      <c r="N104" s="7">
        <f t="shared" si="83"/>
        <v>0</v>
      </c>
      <c r="O104" s="10"/>
      <c r="P104" s="6"/>
      <c r="Q104" s="2"/>
      <c r="R104" s="7">
        <f t="shared" si="84"/>
        <v>0</v>
      </c>
      <c r="S104" s="2"/>
      <c r="T104" s="6">
        <v>531.28</v>
      </c>
      <c r="U104" s="2"/>
      <c r="V104" s="7">
        <f t="shared" si="85"/>
        <v>1.1500706341614121E-4</v>
      </c>
      <c r="W104" s="2"/>
      <c r="X104" s="6">
        <f t="shared" si="86"/>
        <v>-531.28</v>
      </c>
      <c r="Y104" s="2"/>
      <c r="Z104" s="7">
        <f t="shared" si="87"/>
        <v>-1</v>
      </c>
    </row>
    <row r="105" spans="1:26" s="23" customFormat="1" hidden="1" outlineLevel="2" x14ac:dyDescent="0.25">
      <c r="A105" s="25"/>
      <c r="B105" s="10" t="str">
        <f>CONCATENATE("          ", "6246", " - ", "REPLACEMENTS")</f>
        <v xml:space="preserve">          6246 - REPLACEMENTS</v>
      </c>
      <c r="C105" s="10"/>
      <c r="D105" s="6"/>
      <c r="E105" s="2"/>
      <c r="F105" s="7">
        <f t="shared" si="80"/>
        <v>0</v>
      </c>
      <c r="G105" s="2"/>
      <c r="H105" s="6"/>
      <c r="I105" s="2"/>
      <c r="J105" s="7">
        <f t="shared" si="81"/>
        <v>0</v>
      </c>
      <c r="K105" s="2"/>
      <c r="L105" s="6">
        <f t="shared" si="82"/>
        <v>0</v>
      </c>
      <c r="M105" s="2"/>
      <c r="N105" s="7">
        <f t="shared" si="83"/>
        <v>0</v>
      </c>
      <c r="O105" s="10"/>
      <c r="P105" s="6"/>
      <c r="Q105" s="2"/>
      <c r="R105" s="7">
        <f t="shared" si="84"/>
        <v>0</v>
      </c>
      <c r="S105" s="2"/>
      <c r="T105" s="6">
        <v>25.87</v>
      </c>
      <c r="U105" s="2"/>
      <c r="V105" s="7">
        <f t="shared" si="85"/>
        <v>5.600121838909E-6</v>
      </c>
      <c r="W105" s="2"/>
      <c r="X105" s="6">
        <f t="shared" si="86"/>
        <v>-25.87</v>
      </c>
      <c r="Y105" s="2"/>
      <c r="Z105" s="7">
        <f t="shared" si="87"/>
        <v>-1</v>
      </c>
    </row>
    <row r="106" spans="1:26" s="23" customFormat="1" hidden="1" outlineLevel="2" x14ac:dyDescent="0.25">
      <c r="A106" s="25"/>
      <c r="B106" s="10" t="str">
        <f>CONCATENATE("          ", "6247", " - ", "STORE SUPPLIES")</f>
        <v xml:space="preserve">          6247 - STORE SUPPLIES</v>
      </c>
      <c r="C106" s="10"/>
      <c r="D106" s="6"/>
      <c r="E106" s="2"/>
      <c r="F106" s="7">
        <f t="shared" si="80"/>
        <v>0</v>
      </c>
      <c r="G106" s="2"/>
      <c r="H106" s="6">
        <v>1025.3399999999999</v>
      </c>
      <c r="I106" s="2"/>
      <c r="J106" s="7">
        <f t="shared" si="81"/>
        <v>3.3202198454812537E-3</v>
      </c>
      <c r="K106" s="2"/>
      <c r="L106" s="6">
        <f t="shared" si="82"/>
        <v>-1025.3399999999999</v>
      </c>
      <c r="M106" s="2"/>
      <c r="N106" s="7">
        <f t="shared" si="83"/>
        <v>-1</v>
      </c>
      <c r="O106" s="10"/>
      <c r="P106" s="6"/>
      <c r="Q106" s="2"/>
      <c r="R106" s="7">
        <f t="shared" si="84"/>
        <v>0</v>
      </c>
      <c r="S106" s="2"/>
      <c r="T106" s="6">
        <v>6946.48</v>
      </c>
      <c r="U106" s="2"/>
      <c r="V106" s="7">
        <f t="shared" si="85"/>
        <v>1.5037160553360877E-3</v>
      </c>
      <c r="W106" s="2"/>
      <c r="X106" s="6">
        <f t="shared" si="86"/>
        <v>-6946.48</v>
      </c>
      <c r="Y106" s="2"/>
      <c r="Z106" s="7">
        <f t="shared" si="87"/>
        <v>-1</v>
      </c>
    </row>
    <row r="107" spans="1:26" s="23" customFormat="1" hidden="1" outlineLevel="2" x14ac:dyDescent="0.25">
      <c r="A107" s="25"/>
      <c r="B107" s="10" t="str">
        <f>CONCATENATE("          ", "6248", " - ", "UNIFORMS")</f>
        <v xml:space="preserve">          6248 - UNIFORMS</v>
      </c>
      <c r="C107" s="10"/>
      <c r="D107" s="6"/>
      <c r="E107" s="2"/>
      <c r="F107" s="7">
        <f t="shared" si="80"/>
        <v>0</v>
      </c>
      <c r="G107" s="2"/>
      <c r="H107" s="6">
        <v>383.12</v>
      </c>
      <c r="I107" s="2"/>
      <c r="J107" s="7">
        <f t="shared" si="81"/>
        <v>1.2406056792876295E-3</v>
      </c>
      <c r="K107" s="2"/>
      <c r="L107" s="6">
        <f t="shared" si="82"/>
        <v>-383.12</v>
      </c>
      <c r="M107" s="2"/>
      <c r="N107" s="7">
        <f t="shared" si="83"/>
        <v>-1</v>
      </c>
      <c r="O107" s="10"/>
      <c r="P107" s="6"/>
      <c r="Q107" s="2"/>
      <c r="R107" s="7">
        <f t="shared" si="84"/>
        <v>0</v>
      </c>
      <c r="S107" s="2"/>
      <c r="T107" s="6">
        <v>4723.8900000000003</v>
      </c>
      <c r="U107" s="2"/>
      <c r="V107" s="7">
        <f t="shared" si="85"/>
        <v>1.0225883089912578E-3</v>
      </c>
      <c r="W107" s="2"/>
      <c r="X107" s="6">
        <f t="shared" si="86"/>
        <v>-4723.8900000000003</v>
      </c>
      <c r="Y107" s="2"/>
      <c r="Z107" s="7">
        <f t="shared" si="87"/>
        <v>-1</v>
      </c>
    </row>
    <row r="108" spans="1:26" s="26" customFormat="1" outlineLevel="1" collapsed="1" x14ac:dyDescent="0.25">
      <c r="A108" s="27"/>
      <c r="B108" s="12" t="str">
        <f>CONCATENATE("     ","Telephone/Data Lines                              ")</f>
        <v xml:space="preserve">     Telephone/Data Lines                              </v>
      </c>
      <c r="C108" s="12"/>
      <c r="D108" s="1">
        <f>SUM(OSRRefD22_21x_0)</f>
        <v>400</v>
      </c>
      <c r="E108" s="1"/>
      <c r="F108" s="5">
        <f t="shared" ref="F108:F115" si="88">IF(D$12=0,0,D108/D$12)</f>
        <v>6.9851316234546051E-3</v>
      </c>
      <c r="G108" s="1"/>
      <c r="H108" s="1">
        <f>SUM(OSRRefH22_21x_0)</f>
        <v>2239.52</v>
      </c>
      <c r="I108" s="1"/>
      <c r="J108" s="5">
        <f t="shared" ref="J108:J115" si="89">IF(H$12=0,0,H108/H$12)</f>
        <v>7.2519347224844228E-3</v>
      </c>
      <c r="K108" s="1"/>
      <c r="L108" s="1">
        <f t="shared" ref="L108:L115" si="90">+D108-H108</f>
        <v>-1839.52</v>
      </c>
      <c r="M108" s="1"/>
      <c r="N108" s="5">
        <f t="shared" ref="N108:N115" si="91">IF(H108=0,0,L108/H108)</f>
        <v>-0.82139029792098306</v>
      </c>
      <c r="O108" s="12"/>
      <c r="P108" s="1">
        <f>SUM(OSRRefP22_21x_0)</f>
        <v>5597.41</v>
      </c>
      <c r="Q108" s="1"/>
      <c r="R108" s="5">
        <f t="shared" ref="R108:R115" si="92">IF(P$12=0,0,P108/P$12)</f>
        <v>1.4594341189504213E-2</v>
      </c>
      <c r="S108" s="1"/>
      <c r="T108" s="1">
        <f>SUM(OSRRefT22_21x_0)</f>
        <v>17163.25</v>
      </c>
      <c r="U108" s="1"/>
      <c r="V108" s="5">
        <f t="shared" ref="V108:V115" si="93">IF(T$12=0,0,T108/T$12)</f>
        <v>3.7153572149847269E-3</v>
      </c>
      <c r="W108" s="1"/>
      <c r="X108" s="1">
        <f t="shared" ref="X108:X115" si="94">+P108-T108</f>
        <v>-11565.84</v>
      </c>
      <c r="Y108" s="1"/>
      <c r="Z108" s="5">
        <f t="shared" ref="Z108:Z115" si="95">IF(T108=0,0,X108/T108)</f>
        <v>-0.67387237265669386</v>
      </c>
    </row>
    <row r="109" spans="1:26" s="23" customFormat="1" hidden="1" outlineLevel="2" x14ac:dyDescent="0.25">
      <c r="A109" s="25"/>
      <c r="B109" s="10" t="str">
        <f>CONCATENATE("          ", "6309", " - ", "TELEPHONE")</f>
        <v xml:space="preserve">          6309 - TELEPHONE</v>
      </c>
      <c r="C109" s="10"/>
      <c r="D109" s="6">
        <v>400</v>
      </c>
      <c r="E109" s="2"/>
      <c r="F109" s="7">
        <f t="shared" si="88"/>
        <v>6.9851316234546051E-3</v>
      </c>
      <c r="G109" s="2"/>
      <c r="H109" s="6">
        <v>2239.52</v>
      </c>
      <c r="I109" s="2"/>
      <c r="J109" s="7">
        <f t="shared" si="89"/>
        <v>7.2519347224844228E-3</v>
      </c>
      <c r="K109" s="2"/>
      <c r="L109" s="6">
        <f t="shared" si="90"/>
        <v>-1839.52</v>
      </c>
      <c r="M109" s="2"/>
      <c r="N109" s="7">
        <f t="shared" si="91"/>
        <v>-0.82139029792098306</v>
      </c>
      <c r="O109" s="10"/>
      <c r="P109" s="6">
        <v>5597.41</v>
      </c>
      <c r="Q109" s="2"/>
      <c r="R109" s="7">
        <f t="shared" si="92"/>
        <v>1.4594341189504213E-2</v>
      </c>
      <c r="S109" s="2"/>
      <c r="T109" s="6">
        <v>17163.25</v>
      </c>
      <c r="U109" s="2"/>
      <c r="V109" s="7">
        <f t="shared" si="93"/>
        <v>3.7153572149847269E-3</v>
      </c>
      <c r="W109" s="2"/>
      <c r="X109" s="6">
        <f t="shared" si="94"/>
        <v>-11565.84</v>
      </c>
      <c r="Y109" s="2"/>
      <c r="Z109" s="7">
        <f t="shared" si="95"/>
        <v>-0.67387237265669386</v>
      </c>
    </row>
    <row r="110" spans="1:26" s="26" customFormat="1" outlineLevel="1" collapsed="1" x14ac:dyDescent="0.25">
      <c r="A110" s="27"/>
      <c r="B110" s="12" t="str">
        <f>CONCATENATE("     ","Training                                          ")</f>
        <v xml:space="preserve">     Training                                          </v>
      </c>
      <c r="C110" s="12"/>
      <c r="D110" s="1">
        <f>SUM(OSRRefD22_22x_0)</f>
        <v>0</v>
      </c>
      <c r="E110" s="1"/>
      <c r="F110" s="5">
        <f t="shared" si="88"/>
        <v>0</v>
      </c>
      <c r="G110" s="1"/>
      <c r="H110" s="1">
        <f>SUM(OSRRefH22_22x_0)</f>
        <v>100</v>
      </c>
      <c r="I110" s="1"/>
      <c r="J110" s="5">
        <f t="shared" si="89"/>
        <v>3.238164750698553E-4</v>
      </c>
      <c r="K110" s="1"/>
      <c r="L110" s="1">
        <f t="shared" si="90"/>
        <v>-100</v>
      </c>
      <c r="M110" s="1"/>
      <c r="N110" s="5">
        <f t="shared" si="91"/>
        <v>-1</v>
      </c>
      <c r="O110" s="12"/>
      <c r="P110" s="1">
        <f>SUM(OSRRefP22_22x_0)</f>
        <v>400</v>
      </c>
      <c r="Q110" s="1"/>
      <c r="R110" s="5">
        <f t="shared" si="92"/>
        <v>1.0429352996835476E-3</v>
      </c>
      <c r="S110" s="1"/>
      <c r="T110" s="1">
        <f>SUM(OSRRefT22_22x_0)</f>
        <v>2003.01</v>
      </c>
      <c r="U110" s="1"/>
      <c r="V110" s="5">
        <f t="shared" si="93"/>
        <v>4.3359489928693911E-4</v>
      </c>
      <c r="W110" s="1"/>
      <c r="X110" s="1">
        <f t="shared" si="94"/>
        <v>-1603.01</v>
      </c>
      <c r="Y110" s="1"/>
      <c r="Z110" s="5">
        <f t="shared" si="95"/>
        <v>-0.80030054767574799</v>
      </c>
    </row>
    <row r="111" spans="1:26" s="23" customFormat="1" hidden="1" outlineLevel="2" x14ac:dyDescent="0.25">
      <c r="A111" s="25"/>
      <c r="B111" s="10" t="str">
        <f>CONCATENATE("          ", "6376", " - ", "TRAINING")</f>
        <v xml:space="preserve">          6376 - TRAINING</v>
      </c>
      <c r="C111" s="10"/>
      <c r="D111" s="6"/>
      <c r="E111" s="2"/>
      <c r="F111" s="7">
        <f t="shared" si="88"/>
        <v>0</v>
      </c>
      <c r="G111" s="2"/>
      <c r="H111" s="6">
        <v>100</v>
      </c>
      <c r="I111" s="2"/>
      <c r="J111" s="7">
        <f t="shared" si="89"/>
        <v>3.238164750698553E-4</v>
      </c>
      <c r="K111" s="2"/>
      <c r="L111" s="6">
        <f t="shared" si="90"/>
        <v>-100</v>
      </c>
      <c r="M111" s="2"/>
      <c r="N111" s="7">
        <f t="shared" si="91"/>
        <v>-1</v>
      </c>
      <c r="O111" s="10"/>
      <c r="P111" s="6">
        <v>400</v>
      </c>
      <c r="Q111" s="2"/>
      <c r="R111" s="7">
        <f t="shared" si="92"/>
        <v>1.0429352996835476E-3</v>
      </c>
      <c r="S111" s="2"/>
      <c r="T111" s="6">
        <v>2003.01</v>
      </c>
      <c r="U111" s="2"/>
      <c r="V111" s="7">
        <f t="shared" si="93"/>
        <v>4.3359489928693911E-4</v>
      </c>
      <c r="W111" s="2"/>
      <c r="X111" s="6">
        <f t="shared" si="94"/>
        <v>-1603.01</v>
      </c>
      <c r="Y111" s="2"/>
      <c r="Z111" s="7">
        <f t="shared" si="95"/>
        <v>-0.80030054767574799</v>
      </c>
    </row>
    <row r="112" spans="1:26" s="26" customFormat="1" outlineLevel="1" collapsed="1" x14ac:dyDescent="0.25">
      <c r="A112" s="27"/>
      <c r="B112" s="12" t="str">
        <f>CONCATENATE("     ","Travel                                            ")</f>
        <v xml:space="preserve">     Travel                                            </v>
      </c>
      <c r="C112" s="12"/>
      <c r="D112" s="1">
        <f>SUM(OSRRefD22_23x_0)</f>
        <v>0</v>
      </c>
      <c r="E112" s="1"/>
      <c r="F112" s="5">
        <f t="shared" si="88"/>
        <v>0</v>
      </c>
      <c r="G112" s="1"/>
      <c r="H112" s="1">
        <f>SUM(OSRRefH22_23x_0)</f>
        <v>1389.05</v>
      </c>
      <c r="I112" s="1"/>
      <c r="J112" s="5">
        <f t="shared" si="89"/>
        <v>4.4979727469578248E-3</v>
      </c>
      <c r="K112" s="1"/>
      <c r="L112" s="1">
        <f t="shared" si="90"/>
        <v>-1389.05</v>
      </c>
      <c r="M112" s="1"/>
      <c r="N112" s="5">
        <f t="shared" si="91"/>
        <v>-1</v>
      </c>
      <c r="O112" s="12"/>
      <c r="P112" s="1">
        <f>SUM(OSRRefP22_23x_0)</f>
        <v>332.21</v>
      </c>
      <c r="Q112" s="1"/>
      <c r="R112" s="5">
        <f t="shared" si="92"/>
        <v>8.6618383976967825E-4</v>
      </c>
      <c r="S112" s="1"/>
      <c r="T112" s="1">
        <f>SUM(OSRRefT22_23x_0)</f>
        <v>4603.8899999999994</v>
      </c>
      <c r="U112" s="1"/>
      <c r="V112" s="5">
        <f t="shared" si="93"/>
        <v>9.9661170981580022E-4</v>
      </c>
      <c r="W112" s="1"/>
      <c r="X112" s="1">
        <f t="shared" si="94"/>
        <v>-4271.6799999999994</v>
      </c>
      <c r="Y112" s="1"/>
      <c r="Z112" s="5">
        <f t="shared" si="95"/>
        <v>-0.92784145581236732</v>
      </c>
    </row>
    <row r="113" spans="1:26" s="23" customFormat="1" hidden="1" outlineLevel="2" x14ac:dyDescent="0.25">
      <c r="A113" s="25"/>
      <c r="B113" s="10" t="str">
        <f>CONCATENATE("          ", "6292", " - ", "TRAVEL/CONFERENCE")</f>
        <v xml:space="preserve">          6292 - TRAVEL/CONFERENCE</v>
      </c>
      <c r="C113" s="10"/>
      <c r="D113" s="6"/>
      <c r="E113" s="2"/>
      <c r="F113" s="7">
        <f t="shared" si="88"/>
        <v>0</v>
      </c>
      <c r="G113" s="2"/>
      <c r="H113" s="6">
        <v>1212.73</v>
      </c>
      <c r="I113" s="2"/>
      <c r="J113" s="7">
        <f t="shared" si="89"/>
        <v>3.9270195381146565E-3</v>
      </c>
      <c r="K113" s="2"/>
      <c r="L113" s="6">
        <f t="shared" si="90"/>
        <v>-1212.73</v>
      </c>
      <c r="M113" s="2"/>
      <c r="N113" s="7">
        <f t="shared" si="91"/>
        <v>-1</v>
      </c>
      <c r="O113" s="10"/>
      <c r="P113" s="6"/>
      <c r="Q113" s="2"/>
      <c r="R113" s="7">
        <f t="shared" si="92"/>
        <v>0</v>
      </c>
      <c r="S113" s="2"/>
      <c r="T113" s="6">
        <v>3448.6</v>
      </c>
      <c r="U113" s="2"/>
      <c r="V113" s="7">
        <f t="shared" si="93"/>
        <v>7.4652416597068331E-4</v>
      </c>
      <c r="W113" s="2"/>
      <c r="X113" s="6">
        <f t="shared" si="94"/>
        <v>-3448.6</v>
      </c>
      <c r="Y113" s="2"/>
      <c r="Z113" s="7">
        <f t="shared" si="95"/>
        <v>-1</v>
      </c>
    </row>
    <row r="114" spans="1:26" s="23" customFormat="1" hidden="1" outlineLevel="2" x14ac:dyDescent="0.25">
      <c r="A114" s="25"/>
      <c r="B114" s="10" t="str">
        <f>CONCATENATE("          ", "6294", " - ", "TRAVEL OPERATIONAL")</f>
        <v xml:space="preserve">          6294 - TRAVEL OPERATIONAL</v>
      </c>
      <c r="C114" s="10"/>
      <c r="D114" s="6"/>
      <c r="E114" s="2"/>
      <c r="F114" s="7">
        <f t="shared" si="88"/>
        <v>0</v>
      </c>
      <c r="G114" s="2"/>
      <c r="H114" s="6">
        <v>11.5</v>
      </c>
      <c r="I114" s="2"/>
      <c r="J114" s="7">
        <f t="shared" si="89"/>
        <v>3.7238894633033357E-5</v>
      </c>
      <c r="K114" s="2"/>
      <c r="L114" s="6">
        <f t="shared" si="90"/>
        <v>-11.5</v>
      </c>
      <c r="M114" s="2"/>
      <c r="N114" s="7">
        <f t="shared" si="91"/>
        <v>-1</v>
      </c>
      <c r="O114" s="10"/>
      <c r="P114" s="6"/>
      <c r="Q114" s="2"/>
      <c r="R114" s="7">
        <f t="shared" si="92"/>
        <v>0</v>
      </c>
      <c r="S114" s="2"/>
      <c r="T114" s="6">
        <v>56.99</v>
      </c>
      <c r="U114" s="2"/>
      <c r="V114" s="7">
        <f t="shared" si="93"/>
        <v>1.2336719891744256E-5</v>
      </c>
      <c r="W114" s="2"/>
      <c r="X114" s="6">
        <f t="shared" si="94"/>
        <v>-56.99</v>
      </c>
      <c r="Y114" s="2"/>
      <c r="Z114" s="7">
        <f t="shared" si="95"/>
        <v>-1</v>
      </c>
    </row>
    <row r="115" spans="1:26" s="23" customFormat="1" hidden="1" outlineLevel="2" x14ac:dyDescent="0.25">
      <c r="A115" s="25"/>
      <c r="B115" s="10" t="str">
        <f>CONCATENATE("          ", "6298", " - ", "VEHICLE MILEAGE")</f>
        <v xml:space="preserve">          6298 - VEHICLE MILEAGE</v>
      </c>
      <c r="C115" s="10"/>
      <c r="D115" s="6"/>
      <c r="E115" s="2"/>
      <c r="F115" s="7">
        <f t="shared" si="88"/>
        <v>0</v>
      </c>
      <c r="G115" s="2"/>
      <c r="H115" s="6">
        <v>164.82</v>
      </c>
      <c r="I115" s="2"/>
      <c r="J115" s="7">
        <f t="shared" si="89"/>
        <v>5.3371431421013547E-4</v>
      </c>
      <c r="K115" s="2"/>
      <c r="L115" s="6">
        <f t="shared" si="90"/>
        <v>-164.82</v>
      </c>
      <c r="M115" s="2"/>
      <c r="N115" s="7">
        <f t="shared" si="91"/>
        <v>-1</v>
      </c>
      <c r="O115" s="10"/>
      <c r="P115" s="6">
        <v>332.21</v>
      </c>
      <c r="Q115" s="2"/>
      <c r="R115" s="7">
        <f t="shared" si="92"/>
        <v>8.6618383976967825E-4</v>
      </c>
      <c r="S115" s="2"/>
      <c r="T115" s="6">
        <v>1098.3</v>
      </c>
      <c r="U115" s="2"/>
      <c r="V115" s="7">
        <f t="shared" si="93"/>
        <v>2.3775082395337279E-4</v>
      </c>
      <c r="W115" s="2"/>
      <c r="X115" s="6">
        <f t="shared" si="94"/>
        <v>-766.08999999999992</v>
      </c>
      <c r="Y115" s="2"/>
      <c r="Z115" s="7">
        <f t="shared" si="95"/>
        <v>-0.69752344532459254</v>
      </c>
    </row>
    <row r="116" spans="1:26" s="26" customFormat="1" outlineLevel="1" collapsed="1" x14ac:dyDescent="0.25">
      <c r="A116" s="27"/>
      <c r="B116" s="12" t="str">
        <f>CONCATENATE("     ","Utilities                                         ")</f>
        <v xml:space="preserve">     Utilities                                         </v>
      </c>
      <c r="C116" s="12"/>
      <c r="D116" s="1">
        <f>SUM(OSRRefD22_24x_0)</f>
        <v>-9772</v>
      </c>
      <c r="E116" s="1"/>
      <c r="F116" s="5">
        <f t="shared" ref="F116:F117" si="96">IF(D$12=0,0,D116/D$12)</f>
        <v>-0.17064676556099601</v>
      </c>
      <c r="G116" s="1"/>
      <c r="H116" s="1">
        <f>SUM(OSRRefH22_24x_0)</f>
        <v>15583</v>
      </c>
      <c r="I116" s="1"/>
      <c r="J116" s="5">
        <f t="shared" ref="J116:J117" si="97">IF(H$12=0,0,H116/H$12)</f>
        <v>5.0460321310135552E-2</v>
      </c>
      <c r="K116" s="1"/>
      <c r="L116" s="1">
        <f t="shared" ref="L116:L117" si="98">+D116-H116</f>
        <v>-25355</v>
      </c>
      <c r="M116" s="1"/>
      <c r="N116" s="5">
        <f t="shared" ref="N116:N117" si="99">IF(H116=0,0,L116/H116)</f>
        <v>-1.62709362767118</v>
      </c>
      <c r="O116" s="12"/>
      <c r="P116" s="1">
        <f>SUM(OSRRefP22_24x_0)</f>
        <v>-1460</v>
      </c>
      <c r="Q116" s="1"/>
      <c r="R116" s="5">
        <f t="shared" ref="R116:R117" si="100">IF(P$12=0,0,P116/P$12)</f>
        <v>-3.8067138438449481E-3</v>
      </c>
      <c r="S116" s="1"/>
      <c r="T116" s="1">
        <f>SUM(OSRRefT22_24x_0)</f>
        <v>143636</v>
      </c>
      <c r="U116" s="1"/>
      <c r="V116" s="5">
        <f t="shared" ref="V116:V117" si="101">IF(T$12=0,0,T116/T$12)</f>
        <v>3.1093123326383188E-2</v>
      </c>
      <c r="W116" s="1"/>
      <c r="X116" s="1">
        <f t="shared" ref="X116:X117" si="102">+P116-T116</f>
        <v>-145096</v>
      </c>
      <c r="Y116" s="1"/>
      <c r="Z116" s="5">
        <f t="shared" ref="Z116:Z117" si="103">IF(T116=0,0,X116/T116)</f>
        <v>-1.010164582695146</v>
      </c>
    </row>
    <row r="117" spans="1:26" s="23" customFormat="1" hidden="1" outlineLevel="2" x14ac:dyDescent="0.25">
      <c r="A117" s="25"/>
      <c r="B117" s="10" t="str">
        <f>CONCATENATE("          ", "6274", " - ", "UTILITIES")</f>
        <v xml:space="preserve">          6274 - UTILITIES</v>
      </c>
      <c r="C117" s="10"/>
      <c r="D117" s="6">
        <v>-9772</v>
      </c>
      <c r="E117" s="2"/>
      <c r="F117" s="7">
        <f t="shared" si="96"/>
        <v>-0.17064676556099601</v>
      </c>
      <c r="G117" s="2"/>
      <c r="H117" s="6">
        <v>15583</v>
      </c>
      <c r="I117" s="2"/>
      <c r="J117" s="7">
        <f t="shared" si="97"/>
        <v>5.0460321310135552E-2</v>
      </c>
      <c r="K117" s="2"/>
      <c r="L117" s="6">
        <f t="shared" si="98"/>
        <v>-25355</v>
      </c>
      <c r="M117" s="2"/>
      <c r="N117" s="7">
        <f t="shared" si="99"/>
        <v>-1.62709362767118</v>
      </c>
      <c r="O117" s="10"/>
      <c r="P117" s="6">
        <v>-1460</v>
      </c>
      <c r="Q117" s="2"/>
      <c r="R117" s="7">
        <f t="shared" si="100"/>
        <v>-3.8067138438449481E-3</v>
      </c>
      <c r="S117" s="2"/>
      <c r="T117" s="6">
        <v>143636</v>
      </c>
      <c r="U117" s="2"/>
      <c r="V117" s="7">
        <f t="shared" si="101"/>
        <v>3.1093123326383188E-2</v>
      </c>
      <c r="W117" s="2"/>
      <c r="X117" s="6">
        <f t="shared" si="102"/>
        <v>-145096</v>
      </c>
      <c r="Y117" s="2"/>
      <c r="Z117" s="7">
        <f t="shared" si="103"/>
        <v>-1.010164582695146</v>
      </c>
    </row>
    <row r="118" spans="1:26" s="60" customFormat="1" x14ac:dyDescent="0.25">
      <c r="A118" s="37"/>
      <c r="B118" s="37"/>
      <c r="C118" s="37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4" customFormat="1" collapsed="1" x14ac:dyDescent="0.25">
      <c r="A119" s="11"/>
      <c r="B119" s="28" t="s">
        <v>292</v>
      </c>
      <c r="C119" s="11"/>
      <c r="D119" s="4">
        <f>SUM(OSRRefD25x_0)</f>
        <v>3116.44</v>
      </c>
      <c r="E119" s="4"/>
      <c r="F119" s="13">
        <f t="shared" ref="F119:F122" si="104">IF(D$12=0,0,D119/D$12)</f>
        <v>5.442185899149718E-2</v>
      </c>
      <c r="G119" s="4"/>
      <c r="H119" s="4">
        <f>SUM(OSRRefH25x_0)</f>
        <v>49428.82</v>
      </c>
      <c r="I119" s="4"/>
      <c r="J119" s="13">
        <f t="shared" ref="J119:J122" si="105">IF(H$12=0,0,H119/H$12)</f>
        <v>0.16005866259262364</v>
      </c>
      <c r="K119" s="4"/>
      <c r="L119" s="4">
        <f t="shared" ref="L119:L122" si="106">+D119-H119</f>
        <v>-46312.38</v>
      </c>
      <c r="M119" s="4"/>
      <c r="N119" s="13">
        <f t="shared" ref="N119:N122" si="107">IF(H119=0,0,L119/H119)</f>
        <v>-0.93695095290561248</v>
      </c>
      <c r="O119" s="11"/>
      <c r="P119" s="4">
        <f>SUM(OSRRefP25x_0)</f>
        <v>20865.659999999996</v>
      </c>
      <c r="Q119" s="4"/>
      <c r="R119" s="13">
        <f t="shared" ref="R119:R122" si="108">IF(P$12=0,0,P119/P$12)</f>
        <v>5.4403833412987511E-2</v>
      </c>
      <c r="S119" s="4"/>
      <c r="T119" s="4">
        <f>SUM(OSRRefT25x_0)</f>
        <v>656215.76</v>
      </c>
      <c r="U119" s="4"/>
      <c r="V119" s="13">
        <f t="shared" ref="V119:V122" si="109">IF(T$12=0,0,T119/T$12)</f>
        <v>0.14205211475115062</v>
      </c>
      <c r="W119" s="4"/>
      <c r="X119" s="4">
        <f t="shared" ref="X119:X122" si="110">+P119-T119</f>
        <v>-635350.1</v>
      </c>
      <c r="Y119" s="4"/>
      <c r="Z119" s="13">
        <f t="shared" ref="Z119:Z122" si="111">IF(T119=0,0,X119/T119)</f>
        <v>-0.96820304955796854</v>
      </c>
    </row>
    <row r="120" spans="1:26" s="23" customFormat="1" hidden="1" outlineLevel="1" x14ac:dyDescent="0.25">
      <c r="A120" s="44"/>
      <c r="B120" s="10" t="str">
        <f>CONCATENATE("          ", "9150", " - ", "MISC. INCOME")</f>
        <v xml:space="preserve">          9150 - MISC. INCOME</v>
      </c>
      <c r="C120" s="10"/>
      <c r="D120" s="2">
        <f>--3116.44</f>
        <v>3116.44</v>
      </c>
      <c r="E120" s="2"/>
      <c r="F120" s="19">
        <f t="shared" si="104"/>
        <v>5.442185899149718E-2</v>
      </c>
      <c r="G120" s="2"/>
      <c r="H120" s="2">
        <f>--45376.64</f>
        <v>45376.639999999999</v>
      </c>
      <c r="I120" s="2"/>
      <c r="J120" s="19">
        <f t="shared" si="105"/>
        <v>0.14693703615313797</v>
      </c>
      <c r="K120" s="2"/>
      <c r="L120" s="2">
        <f t="shared" si="106"/>
        <v>-42260.2</v>
      </c>
      <c r="M120" s="2"/>
      <c r="N120" s="19">
        <f t="shared" si="107"/>
        <v>-0.93132060901820846</v>
      </c>
      <c r="O120" s="10"/>
      <c r="P120" s="2">
        <f>--4844.49</f>
        <v>4844.49</v>
      </c>
      <c r="Q120" s="2"/>
      <c r="R120" s="19">
        <f t="shared" si="108"/>
        <v>1.2631224074909872E-2</v>
      </c>
      <c r="S120" s="2"/>
      <c r="T120" s="2">
        <f>--293259.16</f>
        <v>293259.15999999997</v>
      </c>
      <c r="U120" s="2"/>
      <c r="V120" s="19">
        <f t="shared" si="109"/>
        <v>6.3482297115427466E-2</v>
      </c>
      <c r="W120" s="2"/>
      <c r="X120" s="2">
        <f t="shared" si="110"/>
        <v>-288414.67</v>
      </c>
      <c r="Y120" s="2"/>
      <c r="Z120" s="19">
        <f t="shared" si="111"/>
        <v>-0.9834805160050244</v>
      </c>
    </row>
    <row r="121" spans="1:26" s="23" customFormat="1" hidden="1" outlineLevel="1" x14ac:dyDescent="0.25">
      <c r="A121" s="44"/>
      <c r="B121" s="10" t="str">
        <f>CONCATENATE("          ", "9160", " - ", "MISC. INCOME")</f>
        <v xml:space="preserve">          9160 - MISC. INCOME</v>
      </c>
      <c r="C121" s="10"/>
      <c r="D121" s="2">
        <f t="shared" ref="D121:D122" si="112">0</f>
        <v>0</v>
      </c>
      <c r="E121" s="2"/>
      <c r="F121" s="19">
        <f t="shared" si="104"/>
        <v>0</v>
      </c>
      <c r="G121" s="2"/>
      <c r="H121" s="2">
        <f>0</f>
        <v>0</v>
      </c>
      <c r="I121" s="2"/>
      <c r="J121" s="19">
        <f t="shared" si="105"/>
        <v>0</v>
      </c>
      <c r="K121" s="2"/>
      <c r="L121" s="2">
        <f t="shared" si="106"/>
        <v>0</v>
      </c>
      <c r="M121" s="2"/>
      <c r="N121" s="19">
        <f t="shared" si="107"/>
        <v>0</v>
      </c>
      <c r="O121" s="10"/>
      <c r="P121" s="2">
        <f>--12882.96</f>
        <v>12882.96</v>
      </c>
      <c r="Q121" s="2"/>
      <c r="R121" s="19">
        <f t="shared" si="108"/>
        <v>3.3590234371027886E-2</v>
      </c>
      <c r="S121" s="2"/>
      <c r="T121" s="2">
        <f>--130089.32</f>
        <v>130089.32</v>
      </c>
      <c r="U121" s="2"/>
      <c r="V121" s="19">
        <f t="shared" si="109"/>
        <v>2.8160651022064994E-2</v>
      </c>
      <c r="W121" s="2"/>
      <c r="X121" s="2">
        <f t="shared" si="110"/>
        <v>-117206.36000000002</v>
      </c>
      <c r="Y121" s="2"/>
      <c r="Z121" s="19">
        <f t="shared" si="111"/>
        <v>-0.90096835005364018</v>
      </c>
    </row>
    <row r="122" spans="1:26" s="23" customFormat="1" hidden="1" outlineLevel="1" x14ac:dyDescent="0.25">
      <c r="A122" s="44"/>
      <c r="B122" s="10" t="str">
        <f>CONCATENATE("          ", "9165", " - ", "OTHER INCOME")</f>
        <v xml:space="preserve">          9165 - OTHER INCOME</v>
      </c>
      <c r="C122" s="10"/>
      <c r="D122" s="2">
        <f t="shared" si="112"/>
        <v>0</v>
      </c>
      <c r="E122" s="2"/>
      <c r="F122" s="19">
        <f t="shared" si="104"/>
        <v>0</v>
      </c>
      <c r="G122" s="2"/>
      <c r="H122" s="2">
        <f>--4052.18</f>
        <v>4052.18</v>
      </c>
      <c r="I122" s="2"/>
      <c r="J122" s="19">
        <f t="shared" si="105"/>
        <v>1.312162643948566E-2</v>
      </c>
      <c r="K122" s="2"/>
      <c r="L122" s="2">
        <f t="shared" si="106"/>
        <v>-4052.18</v>
      </c>
      <c r="M122" s="2"/>
      <c r="N122" s="19">
        <f t="shared" si="107"/>
        <v>-1</v>
      </c>
      <c r="O122" s="10"/>
      <c r="P122" s="2">
        <f>--3138.21</f>
        <v>3138.21</v>
      </c>
      <c r="Q122" s="2"/>
      <c r="R122" s="19">
        <f t="shared" si="108"/>
        <v>8.1823749670497641E-3</v>
      </c>
      <c r="S122" s="2"/>
      <c r="T122" s="2">
        <f>--232867.28</f>
        <v>232867.28</v>
      </c>
      <c r="U122" s="2"/>
      <c r="V122" s="19">
        <f t="shared" si="109"/>
        <v>5.0409166613658171E-2</v>
      </c>
      <c r="W122" s="2"/>
      <c r="X122" s="2">
        <f t="shared" si="110"/>
        <v>-229729.07</v>
      </c>
      <c r="Y122" s="2"/>
      <c r="Z122" s="19">
        <f t="shared" si="111"/>
        <v>-0.9865236112175142</v>
      </c>
    </row>
    <row r="123" spans="1:26" x14ac:dyDescent="0.25">
      <c r="A123" s="9"/>
      <c r="B123" s="11"/>
      <c r="C123" s="11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1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4" customFormat="1" x14ac:dyDescent="0.25">
      <c r="A124" s="11"/>
      <c r="B124" s="29" t="s">
        <v>276</v>
      </c>
      <c r="C124" s="29"/>
      <c r="D124" s="22">
        <f>+D28-D30+D119</f>
        <v>-31671.06000000003</v>
      </c>
      <c r="E124" s="14"/>
      <c r="F124" s="20">
        <f>IF(D$12=0,0,D124/D$12)</f>
        <v>-0.55306630688582104</v>
      </c>
      <c r="G124" s="14"/>
      <c r="H124" s="22">
        <f>+H28-H30+H119</f>
        <v>-263364.44000000006</v>
      </c>
      <c r="I124" s="14"/>
      <c r="J124" s="20">
        <f>IF(H$12=0,0,H124/H$12)</f>
        <v>-0.85281744619546418</v>
      </c>
      <c r="K124" s="15"/>
      <c r="L124" s="22">
        <f>+D124-H124</f>
        <v>231693.38000000003</v>
      </c>
      <c r="M124" s="15"/>
      <c r="N124" s="20">
        <f>IF(H124=0,0,L124/H124)</f>
        <v>-0.87974435728680755</v>
      </c>
      <c r="O124" s="28"/>
      <c r="P124" s="22">
        <f>+P28-P30+P119</f>
        <v>-597630.43000000005</v>
      </c>
      <c r="Q124" s="14"/>
      <c r="R124" s="20">
        <f>IF(P$12=0,0,P124/P$12)</f>
        <v>-1.5582246790301435</v>
      </c>
      <c r="S124" s="14"/>
      <c r="T124" s="22">
        <f>+T28-T30+T119</f>
        <v>-716198.18999999925</v>
      </c>
      <c r="U124" s="14"/>
      <c r="V124" s="20">
        <f>IF(T$12=0,0,T124/T$12)</f>
        <v>-0.1550366109318165</v>
      </c>
      <c r="W124" s="15"/>
      <c r="X124" s="22">
        <f>+P124-T124</f>
        <v>118567.75999999919</v>
      </c>
      <c r="Y124" s="15"/>
      <c r="Z124" s="20">
        <f>IF(T124=0,0,X124/T124)</f>
        <v>-0.16555160520581505</v>
      </c>
    </row>
    <row r="125" spans="1:26" x14ac:dyDescent="0.25">
      <c r="A125" s="9"/>
      <c r="B125" s="11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4" customFormat="1" x14ac:dyDescent="0.25">
      <c r="A126" s="51"/>
      <c r="B126" s="11" t="s">
        <v>127</v>
      </c>
      <c r="C126" s="11"/>
      <c r="D126" s="4">
        <v>14430.06</v>
      </c>
      <c r="E126" s="4"/>
      <c r="F126" s="13">
        <f>IF(D$12=0,0,D126/D$12)</f>
        <v>0.25198967108586839</v>
      </c>
      <c r="G126" s="4"/>
      <c r="H126" s="4">
        <v>55646.99</v>
      </c>
      <c r="I126" s="4"/>
      <c r="J126" s="13">
        <f>IF(H$12=0,0,H126/H$12)</f>
        <v>0.18019412150047487</v>
      </c>
      <c r="K126" s="4"/>
      <c r="L126" s="4">
        <f>+D126-H126</f>
        <v>-41216.93</v>
      </c>
      <c r="M126" s="4"/>
      <c r="N126" s="13">
        <f>IF(H126=0,0,L126/H126)</f>
        <v>-0.74068570465356709</v>
      </c>
      <c r="O126" s="11"/>
      <c r="P126" s="4">
        <v>79042.880000000005</v>
      </c>
      <c r="Q126" s="4"/>
      <c r="R126" s="13">
        <f>IF(P$12=0,0,P126/P$12)</f>
        <v>0.2060915243516267</v>
      </c>
      <c r="S126" s="4"/>
      <c r="T126" s="4">
        <v>494995.17</v>
      </c>
      <c r="U126" s="4"/>
      <c r="V126" s="13">
        <f>IF(T$12=0,0,T126/T$12)</f>
        <v>0.10715242604064448</v>
      </c>
      <c r="W126" s="4"/>
      <c r="X126" s="4">
        <f>+P126-T126</f>
        <v>-415952.29</v>
      </c>
      <c r="Y126" s="4"/>
      <c r="Z126" s="13">
        <f>IF(T126=0,0,X126/T126)</f>
        <v>-0.84031585601128189</v>
      </c>
    </row>
    <row r="127" spans="1:26" x14ac:dyDescent="0.25">
      <c r="A127" s="9"/>
      <c r="B127" s="11"/>
      <c r="C127" s="11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1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9" t="s">
        <v>125</v>
      </c>
      <c r="C128" s="29"/>
      <c r="D128" s="30">
        <f>+D124-D126</f>
        <v>-46101.120000000032</v>
      </c>
      <c r="E128" s="14"/>
      <c r="F128" s="36">
        <f>IF(D$12=0,0,D128/D$12)</f>
        <v>-0.80505597797168948</v>
      </c>
      <c r="G128" s="14"/>
      <c r="H128" s="30">
        <f>+H124-H126</f>
        <v>-319011.43000000005</v>
      </c>
      <c r="I128" s="14"/>
      <c r="J128" s="36">
        <f>IF(H$12=0,0,H128/H$12)</f>
        <v>-1.033011567695939</v>
      </c>
      <c r="K128" s="15"/>
      <c r="L128" s="30">
        <f>D128-H128</f>
        <v>272910.31</v>
      </c>
      <c r="M128" s="15"/>
      <c r="N128" s="36">
        <f>IF(H128=0,0,L128/H128)</f>
        <v>-0.85548756043004459</v>
      </c>
      <c r="O128" s="28"/>
      <c r="P128" s="30">
        <f>+P124-P126</f>
        <v>-676673.31</v>
      </c>
      <c r="Q128" s="14"/>
      <c r="R128" s="36">
        <f>IF(P$12=0,0,P128/P$12)</f>
        <v>-1.7643162033817701</v>
      </c>
      <c r="S128" s="14"/>
      <c r="T128" s="30">
        <f>+T124-T126</f>
        <v>-1211193.3599999992</v>
      </c>
      <c r="U128" s="14"/>
      <c r="V128" s="36">
        <f>IF(T$12=0,0,T128/T$12)</f>
        <v>-0.26218903697246099</v>
      </c>
      <c r="W128" s="15"/>
      <c r="X128" s="30">
        <f>P128-T128</f>
        <v>534520.04999999912</v>
      </c>
      <c r="Y128" s="15"/>
      <c r="Z128" s="36">
        <f>IF(T128=0,0,X128/T128)</f>
        <v>-0.44131685959705019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ht="15.75" thickBot="1" x14ac:dyDescent="0.3">
      <c r="A131" s="11"/>
      <c r="B131" s="29" t="s">
        <v>293</v>
      </c>
      <c r="C131" s="29"/>
      <c r="D131" s="35">
        <f>SUM(D128:D130)</f>
        <v>-46101.120000000032</v>
      </c>
      <c r="E131" s="14"/>
      <c r="F131" s="34">
        <f>IF(D$12=0,0,D131/D$12)</f>
        <v>-0.80505597797168948</v>
      </c>
      <c r="G131" s="14"/>
      <c r="H131" s="35">
        <f>SUM(H128:H130)</f>
        <v>-319011.43000000005</v>
      </c>
      <c r="I131" s="14"/>
      <c r="J131" s="34">
        <f>IF(H$12=0,0,H131/H$12)</f>
        <v>-1.033011567695939</v>
      </c>
      <c r="K131" s="15"/>
      <c r="L131" s="35">
        <f>+D131-H131</f>
        <v>272910.31</v>
      </c>
      <c r="M131" s="15"/>
      <c r="N131" s="34">
        <f>IF(H131=0,0,L131/H131)</f>
        <v>-0.85548756043004459</v>
      </c>
      <c r="O131" s="28"/>
      <c r="P131" s="35">
        <f>SUM(P128:P130)</f>
        <v>-676673.31</v>
      </c>
      <c r="Q131" s="14"/>
      <c r="R131" s="34">
        <f>IF(P$12=0,0,P131/P$12)</f>
        <v>-1.7643162033817701</v>
      </c>
      <c r="S131" s="14"/>
      <c r="T131" s="35">
        <f>SUM(T128:T130)</f>
        <v>-1211193.3599999992</v>
      </c>
      <c r="U131" s="14"/>
      <c r="V131" s="34">
        <f>IF(T$12=0,0,T131/T$12)</f>
        <v>-0.26218903697246099</v>
      </c>
      <c r="W131" s="15"/>
      <c r="X131" s="35">
        <f>+P131-T131</f>
        <v>534520.04999999912</v>
      </c>
      <c r="Y131" s="15"/>
      <c r="Z131" s="34">
        <f>IF(T131=0,0,X131/T131)</f>
        <v>-0.44131685959705019</v>
      </c>
    </row>
    <row r="132" spans="1:26" ht="15.75" thickTop="1" x14ac:dyDescent="0.25">
      <c r="A132" s="9"/>
      <c r="C132" s="9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4">
        <v>44295.96321574074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58" t="s">
        <v>56</v>
      </c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A135" s="9"/>
      <c r="B135" s="62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","405", " - ", "Library Starbucks")</f>
        <v>Department 405 - Library Starbucks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47419.08</v>
      </c>
      <c r="I12" s="4"/>
      <c r="J12" s="13"/>
      <c r="K12" s="4"/>
      <c r="L12" s="4">
        <f t="shared" ref="L12:L14" si="0">+D12-H12</f>
        <v>-47419.08</v>
      </c>
      <c r="M12" s="4"/>
      <c r="N12" s="13">
        <f t="shared" ref="N12:N14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721341.64</v>
      </c>
      <c r="U12" s="4"/>
      <c r="V12" s="13"/>
      <c r="W12" s="4"/>
      <c r="X12" s="4">
        <f t="shared" ref="X12:X14" si="2">+P12-T12</f>
        <v>-721341.64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>--8488.4</f>
        <v>8488.4</v>
      </c>
      <c r="I13" s="2"/>
      <c r="J13" s="19"/>
      <c r="K13" s="2"/>
      <c r="L13" s="2">
        <f t="shared" si="0"/>
        <v>-8488.4</v>
      </c>
      <c r="M13" s="2"/>
      <c r="N13" s="19">
        <f t="shared" si="1"/>
        <v>-1</v>
      </c>
      <c r="O13" s="10"/>
      <c r="P13" s="2">
        <f t="shared" ref="P13:P14" si="5">0</f>
        <v>0</v>
      </c>
      <c r="Q13" s="2"/>
      <c r="R13" s="19"/>
      <c r="S13" s="2"/>
      <c r="T13" s="2">
        <f>--149614.63</f>
        <v>149614.63</v>
      </c>
      <c r="U13" s="2"/>
      <c r="V13" s="19"/>
      <c r="W13" s="2"/>
      <c r="X13" s="2">
        <f t="shared" si="2"/>
        <v>-149614.63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--38930.68</f>
        <v>38930.68</v>
      </c>
      <c r="I14" s="2"/>
      <c r="J14" s="19"/>
      <c r="K14" s="2"/>
      <c r="L14" s="2">
        <f t="shared" si="0"/>
        <v>-38930.68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--571727.01</f>
        <v>571727.01</v>
      </c>
      <c r="U14" s="2"/>
      <c r="V14" s="19"/>
      <c r="W14" s="2"/>
      <c r="X14" s="2">
        <f t="shared" si="2"/>
        <v>-571727.01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15173.849999999999</v>
      </c>
      <c r="I16" s="4"/>
      <c r="J16" s="13">
        <f t="shared" ref="J16:J18" si="7">IF(H$12=0,0,H16/H$12)</f>
        <v>0.31999460976467697</v>
      </c>
      <c r="K16" s="4"/>
      <c r="L16" s="4">
        <f t="shared" ref="L16:L18" si="8">+D16-H16</f>
        <v>-15173.849999999999</v>
      </c>
      <c r="M16" s="4"/>
      <c r="N16" s="13">
        <f t="shared" ref="N16:N18" si="9">IF(H16=0,0,L16/H16)</f>
        <v>-1</v>
      </c>
      <c r="O16" s="11"/>
      <c r="P16" s="4">
        <f>SUM(OSRRefP16x_0)</f>
        <v>-2369.5500000000002</v>
      </c>
      <c r="Q16" s="4"/>
      <c r="R16" s="13">
        <f t="shared" ref="R16:R18" si="10">IF(P$12=0,0,P16/P$12)</f>
        <v>0</v>
      </c>
      <c r="S16" s="4"/>
      <c r="T16" s="4">
        <f>SUM(OSRRefT16x_0)</f>
        <v>279047.90999999997</v>
      </c>
      <c r="U16" s="4"/>
      <c r="V16" s="13">
        <f t="shared" ref="V16:V18" si="11">IF(T$12=0,0,T16/T$12)</f>
        <v>0.3868456976918731</v>
      </c>
      <c r="W16" s="4"/>
      <c r="X16" s="4">
        <f t="shared" ref="X16:X18" si="12">+P16-T16</f>
        <v>-281417.45999999996</v>
      </c>
      <c r="Y16" s="4"/>
      <c r="Z16" s="13">
        <f t="shared" ref="Z16:Z18" si="13">IF(T16=0,0,X16/T16)</f>
        <v>-1.008491552579627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>
        <v>25123.85</v>
      </c>
      <c r="I17" s="2"/>
      <c r="J17" s="19">
        <f t="shared" si="7"/>
        <v>0.52982575790167163</v>
      </c>
      <c r="K17" s="2"/>
      <c r="L17" s="2">
        <f t="shared" si="8"/>
        <v>-25123.85</v>
      </c>
      <c r="M17" s="2"/>
      <c r="N17" s="19">
        <f t="shared" si="9"/>
        <v>-1</v>
      </c>
      <c r="O17" s="10"/>
      <c r="P17" s="2">
        <v>-2369.5500000000002</v>
      </c>
      <c r="Q17" s="2"/>
      <c r="R17" s="19">
        <f t="shared" si="10"/>
        <v>0</v>
      </c>
      <c r="S17" s="2"/>
      <c r="T17" s="2">
        <v>288645.90999999997</v>
      </c>
      <c r="U17" s="2"/>
      <c r="V17" s="19">
        <f t="shared" si="11"/>
        <v>0.40015145943883118</v>
      </c>
      <c r="W17" s="2"/>
      <c r="X17" s="2">
        <f t="shared" si="12"/>
        <v>-291015.45999999996</v>
      </c>
      <c r="Y17" s="2"/>
      <c r="Z17" s="19">
        <f t="shared" si="13"/>
        <v>-1.0082091930559487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-9950</v>
      </c>
      <c r="I18" s="2"/>
      <c r="J18" s="19">
        <f t="shared" si="7"/>
        <v>-0.20983114813699463</v>
      </c>
      <c r="K18" s="2"/>
      <c r="L18" s="2">
        <f t="shared" si="8"/>
        <v>9950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-9598</v>
      </c>
      <c r="U18" s="2"/>
      <c r="V18" s="19">
        <f t="shared" si="11"/>
        <v>-1.3305761746958071E-2</v>
      </c>
      <c r="W18" s="2"/>
      <c r="X18" s="2">
        <f t="shared" si="12"/>
        <v>9598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32245.230000000003</v>
      </c>
      <c r="I20" s="14"/>
      <c r="J20" s="20">
        <f>IF(H$12=0,0,H20/H$12)</f>
        <v>0.68000539023532303</v>
      </c>
      <c r="K20" s="15"/>
      <c r="L20" s="22">
        <f>+D20-H20</f>
        <v>-32245.230000000003</v>
      </c>
      <c r="M20" s="15"/>
      <c r="N20" s="20">
        <f>IF(H20=0,0,L20/H20)</f>
        <v>-1</v>
      </c>
      <c r="O20" s="28"/>
      <c r="P20" s="22">
        <f>P12-P16</f>
        <v>2369.5500000000002</v>
      </c>
      <c r="Q20" s="14"/>
      <c r="R20" s="20">
        <f>IF(P$12=0,0,P20/P$12)</f>
        <v>0</v>
      </c>
      <c r="S20" s="14"/>
      <c r="T20" s="22">
        <f>T12-T16</f>
        <v>442293.73000000004</v>
      </c>
      <c r="U20" s="14"/>
      <c r="V20" s="20">
        <f>IF(T$12=0,0,T20/T$12)</f>
        <v>0.61315430230812684</v>
      </c>
      <c r="W20" s="15"/>
      <c r="X20" s="22">
        <f>+P20-T20</f>
        <v>-439924.18000000005</v>
      </c>
      <c r="Y20" s="15"/>
      <c r="Z20" s="20">
        <f>IF(T20=0,0,X20/T20)</f>
        <v>-0.99464258740452871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10256.36</v>
      </c>
      <c r="E22" s="21"/>
      <c r="F22" s="31">
        <f t="shared" ref="F22:F31" si="14">IF(D$12=0,0,D22/D$12)</f>
        <v>0</v>
      </c>
      <c r="G22" s="21"/>
      <c r="H22" s="21">
        <f>SUM(OSRRefH22x_0)</f>
        <v>61877.659999999996</v>
      </c>
      <c r="I22" s="21"/>
      <c r="J22" s="31">
        <f t="shared" ref="J22:J31" si="15">IF(H$12=0,0,H22/H$12)</f>
        <v>1.3049105971689032</v>
      </c>
      <c r="K22" s="4"/>
      <c r="L22" s="21">
        <f t="shared" ref="L22:L31" si="16">+D22-H22</f>
        <v>-51621.299999999996</v>
      </c>
      <c r="M22" s="4"/>
      <c r="N22" s="31">
        <f t="shared" ref="N22:N31" si="17">IF(H22=0,0,L22/H22)</f>
        <v>-0.83424777213617962</v>
      </c>
      <c r="O22" s="11"/>
      <c r="P22" s="21">
        <f>SUM(OSRRefP22x_0)</f>
        <v>66838.42</v>
      </c>
      <c r="Q22" s="21"/>
      <c r="R22" s="31">
        <f t="shared" ref="R22:R31" si="18">IF(P$12=0,0,P22/P$12)</f>
        <v>0</v>
      </c>
      <c r="S22" s="21"/>
      <c r="T22" s="21">
        <f>SUM(OSRRefT22x_0)</f>
        <v>509223.25</v>
      </c>
      <c r="U22" s="21"/>
      <c r="V22" s="31">
        <f t="shared" ref="V22:V31" si="19">IF(T$12=0,0,T22/T$12)</f>
        <v>0.70593907486056118</v>
      </c>
      <c r="W22" s="4"/>
      <c r="X22" s="21">
        <f t="shared" ref="X22:X31" si="20">+P22-T22</f>
        <v>-442384.83</v>
      </c>
      <c r="Y22" s="4"/>
      <c r="Z22" s="31">
        <f t="shared" ref="Z22:Z31" si="21">IF(T22=0,0,X22/T22)</f>
        <v>-0.86874436703351632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7375.24</v>
      </c>
      <c r="I23" s="1"/>
      <c r="J23" s="5">
        <f t="shared" si="15"/>
        <v>0.15553317356642093</v>
      </c>
      <c r="K23" s="1"/>
      <c r="L23" s="1">
        <f t="shared" si="16"/>
        <v>-7375.24</v>
      </c>
      <c r="M23" s="1"/>
      <c r="N23" s="5">
        <f t="shared" si="17"/>
        <v>-1</v>
      </c>
      <c r="O23" s="12"/>
      <c r="P23" s="1">
        <f>SUM(OSRRefP22_0x_0)</f>
        <v>0.83</v>
      </c>
      <c r="Q23" s="1"/>
      <c r="R23" s="5">
        <f t="shared" si="18"/>
        <v>0</v>
      </c>
      <c r="S23" s="1"/>
      <c r="T23" s="1">
        <f>SUM(OSRRefT22_0x_0)</f>
        <v>47685.43</v>
      </c>
      <c r="U23" s="1"/>
      <c r="V23" s="5">
        <f t="shared" si="19"/>
        <v>6.6106581619217217E-2</v>
      </c>
      <c r="W23" s="1"/>
      <c r="X23" s="1">
        <f t="shared" si="20"/>
        <v>-47684.6</v>
      </c>
      <c r="Y23" s="1"/>
      <c r="Z23" s="5">
        <f t="shared" si="21"/>
        <v>-0.99998259426411795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1276.02</v>
      </c>
      <c r="I24" s="2"/>
      <c r="J24" s="7">
        <f t="shared" si="15"/>
        <v>2.6909421270931447E-2</v>
      </c>
      <c r="K24" s="2"/>
      <c r="L24" s="6">
        <f t="shared" si="16"/>
        <v>-1276.02</v>
      </c>
      <c r="M24" s="2"/>
      <c r="N24" s="7">
        <f t="shared" si="17"/>
        <v>-1</v>
      </c>
      <c r="O24" s="10"/>
      <c r="P24" s="6">
        <v>0.83</v>
      </c>
      <c r="Q24" s="2"/>
      <c r="R24" s="7">
        <f t="shared" si="18"/>
        <v>0</v>
      </c>
      <c r="S24" s="2"/>
      <c r="T24" s="6">
        <v>9200.35</v>
      </c>
      <c r="U24" s="2"/>
      <c r="V24" s="7">
        <f t="shared" si="19"/>
        <v>1.2754497300336079E-2</v>
      </c>
      <c r="W24" s="2"/>
      <c r="X24" s="6">
        <f t="shared" si="20"/>
        <v>-9199.52</v>
      </c>
      <c r="Y24" s="2"/>
      <c r="Z24" s="7">
        <f t="shared" si="21"/>
        <v>-0.99990978604074843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>
        <v>1885.89</v>
      </c>
      <c r="I25" s="2"/>
      <c r="J25" s="7">
        <f t="shared" si="15"/>
        <v>3.9770699895485109E-2</v>
      </c>
      <c r="K25" s="2"/>
      <c r="L25" s="6">
        <f t="shared" si="16"/>
        <v>-1885.89</v>
      </c>
      <c r="M25" s="2"/>
      <c r="N25" s="7">
        <f t="shared" si="17"/>
        <v>-1</v>
      </c>
      <c r="O25" s="10"/>
      <c r="P25" s="6"/>
      <c r="Q25" s="2"/>
      <c r="R25" s="7">
        <f t="shared" si="18"/>
        <v>0</v>
      </c>
      <c r="S25" s="2"/>
      <c r="T25" s="6">
        <v>8884.57</v>
      </c>
      <c r="U25" s="2"/>
      <c r="V25" s="7">
        <f t="shared" si="19"/>
        <v>1.2316729698288316E-2</v>
      </c>
      <c r="W25" s="2"/>
      <c r="X25" s="6">
        <f t="shared" si="20"/>
        <v>-8884.57</v>
      </c>
      <c r="Y25" s="2"/>
      <c r="Z25" s="7">
        <f t="shared" si="21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>
        <v>2393.33</v>
      </c>
      <c r="I26" s="2"/>
      <c r="J26" s="7">
        <f t="shared" si="15"/>
        <v>5.0471877564895816E-2</v>
      </c>
      <c r="K26" s="2"/>
      <c r="L26" s="6">
        <f t="shared" si="16"/>
        <v>-2393.33</v>
      </c>
      <c r="M26" s="2"/>
      <c r="N26" s="7">
        <f t="shared" si="17"/>
        <v>-1</v>
      </c>
      <c r="O26" s="10"/>
      <c r="P26" s="6"/>
      <c r="Q26" s="2"/>
      <c r="R26" s="7">
        <f t="shared" si="18"/>
        <v>0</v>
      </c>
      <c r="S26" s="2"/>
      <c r="T26" s="6">
        <v>12146.21</v>
      </c>
      <c r="U26" s="2"/>
      <c r="V26" s="7">
        <f t="shared" si="19"/>
        <v>1.6838359698741361E-2</v>
      </c>
      <c r="W26" s="2"/>
      <c r="X26" s="6">
        <f t="shared" si="20"/>
        <v>-12146.21</v>
      </c>
      <c r="Y26" s="2"/>
      <c r="Z26" s="7">
        <f t="shared" si="21"/>
        <v>-1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126.37</v>
      </c>
      <c r="I27" s="2"/>
      <c r="J27" s="7">
        <f t="shared" si="15"/>
        <v>2.6649610241278403E-3</v>
      </c>
      <c r="K27" s="2"/>
      <c r="L27" s="6">
        <f t="shared" si="16"/>
        <v>-126.37</v>
      </c>
      <c r="M27" s="2"/>
      <c r="N27" s="7">
        <f t="shared" si="17"/>
        <v>-1</v>
      </c>
      <c r="O27" s="10"/>
      <c r="P27" s="6"/>
      <c r="Q27" s="2"/>
      <c r="R27" s="7">
        <f t="shared" si="18"/>
        <v>0</v>
      </c>
      <c r="S27" s="2"/>
      <c r="T27" s="6">
        <v>699.48</v>
      </c>
      <c r="U27" s="2"/>
      <c r="V27" s="7">
        <f t="shared" si="19"/>
        <v>9.6969308468037425E-4</v>
      </c>
      <c r="W27" s="2"/>
      <c r="X27" s="6">
        <f t="shared" si="20"/>
        <v>-699.48</v>
      </c>
      <c r="Y27" s="2"/>
      <c r="Z27" s="7">
        <f t="shared" si="21"/>
        <v>-1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>
        <v>541.9</v>
      </c>
      <c r="I28" s="2"/>
      <c r="J28" s="7">
        <f t="shared" si="15"/>
        <v>1.1427889364365567E-2</v>
      </c>
      <c r="K28" s="2"/>
      <c r="L28" s="6">
        <f t="shared" si="16"/>
        <v>-541.9</v>
      </c>
      <c r="M28" s="2"/>
      <c r="N28" s="7">
        <f t="shared" si="17"/>
        <v>-1</v>
      </c>
      <c r="O28" s="10"/>
      <c r="P28" s="6"/>
      <c r="Q28" s="2"/>
      <c r="R28" s="7">
        <f t="shared" si="18"/>
        <v>0</v>
      </c>
      <c r="S28" s="2"/>
      <c r="T28" s="6">
        <v>6074.23</v>
      </c>
      <c r="U28" s="2"/>
      <c r="V28" s="7">
        <f t="shared" si="19"/>
        <v>8.4207394432407913E-3</v>
      </c>
      <c r="W28" s="2"/>
      <c r="X28" s="6">
        <f t="shared" si="20"/>
        <v>-6074.23</v>
      </c>
      <c r="Y28" s="2"/>
      <c r="Z28" s="7">
        <f t="shared" si="21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>
        <v>410.8</v>
      </c>
      <c r="I29" s="2"/>
      <c r="J29" s="7">
        <f t="shared" si="15"/>
        <v>8.6631794627816481E-3</v>
      </c>
      <c r="K29" s="2"/>
      <c r="L29" s="6">
        <f t="shared" si="16"/>
        <v>-410.8</v>
      </c>
      <c r="M29" s="2"/>
      <c r="N29" s="7">
        <f t="shared" si="17"/>
        <v>-1</v>
      </c>
      <c r="O29" s="10"/>
      <c r="P29" s="6"/>
      <c r="Q29" s="2"/>
      <c r="R29" s="7">
        <f t="shared" si="18"/>
        <v>0</v>
      </c>
      <c r="S29" s="2"/>
      <c r="T29" s="6">
        <v>3696.18</v>
      </c>
      <c r="U29" s="2"/>
      <c r="V29" s="7">
        <f t="shared" si="19"/>
        <v>5.1240352629580623E-3</v>
      </c>
      <c r="W29" s="2"/>
      <c r="X29" s="6">
        <f t="shared" si="20"/>
        <v>-3696.18</v>
      </c>
      <c r="Y29" s="2"/>
      <c r="Z29" s="7">
        <f t="shared" si="21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>
        <v>492.14</v>
      </c>
      <c r="I30" s="2"/>
      <c r="J30" s="7">
        <f t="shared" si="15"/>
        <v>1.0378522738104577E-2</v>
      </c>
      <c r="K30" s="2"/>
      <c r="L30" s="6">
        <f t="shared" si="16"/>
        <v>-492.14</v>
      </c>
      <c r="M30" s="2"/>
      <c r="N30" s="7">
        <f t="shared" si="17"/>
        <v>-1</v>
      </c>
      <c r="O30" s="10"/>
      <c r="P30" s="6"/>
      <c r="Q30" s="2"/>
      <c r="R30" s="7">
        <f t="shared" si="18"/>
        <v>0</v>
      </c>
      <c r="S30" s="2"/>
      <c r="T30" s="6">
        <v>4428.08</v>
      </c>
      <c r="U30" s="2"/>
      <c r="V30" s="7">
        <f t="shared" si="19"/>
        <v>6.1386723772108871E-3</v>
      </c>
      <c r="W30" s="2"/>
      <c r="X30" s="6">
        <f t="shared" si="20"/>
        <v>-4428.08</v>
      </c>
      <c r="Y30" s="2"/>
      <c r="Z30" s="7">
        <f t="shared" si="21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>
        <v>248.79</v>
      </c>
      <c r="I31" s="2"/>
      <c r="J31" s="7">
        <f t="shared" si="15"/>
        <v>5.246622245728934E-3</v>
      </c>
      <c r="K31" s="2"/>
      <c r="L31" s="6">
        <f t="shared" si="16"/>
        <v>-248.79</v>
      </c>
      <c r="M31" s="2"/>
      <c r="N31" s="7">
        <f t="shared" si="17"/>
        <v>-1</v>
      </c>
      <c r="O31" s="10"/>
      <c r="P31" s="6"/>
      <c r="Q31" s="2"/>
      <c r="R31" s="7">
        <f t="shared" si="18"/>
        <v>0</v>
      </c>
      <c r="S31" s="2"/>
      <c r="T31" s="6">
        <v>2556.33</v>
      </c>
      <c r="U31" s="2"/>
      <c r="V31" s="7">
        <f t="shared" si="19"/>
        <v>3.5438547537613384E-3</v>
      </c>
      <c r="W31" s="2"/>
      <c r="X31" s="6">
        <f t="shared" si="20"/>
        <v>-2556.33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35224.320000000007</v>
      </c>
      <c r="I32" s="1"/>
      <c r="J32" s="5">
        <f t="shared" ref="J32:J36" si="23">IF(H$12=0,0,H32/H$12)</f>
        <v>0.74283010130099536</v>
      </c>
      <c r="K32" s="1"/>
      <c r="L32" s="1">
        <f t="shared" ref="L32:L36" si="24">+D32-H32</f>
        <v>-35224.320000000007</v>
      </c>
      <c r="M32" s="1"/>
      <c r="N32" s="5">
        <f t="shared" ref="N32:N36" si="25">IF(H32=0,0,L32/H32)</f>
        <v>-1</v>
      </c>
      <c r="O32" s="12"/>
      <c r="P32" s="1">
        <f>SUM(OSRRefP22_1x_0)</f>
        <v>0</v>
      </c>
      <c r="Q32" s="1"/>
      <c r="R32" s="5">
        <f t="shared" ref="R32:R36" si="26">IF(P$12=0,0,P32/P$12)</f>
        <v>0</v>
      </c>
      <c r="S32" s="1"/>
      <c r="T32" s="1">
        <f>SUM(OSRRefT22_1x_0)</f>
        <v>247791.51</v>
      </c>
      <c r="U32" s="1"/>
      <c r="V32" s="5">
        <f t="shared" ref="V32:V36" si="27">IF(T$12=0,0,T32/T$12)</f>
        <v>0.34351477338809944</v>
      </c>
      <c r="W32" s="1"/>
      <c r="X32" s="1">
        <f t="shared" ref="X32:X36" si="28">+P32-T32</f>
        <v>-247791.51</v>
      </c>
      <c r="Y32" s="1"/>
      <c r="Z32" s="5">
        <f t="shared" ref="Z32:Z36" si="29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>
        <v>12606.98</v>
      </c>
      <c r="I33" s="2"/>
      <c r="J33" s="7">
        <f t="shared" si="23"/>
        <v>0.26586302391358074</v>
      </c>
      <c r="K33" s="2"/>
      <c r="L33" s="6">
        <f t="shared" si="24"/>
        <v>-12606.98</v>
      </c>
      <c r="M33" s="2"/>
      <c r="N33" s="7">
        <f t="shared" si="25"/>
        <v>-1</v>
      </c>
      <c r="O33" s="10"/>
      <c r="P33" s="6"/>
      <c r="Q33" s="2"/>
      <c r="R33" s="7">
        <f t="shared" si="26"/>
        <v>0</v>
      </c>
      <c r="S33" s="2"/>
      <c r="T33" s="6">
        <v>97485.84</v>
      </c>
      <c r="U33" s="2"/>
      <c r="V33" s="7">
        <f t="shared" si="27"/>
        <v>0.13514517198813034</v>
      </c>
      <c r="W33" s="2"/>
      <c r="X33" s="6">
        <f t="shared" si="28"/>
        <v>-97485.84</v>
      </c>
      <c r="Y33" s="2"/>
      <c r="Z33" s="7">
        <f t="shared" si="29"/>
        <v>-1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0"/>
      <c r="P34" s="6"/>
      <c r="Q34" s="2"/>
      <c r="R34" s="7">
        <f t="shared" si="26"/>
        <v>0</v>
      </c>
      <c r="S34" s="2"/>
      <c r="T34" s="6">
        <v>45.5</v>
      </c>
      <c r="U34" s="2"/>
      <c r="V34" s="7">
        <f t="shared" si="27"/>
        <v>6.3076907635610771E-5</v>
      </c>
      <c r="W34" s="2"/>
      <c r="X34" s="6">
        <f t="shared" si="28"/>
        <v>-45.5</v>
      </c>
      <c r="Y34" s="2"/>
      <c r="Z34" s="7">
        <f t="shared" si="29"/>
        <v>-1</v>
      </c>
    </row>
    <row r="35" spans="1:26" s="23" customFormat="1" hidden="1" outlineLevel="2" x14ac:dyDescent="0.25">
      <c r="A35" s="25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22"/>
        <v>0</v>
      </c>
      <c r="G35" s="2"/>
      <c r="H35" s="6">
        <v>21205.93</v>
      </c>
      <c r="I35" s="2"/>
      <c r="J35" s="7">
        <f t="shared" si="23"/>
        <v>0.44720247630278781</v>
      </c>
      <c r="K35" s="2"/>
      <c r="L35" s="6">
        <f t="shared" si="24"/>
        <v>-21205.93</v>
      </c>
      <c r="M35" s="2"/>
      <c r="N35" s="7">
        <f t="shared" si="25"/>
        <v>-1</v>
      </c>
      <c r="O35" s="10"/>
      <c r="P35" s="6"/>
      <c r="Q35" s="2"/>
      <c r="R35" s="7">
        <f t="shared" si="26"/>
        <v>0</v>
      </c>
      <c r="S35" s="2"/>
      <c r="T35" s="6">
        <v>142995.32</v>
      </c>
      <c r="U35" s="2"/>
      <c r="V35" s="7">
        <f t="shared" si="27"/>
        <v>0.19823522180141992</v>
      </c>
      <c r="W35" s="2"/>
      <c r="X35" s="6">
        <f t="shared" si="28"/>
        <v>-142995.32</v>
      </c>
      <c r="Y35" s="2"/>
      <c r="Z35" s="7">
        <f t="shared" si="29"/>
        <v>-1</v>
      </c>
    </row>
    <row r="36" spans="1:26" s="23" customFormat="1" hidden="1" outlineLevel="2" x14ac:dyDescent="0.25">
      <c r="A36" s="25"/>
      <c r="B36" s="10" t="str">
        <f>CONCATENATE("          ", "6008", " - ", "STUDENT HOURLY-FICA EXEMPT")</f>
        <v xml:space="preserve">          6008 - STUDENT HOURLY-FICA EXEMPT</v>
      </c>
      <c r="C36" s="10"/>
      <c r="D36" s="6"/>
      <c r="E36" s="2"/>
      <c r="F36" s="7">
        <f t="shared" si="22"/>
        <v>0</v>
      </c>
      <c r="G36" s="2"/>
      <c r="H36" s="6">
        <v>1411.41</v>
      </c>
      <c r="I36" s="2"/>
      <c r="J36" s="7">
        <f t="shared" si="23"/>
        <v>2.9764601084626696E-2</v>
      </c>
      <c r="K36" s="2"/>
      <c r="L36" s="6">
        <f t="shared" si="24"/>
        <v>-1411.41</v>
      </c>
      <c r="M36" s="2"/>
      <c r="N36" s="7">
        <f t="shared" si="25"/>
        <v>-1</v>
      </c>
      <c r="O36" s="10"/>
      <c r="P36" s="6"/>
      <c r="Q36" s="2"/>
      <c r="R36" s="7">
        <f t="shared" si="26"/>
        <v>0</v>
      </c>
      <c r="S36" s="2"/>
      <c r="T36" s="6">
        <v>7264.85</v>
      </c>
      <c r="U36" s="2"/>
      <c r="V36" s="7">
        <f t="shared" si="27"/>
        <v>1.007130269091356E-2</v>
      </c>
      <c r="W36" s="2"/>
      <c r="X36" s="6">
        <f t="shared" si="28"/>
        <v>-7264.85</v>
      </c>
      <c r="Y36" s="2"/>
      <c r="Z36" s="7">
        <f t="shared" si="29"/>
        <v>-1</v>
      </c>
    </row>
    <row r="37" spans="1:26" s="26" customFormat="1" outlineLevel="1" collapsed="1" x14ac:dyDescent="0.25">
      <c r="A37" s="27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5" si="30">IF(D$12=0,0,D37/D$12)</f>
        <v>0</v>
      </c>
      <c r="G37" s="1"/>
      <c r="H37" s="1">
        <f>SUM(OSRRefH22_2x_0)</f>
        <v>12.96</v>
      </c>
      <c r="I37" s="1"/>
      <c r="J37" s="5">
        <f t="shared" ref="J37:J45" si="31">IF(H$12=0,0,H37/H$12)</f>
        <v>2.7330770651813575E-4</v>
      </c>
      <c r="K37" s="1"/>
      <c r="L37" s="1">
        <f t="shared" ref="L37:L45" si="32">+D37-H37</f>
        <v>-12.96</v>
      </c>
      <c r="M37" s="1"/>
      <c r="N37" s="5">
        <f t="shared" ref="N37:N45" si="33">IF(H37=0,0,L37/H37)</f>
        <v>-1</v>
      </c>
      <c r="O37" s="12"/>
      <c r="P37" s="1">
        <f>SUM(OSRRefP22_2x_0)</f>
        <v>0</v>
      </c>
      <c r="Q37" s="1"/>
      <c r="R37" s="5">
        <f t="shared" ref="R37:R45" si="34">IF(P$12=0,0,P37/P$12)</f>
        <v>0</v>
      </c>
      <c r="S37" s="1"/>
      <c r="T37" s="1">
        <f>SUM(OSRRefT22_2x_0)</f>
        <v>1365.62</v>
      </c>
      <c r="U37" s="1"/>
      <c r="V37" s="5">
        <f t="shared" ref="V37:V45" si="35">IF(T$12=0,0,T37/T$12)</f>
        <v>1.8931667385789623E-3</v>
      </c>
      <c r="W37" s="1"/>
      <c r="X37" s="1">
        <f t="shared" ref="X37:X45" si="36">+P37-T37</f>
        <v>-1365.62</v>
      </c>
      <c r="Y37" s="1"/>
      <c r="Z37" s="5">
        <f t="shared" ref="Z37:Z45" si="37">IF(T37=0,0,X37/T37)</f>
        <v>-1</v>
      </c>
    </row>
    <row r="38" spans="1:26" s="23" customFormat="1" hidden="1" outlineLevel="2" x14ac:dyDescent="0.25">
      <c r="A38" s="25"/>
      <c r="B38" s="10" t="str">
        <f>CONCATENATE("          ", "6362", " - ", "ADVERTISING EXPENSE")</f>
        <v xml:space="preserve">          6362 - ADVERTISING EXPENSE</v>
      </c>
      <c r="C38" s="10"/>
      <c r="D38" s="6"/>
      <c r="E38" s="2"/>
      <c r="F38" s="7">
        <f t="shared" si="30"/>
        <v>0</v>
      </c>
      <c r="G38" s="2"/>
      <c r="H38" s="6">
        <v>12.96</v>
      </c>
      <c r="I38" s="2"/>
      <c r="J38" s="7">
        <f t="shared" si="31"/>
        <v>2.7330770651813575E-4</v>
      </c>
      <c r="K38" s="2"/>
      <c r="L38" s="6">
        <f t="shared" si="32"/>
        <v>-12.96</v>
      </c>
      <c r="M38" s="2"/>
      <c r="N38" s="7">
        <f t="shared" si="33"/>
        <v>-1</v>
      </c>
      <c r="O38" s="10"/>
      <c r="P38" s="6"/>
      <c r="Q38" s="2"/>
      <c r="R38" s="7">
        <f t="shared" si="34"/>
        <v>0</v>
      </c>
      <c r="S38" s="2"/>
      <c r="T38" s="6">
        <v>1365.62</v>
      </c>
      <c r="U38" s="2"/>
      <c r="V38" s="7">
        <f t="shared" si="35"/>
        <v>1.8931667385789623E-3</v>
      </c>
      <c r="W38" s="2"/>
      <c r="X38" s="6">
        <f t="shared" si="36"/>
        <v>-1365.62</v>
      </c>
      <c r="Y38" s="2"/>
      <c r="Z38" s="7">
        <f t="shared" si="37"/>
        <v>-1</v>
      </c>
    </row>
    <row r="39" spans="1:26" s="26" customFormat="1" outlineLevel="1" collapsed="1" x14ac:dyDescent="0.25">
      <c r="A39" s="27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21.35</v>
      </c>
      <c r="I39" s="1"/>
      <c r="J39" s="5">
        <f t="shared" si="31"/>
        <v>4.502407047964659E-4</v>
      </c>
      <c r="K39" s="1"/>
      <c r="L39" s="1">
        <f t="shared" si="32"/>
        <v>-21.35</v>
      </c>
      <c r="M39" s="1"/>
      <c r="N39" s="5">
        <f t="shared" si="33"/>
        <v>-1</v>
      </c>
      <c r="O39" s="12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195.92</v>
      </c>
      <c r="U39" s="1"/>
      <c r="V39" s="5">
        <f t="shared" si="35"/>
        <v>2.7160500536195303E-4</v>
      </c>
      <c r="W39" s="1"/>
      <c r="X39" s="1">
        <f t="shared" si="36"/>
        <v>-195.92</v>
      </c>
      <c r="Y39" s="1"/>
      <c r="Z39" s="5">
        <f t="shared" si="37"/>
        <v>-1</v>
      </c>
    </row>
    <row r="40" spans="1:26" s="23" customFormat="1" hidden="1" outlineLevel="2" x14ac:dyDescent="0.25">
      <c r="A40" s="25"/>
      <c r="B40" s="10" t="str">
        <f>CONCATENATE("          ", "6272", " - ", "CASH (OVER/SHORT)")</f>
        <v xml:space="preserve">          6272 - CASH (OVER/SHORT)</v>
      </c>
      <c r="C40" s="10"/>
      <c r="D40" s="6"/>
      <c r="E40" s="2"/>
      <c r="F40" s="7">
        <f t="shared" si="30"/>
        <v>0</v>
      </c>
      <c r="G40" s="2"/>
      <c r="H40" s="6">
        <v>21.35</v>
      </c>
      <c r="I40" s="2"/>
      <c r="J40" s="7">
        <f t="shared" si="31"/>
        <v>4.502407047964659E-4</v>
      </c>
      <c r="K40" s="2"/>
      <c r="L40" s="6">
        <f t="shared" si="32"/>
        <v>-21.35</v>
      </c>
      <c r="M40" s="2"/>
      <c r="N40" s="7">
        <f t="shared" si="33"/>
        <v>-1</v>
      </c>
      <c r="O40" s="10"/>
      <c r="P40" s="6"/>
      <c r="Q40" s="2"/>
      <c r="R40" s="7">
        <f t="shared" si="34"/>
        <v>0</v>
      </c>
      <c r="S40" s="2"/>
      <c r="T40" s="6">
        <v>195.92</v>
      </c>
      <c r="U40" s="2"/>
      <c r="V40" s="7">
        <f t="shared" si="35"/>
        <v>2.7160500536195303E-4</v>
      </c>
      <c r="W40" s="2"/>
      <c r="X40" s="6">
        <f t="shared" si="36"/>
        <v>-195.92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2335.52</v>
      </c>
      <c r="I41" s="1"/>
      <c r="J41" s="5">
        <f t="shared" si="31"/>
        <v>4.9252748049941078E-2</v>
      </c>
      <c r="K41" s="1"/>
      <c r="L41" s="1">
        <f t="shared" si="32"/>
        <v>-2335.52</v>
      </c>
      <c r="M41" s="1"/>
      <c r="N41" s="5">
        <f t="shared" si="33"/>
        <v>-1</v>
      </c>
      <c r="O41" s="12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24434.19</v>
      </c>
      <c r="U41" s="1"/>
      <c r="V41" s="5">
        <f t="shared" si="35"/>
        <v>3.3873255951229989E-2</v>
      </c>
      <c r="W41" s="1"/>
      <c r="X41" s="1">
        <f t="shared" si="36"/>
        <v>-24434.19</v>
      </c>
      <c r="Y41" s="1"/>
      <c r="Z41" s="5">
        <f t="shared" si="37"/>
        <v>-1</v>
      </c>
    </row>
    <row r="42" spans="1:26" s="23" customFormat="1" hidden="1" outlineLevel="2" x14ac:dyDescent="0.25">
      <c r="A42" s="25"/>
      <c r="B42" s="10" t="str">
        <f>CONCATENATE("          ", "6381", " - ", "BANK/CREDIT CARD FEES")</f>
        <v xml:space="preserve">          6381 - BANK/CREDIT CARD FEES</v>
      </c>
      <c r="C42" s="10"/>
      <c r="D42" s="6"/>
      <c r="E42" s="2"/>
      <c r="F42" s="7">
        <f t="shared" si="30"/>
        <v>0</v>
      </c>
      <c r="G42" s="2"/>
      <c r="H42" s="6">
        <v>2335.52</v>
      </c>
      <c r="I42" s="2"/>
      <c r="J42" s="7">
        <f t="shared" si="31"/>
        <v>4.9252748049941078E-2</v>
      </c>
      <c r="K42" s="2"/>
      <c r="L42" s="6">
        <f t="shared" si="32"/>
        <v>-2335.52</v>
      </c>
      <c r="M42" s="2"/>
      <c r="N42" s="7">
        <f t="shared" si="33"/>
        <v>-1</v>
      </c>
      <c r="O42" s="10"/>
      <c r="P42" s="6"/>
      <c r="Q42" s="2"/>
      <c r="R42" s="7">
        <f t="shared" si="34"/>
        <v>0</v>
      </c>
      <c r="S42" s="2"/>
      <c r="T42" s="6">
        <v>24434.19</v>
      </c>
      <c r="U42" s="2"/>
      <c r="V42" s="7">
        <f t="shared" si="35"/>
        <v>3.3873255951229989E-2</v>
      </c>
      <c r="W42" s="2"/>
      <c r="X42" s="6">
        <f t="shared" si="36"/>
        <v>-24434.19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2" t="str">
        <f>CONCATENATE("     ","Depreciation                                      ")</f>
        <v xml:space="preserve">     Depreciation                                      </v>
      </c>
      <c r="C43" s="12"/>
      <c r="D43" s="1">
        <f>SUM(OSRRefD22_5x_0)</f>
        <v>5233.01</v>
      </c>
      <c r="E43" s="1"/>
      <c r="F43" s="5">
        <f t="shared" si="30"/>
        <v>0</v>
      </c>
      <c r="G43" s="1"/>
      <c r="H43" s="1">
        <f>SUM(OSRRefH22_5x_0)</f>
        <v>5719.08</v>
      </c>
      <c r="I43" s="1"/>
      <c r="J43" s="5">
        <f t="shared" si="31"/>
        <v>0.12060714800877621</v>
      </c>
      <c r="K43" s="1"/>
      <c r="L43" s="1">
        <f t="shared" si="32"/>
        <v>-486.06999999999971</v>
      </c>
      <c r="M43" s="1"/>
      <c r="N43" s="5">
        <f t="shared" si="33"/>
        <v>-8.499094259915925E-2</v>
      </c>
      <c r="O43" s="12"/>
      <c r="P43" s="1">
        <f>SUM(OSRRefP22_5x_0)</f>
        <v>47388.21</v>
      </c>
      <c r="Q43" s="1"/>
      <c r="R43" s="5">
        <f t="shared" si="34"/>
        <v>0</v>
      </c>
      <c r="S43" s="1"/>
      <c r="T43" s="1">
        <f>SUM(OSRRefT22_5x_0)</f>
        <v>50619.64</v>
      </c>
      <c r="U43" s="1"/>
      <c r="V43" s="5">
        <f t="shared" si="35"/>
        <v>7.0174293556656456E-2</v>
      </c>
      <c r="W43" s="1"/>
      <c r="X43" s="1">
        <f t="shared" si="36"/>
        <v>-3231.4300000000003</v>
      </c>
      <c r="Y43" s="1"/>
      <c r="Z43" s="5">
        <f t="shared" si="37"/>
        <v>-6.3837474940556679E-2</v>
      </c>
    </row>
    <row r="44" spans="1:26" s="23" customFormat="1" hidden="1" outlineLevel="2" x14ac:dyDescent="0.25">
      <c r="A44" s="25"/>
      <c r="B44" s="10" t="str">
        <f>CONCATENATE("          ", "6321", " - ", "BUILDING DEPRECIATION")</f>
        <v xml:space="preserve">          6321 - BUILDING DEPRECIATION</v>
      </c>
      <c r="C44" s="10"/>
      <c r="D44" s="6">
        <v>4626.5</v>
      </c>
      <c r="E44" s="2"/>
      <c r="F44" s="7">
        <f t="shared" si="30"/>
        <v>0</v>
      </c>
      <c r="G44" s="2"/>
      <c r="H44" s="6">
        <v>4626.5</v>
      </c>
      <c r="I44" s="2"/>
      <c r="J44" s="7">
        <f t="shared" si="31"/>
        <v>9.7566211744302078E-2</v>
      </c>
      <c r="K44" s="2"/>
      <c r="L44" s="6">
        <f t="shared" si="32"/>
        <v>0</v>
      </c>
      <c r="M44" s="2"/>
      <c r="N44" s="7">
        <f t="shared" si="33"/>
        <v>0</v>
      </c>
      <c r="O44" s="10"/>
      <c r="P44" s="6">
        <v>41638.5</v>
      </c>
      <c r="Q44" s="2"/>
      <c r="R44" s="7">
        <f t="shared" si="34"/>
        <v>0</v>
      </c>
      <c r="S44" s="2"/>
      <c r="T44" s="6">
        <v>41638.5</v>
      </c>
      <c r="U44" s="2"/>
      <c r="V44" s="7">
        <f t="shared" si="35"/>
        <v>5.7723688320557784E-2</v>
      </c>
      <c r="W44" s="2"/>
      <c r="X44" s="6">
        <f t="shared" si="36"/>
        <v>0</v>
      </c>
      <c r="Y44" s="2"/>
      <c r="Z44" s="7">
        <f t="shared" si="37"/>
        <v>0</v>
      </c>
    </row>
    <row r="45" spans="1:26" s="23" customFormat="1" hidden="1" outlineLevel="2" x14ac:dyDescent="0.25">
      <c r="A45" s="25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606.51</v>
      </c>
      <c r="E45" s="2"/>
      <c r="F45" s="7">
        <f t="shared" si="30"/>
        <v>0</v>
      </c>
      <c r="G45" s="2"/>
      <c r="H45" s="6">
        <v>1092.58</v>
      </c>
      <c r="I45" s="2"/>
      <c r="J45" s="7">
        <f t="shared" si="31"/>
        <v>2.3040936264474128E-2</v>
      </c>
      <c r="K45" s="2"/>
      <c r="L45" s="6">
        <f t="shared" si="32"/>
        <v>-486.06999999999994</v>
      </c>
      <c r="M45" s="2"/>
      <c r="N45" s="7">
        <f t="shared" si="33"/>
        <v>-0.44488275458090021</v>
      </c>
      <c r="O45" s="10"/>
      <c r="P45" s="6">
        <v>5749.71</v>
      </c>
      <c r="Q45" s="2"/>
      <c r="R45" s="7">
        <f t="shared" si="34"/>
        <v>0</v>
      </c>
      <c r="S45" s="2"/>
      <c r="T45" s="6">
        <v>8981.14</v>
      </c>
      <c r="U45" s="2"/>
      <c r="V45" s="7">
        <f t="shared" si="35"/>
        <v>1.2450605236098667E-2</v>
      </c>
      <c r="W45" s="2"/>
      <c r="X45" s="6">
        <f t="shared" si="36"/>
        <v>-3231.4299999999994</v>
      </c>
      <c r="Y45" s="2"/>
      <c r="Z45" s="7">
        <f t="shared" si="37"/>
        <v>-0.35980176235978945</v>
      </c>
    </row>
    <row r="46" spans="1:26" s="26" customFormat="1" outlineLevel="1" collapsed="1" x14ac:dyDescent="0.25">
      <c r="A46" s="27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ref="F46:F56" si="38">IF(D$12=0,0,D46/D$12)</f>
        <v>0</v>
      </c>
      <c r="G46" s="1"/>
      <c r="H46" s="1">
        <f>SUM(OSRRefH22_6x_0)</f>
        <v>0</v>
      </c>
      <c r="I46" s="1"/>
      <c r="J46" s="5">
        <f t="shared" ref="J46:J56" si="39">IF(H$12=0,0,H46/H$12)</f>
        <v>0</v>
      </c>
      <c r="K46" s="1"/>
      <c r="L46" s="1">
        <f t="shared" ref="L46:L56" si="40">+D46-H46</f>
        <v>0</v>
      </c>
      <c r="M46" s="1"/>
      <c r="N46" s="5">
        <f t="shared" ref="N46:N56" si="41">IF(H46=0,0,L46/H46)</f>
        <v>0</v>
      </c>
      <c r="O46" s="12"/>
      <c r="P46" s="1">
        <f>SUM(OSRRefP22_6x_0)</f>
        <v>0</v>
      </c>
      <c r="Q46" s="1"/>
      <c r="R46" s="5">
        <f t="shared" ref="R46:R56" si="42">IF(P$12=0,0,P46/P$12)</f>
        <v>0</v>
      </c>
      <c r="S46" s="1"/>
      <c r="T46" s="1">
        <f>SUM(OSRRefT22_6x_0)</f>
        <v>186.48</v>
      </c>
      <c r="U46" s="1"/>
      <c r="V46" s="5">
        <f t="shared" ref="V46:V56" si="43">IF(T$12=0,0,T46/T$12)</f>
        <v>2.585182799096417E-4</v>
      </c>
      <c r="W46" s="1"/>
      <c r="X46" s="1">
        <f t="shared" ref="X46:X56" si="44">+P46-T46</f>
        <v>-186.48</v>
      </c>
      <c r="Y46" s="1"/>
      <c r="Z46" s="5">
        <f t="shared" ref="Z46:Z56" si="45">IF(T46=0,0,X46/T46)</f>
        <v>-1</v>
      </c>
    </row>
    <row r="47" spans="1:26" s="23" customFormat="1" hidden="1" outlineLevel="2" x14ac:dyDescent="0.25">
      <c r="A47" s="25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38"/>
        <v>0</v>
      </c>
      <c r="G47" s="2"/>
      <c r="H47" s="6"/>
      <c r="I47" s="2"/>
      <c r="J47" s="7">
        <f t="shared" si="39"/>
        <v>0</v>
      </c>
      <c r="K47" s="2"/>
      <c r="L47" s="6">
        <f t="shared" si="40"/>
        <v>0</v>
      </c>
      <c r="M47" s="2"/>
      <c r="N47" s="7">
        <f t="shared" si="41"/>
        <v>0</v>
      </c>
      <c r="O47" s="10"/>
      <c r="P47" s="6"/>
      <c r="Q47" s="2"/>
      <c r="R47" s="7">
        <f t="shared" si="42"/>
        <v>0</v>
      </c>
      <c r="S47" s="2"/>
      <c r="T47" s="6">
        <v>186.48</v>
      </c>
      <c r="U47" s="2"/>
      <c r="V47" s="7">
        <f t="shared" si="43"/>
        <v>2.585182799096417E-4</v>
      </c>
      <c r="W47" s="2"/>
      <c r="X47" s="6">
        <f t="shared" si="44"/>
        <v>-186.48</v>
      </c>
      <c r="Y47" s="2"/>
      <c r="Z47" s="7">
        <f t="shared" si="45"/>
        <v>-1</v>
      </c>
    </row>
    <row r="48" spans="1:26" s="26" customFormat="1" outlineLevel="1" collapsed="1" x14ac:dyDescent="0.25">
      <c r="A48" s="27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241.57</v>
      </c>
      <c r="I48" s="1"/>
      <c r="J48" s="5">
        <f t="shared" si="39"/>
        <v>5.0943628598446025E-3</v>
      </c>
      <c r="K48" s="1"/>
      <c r="L48" s="1">
        <f t="shared" si="40"/>
        <v>-241.57</v>
      </c>
      <c r="M48" s="1"/>
      <c r="N48" s="5">
        <f t="shared" si="41"/>
        <v>-1</v>
      </c>
      <c r="O48" s="12"/>
      <c r="P48" s="1">
        <f>SUM(OSRRefP22_7x_0)</f>
        <v>96.3</v>
      </c>
      <c r="Q48" s="1"/>
      <c r="R48" s="5">
        <f t="shared" si="42"/>
        <v>0</v>
      </c>
      <c r="S48" s="1"/>
      <c r="T48" s="1">
        <f>SUM(OSRRefT22_7x_0)</f>
        <v>3281</v>
      </c>
      <c r="U48" s="1"/>
      <c r="V48" s="5">
        <f t="shared" si="43"/>
        <v>4.5484688780755818E-3</v>
      </c>
      <c r="W48" s="1"/>
      <c r="X48" s="1">
        <f t="shared" si="44"/>
        <v>-3184.7</v>
      </c>
      <c r="Y48" s="1"/>
      <c r="Z48" s="5">
        <f t="shared" si="45"/>
        <v>-0.97064919231941471</v>
      </c>
    </row>
    <row r="49" spans="1:26" s="23" customFormat="1" hidden="1" outlineLevel="2" x14ac:dyDescent="0.25">
      <c r="A49" s="25"/>
      <c r="B49" s="10" t="str">
        <f>CONCATENATE("          ", "6351", " - ", "EQUIPMENT RENTAL")</f>
        <v xml:space="preserve">          6351 - EQUIPMENT RENTAL</v>
      </c>
      <c r="C49" s="10"/>
      <c r="D49" s="6"/>
      <c r="E49" s="2"/>
      <c r="F49" s="7">
        <f t="shared" si="38"/>
        <v>0</v>
      </c>
      <c r="G49" s="2"/>
      <c r="H49" s="6">
        <v>241.57</v>
      </c>
      <c r="I49" s="2"/>
      <c r="J49" s="7">
        <f t="shared" si="39"/>
        <v>5.0943628598446025E-3</v>
      </c>
      <c r="K49" s="2"/>
      <c r="L49" s="6">
        <f t="shared" si="40"/>
        <v>-241.57</v>
      </c>
      <c r="M49" s="2"/>
      <c r="N49" s="7">
        <f t="shared" si="41"/>
        <v>-1</v>
      </c>
      <c r="O49" s="10"/>
      <c r="P49" s="6">
        <v>96.3</v>
      </c>
      <c r="Q49" s="2"/>
      <c r="R49" s="7">
        <f t="shared" si="42"/>
        <v>0</v>
      </c>
      <c r="S49" s="2"/>
      <c r="T49" s="6">
        <v>3281</v>
      </c>
      <c r="U49" s="2"/>
      <c r="V49" s="7">
        <f t="shared" si="43"/>
        <v>4.5484688780755818E-3</v>
      </c>
      <c r="W49" s="2"/>
      <c r="X49" s="6">
        <f t="shared" si="44"/>
        <v>-3184.7</v>
      </c>
      <c r="Y49" s="2"/>
      <c r="Z49" s="7">
        <f t="shared" si="45"/>
        <v>-0.97064919231941471</v>
      </c>
    </row>
    <row r="50" spans="1:26" s="26" customFormat="1" outlineLevel="1" collapsed="1" x14ac:dyDescent="0.25">
      <c r="A50" s="27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SUM(OSRRefD22_8x_0)</f>
        <v>0</v>
      </c>
      <c r="E50" s="1"/>
      <c r="F50" s="5">
        <f t="shared" si="38"/>
        <v>0</v>
      </c>
      <c r="G50" s="1"/>
      <c r="H50" s="1">
        <f>SUM(OSRRefH22_8x_0)</f>
        <v>968.06</v>
      </c>
      <c r="I50" s="1"/>
      <c r="J50" s="5">
        <f t="shared" si="39"/>
        <v>2.0414989071909449E-2</v>
      </c>
      <c r="K50" s="1"/>
      <c r="L50" s="1">
        <f t="shared" si="40"/>
        <v>-968.06</v>
      </c>
      <c r="M50" s="1"/>
      <c r="N50" s="5">
        <f t="shared" si="41"/>
        <v>-1</v>
      </c>
      <c r="O50" s="12"/>
      <c r="P50" s="1">
        <f>SUM(OSRRefP22_8x_0)</f>
        <v>0</v>
      </c>
      <c r="Q50" s="1"/>
      <c r="R50" s="5">
        <f t="shared" si="42"/>
        <v>0</v>
      </c>
      <c r="S50" s="1"/>
      <c r="T50" s="1">
        <f>SUM(OSRRefT22_8x_0)</f>
        <v>9308.4599999999991</v>
      </c>
      <c r="U50" s="1"/>
      <c r="V50" s="5">
        <f t="shared" si="43"/>
        <v>1.2904370805489614E-2</v>
      </c>
      <c r="W50" s="1"/>
      <c r="X50" s="1">
        <f t="shared" si="44"/>
        <v>-9308.4599999999991</v>
      </c>
      <c r="Y50" s="1"/>
      <c r="Z50" s="5">
        <f t="shared" si="45"/>
        <v>-1</v>
      </c>
    </row>
    <row r="51" spans="1:26" s="23" customFormat="1" hidden="1" outlineLevel="2" x14ac:dyDescent="0.25">
      <c r="A51" s="25"/>
      <c r="B51" s="10" t="str">
        <f>CONCATENATE("          ", "6279", " - ", "GENERAL EXPENSE")</f>
        <v xml:space="preserve">          6279 - GENERAL EXPENSE</v>
      </c>
      <c r="C51" s="10"/>
      <c r="D51" s="6"/>
      <c r="E51" s="2"/>
      <c r="F51" s="7">
        <f t="shared" si="38"/>
        <v>0</v>
      </c>
      <c r="G51" s="2"/>
      <c r="H51" s="6">
        <v>968.06</v>
      </c>
      <c r="I51" s="2"/>
      <c r="J51" s="7">
        <f t="shared" si="39"/>
        <v>2.0414989071909449E-2</v>
      </c>
      <c r="K51" s="2"/>
      <c r="L51" s="6">
        <f t="shared" si="40"/>
        <v>-968.06</v>
      </c>
      <c r="M51" s="2"/>
      <c r="N51" s="7">
        <f t="shared" si="41"/>
        <v>-1</v>
      </c>
      <c r="O51" s="10"/>
      <c r="P51" s="6">
        <v>0</v>
      </c>
      <c r="Q51" s="2"/>
      <c r="R51" s="7">
        <f t="shared" si="42"/>
        <v>0</v>
      </c>
      <c r="S51" s="2"/>
      <c r="T51" s="6">
        <v>9308.4599999999991</v>
      </c>
      <c r="U51" s="2"/>
      <c r="V51" s="7">
        <f t="shared" si="43"/>
        <v>1.2904370805489614E-2</v>
      </c>
      <c r="W51" s="2"/>
      <c r="X51" s="6">
        <f t="shared" si="44"/>
        <v>-9308.4599999999991</v>
      </c>
      <c r="Y51" s="2"/>
      <c r="Z51" s="7">
        <f t="shared" si="45"/>
        <v>-1</v>
      </c>
    </row>
    <row r="52" spans="1:26" s="26" customFormat="1" outlineLevel="1" collapsed="1" x14ac:dyDescent="0.25">
      <c r="A52" s="27"/>
      <c r="B52" s="12" t="str">
        <f>CONCATENATE("     ","Rent                                              ")</f>
        <v xml:space="preserve">     Rent                                              </v>
      </c>
      <c r="C52" s="12"/>
      <c r="D52" s="1">
        <f>SUM(OSRRefD22_9x_0)</f>
        <v>0</v>
      </c>
      <c r="E52" s="1"/>
      <c r="F52" s="5">
        <f t="shared" si="38"/>
        <v>0</v>
      </c>
      <c r="G52" s="1"/>
      <c r="H52" s="1">
        <f>SUM(OSRRefH22_9x_0)</f>
        <v>1850</v>
      </c>
      <c r="I52" s="1"/>
      <c r="J52" s="5">
        <f t="shared" si="39"/>
        <v>3.9013831563159809E-2</v>
      </c>
      <c r="K52" s="1"/>
      <c r="L52" s="1">
        <f t="shared" si="40"/>
        <v>-1850</v>
      </c>
      <c r="M52" s="1"/>
      <c r="N52" s="5">
        <f t="shared" si="41"/>
        <v>-1</v>
      </c>
      <c r="O52" s="12"/>
      <c r="P52" s="1">
        <f>SUM(OSRRefP22_9x_0)</f>
        <v>11100</v>
      </c>
      <c r="Q52" s="1"/>
      <c r="R52" s="5">
        <f t="shared" si="42"/>
        <v>0</v>
      </c>
      <c r="S52" s="1"/>
      <c r="T52" s="1">
        <f>SUM(OSRRefT22_9x_0)</f>
        <v>16650</v>
      </c>
      <c r="U52" s="1"/>
      <c r="V52" s="5">
        <f t="shared" si="43"/>
        <v>2.308198927764658E-2</v>
      </c>
      <c r="W52" s="1"/>
      <c r="X52" s="1">
        <f t="shared" si="44"/>
        <v>-5550</v>
      </c>
      <c r="Y52" s="1"/>
      <c r="Z52" s="5">
        <f t="shared" si="45"/>
        <v>-0.33333333333333331</v>
      </c>
    </row>
    <row r="53" spans="1:26" s="23" customFormat="1" hidden="1" outlineLevel="2" x14ac:dyDescent="0.25">
      <c r="A53" s="25"/>
      <c r="B53" s="10" t="str">
        <f>CONCATENATE("          ", "6273", " - ", "RENT")</f>
        <v xml:space="preserve">          6273 - RENT</v>
      </c>
      <c r="C53" s="10"/>
      <c r="D53" s="6"/>
      <c r="E53" s="2"/>
      <c r="F53" s="7">
        <f t="shared" si="38"/>
        <v>0</v>
      </c>
      <c r="G53" s="2"/>
      <c r="H53" s="6">
        <v>1850</v>
      </c>
      <c r="I53" s="2"/>
      <c r="J53" s="7">
        <f t="shared" si="39"/>
        <v>3.9013831563159809E-2</v>
      </c>
      <c r="K53" s="2"/>
      <c r="L53" s="6">
        <f t="shared" si="40"/>
        <v>-1850</v>
      </c>
      <c r="M53" s="2"/>
      <c r="N53" s="7">
        <f t="shared" si="41"/>
        <v>-1</v>
      </c>
      <c r="O53" s="10"/>
      <c r="P53" s="6">
        <v>11100</v>
      </c>
      <c r="Q53" s="2"/>
      <c r="R53" s="7">
        <f t="shared" si="42"/>
        <v>0</v>
      </c>
      <c r="S53" s="2"/>
      <c r="T53" s="6">
        <v>16650</v>
      </c>
      <c r="U53" s="2"/>
      <c r="V53" s="7">
        <f t="shared" si="43"/>
        <v>2.308198927764658E-2</v>
      </c>
      <c r="W53" s="2"/>
      <c r="X53" s="6">
        <f t="shared" si="44"/>
        <v>-5550</v>
      </c>
      <c r="Y53" s="2"/>
      <c r="Z53" s="7">
        <f t="shared" si="45"/>
        <v>-0.33333333333333331</v>
      </c>
    </row>
    <row r="54" spans="1:26" s="26" customFormat="1" outlineLevel="1" collapsed="1" x14ac:dyDescent="0.25">
      <c r="A54" s="27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SUM(OSRRefD22_10x_0)</f>
        <v>5622.35</v>
      </c>
      <c r="E54" s="1"/>
      <c r="F54" s="5">
        <f t="shared" si="38"/>
        <v>0</v>
      </c>
      <c r="G54" s="1"/>
      <c r="H54" s="1">
        <f>SUM(OSRRefH22_10x_0)</f>
        <v>2509.71</v>
      </c>
      <c r="I54" s="1"/>
      <c r="J54" s="5">
        <f t="shared" si="39"/>
        <v>5.2926163898582596E-2</v>
      </c>
      <c r="K54" s="1"/>
      <c r="L54" s="1">
        <f t="shared" si="40"/>
        <v>3112.6400000000003</v>
      </c>
      <c r="M54" s="1"/>
      <c r="N54" s="5">
        <f t="shared" si="41"/>
        <v>1.2402389120655375</v>
      </c>
      <c r="O54" s="12"/>
      <c r="P54" s="1">
        <f>SUM(OSRRefP22_10x_0)</f>
        <v>6387.65</v>
      </c>
      <c r="Q54" s="1"/>
      <c r="R54" s="5">
        <f t="shared" si="42"/>
        <v>0</v>
      </c>
      <c r="S54" s="1"/>
      <c r="T54" s="1">
        <f>SUM(OSRRefT22_10x_0)</f>
        <v>25335.79</v>
      </c>
      <c r="U54" s="1"/>
      <c r="V54" s="5">
        <f t="shared" si="43"/>
        <v>3.5123149136378706E-2</v>
      </c>
      <c r="W54" s="1"/>
      <c r="X54" s="1">
        <f t="shared" si="44"/>
        <v>-18948.14</v>
      </c>
      <c r="Y54" s="1"/>
      <c r="Z54" s="5">
        <f t="shared" si="45"/>
        <v>-0.74788037002201224</v>
      </c>
    </row>
    <row r="55" spans="1:26" s="23" customFormat="1" hidden="1" outlineLevel="2" x14ac:dyDescent="0.25">
      <c r="A55" s="25"/>
      <c r="B55" s="10" t="str">
        <f>CONCATENATE("          ", "6373", " - ", "MAINTENANCE CONTRACTS")</f>
        <v xml:space="preserve">          6373 - MAINTENANCE CONTRACTS</v>
      </c>
      <c r="C55" s="10"/>
      <c r="D55" s="6">
        <v>5622.35</v>
      </c>
      <c r="E55" s="2"/>
      <c r="F55" s="7">
        <f t="shared" si="38"/>
        <v>0</v>
      </c>
      <c r="G55" s="2"/>
      <c r="H55" s="6">
        <v>1870.35</v>
      </c>
      <c r="I55" s="2"/>
      <c r="J55" s="7">
        <f t="shared" si="39"/>
        <v>3.9442983710354561E-2</v>
      </c>
      <c r="K55" s="2"/>
      <c r="L55" s="6">
        <f t="shared" si="40"/>
        <v>3752.0000000000005</v>
      </c>
      <c r="M55" s="2"/>
      <c r="N55" s="7">
        <f t="shared" si="41"/>
        <v>2.006041649958564</v>
      </c>
      <c r="O55" s="10"/>
      <c r="P55" s="6">
        <v>5845.65</v>
      </c>
      <c r="Q55" s="2"/>
      <c r="R55" s="7">
        <f t="shared" si="42"/>
        <v>0</v>
      </c>
      <c r="S55" s="2"/>
      <c r="T55" s="6">
        <v>16388.759999999998</v>
      </c>
      <c r="U55" s="2"/>
      <c r="V55" s="7">
        <f t="shared" si="43"/>
        <v>2.271983078642181E-2</v>
      </c>
      <c r="W55" s="2"/>
      <c r="X55" s="6">
        <f t="shared" si="44"/>
        <v>-10543.109999999999</v>
      </c>
      <c r="Y55" s="2"/>
      <c r="Z55" s="7">
        <f t="shared" si="45"/>
        <v>-0.64331346605844497</v>
      </c>
    </row>
    <row r="56" spans="1:26" s="23" customFormat="1" hidden="1" outlineLevel="2" x14ac:dyDescent="0.25">
      <c r="A56" s="25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8"/>
        <v>0</v>
      </c>
      <c r="G56" s="2"/>
      <c r="H56" s="6">
        <v>639.36</v>
      </c>
      <c r="I56" s="2"/>
      <c r="J56" s="7">
        <f t="shared" si="39"/>
        <v>1.348318018822803E-2</v>
      </c>
      <c r="K56" s="2"/>
      <c r="L56" s="6">
        <f t="shared" si="40"/>
        <v>-639.36</v>
      </c>
      <c r="M56" s="2"/>
      <c r="N56" s="7">
        <f t="shared" si="41"/>
        <v>-1</v>
      </c>
      <c r="O56" s="10"/>
      <c r="P56" s="6">
        <v>542</v>
      </c>
      <c r="Q56" s="2"/>
      <c r="R56" s="7">
        <f t="shared" si="42"/>
        <v>0</v>
      </c>
      <c r="S56" s="2"/>
      <c r="T56" s="6">
        <v>8947.0300000000007</v>
      </c>
      <c r="U56" s="2"/>
      <c r="V56" s="7">
        <f t="shared" si="43"/>
        <v>1.2403318349956895E-2</v>
      </c>
      <c r="W56" s="2"/>
      <c r="X56" s="6">
        <f t="shared" si="44"/>
        <v>-8405.0300000000007</v>
      </c>
      <c r="Y56" s="2"/>
      <c r="Z56" s="7">
        <f t="shared" si="45"/>
        <v>-0.93942123810918265</v>
      </c>
    </row>
    <row r="57" spans="1:26" s="26" customFormat="1" outlineLevel="1" collapsed="1" x14ac:dyDescent="0.25">
      <c r="A57" s="27"/>
      <c r="B57" s="12" t="str">
        <f>CONCATENATE("     ","Royalty &amp; Commissions                             ")</f>
        <v xml:space="preserve">     Royalty &amp; Commissions                             </v>
      </c>
      <c r="C57" s="12"/>
      <c r="D57" s="1">
        <f>SUM(OSRRefD22_11x_0)</f>
        <v>0</v>
      </c>
      <c r="E57" s="1"/>
      <c r="F57" s="5">
        <f t="shared" ref="F57:F62" si="46">IF(D$12=0,0,D57/D$12)</f>
        <v>0</v>
      </c>
      <c r="G57" s="1"/>
      <c r="H57" s="1">
        <f>SUM(OSRRefH22_11x_0)</f>
        <v>3792.52</v>
      </c>
      <c r="I57" s="1"/>
      <c r="J57" s="5">
        <f t="shared" ref="J57:J62" si="47">IF(H$12=0,0,H57/H$12)</f>
        <v>7.9978776475629634E-2</v>
      </c>
      <c r="K57" s="1"/>
      <c r="L57" s="1">
        <f t="shared" ref="L57:L62" si="48">+D57-H57</f>
        <v>-3792.52</v>
      </c>
      <c r="M57" s="1"/>
      <c r="N57" s="5">
        <f t="shared" ref="N57:N62" si="49">IF(H57=0,0,L57/H57)</f>
        <v>-1</v>
      </c>
      <c r="O57" s="12"/>
      <c r="P57" s="1">
        <f>SUM(OSRRefP22_11x_0)</f>
        <v>0</v>
      </c>
      <c r="Q57" s="1"/>
      <c r="R57" s="5">
        <f t="shared" ref="R57:R62" si="50">IF(P$12=0,0,P57/P$12)</f>
        <v>0</v>
      </c>
      <c r="S57" s="1"/>
      <c r="T57" s="1">
        <f>SUM(OSRRefT22_11x_0)</f>
        <v>60535.32</v>
      </c>
      <c r="U57" s="1"/>
      <c r="V57" s="5">
        <f t="shared" ref="V57:V62" si="51">IF(T$12=0,0,T57/T$12)</f>
        <v>8.3920456886420691E-2</v>
      </c>
      <c r="W57" s="1"/>
      <c r="X57" s="1">
        <f t="shared" ref="X57:X62" si="52">+P57-T57</f>
        <v>-60535.32</v>
      </c>
      <c r="Y57" s="1"/>
      <c r="Z57" s="5">
        <f t="shared" ref="Z57:Z62" si="53">IF(T57=0,0,X57/T57)</f>
        <v>-1</v>
      </c>
    </row>
    <row r="58" spans="1:26" s="23" customFormat="1" hidden="1" outlineLevel="2" x14ac:dyDescent="0.25">
      <c r="A58" s="25"/>
      <c r="B58" s="10" t="str">
        <f>CONCATENATE("          ", "6259", " - ", "ROYALTY &amp; COMMISSIONS")</f>
        <v xml:space="preserve">          6259 - ROYALTY &amp; COMMISSIONS</v>
      </c>
      <c r="C58" s="10"/>
      <c r="D58" s="6"/>
      <c r="E58" s="2"/>
      <c r="F58" s="7">
        <f t="shared" si="46"/>
        <v>0</v>
      </c>
      <c r="G58" s="2"/>
      <c r="H58" s="6">
        <v>3792.52</v>
      </c>
      <c r="I58" s="2"/>
      <c r="J58" s="7">
        <f t="shared" si="47"/>
        <v>7.9978776475629634E-2</v>
      </c>
      <c r="K58" s="2"/>
      <c r="L58" s="6">
        <f t="shared" si="48"/>
        <v>-3792.52</v>
      </c>
      <c r="M58" s="2"/>
      <c r="N58" s="7">
        <f t="shared" si="49"/>
        <v>-1</v>
      </c>
      <c r="O58" s="10"/>
      <c r="P58" s="6"/>
      <c r="Q58" s="2"/>
      <c r="R58" s="7">
        <f t="shared" si="50"/>
        <v>0</v>
      </c>
      <c r="S58" s="2"/>
      <c r="T58" s="6">
        <v>60535.32</v>
      </c>
      <c r="U58" s="2"/>
      <c r="V58" s="7">
        <f t="shared" si="51"/>
        <v>8.3920456886420691E-2</v>
      </c>
      <c r="W58" s="2"/>
      <c r="X58" s="6">
        <f t="shared" si="52"/>
        <v>-60535.32</v>
      </c>
      <c r="Y58" s="2"/>
      <c r="Z58" s="7">
        <f t="shared" si="53"/>
        <v>-1</v>
      </c>
    </row>
    <row r="59" spans="1:26" s="26" customFormat="1" outlineLevel="1" collapsed="1" x14ac:dyDescent="0.25">
      <c r="A59" s="27"/>
      <c r="B59" s="12" t="str">
        <f>CONCATENATE("     ","Services                                          ")</f>
        <v xml:space="preserve">     Services                                          </v>
      </c>
      <c r="C59" s="12"/>
      <c r="D59" s="1">
        <f>SUM(OSRRefD22_12x_0)</f>
        <v>-113</v>
      </c>
      <c r="E59" s="1"/>
      <c r="F59" s="5">
        <f t="shared" si="46"/>
        <v>0</v>
      </c>
      <c r="G59" s="1"/>
      <c r="H59" s="1">
        <f>SUM(OSRRefH22_12x_0)</f>
        <v>115</v>
      </c>
      <c r="I59" s="1"/>
      <c r="J59" s="5">
        <f t="shared" si="47"/>
        <v>2.4251841241964204E-3</v>
      </c>
      <c r="K59" s="1"/>
      <c r="L59" s="1">
        <f t="shared" si="48"/>
        <v>-228</v>
      </c>
      <c r="M59" s="1"/>
      <c r="N59" s="5">
        <f t="shared" si="49"/>
        <v>-1.982608695652174</v>
      </c>
      <c r="O59" s="12"/>
      <c r="P59" s="1">
        <f>SUM(OSRRefP22_12x_0)</f>
        <v>462</v>
      </c>
      <c r="Q59" s="1"/>
      <c r="R59" s="5">
        <f t="shared" si="50"/>
        <v>0</v>
      </c>
      <c r="S59" s="1"/>
      <c r="T59" s="1">
        <f>SUM(OSRRefT22_12x_0)</f>
        <v>3678.39</v>
      </c>
      <c r="U59" s="1"/>
      <c r="V59" s="5">
        <f t="shared" si="51"/>
        <v>5.0993728852253692E-3</v>
      </c>
      <c r="W59" s="1"/>
      <c r="X59" s="1">
        <f t="shared" si="52"/>
        <v>-3216.39</v>
      </c>
      <c r="Y59" s="1"/>
      <c r="Z59" s="5">
        <f t="shared" si="53"/>
        <v>-0.87440157242706729</v>
      </c>
    </row>
    <row r="60" spans="1:26" s="23" customFormat="1" hidden="1" outlineLevel="2" x14ac:dyDescent="0.25">
      <c r="A60" s="25"/>
      <c r="B60" s="10" t="str">
        <f>CONCATENATE("          ", "6282", " - ", "JANITORIAL/EXTERMINATOR EXPENS")</f>
        <v xml:space="preserve">          6282 - JANITORIAL/EXTERMINATOR EXPENS</v>
      </c>
      <c r="C60" s="10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0"/>
      <c r="P60" s="6"/>
      <c r="Q60" s="2"/>
      <c r="R60" s="7">
        <f t="shared" si="50"/>
        <v>0</v>
      </c>
      <c r="S60" s="2"/>
      <c r="T60" s="6">
        <v>872.64</v>
      </c>
      <c r="U60" s="2"/>
      <c r="V60" s="7">
        <f t="shared" si="51"/>
        <v>1.2097457731678985E-3</v>
      </c>
      <c r="W60" s="2"/>
      <c r="X60" s="6">
        <f t="shared" si="52"/>
        <v>-872.64</v>
      </c>
      <c r="Y60" s="2"/>
      <c r="Z60" s="7">
        <f t="shared" si="53"/>
        <v>-1</v>
      </c>
    </row>
    <row r="61" spans="1:26" s="23" customFormat="1" hidden="1" outlineLevel="2" x14ac:dyDescent="0.25">
      <c r="A61" s="25"/>
      <c r="B61" s="10" t="str">
        <f>CONCATENATE("          ", "6284", " - ", "TRASH REMOVAL EXPENSE")</f>
        <v xml:space="preserve">          6284 - TRASH REMOVAL EXPENSE</v>
      </c>
      <c r="C61" s="10"/>
      <c r="D61" s="6">
        <v>-113</v>
      </c>
      <c r="E61" s="2"/>
      <c r="F61" s="7">
        <f t="shared" si="46"/>
        <v>0</v>
      </c>
      <c r="G61" s="2"/>
      <c r="H61" s="6">
        <v>115</v>
      </c>
      <c r="I61" s="2"/>
      <c r="J61" s="7">
        <f t="shared" si="47"/>
        <v>2.4251841241964204E-3</v>
      </c>
      <c r="K61" s="2"/>
      <c r="L61" s="6">
        <f t="shared" si="48"/>
        <v>-228</v>
      </c>
      <c r="M61" s="2"/>
      <c r="N61" s="7">
        <f t="shared" si="49"/>
        <v>-1.982608695652174</v>
      </c>
      <c r="O61" s="10"/>
      <c r="P61" s="6">
        <v>462</v>
      </c>
      <c r="Q61" s="2"/>
      <c r="R61" s="7">
        <f t="shared" si="50"/>
        <v>0</v>
      </c>
      <c r="S61" s="2"/>
      <c r="T61" s="6">
        <v>939</v>
      </c>
      <c r="U61" s="2"/>
      <c r="V61" s="7">
        <f t="shared" si="51"/>
        <v>1.3017410169195278E-3</v>
      </c>
      <c r="W61" s="2"/>
      <c r="X61" s="6">
        <f t="shared" si="52"/>
        <v>-477</v>
      </c>
      <c r="Y61" s="2"/>
      <c r="Z61" s="7">
        <f t="shared" si="53"/>
        <v>-0.50798722044728439</v>
      </c>
    </row>
    <row r="62" spans="1:26" s="23" customFormat="1" hidden="1" outlineLevel="2" x14ac:dyDescent="0.25">
      <c r="A62" s="25"/>
      <c r="B62" s="10" t="str">
        <f>CONCATENATE("          ", "6286", " - ", "LAUNDRY EXPENSE")</f>
        <v xml:space="preserve">          6286 - LAUNDRY EXPENSE</v>
      </c>
      <c r="C62" s="10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0"/>
      <c r="P62" s="6"/>
      <c r="Q62" s="2"/>
      <c r="R62" s="7">
        <f t="shared" si="50"/>
        <v>0</v>
      </c>
      <c r="S62" s="2"/>
      <c r="T62" s="6">
        <v>1866.75</v>
      </c>
      <c r="U62" s="2"/>
      <c r="V62" s="7">
        <f t="shared" si="51"/>
        <v>2.5878860951379433E-3</v>
      </c>
      <c r="W62" s="2"/>
      <c r="X62" s="6">
        <f t="shared" si="52"/>
        <v>-1866.75</v>
      </c>
      <c r="Y62" s="2"/>
      <c r="Z62" s="7">
        <f t="shared" si="53"/>
        <v>-1</v>
      </c>
    </row>
    <row r="63" spans="1:26" s="26" customFormat="1" outlineLevel="1" collapsed="1" x14ac:dyDescent="0.25">
      <c r="A63" s="27"/>
      <c r="B63" s="12" t="str">
        <f>CONCATENATE("     ","Subscriptions &amp; Dues                              ")</f>
        <v xml:space="preserve">     Subscriptions &amp; Dues                              </v>
      </c>
      <c r="C63" s="12"/>
      <c r="D63" s="1">
        <f>SUM(OSRRefD22_13x_0)</f>
        <v>0</v>
      </c>
      <c r="E63" s="1"/>
      <c r="F63" s="5">
        <f t="shared" ref="F63:F65" si="54">IF(D$12=0,0,D63/D$12)</f>
        <v>0</v>
      </c>
      <c r="G63" s="1"/>
      <c r="H63" s="1">
        <f>SUM(OSRRefH22_13x_0)</f>
        <v>0</v>
      </c>
      <c r="I63" s="1"/>
      <c r="J63" s="5">
        <f t="shared" ref="J63:J65" si="55">IF(H$12=0,0,H63/H$12)</f>
        <v>0</v>
      </c>
      <c r="K63" s="1"/>
      <c r="L63" s="1">
        <f t="shared" ref="L63:L65" si="56">+D63-H63</f>
        <v>0</v>
      </c>
      <c r="M63" s="1"/>
      <c r="N63" s="5">
        <f t="shared" ref="N63:N65" si="57">IF(H63=0,0,L63/H63)</f>
        <v>0</v>
      </c>
      <c r="O63" s="12"/>
      <c r="P63" s="1">
        <f>SUM(OSRRefP22_13x_0)</f>
        <v>0</v>
      </c>
      <c r="Q63" s="1"/>
      <c r="R63" s="5">
        <f t="shared" ref="R63:R65" si="58">IF(P$12=0,0,P63/P$12)</f>
        <v>0</v>
      </c>
      <c r="S63" s="1"/>
      <c r="T63" s="1">
        <f>SUM(OSRRefT22_13x_0)</f>
        <v>1101.72</v>
      </c>
      <c r="U63" s="1"/>
      <c r="V63" s="5">
        <f t="shared" ref="V63:V65" si="59">IF(T$12=0,0,T63/T$12)</f>
        <v>1.5273206742924198E-3</v>
      </c>
      <c r="W63" s="1"/>
      <c r="X63" s="1">
        <f t="shared" ref="X63:X65" si="60">+P63-T63</f>
        <v>-1101.72</v>
      </c>
      <c r="Y63" s="1"/>
      <c r="Z63" s="5">
        <f t="shared" ref="Z63:Z65" si="61">IF(T63=0,0,X63/T63)</f>
        <v>-1</v>
      </c>
    </row>
    <row r="64" spans="1:26" s="23" customFormat="1" hidden="1" outlineLevel="2" x14ac:dyDescent="0.25">
      <c r="A64" s="25"/>
      <c r="B64" s="10" t="str">
        <f>CONCATENATE("          ", "6258", " - ", "MEMBERSHIP DUES")</f>
        <v xml:space="preserve">          6258 - MEMBERSHIP DUES</v>
      </c>
      <c r="C64" s="10"/>
      <c r="D64" s="6"/>
      <c r="E64" s="2"/>
      <c r="F64" s="7">
        <f t="shared" si="54"/>
        <v>0</v>
      </c>
      <c r="G64" s="2"/>
      <c r="H64" s="6"/>
      <c r="I64" s="2"/>
      <c r="J64" s="7">
        <f t="shared" si="55"/>
        <v>0</v>
      </c>
      <c r="K64" s="2"/>
      <c r="L64" s="6">
        <f t="shared" si="56"/>
        <v>0</v>
      </c>
      <c r="M64" s="2"/>
      <c r="N64" s="7">
        <f t="shared" si="57"/>
        <v>0</v>
      </c>
      <c r="O64" s="10"/>
      <c r="P64" s="6"/>
      <c r="Q64" s="2"/>
      <c r="R64" s="7">
        <f t="shared" si="58"/>
        <v>0</v>
      </c>
      <c r="S64" s="2"/>
      <c r="T64" s="6">
        <v>979</v>
      </c>
      <c r="U64" s="2"/>
      <c r="V64" s="7">
        <f t="shared" si="59"/>
        <v>1.3571932434123725E-3</v>
      </c>
      <c r="W64" s="2"/>
      <c r="X64" s="6">
        <f t="shared" si="60"/>
        <v>-979</v>
      </c>
      <c r="Y64" s="2"/>
      <c r="Z64" s="7">
        <f t="shared" si="61"/>
        <v>-1</v>
      </c>
    </row>
    <row r="65" spans="1:26" s="23" customFormat="1" hidden="1" outlineLevel="2" x14ac:dyDescent="0.25">
      <c r="A65" s="25"/>
      <c r="B65" s="10" t="str">
        <f>CONCATENATE("          ", "6275", " - ", "SUBSCRIPTIONS")</f>
        <v xml:space="preserve">          6275 - SUBSCRIPTIONS</v>
      </c>
      <c r="C65" s="10"/>
      <c r="D65" s="6"/>
      <c r="E65" s="2"/>
      <c r="F65" s="7">
        <f t="shared" si="54"/>
        <v>0</v>
      </c>
      <c r="G65" s="2"/>
      <c r="H65" s="6"/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0"/>
      <c r="P65" s="6"/>
      <c r="Q65" s="2"/>
      <c r="R65" s="7">
        <f t="shared" si="58"/>
        <v>0</v>
      </c>
      <c r="S65" s="2"/>
      <c r="T65" s="6">
        <v>122.72</v>
      </c>
      <c r="U65" s="2"/>
      <c r="V65" s="7">
        <f t="shared" si="59"/>
        <v>1.7012743088004736E-4</v>
      </c>
      <c r="W65" s="2"/>
      <c r="X65" s="6">
        <f t="shared" si="60"/>
        <v>-122.72</v>
      </c>
      <c r="Y65" s="2"/>
      <c r="Z65" s="7">
        <f t="shared" si="61"/>
        <v>-1</v>
      </c>
    </row>
    <row r="66" spans="1:26" s="26" customFormat="1" outlineLevel="1" collapsed="1" x14ac:dyDescent="0.25">
      <c r="A66" s="27"/>
      <c r="B66" s="12" t="str">
        <f>CONCATENATE("     ","Supplies                                          ")</f>
        <v xml:space="preserve">     Supplies                                          </v>
      </c>
      <c r="C66" s="12"/>
      <c r="D66" s="1">
        <f>SUM(OSRRefD22_14x_0)</f>
        <v>0</v>
      </c>
      <c r="E66" s="1"/>
      <c r="F66" s="5">
        <f t="shared" ref="F66:F73" si="62">IF(D$12=0,0,D66/D$12)</f>
        <v>0</v>
      </c>
      <c r="G66" s="1"/>
      <c r="H66" s="1">
        <f>SUM(OSRRefH22_14x_0)</f>
        <v>1290.1799999999998</v>
      </c>
      <c r="I66" s="1"/>
      <c r="J66" s="5">
        <f t="shared" ref="J66:J73" si="63">IF(H$12=0,0,H66/H$12)</f>
        <v>2.720803524657163E-2</v>
      </c>
      <c r="K66" s="1"/>
      <c r="L66" s="1">
        <f t="shared" ref="L66:L73" si="64">+D66-H66</f>
        <v>-1290.1799999999998</v>
      </c>
      <c r="M66" s="1"/>
      <c r="N66" s="5">
        <f t="shared" ref="N66:N73" si="65">IF(H66=0,0,L66/H66)</f>
        <v>-1</v>
      </c>
      <c r="O66" s="12"/>
      <c r="P66" s="1">
        <f>SUM(OSRRefP22_14x_0)</f>
        <v>72</v>
      </c>
      <c r="Q66" s="1"/>
      <c r="R66" s="5">
        <f t="shared" ref="R66:R73" si="66">IF(P$12=0,0,P66/P$12)</f>
        <v>0</v>
      </c>
      <c r="S66" s="1"/>
      <c r="T66" s="1">
        <f>SUM(OSRRefT22_14x_0)</f>
        <v>11997.33</v>
      </c>
      <c r="U66" s="1"/>
      <c r="V66" s="5">
        <f t="shared" ref="V66:V73" si="67">IF(T$12=0,0,T66/T$12)</f>
        <v>1.6631966511734993E-2</v>
      </c>
      <c r="W66" s="1"/>
      <c r="X66" s="1">
        <f t="shared" ref="X66:X73" si="68">+P66-T66</f>
        <v>-11925.33</v>
      </c>
      <c r="Y66" s="1"/>
      <c r="Z66" s="5">
        <f t="shared" ref="Z66:Z73" si="69">IF(T66=0,0,X66/T66)</f>
        <v>-0.99399866470289644</v>
      </c>
    </row>
    <row r="67" spans="1:26" s="23" customFormat="1" hidden="1" outlineLevel="2" x14ac:dyDescent="0.25">
      <c r="A67" s="25"/>
      <c r="B67" s="10" t="str">
        <f>CONCATENATE("          ", "6237", " - ", "JANITORIAL SUPPLIES")</f>
        <v xml:space="preserve">          6237 - JANITORIAL SUPPLIES</v>
      </c>
      <c r="C67" s="10"/>
      <c r="D67" s="6"/>
      <c r="E67" s="2"/>
      <c r="F67" s="7">
        <f t="shared" si="62"/>
        <v>0</v>
      </c>
      <c r="G67" s="2"/>
      <c r="H67" s="6">
        <v>395.21</v>
      </c>
      <c r="I67" s="2"/>
      <c r="J67" s="7">
        <f t="shared" si="63"/>
        <v>8.3344088497710189E-3</v>
      </c>
      <c r="K67" s="2"/>
      <c r="L67" s="6">
        <f t="shared" si="64"/>
        <v>-395.21</v>
      </c>
      <c r="M67" s="2"/>
      <c r="N67" s="7">
        <f t="shared" si="65"/>
        <v>-1</v>
      </c>
      <c r="O67" s="10"/>
      <c r="P67" s="6">
        <v>72</v>
      </c>
      <c r="Q67" s="2"/>
      <c r="R67" s="7">
        <f t="shared" si="66"/>
        <v>0</v>
      </c>
      <c r="S67" s="2"/>
      <c r="T67" s="6">
        <v>2140.12</v>
      </c>
      <c r="U67" s="2"/>
      <c r="V67" s="7">
        <f t="shared" si="67"/>
        <v>2.9668604740466665E-3</v>
      </c>
      <c r="W67" s="2"/>
      <c r="X67" s="6">
        <f t="shared" si="68"/>
        <v>-2068.12</v>
      </c>
      <c r="Y67" s="2"/>
      <c r="Z67" s="7">
        <f t="shared" si="69"/>
        <v>-0.96635702670878265</v>
      </c>
    </row>
    <row r="68" spans="1:26" s="23" customFormat="1" hidden="1" outlineLevel="2" x14ac:dyDescent="0.25">
      <c r="A68" s="25"/>
      <c r="B68" s="10" t="str">
        <f>CONCATENATE("          ", "6239", " - ", "KITCHEN SUPPLIES")</f>
        <v xml:space="preserve">          6239 - KITCHEN SUPPLIES</v>
      </c>
      <c r="C68" s="10"/>
      <c r="D68" s="6"/>
      <c r="E68" s="2"/>
      <c r="F68" s="7">
        <f t="shared" si="62"/>
        <v>0</v>
      </c>
      <c r="G68" s="2"/>
      <c r="H68" s="6">
        <v>150.38</v>
      </c>
      <c r="I68" s="2"/>
      <c r="J68" s="7">
        <f t="shared" si="63"/>
        <v>3.1712972921448495E-3</v>
      </c>
      <c r="K68" s="2"/>
      <c r="L68" s="6">
        <f t="shared" si="64"/>
        <v>-150.38</v>
      </c>
      <c r="M68" s="2"/>
      <c r="N68" s="7">
        <f t="shared" si="65"/>
        <v>-1</v>
      </c>
      <c r="O68" s="10"/>
      <c r="P68" s="6"/>
      <c r="Q68" s="2"/>
      <c r="R68" s="7">
        <f t="shared" si="66"/>
        <v>0</v>
      </c>
      <c r="S68" s="2"/>
      <c r="T68" s="6">
        <v>4435.24</v>
      </c>
      <c r="U68" s="2"/>
      <c r="V68" s="7">
        <f t="shared" si="67"/>
        <v>6.1485983257531058E-3</v>
      </c>
      <c r="W68" s="2"/>
      <c r="X68" s="6">
        <f t="shared" si="68"/>
        <v>-4435.24</v>
      </c>
      <c r="Y68" s="2"/>
      <c r="Z68" s="7">
        <f t="shared" si="69"/>
        <v>-1</v>
      </c>
    </row>
    <row r="69" spans="1:26" s="23" customFormat="1" hidden="1" outlineLevel="2" x14ac:dyDescent="0.25">
      <c r="A69" s="25"/>
      <c r="B69" s="10" t="str">
        <f>CONCATENATE("          ", "6241", " - ", "OFFICE EXPENSE")</f>
        <v xml:space="preserve">          6241 - OFFICE EXPENSE</v>
      </c>
      <c r="C69" s="10"/>
      <c r="D69" s="6"/>
      <c r="E69" s="2"/>
      <c r="F69" s="7">
        <f t="shared" si="62"/>
        <v>0</v>
      </c>
      <c r="G69" s="2"/>
      <c r="H69" s="6">
        <v>9.91</v>
      </c>
      <c r="I69" s="2"/>
      <c r="J69" s="7">
        <f t="shared" si="63"/>
        <v>2.0898760583292633E-4</v>
      </c>
      <c r="K69" s="2"/>
      <c r="L69" s="6">
        <f t="shared" si="64"/>
        <v>-9.91</v>
      </c>
      <c r="M69" s="2"/>
      <c r="N69" s="7">
        <f t="shared" si="65"/>
        <v>-1</v>
      </c>
      <c r="O69" s="10"/>
      <c r="P69" s="6"/>
      <c r="Q69" s="2"/>
      <c r="R69" s="7">
        <f t="shared" si="66"/>
        <v>0</v>
      </c>
      <c r="S69" s="2"/>
      <c r="T69" s="6">
        <v>1415.33</v>
      </c>
      <c r="U69" s="2"/>
      <c r="V69" s="7">
        <f t="shared" si="67"/>
        <v>1.9620799930529448E-3</v>
      </c>
      <c r="W69" s="2"/>
      <c r="X69" s="6">
        <f t="shared" si="68"/>
        <v>-1415.33</v>
      </c>
      <c r="Y69" s="2"/>
      <c r="Z69" s="7">
        <f t="shared" si="69"/>
        <v>-1</v>
      </c>
    </row>
    <row r="70" spans="1:26" s="23" customFormat="1" hidden="1" outlineLevel="2" x14ac:dyDescent="0.25">
      <c r="A70" s="25"/>
      <c r="B70" s="10" t="str">
        <f>CONCATENATE("          ", "6243", " - ", "PAPER SUPPLIES")</f>
        <v xml:space="preserve">          6243 - PAPER SUPPLIES</v>
      </c>
      <c r="C70" s="10"/>
      <c r="D70" s="6"/>
      <c r="E70" s="2"/>
      <c r="F70" s="7">
        <f t="shared" si="62"/>
        <v>0</v>
      </c>
      <c r="G70" s="2"/>
      <c r="H70" s="6">
        <v>519.91999999999996</v>
      </c>
      <c r="I70" s="2"/>
      <c r="J70" s="7">
        <f t="shared" si="63"/>
        <v>1.0964362868280024E-2</v>
      </c>
      <c r="K70" s="2"/>
      <c r="L70" s="6">
        <f t="shared" si="64"/>
        <v>-519.91999999999996</v>
      </c>
      <c r="M70" s="2"/>
      <c r="N70" s="7">
        <f t="shared" si="65"/>
        <v>-1</v>
      </c>
      <c r="O70" s="10"/>
      <c r="P70" s="6"/>
      <c r="Q70" s="2"/>
      <c r="R70" s="7">
        <f t="shared" si="66"/>
        <v>0</v>
      </c>
      <c r="S70" s="2"/>
      <c r="T70" s="6">
        <v>5057.43</v>
      </c>
      <c r="U70" s="2"/>
      <c r="V70" s="7">
        <f t="shared" si="67"/>
        <v>7.0111438457926816E-3</v>
      </c>
      <c r="W70" s="2"/>
      <c r="X70" s="6">
        <f t="shared" si="68"/>
        <v>-5057.43</v>
      </c>
      <c r="Y70" s="2"/>
      <c r="Z70" s="7">
        <f t="shared" si="69"/>
        <v>-1</v>
      </c>
    </row>
    <row r="71" spans="1:26" s="23" customFormat="1" hidden="1" outlineLevel="2" x14ac:dyDescent="0.25">
      <c r="A71" s="25"/>
      <c r="B71" s="10" t="str">
        <f>CONCATENATE("          ", "6245", " - ", "PRINTING")</f>
        <v xml:space="preserve">          6245 - PRINTING</v>
      </c>
      <c r="C71" s="10"/>
      <c r="D71" s="6"/>
      <c r="E71" s="2"/>
      <c r="F71" s="7">
        <f t="shared" si="62"/>
        <v>0</v>
      </c>
      <c r="G71" s="2"/>
      <c r="H71" s="6"/>
      <c r="I71" s="2"/>
      <c r="J71" s="7">
        <f t="shared" si="63"/>
        <v>0</v>
      </c>
      <c r="K71" s="2"/>
      <c r="L71" s="6">
        <f t="shared" si="64"/>
        <v>0</v>
      </c>
      <c r="M71" s="2"/>
      <c r="N71" s="7">
        <f t="shared" si="65"/>
        <v>0</v>
      </c>
      <c r="O71" s="10"/>
      <c r="P71" s="6"/>
      <c r="Q71" s="2"/>
      <c r="R71" s="7">
        <f t="shared" si="66"/>
        <v>0</v>
      </c>
      <c r="S71" s="2"/>
      <c r="T71" s="6">
        <v>66.930000000000007</v>
      </c>
      <c r="U71" s="2"/>
      <c r="V71" s="7">
        <f t="shared" si="67"/>
        <v>9.2785437979152295E-5</v>
      </c>
      <c r="W71" s="2"/>
      <c r="X71" s="6">
        <f t="shared" si="68"/>
        <v>-66.930000000000007</v>
      </c>
      <c r="Y71" s="2"/>
      <c r="Z71" s="7">
        <f t="shared" si="69"/>
        <v>-1</v>
      </c>
    </row>
    <row r="72" spans="1:26" s="23" customFormat="1" hidden="1" outlineLevel="2" x14ac:dyDescent="0.25">
      <c r="A72" s="25"/>
      <c r="B72" s="10" t="str">
        <f>CONCATENATE("          ", "6247", " - ", "STORE SUPPLIES")</f>
        <v xml:space="preserve">          6247 - STORE SUPPLIES</v>
      </c>
      <c r="C72" s="10"/>
      <c r="D72" s="6"/>
      <c r="E72" s="2"/>
      <c r="F72" s="7">
        <f t="shared" si="62"/>
        <v>0</v>
      </c>
      <c r="G72" s="2"/>
      <c r="H72" s="6">
        <v>214.76</v>
      </c>
      <c r="I72" s="2"/>
      <c r="J72" s="7">
        <f t="shared" si="63"/>
        <v>4.528978630542811E-3</v>
      </c>
      <c r="K72" s="2"/>
      <c r="L72" s="6">
        <f t="shared" si="64"/>
        <v>-214.76</v>
      </c>
      <c r="M72" s="2"/>
      <c r="N72" s="7">
        <f t="shared" si="65"/>
        <v>-1</v>
      </c>
      <c r="O72" s="10"/>
      <c r="P72" s="6"/>
      <c r="Q72" s="2"/>
      <c r="R72" s="7">
        <f t="shared" si="66"/>
        <v>0</v>
      </c>
      <c r="S72" s="2"/>
      <c r="T72" s="6">
        <v>-1251.8</v>
      </c>
      <c r="U72" s="2"/>
      <c r="V72" s="7">
        <f t="shared" si="67"/>
        <v>-1.7353774280935729E-3</v>
      </c>
      <c r="W72" s="2"/>
      <c r="X72" s="6">
        <f t="shared" si="68"/>
        <v>1251.8</v>
      </c>
      <c r="Y72" s="2"/>
      <c r="Z72" s="7">
        <f t="shared" si="69"/>
        <v>-1</v>
      </c>
    </row>
    <row r="73" spans="1:26" s="23" customFormat="1" hidden="1" outlineLevel="2" x14ac:dyDescent="0.25">
      <c r="A73" s="25"/>
      <c r="B73" s="10" t="str">
        <f>CONCATENATE("          ", "6248", " - ", "UNIFORMS")</f>
        <v xml:space="preserve">          6248 - UNIFORMS</v>
      </c>
      <c r="C73" s="10"/>
      <c r="D73" s="6"/>
      <c r="E73" s="2"/>
      <c r="F73" s="7">
        <f t="shared" si="62"/>
        <v>0</v>
      </c>
      <c r="G73" s="2"/>
      <c r="H73" s="6"/>
      <c r="I73" s="2"/>
      <c r="J73" s="7">
        <f t="shared" si="63"/>
        <v>0</v>
      </c>
      <c r="K73" s="2"/>
      <c r="L73" s="6">
        <f t="shared" si="64"/>
        <v>0</v>
      </c>
      <c r="M73" s="2"/>
      <c r="N73" s="7">
        <f t="shared" si="65"/>
        <v>0</v>
      </c>
      <c r="O73" s="10"/>
      <c r="P73" s="6"/>
      <c r="Q73" s="2"/>
      <c r="R73" s="7">
        <f t="shared" si="66"/>
        <v>0</v>
      </c>
      <c r="S73" s="2"/>
      <c r="T73" s="6">
        <v>134.08000000000001</v>
      </c>
      <c r="U73" s="2"/>
      <c r="V73" s="7">
        <f t="shared" si="67"/>
        <v>1.8587586320401524E-4</v>
      </c>
      <c r="W73" s="2"/>
      <c r="X73" s="6">
        <f t="shared" si="68"/>
        <v>-134.08000000000001</v>
      </c>
      <c r="Y73" s="2"/>
      <c r="Z73" s="7">
        <f t="shared" si="69"/>
        <v>-1</v>
      </c>
    </row>
    <row r="74" spans="1:26" s="26" customFormat="1" outlineLevel="1" collapsed="1" x14ac:dyDescent="0.25">
      <c r="A74" s="27"/>
      <c r="B74" s="12" t="str">
        <f>CONCATENATE("     ","Telephone/Data Lines                              ")</f>
        <v xml:space="preserve">     Telephone/Data Lines                              </v>
      </c>
      <c r="C74" s="12"/>
      <c r="D74" s="1">
        <f>SUM(OSRRefD22_15x_0)</f>
        <v>0</v>
      </c>
      <c r="E74" s="1"/>
      <c r="F74" s="5">
        <f t="shared" ref="F74:F79" si="70">IF(D$12=0,0,D74/D$12)</f>
        <v>0</v>
      </c>
      <c r="G74" s="1"/>
      <c r="H74" s="1">
        <f>SUM(OSRRefH22_15x_0)</f>
        <v>74.150000000000006</v>
      </c>
      <c r="I74" s="1"/>
      <c r="J74" s="5">
        <f t="shared" ref="J74:J79" si="71">IF(H$12=0,0,H74/H$12)</f>
        <v>1.5637165461666485E-3</v>
      </c>
      <c r="K74" s="1"/>
      <c r="L74" s="1">
        <f t="shared" ref="L74:L79" si="72">+D74-H74</f>
        <v>-74.150000000000006</v>
      </c>
      <c r="M74" s="1"/>
      <c r="N74" s="5">
        <f t="shared" ref="N74:N79" si="73">IF(H74=0,0,L74/H74)</f>
        <v>-1</v>
      </c>
      <c r="O74" s="12"/>
      <c r="P74" s="1">
        <f>SUM(OSRRefP22_15x_0)</f>
        <v>77.430000000000007</v>
      </c>
      <c r="Q74" s="1"/>
      <c r="R74" s="5">
        <f t="shared" ref="R74:R79" si="74">IF(P$12=0,0,P74/P$12)</f>
        <v>0</v>
      </c>
      <c r="S74" s="1"/>
      <c r="T74" s="1">
        <f>SUM(OSRRefT22_15x_0)</f>
        <v>1462.8</v>
      </c>
      <c r="U74" s="1"/>
      <c r="V74" s="5">
        <f t="shared" ref="V74:V79" si="75">IF(T$12=0,0,T74/T$12)</f>
        <v>2.0278879228433281E-3</v>
      </c>
      <c r="W74" s="1"/>
      <c r="X74" s="1">
        <f t="shared" ref="X74:X79" si="76">+P74-T74</f>
        <v>-1385.37</v>
      </c>
      <c r="Y74" s="1"/>
      <c r="Z74" s="5">
        <f t="shared" ref="Z74:Z79" si="77">IF(T74=0,0,X74/T74)</f>
        <v>-0.94706726825266607</v>
      </c>
    </row>
    <row r="75" spans="1:26" s="23" customFormat="1" hidden="1" outlineLevel="2" x14ac:dyDescent="0.25">
      <c r="A75" s="25"/>
      <c r="B75" s="10" t="str">
        <f>CONCATENATE("          ", "6309", " - ", "TELEPHONE")</f>
        <v xml:space="preserve">          6309 - TELEPHONE</v>
      </c>
      <c r="C75" s="10"/>
      <c r="D75" s="6"/>
      <c r="E75" s="2"/>
      <c r="F75" s="7">
        <f t="shared" si="70"/>
        <v>0</v>
      </c>
      <c r="G75" s="2"/>
      <c r="H75" s="6">
        <v>74.150000000000006</v>
      </c>
      <c r="I75" s="2"/>
      <c r="J75" s="7">
        <f t="shared" si="71"/>
        <v>1.5637165461666485E-3</v>
      </c>
      <c r="K75" s="2"/>
      <c r="L75" s="6">
        <f t="shared" si="72"/>
        <v>-74.150000000000006</v>
      </c>
      <c r="M75" s="2"/>
      <c r="N75" s="7">
        <f t="shared" si="73"/>
        <v>-1</v>
      </c>
      <c r="O75" s="10"/>
      <c r="P75" s="6">
        <v>77.430000000000007</v>
      </c>
      <c r="Q75" s="2"/>
      <c r="R75" s="7">
        <f t="shared" si="74"/>
        <v>0</v>
      </c>
      <c r="S75" s="2"/>
      <c r="T75" s="6">
        <v>1462.8</v>
      </c>
      <c r="U75" s="2"/>
      <c r="V75" s="7">
        <f t="shared" si="75"/>
        <v>2.0278879228433281E-3</v>
      </c>
      <c r="W75" s="2"/>
      <c r="X75" s="6">
        <f t="shared" si="76"/>
        <v>-1385.37</v>
      </c>
      <c r="Y75" s="2"/>
      <c r="Z75" s="7">
        <f t="shared" si="77"/>
        <v>-0.94706726825266607</v>
      </c>
    </row>
    <row r="76" spans="1:26" s="26" customFormat="1" outlineLevel="1" collapsed="1" x14ac:dyDescent="0.25">
      <c r="A76" s="27"/>
      <c r="B76" s="12" t="str">
        <f>CONCATENATE("     ","Training                                          ")</f>
        <v xml:space="preserve">     Training                                          </v>
      </c>
      <c r="C76" s="12"/>
      <c r="D76" s="1">
        <f>SUM(OSRRefD22_16x_0)</f>
        <v>0</v>
      </c>
      <c r="E76" s="1"/>
      <c r="F76" s="5">
        <f t="shared" si="70"/>
        <v>0</v>
      </c>
      <c r="G76" s="1"/>
      <c r="H76" s="1">
        <f>SUM(OSRRefH22_16x_0)</f>
        <v>0</v>
      </c>
      <c r="I76" s="1"/>
      <c r="J76" s="5">
        <f t="shared" si="71"/>
        <v>0</v>
      </c>
      <c r="K76" s="1"/>
      <c r="L76" s="1">
        <f t="shared" si="72"/>
        <v>0</v>
      </c>
      <c r="M76" s="1"/>
      <c r="N76" s="5">
        <f t="shared" si="73"/>
        <v>0</v>
      </c>
      <c r="O76" s="12"/>
      <c r="P76" s="1">
        <f>SUM(OSRRefP22_16x_0)</f>
        <v>0</v>
      </c>
      <c r="Q76" s="1"/>
      <c r="R76" s="5">
        <f t="shared" si="74"/>
        <v>0</v>
      </c>
      <c r="S76" s="1"/>
      <c r="T76" s="1">
        <f>SUM(OSRRefT22_16x_0)</f>
        <v>465.65</v>
      </c>
      <c r="U76" s="1"/>
      <c r="V76" s="5">
        <f t="shared" si="75"/>
        <v>6.4553323165982761E-4</v>
      </c>
      <c r="W76" s="1"/>
      <c r="X76" s="1">
        <f t="shared" si="76"/>
        <v>-465.65</v>
      </c>
      <c r="Y76" s="1"/>
      <c r="Z76" s="5">
        <f t="shared" si="77"/>
        <v>-1</v>
      </c>
    </row>
    <row r="77" spans="1:26" s="23" customFormat="1" hidden="1" outlineLevel="2" x14ac:dyDescent="0.25">
      <c r="A77" s="25"/>
      <c r="B77" s="10" t="str">
        <f>CONCATENATE("          ", "6376", " - ", "TRAINING")</f>
        <v xml:space="preserve">          6376 - TRAINING</v>
      </c>
      <c r="C77" s="10"/>
      <c r="D77" s="6"/>
      <c r="E77" s="2"/>
      <c r="F77" s="7">
        <f t="shared" si="70"/>
        <v>0</v>
      </c>
      <c r="G77" s="2"/>
      <c r="H77" s="6"/>
      <c r="I77" s="2"/>
      <c r="J77" s="7">
        <f t="shared" si="71"/>
        <v>0</v>
      </c>
      <c r="K77" s="2"/>
      <c r="L77" s="6">
        <f t="shared" si="72"/>
        <v>0</v>
      </c>
      <c r="M77" s="2"/>
      <c r="N77" s="7">
        <f t="shared" si="73"/>
        <v>0</v>
      </c>
      <c r="O77" s="10"/>
      <c r="P77" s="6"/>
      <c r="Q77" s="2"/>
      <c r="R77" s="7">
        <f t="shared" si="74"/>
        <v>0</v>
      </c>
      <c r="S77" s="2"/>
      <c r="T77" s="6">
        <v>465.65</v>
      </c>
      <c r="U77" s="2"/>
      <c r="V77" s="7">
        <f t="shared" si="75"/>
        <v>6.4553323165982761E-4</v>
      </c>
      <c r="W77" s="2"/>
      <c r="X77" s="6">
        <f t="shared" si="76"/>
        <v>-465.65</v>
      </c>
      <c r="Y77" s="2"/>
      <c r="Z77" s="7">
        <f t="shared" si="77"/>
        <v>-1</v>
      </c>
    </row>
    <row r="78" spans="1:26" s="26" customFormat="1" outlineLevel="1" collapsed="1" x14ac:dyDescent="0.25">
      <c r="A78" s="27"/>
      <c r="B78" s="12" t="str">
        <f>CONCATENATE("     ","Utilities                                         ")</f>
        <v xml:space="preserve">     Utilities                                         </v>
      </c>
      <c r="C78" s="12"/>
      <c r="D78" s="1">
        <f>SUM(OSRRefD22_17x_0)</f>
        <v>-486</v>
      </c>
      <c r="E78" s="1"/>
      <c r="F78" s="5">
        <f t="shared" si="70"/>
        <v>0</v>
      </c>
      <c r="G78" s="1"/>
      <c r="H78" s="1">
        <f>SUM(OSRRefH22_17x_0)</f>
        <v>348</v>
      </c>
      <c r="I78" s="1"/>
      <c r="J78" s="5">
        <f t="shared" si="71"/>
        <v>7.3388180453943849E-3</v>
      </c>
      <c r="K78" s="1"/>
      <c r="L78" s="1">
        <f t="shared" si="72"/>
        <v>-834</v>
      </c>
      <c r="M78" s="1"/>
      <c r="N78" s="5">
        <f t="shared" si="73"/>
        <v>-2.396551724137931</v>
      </c>
      <c r="O78" s="12"/>
      <c r="P78" s="1">
        <f>SUM(OSRRefP22_17x_0)</f>
        <v>1254</v>
      </c>
      <c r="Q78" s="1"/>
      <c r="R78" s="5">
        <f t="shared" si="74"/>
        <v>0</v>
      </c>
      <c r="S78" s="1"/>
      <c r="T78" s="1">
        <f>SUM(OSRRefT22_17x_0)</f>
        <v>3128</v>
      </c>
      <c r="U78" s="1"/>
      <c r="V78" s="5">
        <f t="shared" si="75"/>
        <v>4.3363641117404508E-3</v>
      </c>
      <c r="W78" s="1"/>
      <c r="X78" s="1">
        <f t="shared" si="76"/>
        <v>-1874</v>
      </c>
      <c r="Y78" s="1"/>
      <c r="Z78" s="5">
        <f t="shared" si="77"/>
        <v>-0.59910485933503832</v>
      </c>
    </row>
    <row r="79" spans="1:26" s="23" customFormat="1" hidden="1" outlineLevel="2" x14ac:dyDescent="0.25">
      <c r="A79" s="25"/>
      <c r="B79" s="10" t="str">
        <f>CONCATENATE("          ", "6274", " - ", "UTILITIES")</f>
        <v xml:space="preserve">          6274 - UTILITIES</v>
      </c>
      <c r="C79" s="10"/>
      <c r="D79" s="6">
        <v>-486</v>
      </c>
      <c r="E79" s="2"/>
      <c r="F79" s="7">
        <f t="shared" si="70"/>
        <v>0</v>
      </c>
      <c r="G79" s="2"/>
      <c r="H79" s="6">
        <v>348</v>
      </c>
      <c r="I79" s="2"/>
      <c r="J79" s="7">
        <f t="shared" si="71"/>
        <v>7.3388180453943849E-3</v>
      </c>
      <c r="K79" s="2"/>
      <c r="L79" s="6">
        <f t="shared" si="72"/>
        <v>-834</v>
      </c>
      <c r="M79" s="2"/>
      <c r="N79" s="7">
        <f t="shared" si="73"/>
        <v>-2.396551724137931</v>
      </c>
      <c r="O79" s="10"/>
      <c r="P79" s="6">
        <v>1254</v>
      </c>
      <c r="Q79" s="2"/>
      <c r="R79" s="7">
        <f t="shared" si="74"/>
        <v>0</v>
      </c>
      <c r="S79" s="2"/>
      <c r="T79" s="6">
        <v>3128</v>
      </c>
      <c r="U79" s="2"/>
      <c r="V79" s="7">
        <f t="shared" si="75"/>
        <v>4.3363641117404508E-3</v>
      </c>
      <c r="W79" s="2"/>
      <c r="X79" s="6">
        <f t="shared" si="76"/>
        <v>-1874</v>
      </c>
      <c r="Y79" s="2"/>
      <c r="Z79" s="7">
        <f t="shared" si="77"/>
        <v>-0.59910485933503832</v>
      </c>
    </row>
    <row r="80" spans="1:26" s="60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4" customFormat="1" x14ac:dyDescent="0.25">
      <c r="A81" s="11"/>
      <c r="B81" s="28" t="s">
        <v>292</v>
      </c>
      <c r="C81" s="11"/>
      <c r="D81" s="4">
        <f>SUM(0)</f>
        <v>0</v>
      </c>
      <c r="E81" s="4"/>
      <c r="F81" s="13">
        <f>IF(D$12=0,0,D81/D$12)</f>
        <v>0</v>
      </c>
      <c r="G81" s="4"/>
      <c r="H81" s="4">
        <f>SUM(0)</f>
        <v>0</v>
      </c>
      <c r="I81" s="4"/>
      <c r="J81" s="13">
        <f>IF(H$12=0,0,H81/H$12)</f>
        <v>0</v>
      </c>
      <c r="K81" s="4"/>
      <c r="L81" s="4">
        <f>+D81-H81</f>
        <v>0</v>
      </c>
      <c r="M81" s="4"/>
      <c r="N81" s="13">
        <f>IF(H81=0,0,L81/H81)</f>
        <v>0</v>
      </c>
      <c r="O81" s="11"/>
      <c r="P81" s="4">
        <f>SUM(0)</f>
        <v>0</v>
      </c>
      <c r="Q81" s="4"/>
      <c r="R81" s="13">
        <f>IF(P$12=0,0,P81/P$12)</f>
        <v>0</v>
      </c>
      <c r="S81" s="4"/>
      <c r="T81" s="4">
        <f>SUM(0)</f>
        <v>0</v>
      </c>
      <c r="U81" s="4"/>
      <c r="V81" s="13">
        <f>IF(T$12=0,0,T81/T$12)</f>
        <v>0</v>
      </c>
      <c r="W81" s="4"/>
      <c r="X81" s="4">
        <f>+P81-T81</f>
        <v>0</v>
      </c>
      <c r="Y81" s="4"/>
      <c r="Z81" s="13">
        <f>IF(T81=0,0,X81/T81)</f>
        <v>0</v>
      </c>
    </row>
    <row r="82" spans="1:26" x14ac:dyDescent="0.25">
      <c r="A82" s="9"/>
      <c r="B82" s="11"/>
      <c r="C82" s="11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1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x14ac:dyDescent="0.25">
      <c r="A83" s="11"/>
      <c r="B83" s="29" t="s">
        <v>276</v>
      </c>
      <c r="C83" s="29"/>
      <c r="D83" s="22">
        <f>+D20-D22+D81</f>
        <v>-10256.36</v>
      </c>
      <c r="E83" s="14"/>
      <c r="F83" s="20">
        <f>IF(D$12=0,0,D83/D$12)</f>
        <v>0</v>
      </c>
      <c r="G83" s="14"/>
      <c r="H83" s="22">
        <f>+H20-H22+H81</f>
        <v>-29632.429999999993</v>
      </c>
      <c r="I83" s="14"/>
      <c r="J83" s="20">
        <f>IF(H$12=0,0,H83/H$12)</f>
        <v>-0.6249052069335802</v>
      </c>
      <c r="K83" s="15"/>
      <c r="L83" s="22">
        <f>+D83-H83</f>
        <v>19376.069999999992</v>
      </c>
      <c r="M83" s="15"/>
      <c r="N83" s="20">
        <f>IF(H83=0,0,L83/H83)</f>
        <v>-0.65388056261332594</v>
      </c>
      <c r="O83" s="28"/>
      <c r="P83" s="22">
        <f>+P20-P22+P81</f>
        <v>-64468.869999999995</v>
      </c>
      <c r="Q83" s="14"/>
      <c r="R83" s="20">
        <f>IF(P$12=0,0,P83/P$12)</f>
        <v>0</v>
      </c>
      <c r="S83" s="14"/>
      <c r="T83" s="22">
        <f>+T20-T22+T81</f>
        <v>-66929.51999999996</v>
      </c>
      <c r="U83" s="14"/>
      <c r="V83" s="20">
        <f>IF(T$12=0,0,T83/T$12)</f>
        <v>-9.2784772552434322E-2</v>
      </c>
      <c r="W83" s="15"/>
      <c r="X83" s="22">
        <f>+P83-T83</f>
        <v>2460.6499999999651</v>
      </c>
      <c r="Y83" s="15"/>
      <c r="Z83" s="20">
        <f>IF(T83=0,0,X83/T83)</f>
        <v>-3.6764793771118728E-2</v>
      </c>
    </row>
    <row r="84" spans="1:26" x14ac:dyDescent="0.25">
      <c r="A84" s="9"/>
      <c r="B84" s="11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51"/>
      <c r="B85" s="11" t="s">
        <v>127</v>
      </c>
      <c r="C85" s="11"/>
      <c r="D85" s="4"/>
      <c r="E85" s="4"/>
      <c r="F85" s="13">
        <f>IF(D$12=0,0,D85/D$12)</f>
        <v>0</v>
      </c>
      <c r="G85" s="4"/>
      <c r="H85" s="4">
        <v>8607.4599999999991</v>
      </c>
      <c r="I85" s="4"/>
      <c r="J85" s="13">
        <f>IF(H$12=0,0,H85/H$12)</f>
        <v>0.18151891601439754</v>
      </c>
      <c r="K85" s="4"/>
      <c r="L85" s="4">
        <f>+D85-H85</f>
        <v>-8607.4599999999991</v>
      </c>
      <c r="M85" s="4"/>
      <c r="N85" s="13">
        <f>IF(H85=0,0,L85/H85)</f>
        <v>-1</v>
      </c>
      <c r="O85" s="11"/>
      <c r="P85" s="4"/>
      <c r="Q85" s="4"/>
      <c r="R85" s="13">
        <f>IF(P$12=0,0,P85/P$12)</f>
        <v>0</v>
      </c>
      <c r="S85" s="4"/>
      <c r="T85" s="4">
        <v>77293.5</v>
      </c>
      <c r="U85" s="4"/>
      <c r="V85" s="13">
        <f>IF(T$12=0,0,T85/T$12)</f>
        <v>0.10715241671061718</v>
      </c>
      <c r="W85" s="4"/>
      <c r="X85" s="4">
        <f>+P85-T85</f>
        <v>-77293.5</v>
      </c>
      <c r="Y85" s="4"/>
      <c r="Z85" s="13">
        <f>IF(T85=0,0,X85/T85)</f>
        <v>-1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ht="15.75" thickBot="1" x14ac:dyDescent="0.3">
      <c r="A87" s="11"/>
      <c r="B87" s="29" t="s">
        <v>125</v>
      </c>
      <c r="C87" s="29"/>
      <c r="D87" s="30">
        <f>+D83-D85</f>
        <v>-10256.36</v>
      </c>
      <c r="E87" s="14"/>
      <c r="F87" s="36">
        <f>IF(D$12=0,0,D87/D$12)</f>
        <v>0</v>
      </c>
      <c r="G87" s="14"/>
      <c r="H87" s="30">
        <f>+H83-H85</f>
        <v>-38239.889999999992</v>
      </c>
      <c r="I87" s="14"/>
      <c r="J87" s="36">
        <f>IF(H$12=0,0,H87/H$12)</f>
        <v>-0.80642412294797772</v>
      </c>
      <c r="K87" s="15"/>
      <c r="L87" s="30">
        <f>D87-H87</f>
        <v>27983.529999999992</v>
      </c>
      <c r="M87" s="15"/>
      <c r="N87" s="36">
        <f>IF(H87=0,0,L87/H87)</f>
        <v>-0.73178897742645177</v>
      </c>
      <c r="O87" s="28"/>
      <c r="P87" s="30">
        <f>+P83-P85</f>
        <v>-64468.869999999995</v>
      </c>
      <c r="Q87" s="14"/>
      <c r="R87" s="36">
        <f>IF(P$12=0,0,P87/P$12)</f>
        <v>0</v>
      </c>
      <c r="S87" s="14"/>
      <c r="T87" s="30">
        <f>+T83-T85</f>
        <v>-144223.01999999996</v>
      </c>
      <c r="U87" s="14"/>
      <c r="V87" s="36">
        <f>IF(T$12=0,0,T87/T$12)</f>
        <v>-0.19993718926305148</v>
      </c>
      <c r="W87" s="15"/>
      <c r="X87" s="30">
        <f>P87-T87</f>
        <v>79754.149999999965</v>
      </c>
      <c r="Y87" s="15"/>
      <c r="Z87" s="36">
        <f>IF(T87=0,0,X87/T87)</f>
        <v>-0.55299181781105389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9" t="s">
        <v>293</v>
      </c>
      <c r="C90" s="29"/>
      <c r="D90" s="35">
        <f>SUM(D87:D89)</f>
        <v>-10256.36</v>
      </c>
      <c r="E90" s="14"/>
      <c r="F90" s="34">
        <f>IF(D$12=0,0,D90/D$12)</f>
        <v>0</v>
      </c>
      <c r="G90" s="14"/>
      <c r="H90" s="35">
        <f>SUM(H87:H89)</f>
        <v>-38239.889999999992</v>
      </c>
      <c r="I90" s="14"/>
      <c r="J90" s="34">
        <f>IF(H$12=0,0,H90/H$12)</f>
        <v>-0.80642412294797772</v>
      </c>
      <c r="K90" s="15"/>
      <c r="L90" s="35">
        <f>+D90-H90</f>
        <v>27983.529999999992</v>
      </c>
      <c r="M90" s="15"/>
      <c r="N90" s="34">
        <f>IF(H90=0,0,L90/H90)</f>
        <v>-0.73178897742645177</v>
      </c>
      <c r="O90" s="28"/>
      <c r="P90" s="35">
        <f>SUM(P87:P89)</f>
        <v>-64468.869999999995</v>
      </c>
      <c r="Q90" s="14"/>
      <c r="R90" s="34">
        <f>IF(P$12=0,0,P90/P$12)</f>
        <v>0</v>
      </c>
      <c r="S90" s="14"/>
      <c r="T90" s="35">
        <f>SUM(T87:T89)</f>
        <v>-144223.01999999996</v>
      </c>
      <c r="U90" s="14"/>
      <c r="V90" s="34">
        <f>IF(T$12=0,0,T90/T$12)</f>
        <v>-0.19993718926305148</v>
      </c>
      <c r="W90" s="15"/>
      <c r="X90" s="35">
        <f>+P90-T90</f>
        <v>79754.149999999965</v>
      </c>
      <c r="Y90" s="15"/>
      <c r="Z90" s="34">
        <f>IF(T90=0,0,X90/T90)</f>
        <v>-0.55299181781105389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4">
        <v>44295.963243634258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8" t="s">
        <v>56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2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","406", " - ", "OPA! Greek")</f>
        <v>Department 406 - OPA! Greek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11336.27</v>
      </c>
      <c r="I12" s="4"/>
      <c r="J12" s="13"/>
      <c r="K12" s="4"/>
      <c r="L12" s="4">
        <f t="shared" ref="L12:L14" si="0">+D12-H12</f>
        <v>-11336.27</v>
      </c>
      <c r="M12" s="4"/>
      <c r="N12" s="13">
        <f t="shared" ref="N12:N14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189965.58000000002</v>
      </c>
      <c r="U12" s="4"/>
      <c r="V12" s="13"/>
      <c r="W12" s="4"/>
      <c r="X12" s="4">
        <f t="shared" ref="X12:X14" si="2">+P12-T12</f>
        <v>-189965.58000000002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>--2192.2</f>
        <v>2192.1999999999998</v>
      </c>
      <c r="I13" s="2"/>
      <c r="J13" s="19"/>
      <c r="K13" s="2"/>
      <c r="L13" s="2">
        <f t="shared" si="0"/>
        <v>-2192.1999999999998</v>
      </c>
      <c r="M13" s="2"/>
      <c r="N13" s="19">
        <f t="shared" si="1"/>
        <v>-1</v>
      </c>
      <c r="O13" s="10"/>
      <c r="P13" s="2">
        <f t="shared" ref="P13:P14" si="5">0</f>
        <v>0</v>
      </c>
      <c r="Q13" s="2"/>
      <c r="R13" s="19"/>
      <c r="S13" s="2"/>
      <c r="T13" s="2">
        <f>--43841.85</f>
        <v>43841.85</v>
      </c>
      <c r="U13" s="2"/>
      <c r="V13" s="19"/>
      <c r="W13" s="2"/>
      <c r="X13" s="2">
        <f t="shared" si="2"/>
        <v>-43841.85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--9144.07</f>
        <v>9144.07</v>
      </c>
      <c r="I14" s="2"/>
      <c r="J14" s="19"/>
      <c r="K14" s="2"/>
      <c r="L14" s="2">
        <f t="shared" si="0"/>
        <v>-9144.07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--146123.73</f>
        <v>146123.73000000001</v>
      </c>
      <c r="U14" s="2"/>
      <c r="V14" s="19"/>
      <c r="W14" s="2"/>
      <c r="X14" s="2">
        <f t="shared" si="2"/>
        <v>-146123.73000000001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3628.26</v>
      </c>
      <c r="I16" s="4"/>
      <c r="J16" s="13">
        <f t="shared" ref="J16:J18" si="7">IF(H$12=0,0,H16/H$12)</f>
        <v>0.32005765564863931</v>
      </c>
      <c r="K16" s="4"/>
      <c r="L16" s="4">
        <f t="shared" ref="L16:L18" si="8">+D16-H16</f>
        <v>-3628.26</v>
      </c>
      <c r="M16" s="4"/>
      <c r="N16" s="13">
        <f t="shared" ref="N16:N18" si="9">IF(H16=0,0,L16/H16)</f>
        <v>-1</v>
      </c>
      <c r="O16" s="11"/>
      <c r="P16" s="4">
        <f>SUM(OSRRefP16x_0)</f>
        <v>0</v>
      </c>
      <c r="Q16" s="4"/>
      <c r="R16" s="13">
        <f t="shared" ref="R16:R18" si="10">IF(P$12=0,0,P16/P$12)</f>
        <v>0</v>
      </c>
      <c r="S16" s="4"/>
      <c r="T16" s="4">
        <f>SUM(OSRRefT16x_0)</f>
        <v>66670.559999999998</v>
      </c>
      <c r="U16" s="4"/>
      <c r="V16" s="13">
        <f t="shared" ref="V16:V18" si="11">IF(T$12=0,0,T16/T$12)</f>
        <v>0.35096126361417679</v>
      </c>
      <c r="W16" s="4"/>
      <c r="X16" s="4">
        <f t="shared" ref="X16:X18" si="12">+P16-T16</f>
        <v>-66670.559999999998</v>
      </c>
      <c r="Y16" s="4"/>
      <c r="Z16" s="13">
        <f t="shared" ref="Z16:Z18" si="13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>
        <v>5315.26</v>
      </c>
      <c r="I17" s="2"/>
      <c r="J17" s="19">
        <f t="shared" si="7"/>
        <v>0.46887203639292291</v>
      </c>
      <c r="K17" s="2"/>
      <c r="L17" s="2">
        <f t="shared" si="8"/>
        <v>-5315.26</v>
      </c>
      <c r="M17" s="2"/>
      <c r="N17" s="19">
        <f t="shared" si="9"/>
        <v>-1</v>
      </c>
      <c r="O17" s="10"/>
      <c r="P17" s="2"/>
      <c r="Q17" s="2"/>
      <c r="R17" s="19">
        <f t="shared" si="10"/>
        <v>0</v>
      </c>
      <c r="S17" s="2"/>
      <c r="T17" s="2">
        <v>69616.179999999993</v>
      </c>
      <c r="U17" s="2"/>
      <c r="V17" s="19">
        <f t="shared" si="11"/>
        <v>0.36646733581946783</v>
      </c>
      <c r="W17" s="2"/>
      <c r="X17" s="2">
        <f t="shared" si="12"/>
        <v>-69616.179999999993</v>
      </c>
      <c r="Y17" s="2"/>
      <c r="Z17" s="19">
        <f t="shared" si="13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-1687</v>
      </c>
      <c r="I18" s="2"/>
      <c r="J18" s="19">
        <f t="shared" si="7"/>
        <v>-0.1488143807442836</v>
      </c>
      <c r="K18" s="2"/>
      <c r="L18" s="2">
        <f t="shared" si="8"/>
        <v>1687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-2945.62</v>
      </c>
      <c r="U18" s="2"/>
      <c r="V18" s="19">
        <f t="shared" si="11"/>
        <v>-1.5506072205291084E-2</v>
      </c>
      <c r="W18" s="2"/>
      <c r="X18" s="2">
        <f t="shared" si="12"/>
        <v>2945.62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7708.01</v>
      </c>
      <c r="I20" s="14"/>
      <c r="J20" s="20">
        <f>IF(H$12=0,0,H20/H$12)</f>
        <v>0.67994234435136069</v>
      </c>
      <c r="K20" s="15"/>
      <c r="L20" s="22">
        <f>+D20-H20</f>
        <v>-7708.01</v>
      </c>
      <c r="M20" s="15"/>
      <c r="N20" s="20">
        <f>IF(H20=0,0,L20/H20)</f>
        <v>-1</v>
      </c>
      <c r="O20" s="28"/>
      <c r="P20" s="22">
        <f>P12-P16</f>
        <v>0</v>
      </c>
      <c r="Q20" s="14"/>
      <c r="R20" s="20">
        <f>IF(P$12=0,0,P20/P$12)</f>
        <v>0</v>
      </c>
      <c r="S20" s="14"/>
      <c r="T20" s="22">
        <f>T12-T16</f>
        <v>123295.02000000002</v>
      </c>
      <c r="U20" s="14"/>
      <c r="V20" s="20">
        <f>IF(T$12=0,0,T20/T$12)</f>
        <v>0.64903873638582321</v>
      </c>
      <c r="W20" s="15"/>
      <c r="X20" s="22">
        <f>+P20-T20</f>
        <v>-123295.02000000002</v>
      </c>
      <c r="Y20" s="15"/>
      <c r="Z20" s="20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188.84</v>
      </c>
      <c r="E22" s="21"/>
      <c r="F22" s="31">
        <f t="shared" ref="F22:F31" si="14">IF(D$12=0,0,D22/D$12)</f>
        <v>0</v>
      </c>
      <c r="G22" s="21"/>
      <c r="H22" s="21">
        <f>SUM(OSRRefH22x_0)</f>
        <v>18603.919999999998</v>
      </c>
      <c r="I22" s="21"/>
      <c r="J22" s="31">
        <f t="shared" ref="J22:J31" si="15">IF(H$12=0,0,H22/H$12)</f>
        <v>1.6410971157179564</v>
      </c>
      <c r="K22" s="4"/>
      <c r="L22" s="21">
        <f t="shared" ref="L22:L31" si="16">+D22-H22</f>
        <v>-18415.079999999998</v>
      </c>
      <c r="M22" s="4"/>
      <c r="N22" s="31">
        <f t="shared" ref="N22:N31" si="17">IF(H22=0,0,L22/H22)</f>
        <v>-0.98984945108342759</v>
      </c>
      <c r="O22" s="11"/>
      <c r="P22" s="21">
        <f>SUM(OSRRefP22x_0)</f>
        <v>2172.4399999999996</v>
      </c>
      <c r="Q22" s="21"/>
      <c r="R22" s="31">
        <f t="shared" ref="R22:R31" si="18">IF(P$12=0,0,P22/P$12)</f>
        <v>0</v>
      </c>
      <c r="S22" s="21"/>
      <c r="T22" s="21">
        <f>SUM(OSRRefT22x_0)</f>
        <v>183415.76000000007</v>
      </c>
      <c r="U22" s="21"/>
      <c r="V22" s="31">
        <f t="shared" ref="V22:V31" si="19">IF(T$12=0,0,T22/T$12)</f>
        <v>0.96552101701792536</v>
      </c>
      <c r="W22" s="4"/>
      <c r="X22" s="21">
        <f t="shared" ref="X22:X31" si="20">+P22-T22</f>
        <v>-181243.32000000007</v>
      </c>
      <c r="Y22" s="4"/>
      <c r="Z22" s="31">
        <f t="shared" ref="Z22:Z31" si="21">IF(T22=0,0,X22/T22)</f>
        <v>-0.98815565249136716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1867.0100000000002</v>
      </c>
      <c r="I23" s="1"/>
      <c r="J23" s="5">
        <f t="shared" si="15"/>
        <v>0.16469350147799938</v>
      </c>
      <c r="K23" s="1"/>
      <c r="L23" s="1">
        <f t="shared" si="16"/>
        <v>-1867.0100000000002</v>
      </c>
      <c r="M23" s="1"/>
      <c r="N23" s="5">
        <f t="shared" si="17"/>
        <v>-1</v>
      </c>
      <c r="O23" s="12"/>
      <c r="P23" s="1">
        <f>SUM(OSRRefP22_0x_0)</f>
        <v>660.8</v>
      </c>
      <c r="Q23" s="1"/>
      <c r="R23" s="5">
        <f t="shared" si="18"/>
        <v>0</v>
      </c>
      <c r="S23" s="1"/>
      <c r="T23" s="1">
        <f>SUM(OSRRefT22_0x_0)</f>
        <v>19406.679999999997</v>
      </c>
      <c r="U23" s="1"/>
      <c r="V23" s="5">
        <f t="shared" si="19"/>
        <v>0.10215892794894736</v>
      </c>
      <c r="W23" s="1"/>
      <c r="X23" s="1">
        <f t="shared" si="20"/>
        <v>-18745.879999999997</v>
      </c>
      <c r="Y23" s="1"/>
      <c r="Z23" s="5">
        <f t="shared" si="21"/>
        <v>-0.96594986880805989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858.07</v>
      </c>
      <c r="I24" s="2"/>
      <c r="J24" s="7">
        <f t="shared" si="15"/>
        <v>7.5692445575131856E-2</v>
      </c>
      <c r="K24" s="2"/>
      <c r="L24" s="6">
        <f t="shared" si="16"/>
        <v>-858.07</v>
      </c>
      <c r="M24" s="2"/>
      <c r="N24" s="7">
        <f t="shared" si="17"/>
        <v>-1</v>
      </c>
      <c r="O24" s="10"/>
      <c r="P24" s="6"/>
      <c r="Q24" s="2"/>
      <c r="R24" s="7">
        <f t="shared" si="18"/>
        <v>0</v>
      </c>
      <c r="S24" s="2"/>
      <c r="T24" s="6">
        <v>6800.35</v>
      </c>
      <c r="U24" s="2"/>
      <c r="V24" s="7">
        <f t="shared" si="19"/>
        <v>3.5797800843710738E-2</v>
      </c>
      <c r="W24" s="2"/>
      <c r="X24" s="6">
        <f t="shared" si="20"/>
        <v>-6800.35</v>
      </c>
      <c r="Y24" s="2"/>
      <c r="Z24" s="7">
        <f t="shared" si="21"/>
        <v>-1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>
        <v>536.36</v>
      </c>
      <c r="I25" s="2"/>
      <c r="J25" s="7">
        <f t="shared" si="15"/>
        <v>4.7313622558390014E-2</v>
      </c>
      <c r="K25" s="2"/>
      <c r="L25" s="6">
        <f t="shared" si="16"/>
        <v>-536.36</v>
      </c>
      <c r="M25" s="2"/>
      <c r="N25" s="7">
        <f t="shared" si="17"/>
        <v>-1</v>
      </c>
      <c r="O25" s="10"/>
      <c r="P25" s="6"/>
      <c r="Q25" s="2"/>
      <c r="R25" s="7">
        <f t="shared" si="18"/>
        <v>0</v>
      </c>
      <c r="S25" s="2"/>
      <c r="T25" s="6">
        <v>4016.54</v>
      </c>
      <c r="U25" s="2"/>
      <c r="V25" s="7">
        <f t="shared" si="19"/>
        <v>2.1143514525105021E-2</v>
      </c>
      <c r="W25" s="2"/>
      <c r="X25" s="6">
        <f t="shared" si="20"/>
        <v>-4016.54</v>
      </c>
      <c r="Y25" s="2"/>
      <c r="Z25" s="7">
        <f t="shared" si="21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0"/>
      <c r="P26" s="6">
        <v>660.8</v>
      </c>
      <c r="Q26" s="2"/>
      <c r="R26" s="7">
        <f t="shared" si="18"/>
        <v>0</v>
      </c>
      <c r="S26" s="2"/>
      <c r="T26" s="6">
        <v>281.92</v>
      </c>
      <c r="U26" s="2"/>
      <c r="V26" s="7">
        <f t="shared" si="19"/>
        <v>1.4840583225655931E-3</v>
      </c>
      <c r="W26" s="2"/>
      <c r="X26" s="6">
        <f t="shared" si="20"/>
        <v>378.87999999999994</v>
      </c>
      <c r="Y26" s="2"/>
      <c r="Z26" s="7">
        <f t="shared" si="21"/>
        <v>1.3439273552780928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35.94</v>
      </c>
      <c r="I27" s="2"/>
      <c r="J27" s="7">
        <f t="shared" si="15"/>
        <v>3.170354975666599E-3</v>
      </c>
      <c r="K27" s="2"/>
      <c r="L27" s="6">
        <f t="shared" si="16"/>
        <v>-35.94</v>
      </c>
      <c r="M27" s="2"/>
      <c r="N27" s="7">
        <f t="shared" si="17"/>
        <v>-1</v>
      </c>
      <c r="O27" s="10"/>
      <c r="P27" s="6"/>
      <c r="Q27" s="2"/>
      <c r="R27" s="7">
        <f t="shared" si="18"/>
        <v>0</v>
      </c>
      <c r="S27" s="2"/>
      <c r="T27" s="6">
        <v>319.64</v>
      </c>
      <c r="U27" s="2"/>
      <c r="V27" s="7">
        <f t="shared" si="19"/>
        <v>1.6826206094809383E-3</v>
      </c>
      <c r="W27" s="2"/>
      <c r="X27" s="6">
        <f t="shared" si="20"/>
        <v>-319.64</v>
      </c>
      <c r="Y27" s="2"/>
      <c r="Z27" s="7">
        <f t="shared" si="21"/>
        <v>-1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>
        <v>157.72999999999999</v>
      </c>
      <c r="I28" s="2"/>
      <c r="J28" s="7">
        <f t="shared" si="15"/>
        <v>1.3913747643625282E-2</v>
      </c>
      <c r="K28" s="2"/>
      <c r="L28" s="6">
        <f t="shared" si="16"/>
        <v>-157.72999999999999</v>
      </c>
      <c r="M28" s="2"/>
      <c r="N28" s="7">
        <f t="shared" si="17"/>
        <v>-1</v>
      </c>
      <c r="O28" s="10"/>
      <c r="P28" s="6"/>
      <c r="Q28" s="2"/>
      <c r="R28" s="7">
        <f t="shared" si="18"/>
        <v>0</v>
      </c>
      <c r="S28" s="2"/>
      <c r="T28" s="6">
        <v>2839.06</v>
      </c>
      <c r="U28" s="2"/>
      <c r="V28" s="7">
        <f t="shared" si="19"/>
        <v>1.4945128480643702E-2</v>
      </c>
      <c r="W28" s="2"/>
      <c r="X28" s="6">
        <f t="shared" si="20"/>
        <v>-2839.06</v>
      </c>
      <c r="Y28" s="2"/>
      <c r="Z28" s="7">
        <f t="shared" si="21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>
        <v>86.94</v>
      </c>
      <c r="I29" s="2"/>
      <c r="J29" s="7">
        <f t="shared" si="15"/>
        <v>7.6691892483153621E-3</v>
      </c>
      <c r="K29" s="2"/>
      <c r="L29" s="6">
        <f t="shared" si="16"/>
        <v>-86.94</v>
      </c>
      <c r="M29" s="2"/>
      <c r="N29" s="7">
        <f t="shared" si="17"/>
        <v>-1</v>
      </c>
      <c r="O29" s="10"/>
      <c r="P29" s="6"/>
      <c r="Q29" s="2"/>
      <c r="R29" s="7">
        <f t="shared" si="18"/>
        <v>0</v>
      </c>
      <c r="S29" s="2"/>
      <c r="T29" s="6">
        <v>1634.87</v>
      </c>
      <c r="U29" s="2"/>
      <c r="V29" s="7">
        <f t="shared" si="19"/>
        <v>8.6061380172134331E-3</v>
      </c>
      <c r="W29" s="2"/>
      <c r="X29" s="6">
        <f t="shared" si="20"/>
        <v>-1634.87</v>
      </c>
      <c r="Y29" s="2"/>
      <c r="Z29" s="7">
        <f t="shared" si="21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>
        <v>104.15</v>
      </c>
      <c r="I30" s="2"/>
      <c r="J30" s="7">
        <f t="shared" si="15"/>
        <v>9.187325284242525E-3</v>
      </c>
      <c r="K30" s="2"/>
      <c r="L30" s="6">
        <f t="shared" si="16"/>
        <v>-104.15</v>
      </c>
      <c r="M30" s="2"/>
      <c r="N30" s="7">
        <f t="shared" si="17"/>
        <v>-1</v>
      </c>
      <c r="O30" s="10"/>
      <c r="P30" s="6"/>
      <c r="Q30" s="2"/>
      <c r="R30" s="7">
        <f t="shared" si="18"/>
        <v>0</v>
      </c>
      <c r="S30" s="2"/>
      <c r="T30" s="6">
        <v>1996.53</v>
      </c>
      <c r="U30" s="2"/>
      <c r="V30" s="7">
        <f t="shared" si="19"/>
        <v>1.0509956593189144E-2</v>
      </c>
      <c r="W30" s="2"/>
      <c r="X30" s="6">
        <f t="shared" si="20"/>
        <v>-1996.53</v>
      </c>
      <c r="Y30" s="2"/>
      <c r="Z30" s="7">
        <f t="shared" si="21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>
        <v>87.82</v>
      </c>
      <c r="I31" s="2"/>
      <c r="J31" s="7">
        <f t="shared" si="15"/>
        <v>7.7468161926277333E-3</v>
      </c>
      <c r="K31" s="2"/>
      <c r="L31" s="6">
        <f t="shared" si="16"/>
        <v>-87.82</v>
      </c>
      <c r="M31" s="2"/>
      <c r="N31" s="7">
        <f t="shared" si="17"/>
        <v>-1</v>
      </c>
      <c r="O31" s="10"/>
      <c r="P31" s="6"/>
      <c r="Q31" s="2"/>
      <c r="R31" s="7">
        <f t="shared" si="18"/>
        <v>0</v>
      </c>
      <c r="S31" s="2"/>
      <c r="T31" s="6">
        <v>1517.77</v>
      </c>
      <c r="U31" s="2"/>
      <c r="V31" s="7">
        <f t="shared" si="19"/>
        <v>7.9897105570388063E-3</v>
      </c>
      <c r="W31" s="2"/>
      <c r="X31" s="6">
        <f t="shared" si="20"/>
        <v>-1517.77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12149.649999999998</v>
      </c>
      <c r="I32" s="1"/>
      <c r="J32" s="5">
        <f t="shared" ref="J32:J38" si="23">IF(H$12=0,0,H32/H$12)</f>
        <v>1.0717502317781773</v>
      </c>
      <c r="K32" s="1"/>
      <c r="L32" s="1">
        <f t="shared" ref="L32:L38" si="24">+D32-H32</f>
        <v>-12149.649999999998</v>
      </c>
      <c r="M32" s="1"/>
      <c r="N32" s="5">
        <f t="shared" ref="N32:N38" si="25">IF(H32=0,0,L32/H32)</f>
        <v>-1</v>
      </c>
      <c r="O32" s="12"/>
      <c r="P32" s="1">
        <f>SUM(OSRRefP22_1x_0)</f>
        <v>0</v>
      </c>
      <c r="Q32" s="1"/>
      <c r="R32" s="5">
        <f t="shared" ref="R32:R38" si="26">IF(P$12=0,0,P32/P$12)</f>
        <v>0</v>
      </c>
      <c r="S32" s="1"/>
      <c r="T32" s="1">
        <f>SUM(OSRRefT22_1x_0)</f>
        <v>111964.78</v>
      </c>
      <c r="U32" s="1"/>
      <c r="V32" s="5">
        <f t="shared" ref="V32:V38" si="27">IF(T$12=0,0,T32/T$12)</f>
        <v>0.58939508936303087</v>
      </c>
      <c r="W32" s="1"/>
      <c r="X32" s="1">
        <f t="shared" ref="X32:X38" si="28">+P32-T32</f>
        <v>-111964.78</v>
      </c>
      <c r="Y32" s="1"/>
      <c r="Z32" s="5">
        <f t="shared" ref="Z32:Z38" si="29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>
        <v>1052.57</v>
      </c>
      <c r="I33" s="2"/>
      <c r="J33" s="7">
        <f t="shared" si="23"/>
        <v>9.2849764516900177E-2</v>
      </c>
      <c r="K33" s="2"/>
      <c r="L33" s="6">
        <f t="shared" si="24"/>
        <v>-1052.57</v>
      </c>
      <c r="M33" s="2"/>
      <c r="N33" s="7">
        <f t="shared" si="25"/>
        <v>-1</v>
      </c>
      <c r="O33" s="10"/>
      <c r="P33" s="6"/>
      <c r="Q33" s="2"/>
      <c r="R33" s="7">
        <f t="shared" si="26"/>
        <v>0</v>
      </c>
      <c r="S33" s="2"/>
      <c r="T33" s="6">
        <v>37546.44</v>
      </c>
      <c r="U33" s="2"/>
      <c r="V33" s="7">
        <f t="shared" si="27"/>
        <v>0.19764864771818136</v>
      </c>
      <c r="W33" s="2"/>
      <c r="X33" s="6">
        <f t="shared" si="28"/>
        <v>-37546.44</v>
      </c>
      <c r="Y33" s="2"/>
      <c r="Z33" s="7">
        <f t="shared" si="29"/>
        <v>-1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2"/>
        <v>0</v>
      </c>
      <c r="G34" s="2"/>
      <c r="H34" s="6">
        <v>1387.21</v>
      </c>
      <c r="I34" s="2"/>
      <c r="J34" s="7">
        <f t="shared" si="23"/>
        <v>0.12236917434041356</v>
      </c>
      <c r="K34" s="2"/>
      <c r="L34" s="6">
        <f t="shared" si="24"/>
        <v>-1387.21</v>
      </c>
      <c r="M34" s="2"/>
      <c r="N34" s="7">
        <f t="shared" si="25"/>
        <v>-1</v>
      </c>
      <c r="O34" s="10"/>
      <c r="P34" s="6"/>
      <c r="Q34" s="2"/>
      <c r="R34" s="7">
        <f t="shared" si="26"/>
        <v>0</v>
      </c>
      <c r="S34" s="2"/>
      <c r="T34" s="6">
        <v>2076.31</v>
      </c>
      <c r="U34" s="2"/>
      <c r="V34" s="7">
        <f t="shared" si="27"/>
        <v>1.0929927411060466E-2</v>
      </c>
      <c r="W34" s="2"/>
      <c r="X34" s="6">
        <f t="shared" si="28"/>
        <v>-2076.31</v>
      </c>
      <c r="Y34" s="2"/>
      <c r="Z34" s="7">
        <f t="shared" si="29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2"/>
        <v>0</v>
      </c>
      <c r="G35" s="2"/>
      <c r="H35" s="6">
        <v>6916.91</v>
      </c>
      <c r="I35" s="2"/>
      <c r="J35" s="7">
        <f t="shared" si="23"/>
        <v>0.61015748566327366</v>
      </c>
      <c r="K35" s="2"/>
      <c r="L35" s="6">
        <f t="shared" si="24"/>
        <v>-6916.91</v>
      </c>
      <c r="M35" s="2"/>
      <c r="N35" s="7">
        <f t="shared" si="25"/>
        <v>-1</v>
      </c>
      <c r="O35" s="10"/>
      <c r="P35" s="6"/>
      <c r="Q35" s="2"/>
      <c r="R35" s="7">
        <f t="shared" si="26"/>
        <v>0</v>
      </c>
      <c r="S35" s="2"/>
      <c r="T35" s="6">
        <v>40119.120000000003</v>
      </c>
      <c r="U35" s="2"/>
      <c r="V35" s="7">
        <f t="shared" si="27"/>
        <v>0.21119152216943721</v>
      </c>
      <c r="W35" s="2"/>
      <c r="X35" s="6">
        <f t="shared" si="28"/>
        <v>-40119.120000000003</v>
      </c>
      <c r="Y35" s="2"/>
      <c r="Z35" s="7">
        <f t="shared" si="29"/>
        <v>-1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2"/>
        <v>0</v>
      </c>
      <c r="G36" s="2"/>
      <c r="H36" s="6">
        <v>589.54999999999995</v>
      </c>
      <c r="I36" s="2"/>
      <c r="J36" s="7">
        <f t="shared" si="23"/>
        <v>5.2005642067452514E-2</v>
      </c>
      <c r="K36" s="2"/>
      <c r="L36" s="6">
        <f t="shared" si="24"/>
        <v>-589.54999999999995</v>
      </c>
      <c r="M36" s="2"/>
      <c r="N36" s="7">
        <f t="shared" si="25"/>
        <v>-1</v>
      </c>
      <c r="O36" s="10"/>
      <c r="P36" s="6"/>
      <c r="Q36" s="2"/>
      <c r="R36" s="7">
        <f t="shared" si="26"/>
        <v>0</v>
      </c>
      <c r="S36" s="2"/>
      <c r="T36" s="6">
        <v>1294.4100000000001</v>
      </c>
      <c r="U36" s="2"/>
      <c r="V36" s="7">
        <f t="shared" si="27"/>
        <v>6.8139186056758285E-3</v>
      </c>
      <c r="W36" s="2"/>
      <c r="X36" s="6">
        <f t="shared" si="28"/>
        <v>-1294.4100000000001</v>
      </c>
      <c r="Y36" s="2"/>
      <c r="Z36" s="7">
        <f t="shared" si="29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2"/>
        <v>0</v>
      </c>
      <c r="G37" s="2"/>
      <c r="H37" s="6">
        <v>1664.17</v>
      </c>
      <c r="I37" s="2"/>
      <c r="J37" s="7">
        <f t="shared" si="23"/>
        <v>0.1468004908139979</v>
      </c>
      <c r="K37" s="2"/>
      <c r="L37" s="6">
        <f t="shared" si="24"/>
        <v>-1664.17</v>
      </c>
      <c r="M37" s="2"/>
      <c r="N37" s="7">
        <f t="shared" si="25"/>
        <v>-1</v>
      </c>
      <c r="O37" s="10"/>
      <c r="P37" s="6"/>
      <c r="Q37" s="2"/>
      <c r="R37" s="7">
        <f t="shared" si="26"/>
        <v>0</v>
      </c>
      <c r="S37" s="2"/>
      <c r="T37" s="6">
        <v>28330.86</v>
      </c>
      <c r="U37" s="2"/>
      <c r="V37" s="7">
        <f t="shared" si="27"/>
        <v>0.14913680678362889</v>
      </c>
      <c r="W37" s="2"/>
      <c r="X37" s="6">
        <f t="shared" si="28"/>
        <v>-28330.86</v>
      </c>
      <c r="Y37" s="2"/>
      <c r="Z37" s="7">
        <f t="shared" si="29"/>
        <v>-1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2"/>
        <v>0</v>
      </c>
      <c r="G38" s="2"/>
      <c r="H38" s="6">
        <v>539.24</v>
      </c>
      <c r="I38" s="2"/>
      <c r="J38" s="7">
        <f t="shared" si="23"/>
        <v>4.7567674376139596E-2</v>
      </c>
      <c r="K38" s="2"/>
      <c r="L38" s="6">
        <f t="shared" si="24"/>
        <v>-539.24</v>
      </c>
      <c r="M38" s="2"/>
      <c r="N38" s="7">
        <f t="shared" si="25"/>
        <v>-1</v>
      </c>
      <c r="O38" s="10"/>
      <c r="P38" s="6"/>
      <c r="Q38" s="2"/>
      <c r="R38" s="7">
        <f t="shared" si="26"/>
        <v>0</v>
      </c>
      <c r="S38" s="2"/>
      <c r="T38" s="6">
        <v>2597.64</v>
      </c>
      <c r="U38" s="2"/>
      <c r="V38" s="7">
        <f t="shared" si="27"/>
        <v>1.367426667504713E-2</v>
      </c>
      <c r="W38" s="2"/>
      <c r="X38" s="6">
        <f t="shared" si="28"/>
        <v>-2597.64</v>
      </c>
      <c r="Y38" s="2"/>
      <c r="Z38" s="7">
        <f t="shared" si="29"/>
        <v>-1</v>
      </c>
    </row>
    <row r="39" spans="1:26" s="26" customFormat="1" outlineLevel="1" collapsed="1" x14ac:dyDescent="0.25">
      <c r="A39" s="27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6" si="30">IF(D$12=0,0,D39/D$12)</f>
        <v>0</v>
      </c>
      <c r="G39" s="1"/>
      <c r="H39" s="1">
        <f>SUM(OSRRefH22_2x_0)</f>
        <v>0</v>
      </c>
      <c r="I39" s="1"/>
      <c r="J39" s="5">
        <f t="shared" ref="J39:J56" si="31">IF(H$12=0,0,H39/H$12)</f>
        <v>0</v>
      </c>
      <c r="K39" s="1"/>
      <c r="L39" s="1">
        <f t="shared" ref="L39:L56" si="32">+D39-H39</f>
        <v>0</v>
      </c>
      <c r="M39" s="1"/>
      <c r="N39" s="5">
        <f t="shared" ref="N39:N56" si="33">IF(H39=0,0,L39/H39)</f>
        <v>0</v>
      </c>
      <c r="O39" s="12"/>
      <c r="P39" s="1">
        <f>SUM(OSRRefP22_2x_0)</f>
        <v>0</v>
      </c>
      <c r="Q39" s="1"/>
      <c r="R39" s="5">
        <f t="shared" ref="R39:R56" si="34">IF(P$12=0,0,P39/P$12)</f>
        <v>0</v>
      </c>
      <c r="S39" s="1"/>
      <c r="T39" s="1">
        <f>SUM(OSRRefT22_2x_0)</f>
        <v>3228.7</v>
      </c>
      <c r="U39" s="1"/>
      <c r="V39" s="5">
        <f t="shared" ref="V39:V56" si="35">IF(T$12=0,0,T39/T$12)</f>
        <v>1.6996236897231592E-2</v>
      </c>
      <c r="W39" s="1"/>
      <c r="X39" s="1">
        <f t="shared" ref="X39:X56" si="36">+P39-T39</f>
        <v>-3228.7</v>
      </c>
      <c r="Y39" s="1"/>
      <c r="Z39" s="5">
        <f t="shared" ref="Z39:Z56" si="37">IF(T39=0,0,X39/T39)</f>
        <v>-1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0"/>
        <v>0</v>
      </c>
      <c r="G40" s="2"/>
      <c r="H40" s="6"/>
      <c r="I40" s="2"/>
      <c r="J40" s="7">
        <f t="shared" si="31"/>
        <v>0</v>
      </c>
      <c r="K40" s="2"/>
      <c r="L40" s="6">
        <f t="shared" si="32"/>
        <v>0</v>
      </c>
      <c r="M40" s="2"/>
      <c r="N40" s="7">
        <f t="shared" si="33"/>
        <v>0</v>
      </c>
      <c r="O40" s="10"/>
      <c r="P40" s="6"/>
      <c r="Q40" s="2"/>
      <c r="R40" s="7">
        <f t="shared" si="34"/>
        <v>0</v>
      </c>
      <c r="S40" s="2"/>
      <c r="T40" s="6">
        <v>3228.7</v>
      </c>
      <c r="U40" s="2"/>
      <c r="V40" s="7">
        <f t="shared" si="35"/>
        <v>1.6996236897231592E-2</v>
      </c>
      <c r="W40" s="2"/>
      <c r="X40" s="6">
        <f t="shared" si="36"/>
        <v>-3228.7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-6</v>
      </c>
      <c r="I41" s="1"/>
      <c r="J41" s="5">
        <f t="shared" si="31"/>
        <v>-5.2927462031161928E-4</v>
      </c>
      <c r="K41" s="1"/>
      <c r="L41" s="1">
        <f t="shared" si="32"/>
        <v>6</v>
      </c>
      <c r="M41" s="1"/>
      <c r="N41" s="5">
        <f t="shared" si="33"/>
        <v>-1</v>
      </c>
      <c r="O41" s="12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-42.37</v>
      </c>
      <c r="U41" s="1"/>
      <c r="V41" s="5">
        <f t="shared" si="35"/>
        <v>-2.2304040553030709E-4</v>
      </c>
      <c r="W41" s="1"/>
      <c r="X41" s="1">
        <f t="shared" si="36"/>
        <v>42.37</v>
      </c>
      <c r="Y41" s="1"/>
      <c r="Z41" s="5">
        <f t="shared" si="37"/>
        <v>-1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0"/>
        <v>0</v>
      </c>
      <c r="G42" s="2"/>
      <c r="H42" s="6">
        <v>-6</v>
      </c>
      <c r="I42" s="2"/>
      <c r="J42" s="7">
        <f t="shared" si="31"/>
        <v>-5.2927462031161928E-4</v>
      </c>
      <c r="K42" s="2"/>
      <c r="L42" s="6">
        <f t="shared" si="32"/>
        <v>6</v>
      </c>
      <c r="M42" s="2"/>
      <c r="N42" s="7">
        <f t="shared" si="33"/>
        <v>-1</v>
      </c>
      <c r="O42" s="10"/>
      <c r="P42" s="6"/>
      <c r="Q42" s="2"/>
      <c r="R42" s="7">
        <f t="shared" si="34"/>
        <v>0</v>
      </c>
      <c r="S42" s="2"/>
      <c r="T42" s="6">
        <v>-42.37</v>
      </c>
      <c r="U42" s="2"/>
      <c r="V42" s="7">
        <f t="shared" si="35"/>
        <v>-2.2304040553030709E-4</v>
      </c>
      <c r="W42" s="2"/>
      <c r="X42" s="6">
        <f t="shared" si="36"/>
        <v>42.37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476.16</v>
      </c>
      <c r="I43" s="1"/>
      <c r="J43" s="5">
        <f t="shared" si="31"/>
        <v>4.2003233867930104E-2</v>
      </c>
      <c r="K43" s="1"/>
      <c r="L43" s="1">
        <f t="shared" si="32"/>
        <v>-476.16</v>
      </c>
      <c r="M43" s="1"/>
      <c r="N43" s="5">
        <f t="shared" si="33"/>
        <v>-1</v>
      </c>
      <c r="O43" s="12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6990.97</v>
      </c>
      <c r="U43" s="1"/>
      <c r="V43" s="5">
        <f t="shared" si="35"/>
        <v>3.6801245783578268E-2</v>
      </c>
      <c r="W43" s="1"/>
      <c r="X43" s="1">
        <f t="shared" si="36"/>
        <v>-6990.97</v>
      </c>
      <c r="Y43" s="1"/>
      <c r="Z43" s="5">
        <f t="shared" si="37"/>
        <v>-1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0"/>
        <v>0</v>
      </c>
      <c r="G44" s="2"/>
      <c r="H44" s="6">
        <v>476.16</v>
      </c>
      <c r="I44" s="2"/>
      <c r="J44" s="7">
        <f t="shared" si="31"/>
        <v>4.2003233867930104E-2</v>
      </c>
      <c r="K44" s="2"/>
      <c r="L44" s="6">
        <f t="shared" si="32"/>
        <v>-476.16</v>
      </c>
      <c r="M44" s="2"/>
      <c r="N44" s="7">
        <f t="shared" si="33"/>
        <v>-1</v>
      </c>
      <c r="O44" s="10"/>
      <c r="P44" s="6"/>
      <c r="Q44" s="2"/>
      <c r="R44" s="7">
        <f t="shared" si="34"/>
        <v>0</v>
      </c>
      <c r="S44" s="2"/>
      <c r="T44" s="6">
        <v>6990.97</v>
      </c>
      <c r="U44" s="2"/>
      <c r="V44" s="7">
        <f t="shared" si="35"/>
        <v>3.6801245783578268E-2</v>
      </c>
      <c r="W44" s="2"/>
      <c r="X44" s="6">
        <f t="shared" si="36"/>
        <v>-6990.97</v>
      </c>
      <c r="Y44" s="2"/>
      <c r="Z44" s="7">
        <f t="shared" si="37"/>
        <v>-1</v>
      </c>
    </row>
    <row r="45" spans="1:26" s="26" customFormat="1" outlineLevel="1" collapsed="1" x14ac:dyDescent="0.25">
      <c r="A45" s="27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119.55</v>
      </c>
      <c r="E45" s="1"/>
      <c r="F45" s="5">
        <f t="shared" si="30"/>
        <v>0</v>
      </c>
      <c r="G45" s="1"/>
      <c r="H45" s="1">
        <f>SUM(OSRRefH22_5x_0)</f>
        <v>2775.29</v>
      </c>
      <c r="I45" s="1"/>
      <c r="J45" s="5">
        <f t="shared" si="31"/>
        <v>0.2448150935007723</v>
      </c>
      <c r="K45" s="1"/>
      <c r="L45" s="1">
        <f t="shared" si="32"/>
        <v>-2655.74</v>
      </c>
      <c r="M45" s="1"/>
      <c r="N45" s="5">
        <f t="shared" si="33"/>
        <v>-0.95692342061550317</v>
      </c>
      <c r="O45" s="12"/>
      <c r="P45" s="1">
        <f>SUM(OSRRefP22_5x_0)</f>
        <v>1075.95</v>
      </c>
      <c r="Q45" s="1"/>
      <c r="R45" s="5">
        <f t="shared" si="34"/>
        <v>0</v>
      </c>
      <c r="S45" s="1"/>
      <c r="T45" s="1">
        <f>SUM(OSRRefT22_5x_0)</f>
        <v>24977.85</v>
      </c>
      <c r="U45" s="1"/>
      <c r="V45" s="5">
        <f t="shared" si="35"/>
        <v>0.13148618818209065</v>
      </c>
      <c r="W45" s="1"/>
      <c r="X45" s="1">
        <f t="shared" si="36"/>
        <v>-23901.899999999998</v>
      </c>
      <c r="Y45" s="1"/>
      <c r="Z45" s="5">
        <f t="shared" si="37"/>
        <v>-0.95692383451738239</v>
      </c>
    </row>
    <row r="46" spans="1:26" s="23" customFormat="1" hidden="1" outlineLevel="2" x14ac:dyDescent="0.25">
      <c r="A46" s="25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119.55</v>
      </c>
      <c r="E46" s="2"/>
      <c r="F46" s="7">
        <f t="shared" si="30"/>
        <v>0</v>
      </c>
      <c r="G46" s="2"/>
      <c r="H46" s="6">
        <v>2775.29</v>
      </c>
      <c r="I46" s="2"/>
      <c r="J46" s="7">
        <f t="shared" si="31"/>
        <v>0.2448150935007723</v>
      </c>
      <c r="K46" s="2"/>
      <c r="L46" s="6">
        <f t="shared" si="32"/>
        <v>-2655.74</v>
      </c>
      <c r="M46" s="2"/>
      <c r="N46" s="7">
        <f t="shared" si="33"/>
        <v>-0.95692342061550317</v>
      </c>
      <c r="O46" s="10"/>
      <c r="P46" s="6">
        <v>1075.95</v>
      </c>
      <c r="Q46" s="2"/>
      <c r="R46" s="7">
        <f t="shared" si="34"/>
        <v>0</v>
      </c>
      <c r="S46" s="2"/>
      <c r="T46" s="6">
        <v>24977.85</v>
      </c>
      <c r="U46" s="2"/>
      <c r="V46" s="7">
        <f t="shared" si="35"/>
        <v>0.13148618818209065</v>
      </c>
      <c r="W46" s="2"/>
      <c r="X46" s="6">
        <f t="shared" si="36"/>
        <v>-23901.899999999998</v>
      </c>
      <c r="Y46" s="2"/>
      <c r="Z46" s="7">
        <f t="shared" si="37"/>
        <v>-0.95692383451738239</v>
      </c>
    </row>
    <row r="47" spans="1:26" s="26" customFormat="1" outlineLevel="1" collapsed="1" x14ac:dyDescent="0.25">
      <c r="A47" s="27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0"/>
        <v>0</v>
      </c>
      <c r="G47" s="1"/>
      <c r="H47" s="1">
        <f>SUM(OSRRefH22_6x_0)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2"/>
      <c r="P47" s="1">
        <f>SUM(OSRRefP22_6x_0)</f>
        <v>0</v>
      </c>
      <c r="Q47" s="1"/>
      <c r="R47" s="5">
        <f t="shared" si="34"/>
        <v>0</v>
      </c>
      <c r="S47" s="1"/>
      <c r="T47" s="1">
        <f>SUM(OSRRefT22_6x_0)</f>
        <v>107.51</v>
      </c>
      <c r="U47" s="1"/>
      <c r="V47" s="5">
        <f t="shared" si="35"/>
        <v>5.6594463060097517E-4</v>
      </c>
      <c r="W47" s="1"/>
      <c r="X47" s="1">
        <f t="shared" si="36"/>
        <v>-107.51</v>
      </c>
      <c r="Y47" s="1"/>
      <c r="Z47" s="5">
        <f t="shared" si="37"/>
        <v>-1</v>
      </c>
    </row>
    <row r="48" spans="1:26" s="23" customFormat="1" hidden="1" outlineLevel="2" x14ac:dyDescent="0.25">
      <c r="A48" s="25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0"/>
      <c r="P48" s="6"/>
      <c r="Q48" s="2"/>
      <c r="R48" s="7">
        <f t="shared" si="34"/>
        <v>0</v>
      </c>
      <c r="S48" s="2"/>
      <c r="T48" s="6">
        <v>107.51</v>
      </c>
      <c r="U48" s="2"/>
      <c r="V48" s="7">
        <f t="shared" si="35"/>
        <v>5.6594463060097517E-4</v>
      </c>
      <c r="W48" s="2"/>
      <c r="X48" s="6">
        <f t="shared" si="36"/>
        <v>-107.51</v>
      </c>
      <c r="Y48" s="2"/>
      <c r="Z48" s="7">
        <f t="shared" si="37"/>
        <v>-1</v>
      </c>
    </row>
    <row r="49" spans="1:26" s="26" customFormat="1" outlineLevel="1" collapsed="1" x14ac:dyDescent="0.25">
      <c r="A49" s="27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0"/>
        <v>0</v>
      </c>
      <c r="G49" s="1"/>
      <c r="H49" s="1">
        <f>SUM(OSRRefH22_7x_0)</f>
        <v>183.5</v>
      </c>
      <c r="I49" s="1"/>
      <c r="J49" s="5">
        <f t="shared" si="31"/>
        <v>1.6186982137863688E-2</v>
      </c>
      <c r="K49" s="1"/>
      <c r="L49" s="1">
        <f t="shared" si="32"/>
        <v>-183.5</v>
      </c>
      <c r="M49" s="1"/>
      <c r="N49" s="5">
        <f t="shared" si="33"/>
        <v>-1</v>
      </c>
      <c r="O49" s="12"/>
      <c r="P49" s="1">
        <f>SUM(OSRRefP22_7x_0)</f>
        <v>64.02</v>
      </c>
      <c r="Q49" s="1"/>
      <c r="R49" s="5">
        <f t="shared" si="34"/>
        <v>0</v>
      </c>
      <c r="S49" s="1"/>
      <c r="T49" s="1">
        <f>SUM(OSRRefT22_7x_0)</f>
        <v>1520.72</v>
      </c>
      <c r="U49" s="1"/>
      <c r="V49" s="5">
        <f t="shared" si="35"/>
        <v>8.0052396860525992E-3</v>
      </c>
      <c r="W49" s="1"/>
      <c r="X49" s="1">
        <f t="shared" si="36"/>
        <v>-1456.7</v>
      </c>
      <c r="Y49" s="1"/>
      <c r="Z49" s="5">
        <f t="shared" si="37"/>
        <v>-0.95790152033247411</v>
      </c>
    </row>
    <row r="50" spans="1:26" s="23" customFormat="1" hidden="1" outlineLevel="2" x14ac:dyDescent="0.25">
      <c r="A50" s="25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0"/>
        <v>0</v>
      </c>
      <c r="G50" s="2"/>
      <c r="H50" s="6">
        <v>183.5</v>
      </c>
      <c r="I50" s="2"/>
      <c r="J50" s="7">
        <f t="shared" si="31"/>
        <v>1.6186982137863688E-2</v>
      </c>
      <c r="K50" s="2"/>
      <c r="L50" s="6">
        <f t="shared" si="32"/>
        <v>-183.5</v>
      </c>
      <c r="M50" s="2"/>
      <c r="N50" s="7">
        <f t="shared" si="33"/>
        <v>-1</v>
      </c>
      <c r="O50" s="10"/>
      <c r="P50" s="6">
        <v>64.02</v>
      </c>
      <c r="Q50" s="2"/>
      <c r="R50" s="7">
        <f t="shared" si="34"/>
        <v>0</v>
      </c>
      <c r="S50" s="2"/>
      <c r="T50" s="6">
        <v>1520.72</v>
      </c>
      <c r="U50" s="2"/>
      <c r="V50" s="7">
        <f t="shared" si="35"/>
        <v>8.0052396860525992E-3</v>
      </c>
      <c r="W50" s="2"/>
      <c r="X50" s="6">
        <f t="shared" si="36"/>
        <v>-1456.7</v>
      </c>
      <c r="Y50" s="2"/>
      <c r="Z50" s="7">
        <f t="shared" si="37"/>
        <v>-0.95790152033247411</v>
      </c>
    </row>
    <row r="51" spans="1:26" s="26" customFormat="1" outlineLevel="1" collapsed="1" x14ac:dyDescent="0.25">
      <c r="A51" s="27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0"/>
        <v>0</v>
      </c>
      <c r="G51" s="1"/>
      <c r="H51" s="1">
        <f>SUM(OSRRefH22_8x_0)</f>
        <v>6.6</v>
      </c>
      <c r="I51" s="1"/>
      <c r="J51" s="5">
        <f t="shared" si="31"/>
        <v>5.8220208234278112E-4</v>
      </c>
      <c r="K51" s="1"/>
      <c r="L51" s="1">
        <f t="shared" si="32"/>
        <v>-6.6</v>
      </c>
      <c r="M51" s="1"/>
      <c r="N51" s="5">
        <f t="shared" si="33"/>
        <v>-1</v>
      </c>
      <c r="O51" s="12"/>
      <c r="P51" s="1">
        <f>SUM(OSRRefP22_8x_0)</f>
        <v>0</v>
      </c>
      <c r="Q51" s="1"/>
      <c r="R51" s="5">
        <f t="shared" si="34"/>
        <v>0</v>
      </c>
      <c r="S51" s="1"/>
      <c r="T51" s="1">
        <f>SUM(OSRRefT22_8x_0)</f>
        <v>768.15</v>
      </c>
      <c r="U51" s="1"/>
      <c r="V51" s="5">
        <f t="shared" si="35"/>
        <v>4.0436272718457726E-3</v>
      </c>
      <c r="W51" s="1"/>
      <c r="X51" s="1">
        <f t="shared" si="36"/>
        <v>-768.15</v>
      </c>
      <c r="Y51" s="1"/>
      <c r="Z51" s="5">
        <f t="shared" si="37"/>
        <v>-1</v>
      </c>
    </row>
    <row r="52" spans="1:26" s="23" customFormat="1" hidden="1" outlineLevel="2" x14ac:dyDescent="0.25">
      <c r="A52" s="25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0"/>
        <v>0</v>
      </c>
      <c r="G52" s="2"/>
      <c r="H52" s="6">
        <v>6.6</v>
      </c>
      <c r="I52" s="2"/>
      <c r="J52" s="7">
        <f t="shared" si="31"/>
        <v>5.8220208234278112E-4</v>
      </c>
      <c r="K52" s="2"/>
      <c r="L52" s="6">
        <f t="shared" si="32"/>
        <v>-6.6</v>
      </c>
      <c r="M52" s="2"/>
      <c r="N52" s="7">
        <f t="shared" si="33"/>
        <v>-1</v>
      </c>
      <c r="O52" s="10"/>
      <c r="P52" s="6"/>
      <c r="Q52" s="2"/>
      <c r="R52" s="7">
        <f t="shared" si="34"/>
        <v>0</v>
      </c>
      <c r="S52" s="2"/>
      <c r="T52" s="6">
        <v>768.15</v>
      </c>
      <c r="U52" s="2"/>
      <c r="V52" s="7">
        <f t="shared" si="35"/>
        <v>4.0436272718457726E-3</v>
      </c>
      <c r="W52" s="2"/>
      <c r="X52" s="6">
        <f t="shared" si="36"/>
        <v>-768.15</v>
      </c>
      <c r="Y52" s="2"/>
      <c r="Z52" s="7">
        <f t="shared" si="37"/>
        <v>-1</v>
      </c>
    </row>
    <row r="53" spans="1:26" s="26" customFormat="1" outlineLevel="1" collapsed="1" x14ac:dyDescent="0.25">
      <c r="A53" s="27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69.290000000000006</v>
      </c>
      <c r="E53" s="1"/>
      <c r="F53" s="5">
        <f t="shared" si="30"/>
        <v>0</v>
      </c>
      <c r="G53" s="1"/>
      <c r="H53" s="1">
        <f>SUM(OSRRefH22_9x_0)</f>
        <v>69.290000000000006</v>
      </c>
      <c r="I53" s="1"/>
      <c r="J53" s="5">
        <f t="shared" si="31"/>
        <v>6.1122397402320165E-3</v>
      </c>
      <c r="K53" s="1"/>
      <c r="L53" s="1">
        <f t="shared" si="32"/>
        <v>0</v>
      </c>
      <c r="M53" s="1"/>
      <c r="N53" s="5">
        <f t="shared" si="33"/>
        <v>0</v>
      </c>
      <c r="O53" s="12"/>
      <c r="P53" s="1">
        <f>SUM(OSRRefP22_9x_0)</f>
        <v>286.47000000000003</v>
      </c>
      <c r="Q53" s="1"/>
      <c r="R53" s="5">
        <f t="shared" si="34"/>
        <v>0</v>
      </c>
      <c r="S53" s="1"/>
      <c r="T53" s="1">
        <f>SUM(OSRRefT22_9x_0)</f>
        <v>5494.59</v>
      </c>
      <c r="U53" s="1"/>
      <c r="V53" s="5">
        <f t="shared" si="35"/>
        <v>2.8924134572168282E-2</v>
      </c>
      <c r="W53" s="1"/>
      <c r="X53" s="1">
        <f t="shared" si="36"/>
        <v>-5208.12</v>
      </c>
      <c r="Y53" s="1"/>
      <c r="Z53" s="5">
        <f t="shared" si="37"/>
        <v>-0.94786326186303249</v>
      </c>
    </row>
    <row r="54" spans="1:26" s="23" customFormat="1" hidden="1" outlineLevel="2" x14ac:dyDescent="0.25">
      <c r="A54" s="25"/>
      <c r="B54" s="10" t="str">
        <f>CONCATENATE("          ", "6371", " - ", "COMPUTER SOFTWARE MAINTENANCE")</f>
        <v xml:space="preserve">          6371 - COMPUTER SOFTWARE MAINTENANCE</v>
      </c>
      <c r="C54" s="10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0"/>
      <c r="P54" s="6"/>
      <c r="Q54" s="2"/>
      <c r="R54" s="7">
        <f t="shared" si="34"/>
        <v>0</v>
      </c>
      <c r="S54" s="2"/>
      <c r="T54" s="6">
        <v>2186.54</v>
      </c>
      <c r="U54" s="2"/>
      <c r="V54" s="7">
        <f t="shared" si="35"/>
        <v>1.1510190425023312E-2</v>
      </c>
      <c r="W54" s="2"/>
      <c r="X54" s="6">
        <f t="shared" si="36"/>
        <v>-2186.54</v>
      </c>
      <c r="Y54" s="2"/>
      <c r="Z54" s="7">
        <f t="shared" si="37"/>
        <v>-1</v>
      </c>
    </row>
    <row r="55" spans="1:26" s="23" customFormat="1" hidden="1" outlineLevel="2" x14ac:dyDescent="0.25">
      <c r="A55" s="25"/>
      <c r="B55" s="10" t="str">
        <f>CONCATENATE("          ", "6373", " - ", "MAINTENANCE CONTRACTS")</f>
        <v xml:space="preserve">          6373 - MAINTENANCE CONTRACTS</v>
      </c>
      <c r="C55" s="10"/>
      <c r="D55" s="6">
        <v>69.290000000000006</v>
      </c>
      <c r="E55" s="2"/>
      <c r="F55" s="7">
        <f t="shared" si="30"/>
        <v>0</v>
      </c>
      <c r="G55" s="2"/>
      <c r="H55" s="6">
        <v>69.290000000000006</v>
      </c>
      <c r="I55" s="2"/>
      <c r="J55" s="7">
        <f t="shared" si="31"/>
        <v>6.1122397402320165E-3</v>
      </c>
      <c r="K55" s="2"/>
      <c r="L55" s="6">
        <f t="shared" si="32"/>
        <v>0</v>
      </c>
      <c r="M55" s="2"/>
      <c r="N55" s="7">
        <f t="shared" si="33"/>
        <v>0</v>
      </c>
      <c r="O55" s="10"/>
      <c r="P55" s="6">
        <v>286.47000000000003</v>
      </c>
      <c r="Q55" s="2"/>
      <c r="R55" s="7">
        <f t="shared" si="34"/>
        <v>0</v>
      </c>
      <c r="S55" s="2"/>
      <c r="T55" s="6">
        <v>909.57</v>
      </c>
      <c r="U55" s="2"/>
      <c r="V55" s="7">
        <f t="shared" si="35"/>
        <v>4.7880779244324151E-3</v>
      </c>
      <c r="W55" s="2"/>
      <c r="X55" s="6">
        <f t="shared" si="36"/>
        <v>-623.1</v>
      </c>
      <c r="Y55" s="2"/>
      <c r="Z55" s="7">
        <f t="shared" si="37"/>
        <v>-0.68504897918796792</v>
      </c>
    </row>
    <row r="56" spans="1:26" s="23" customFormat="1" hidden="1" outlineLevel="2" x14ac:dyDescent="0.25">
      <c r="A56" s="25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0"/>
      <c r="P56" s="6"/>
      <c r="Q56" s="2"/>
      <c r="R56" s="7">
        <f t="shared" si="34"/>
        <v>0</v>
      </c>
      <c r="S56" s="2"/>
      <c r="T56" s="6">
        <v>2398.48</v>
      </c>
      <c r="U56" s="2"/>
      <c r="V56" s="7">
        <f t="shared" si="35"/>
        <v>1.2625866222712556E-2</v>
      </c>
      <c r="W56" s="2"/>
      <c r="X56" s="6">
        <f t="shared" si="36"/>
        <v>-2398.48</v>
      </c>
      <c r="Y56" s="2"/>
      <c r="Z56" s="7">
        <f t="shared" si="37"/>
        <v>-1</v>
      </c>
    </row>
    <row r="57" spans="1:26" s="26" customFormat="1" outlineLevel="1" collapsed="1" x14ac:dyDescent="0.25">
      <c r="A57" s="27"/>
      <c r="B57" s="12" t="str">
        <f>CONCATENATE("     ","Services                                          ")</f>
        <v xml:space="preserve">     Services                                          </v>
      </c>
      <c r="C57" s="12"/>
      <c r="D57" s="1">
        <f>SUM(OSRRefD22_10x_0)</f>
        <v>0</v>
      </c>
      <c r="E57" s="1"/>
      <c r="F57" s="5">
        <f t="shared" ref="F57:F59" si="38">IF(D$12=0,0,D57/D$12)</f>
        <v>0</v>
      </c>
      <c r="G57" s="1"/>
      <c r="H57" s="1">
        <f>SUM(OSRRefH22_10x_0)</f>
        <v>701.05</v>
      </c>
      <c r="I57" s="1"/>
      <c r="J57" s="5">
        <f t="shared" ref="J57:J59" si="39">IF(H$12=0,0,H57/H$12)</f>
        <v>6.1841328761576775E-2</v>
      </c>
      <c r="K57" s="1"/>
      <c r="L57" s="1">
        <f t="shared" ref="L57:L59" si="40">+D57-H57</f>
        <v>-701.05</v>
      </c>
      <c r="M57" s="1"/>
      <c r="N57" s="5">
        <f t="shared" ref="N57:N59" si="41">IF(H57=0,0,L57/H57)</f>
        <v>-1</v>
      </c>
      <c r="O57" s="12"/>
      <c r="P57" s="1">
        <f>SUM(OSRRefP22_10x_0)</f>
        <v>0</v>
      </c>
      <c r="Q57" s="1"/>
      <c r="R57" s="5">
        <f t="shared" ref="R57:R59" si="42">IF(P$12=0,0,P57/P$12)</f>
        <v>0</v>
      </c>
      <c r="S57" s="1"/>
      <c r="T57" s="1">
        <f>SUM(OSRRefT22_10x_0)</f>
        <v>1739.62</v>
      </c>
      <c r="U57" s="1"/>
      <c r="V57" s="5">
        <f t="shared" ref="V57:V59" si="43">IF(T$12=0,0,T57/T$12)</f>
        <v>9.1575536999913346E-3</v>
      </c>
      <c r="W57" s="1"/>
      <c r="X57" s="1">
        <f t="shared" ref="X57:X59" si="44">+P57-T57</f>
        <v>-1739.62</v>
      </c>
      <c r="Y57" s="1"/>
      <c r="Z57" s="5">
        <f t="shared" ref="Z57:Z59" si="45">IF(T57=0,0,X57/T57)</f>
        <v>-1</v>
      </c>
    </row>
    <row r="58" spans="1:26" s="23" customFormat="1" hidden="1" outlineLevel="2" x14ac:dyDescent="0.25">
      <c r="A58" s="25"/>
      <c r="B58" s="10" t="str">
        <f>CONCATENATE("          ", "6285", " - ", "JANITORIAL SERVICES")</f>
        <v xml:space="preserve">          6285 - JANITORIAL SERVICES</v>
      </c>
      <c r="C58" s="10"/>
      <c r="D58" s="6"/>
      <c r="E58" s="2"/>
      <c r="F58" s="7">
        <f t="shared" si="38"/>
        <v>0</v>
      </c>
      <c r="G58" s="2"/>
      <c r="H58" s="6">
        <v>668.25</v>
      </c>
      <c r="I58" s="2"/>
      <c r="J58" s="7">
        <f t="shared" si="39"/>
        <v>5.8947960837206589E-2</v>
      </c>
      <c r="K58" s="2"/>
      <c r="L58" s="6">
        <f t="shared" si="40"/>
        <v>-668.25</v>
      </c>
      <c r="M58" s="2"/>
      <c r="N58" s="7">
        <f t="shared" si="41"/>
        <v>-1</v>
      </c>
      <c r="O58" s="10"/>
      <c r="P58" s="6"/>
      <c r="Q58" s="2"/>
      <c r="R58" s="7">
        <f t="shared" si="42"/>
        <v>0</v>
      </c>
      <c r="S58" s="2"/>
      <c r="T58" s="6">
        <v>1305.25</v>
      </c>
      <c r="U58" s="2"/>
      <c r="V58" s="7">
        <f t="shared" si="43"/>
        <v>6.8709815746621043E-3</v>
      </c>
      <c r="W58" s="2"/>
      <c r="X58" s="6">
        <f t="shared" si="44"/>
        <v>-1305.25</v>
      </c>
      <c r="Y58" s="2"/>
      <c r="Z58" s="7">
        <f t="shared" si="45"/>
        <v>-1</v>
      </c>
    </row>
    <row r="59" spans="1:26" s="23" customFormat="1" hidden="1" outlineLevel="2" x14ac:dyDescent="0.25">
      <c r="A59" s="25"/>
      <c r="B59" s="10" t="str">
        <f>CONCATENATE("          ", "6286", " - ", "LAUNDRY EXPENSE")</f>
        <v xml:space="preserve">          6286 - LAUNDRY EXPENSE</v>
      </c>
      <c r="C59" s="10"/>
      <c r="D59" s="6"/>
      <c r="E59" s="2"/>
      <c r="F59" s="7">
        <f t="shared" si="38"/>
        <v>0</v>
      </c>
      <c r="G59" s="2"/>
      <c r="H59" s="6">
        <v>32.799999999999997</v>
      </c>
      <c r="I59" s="2"/>
      <c r="J59" s="7">
        <f t="shared" si="39"/>
        <v>2.893367924370185E-3</v>
      </c>
      <c r="K59" s="2"/>
      <c r="L59" s="6">
        <f t="shared" si="40"/>
        <v>-32.799999999999997</v>
      </c>
      <c r="M59" s="2"/>
      <c r="N59" s="7">
        <f t="shared" si="41"/>
        <v>-1</v>
      </c>
      <c r="O59" s="10"/>
      <c r="P59" s="6"/>
      <c r="Q59" s="2"/>
      <c r="R59" s="7">
        <f t="shared" si="42"/>
        <v>0</v>
      </c>
      <c r="S59" s="2"/>
      <c r="T59" s="6">
        <v>434.37</v>
      </c>
      <c r="U59" s="2"/>
      <c r="V59" s="7">
        <f t="shared" si="43"/>
        <v>2.2865721253292307E-3</v>
      </c>
      <c r="W59" s="2"/>
      <c r="X59" s="6">
        <f t="shared" si="44"/>
        <v>-434.37</v>
      </c>
      <c r="Y59" s="2"/>
      <c r="Z59" s="7">
        <f t="shared" si="45"/>
        <v>-1</v>
      </c>
    </row>
    <row r="60" spans="1:26" s="26" customFormat="1" outlineLevel="1" collapsed="1" x14ac:dyDescent="0.25">
      <c r="A60" s="27"/>
      <c r="B60" s="12" t="str">
        <f>CONCATENATE("     ","Supplies                                          ")</f>
        <v xml:space="preserve">     Supplies                                          </v>
      </c>
      <c r="C60" s="12"/>
      <c r="D60" s="1">
        <f>SUM(OSRRefD22_11x_0)</f>
        <v>0</v>
      </c>
      <c r="E60" s="1"/>
      <c r="F60" s="5">
        <f t="shared" ref="F60:F66" si="46">IF(D$12=0,0,D60/D$12)</f>
        <v>0</v>
      </c>
      <c r="G60" s="1"/>
      <c r="H60" s="1">
        <f>SUM(OSRRefH22_11x_0)</f>
        <v>283.87</v>
      </c>
      <c r="I60" s="1"/>
      <c r="J60" s="5">
        <f t="shared" ref="J60:J66" si="47">IF(H$12=0,0,H60/H$12)</f>
        <v>2.5040864411309892E-2</v>
      </c>
      <c r="K60" s="1"/>
      <c r="L60" s="1">
        <f t="shared" ref="L60:L66" si="48">+D60-H60</f>
        <v>-283.87</v>
      </c>
      <c r="M60" s="1"/>
      <c r="N60" s="5">
        <f t="shared" ref="N60:N66" si="49">IF(H60=0,0,L60/H60)</f>
        <v>-1</v>
      </c>
      <c r="O60" s="12"/>
      <c r="P60" s="1">
        <f>SUM(OSRRefP22_11x_0)</f>
        <v>0</v>
      </c>
      <c r="Q60" s="1"/>
      <c r="R60" s="5">
        <f t="shared" ref="R60:R66" si="50">IF(P$12=0,0,P60/P$12)</f>
        <v>0</v>
      </c>
      <c r="S60" s="1"/>
      <c r="T60" s="1">
        <f>SUM(OSRRefT22_11x_0)</f>
        <v>6296.61</v>
      </c>
      <c r="U60" s="1"/>
      <c r="V60" s="5">
        <f t="shared" ref="V60:V66" si="51">IF(T$12=0,0,T60/T$12)</f>
        <v>3.3146057301538516E-2</v>
      </c>
      <c r="W60" s="1"/>
      <c r="X60" s="1">
        <f t="shared" ref="X60:X66" si="52">+P60-T60</f>
        <v>-6296.61</v>
      </c>
      <c r="Y60" s="1"/>
      <c r="Z60" s="5">
        <f t="shared" ref="Z60:Z66" si="53">IF(T60=0,0,X60/T60)</f>
        <v>-1</v>
      </c>
    </row>
    <row r="61" spans="1:26" s="23" customFormat="1" hidden="1" outlineLevel="2" x14ac:dyDescent="0.25">
      <c r="A61" s="25"/>
      <c r="B61" s="10" t="str">
        <f>CONCATENATE("          ", "6237", " - ", "JANITORIAL SUPPLIES")</f>
        <v xml:space="preserve">          6237 - JANITORIAL SUPPLIES</v>
      </c>
      <c r="C61" s="10"/>
      <c r="D61" s="6"/>
      <c r="E61" s="2"/>
      <c r="F61" s="7">
        <f t="shared" si="46"/>
        <v>0</v>
      </c>
      <c r="G61" s="2"/>
      <c r="H61" s="6">
        <v>10.95</v>
      </c>
      <c r="I61" s="2"/>
      <c r="J61" s="7">
        <f t="shared" si="47"/>
        <v>9.6592618206870504E-4</v>
      </c>
      <c r="K61" s="2"/>
      <c r="L61" s="6">
        <f t="shared" si="48"/>
        <v>-10.95</v>
      </c>
      <c r="M61" s="2"/>
      <c r="N61" s="7">
        <f t="shared" si="49"/>
        <v>-1</v>
      </c>
      <c r="O61" s="10"/>
      <c r="P61" s="6"/>
      <c r="Q61" s="2"/>
      <c r="R61" s="7">
        <f t="shared" si="50"/>
        <v>0</v>
      </c>
      <c r="S61" s="2"/>
      <c r="T61" s="6">
        <v>10.95</v>
      </c>
      <c r="U61" s="2"/>
      <c r="V61" s="7">
        <f t="shared" si="51"/>
        <v>5.7642021254587271E-5</v>
      </c>
      <c r="W61" s="2"/>
      <c r="X61" s="6">
        <f t="shared" si="52"/>
        <v>-10.95</v>
      </c>
      <c r="Y61" s="2"/>
      <c r="Z61" s="7">
        <f t="shared" si="53"/>
        <v>-1</v>
      </c>
    </row>
    <row r="62" spans="1:26" s="23" customFormat="1" hidden="1" outlineLevel="2" x14ac:dyDescent="0.25">
      <c r="A62" s="25"/>
      <c r="B62" s="10" t="str">
        <f>CONCATENATE("          ", "6239", " - ", "KITCHEN SUPPLIES")</f>
        <v xml:space="preserve">          6239 - KITCHEN SUPPLIES</v>
      </c>
      <c r="C62" s="10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0"/>
      <c r="P62" s="6"/>
      <c r="Q62" s="2"/>
      <c r="R62" s="7">
        <f t="shared" si="50"/>
        <v>0</v>
      </c>
      <c r="S62" s="2"/>
      <c r="T62" s="6">
        <v>2898.22</v>
      </c>
      <c r="U62" s="2"/>
      <c r="V62" s="7">
        <f t="shared" si="51"/>
        <v>1.5256553318764375E-2</v>
      </c>
      <c r="W62" s="2"/>
      <c r="X62" s="6">
        <f t="shared" si="52"/>
        <v>-2898.22</v>
      </c>
      <c r="Y62" s="2"/>
      <c r="Z62" s="7">
        <f t="shared" si="53"/>
        <v>-1</v>
      </c>
    </row>
    <row r="63" spans="1:26" s="23" customFormat="1" hidden="1" outlineLevel="2" x14ac:dyDescent="0.25">
      <c r="A63" s="25"/>
      <c r="B63" s="10" t="str">
        <f>CONCATENATE("          ", "6241", " - ", "OFFICE EXPENSE")</f>
        <v xml:space="preserve">          6241 - OFFICE EXPENSE</v>
      </c>
      <c r="C63" s="10"/>
      <c r="D63" s="6"/>
      <c r="E63" s="2"/>
      <c r="F63" s="7">
        <f t="shared" si="46"/>
        <v>0</v>
      </c>
      <c r="G63" s="2"/>
      <c r="H63" s="6">
        <v>138.91999999999999</v>
      </c>
      <c r="I63" s="2"/>
      <c r="J63" s="7">
        <f t="shared" si="47"/>
        <v>1.2254471708948356E-2</v>
      </c>
      <c r="K63" s="2"/>
      <c r="L63" s="6">
        <f t="shared" si="48"/>
        <v>-138.91999999999999</v>
      </c>
      <c r="M63" s="2"/>
      <c r="N63" s="7">
        <f t="shared" si="49"/>
        <v>-1</v>
      </c>
      <c r="O63" s="10"/>
      <c r="P63" s="6"/>
      <c r="Q63" s="2"/>
      <c r="R63" s="7">
        <f t="shared" si="50"/>
        <v>0</v>
      </c>
      <c r="S63" s="2"/>
      <c r="T63" s="6">
        <v>788.91</v>
      </c>
      <c r="U63" s="2"/>
      <c r="V63" s="7">
        <f t="shared" si="51"/>
        <v>4.1529102272106341E-3</v>
      </c>
      <c r="W63" s="2"/>
      <c r="X63" s="6">
        <f t="shared" si="52"/>
        <v>-788.91</v>
      </c>
      <c r="Y63" s="2"/>
      <c r="Z63" s="7">
        <f t="shared" si="53"/>
        <v>-1</v>
      </c>
    </row>
    <row r="64" spans="1:26" s="23" customFormat="1" hidden="1" outlineLevel="2" x14ac:dyDescent="0.25">
      <c r="A64" s="25"/>
      <c r="B64" s="10" t="str">
        <f>CONCATENATE("          ", "6243", " - ", "PAPER SUPPLIES")</f>
        <v xml:space="preserve">          6243 - PAPER SUPPLIES</v>
      </c>
      <c r="C64" s="10"/>
      <c r="D64" s="6"/>
      <c r="E64" s="2"/>
      <c r="F64" s="7">
        <f t="shared" si="46"/>
        <v>0</v>
      </c>
      <c r="G64" s="2"/>
      <c r="H64" s="6">
        <v>134</v>
      </c>
      <c r="I64" s="2"/>
      <c r="J64" s="7">
        <f t="shared" si="47"/>
        <v>1.182046652029283E-2</v>
      </c>
      <c r="K64" s="2"/>
      <c r="L64" s="6">
        <f t="shared" si="48"/>
        <v>-134</v>
      </c>
      <c r="M64" s="2"/>
      <c r="N64" s="7">
        <f t="shared" si="49"/>
        <v>-1</v>
      </c>
      <c r="O64" s="10"/>
      <c r="P64" s="6"/>
      <c r="Q64" s="2"/>
      <c r="R64" s="7">
        <f t="shared" si="50"/>
        <v>0</v>
      </c>
      <c r="S64" s="2"/>
      <c r="T64" s="6">
        <v>1858.86</v>
      </c>
      <c r="U64" s="2"/>
      <c r="V64" s="7">
        <f t="shared" si="51"/>
        <v>9.7852463588403733E-3</v>
      </c>
      <c r="W64" s="2"/>
      <c r="X64" s="6">
        <f t="shared" si="52"/>
        <v>-1858.86</v>
      </c>
      <c r="Y64" s="2"/>
      <c r="Z64" s="7">
        <f t="shared" si="53"/>
        <v>-1</v>
      </c>
    </row>
    <row r="65" spans="1:26" s="23" customFormat="1" hidden="1" outlineLevel="2" x14ac:dyDescent="0.25">
      <c r="A65" s="25"/>
      <c r="B65" s="10" t="str">
        <f>CONCATENATE("          ", "6247", " - ", "STORE SUPPLIES")</f>
        <v xml:space="preserve">          6247 - STORE SUPPLIES</v>
      </c>
      <c r="C65" s="10"/>
      <c r="D65" s="6"/>
      <c r="E65" s="2"/>
      <c r="F65" s="7">
        <f t="shared" si="46"/>
        <v>0</v>
      </c>
      <c r="G65" s="2"/>
      <c r="H65" s="6"/>
      <c r="I65" s="2"/>
      <c r="J65" s="7">
        <f t="shared" si="47"/>
        <v>0</v>
      </c>
      <c r="K65" s="2"/>
      <c r="L65" s="6">
        <f t="shared" si="48"/>
        <v>0</v>
      </c>
      <c r="M65" s="2"/>
      <c r="N65" s="7">
        <f t="shared" si="49"/>
        <v>0</v>
      </c>
      <c r="O65" s="10"/>
      <c r="P65" s="6"/>
      <c r="Q65" s="2"/>
      <c r="R65" s="7">
        <f t="shared" si="50"/>
        <v>0</v>
      </c>
      <c r="S65" s="2"/>
      <c r="T65" s="6">
        <v>102.64</v>
      </c>
      <c r="U65" s="2"/>
      <c r="V65" s="7">
        <f t="shared" si="51"/>
        <v>5.4030840744939159E-4</v>
      </c>
      <c r="W65" s="2"/>
      <c r="X65" s="6">
        <f t="shared" si="52"/>
        <v>-102.64</v>
      </c>
      <c r="Y65" s="2"/>
      <c r="Z65" s="7">
        <f t="shared" si="53"/>
        <v>-1</v>
      </c>
    </row>
    <row r="66" spans="1:26" s="23" customFormat="1" hidden="1" outlineLevel="2" x14ac:dyDescent="0.25">
      <c r="A66" s="25"/>
      <c r="B66" s="10" t="str">
        <f>CONCATENATE("          ", "6248", " - ", "UNIFORMS")</f>
        <v xml:space="preserve">          6248 - UNIFORMS</v>
      </c>
      <c r="C66" s="10"/>
      <c r="D66" s="6"/>
      <c r="E66" s="2"/>
      <c r="F66" s="7">
        <f t="shared" si="46"/>
        <v>0</v>
      </c>
      <c r="G66" s="2"/>
      <c r="H66" s="6"/>
      <c r="I66" s="2"/>
      <c r="J66" s="7">
        <f t="shared" si="47"/>
        <v>0</v>
      </c>
      <c r="K66" s="2"/>
      <c r="L66" s="6">
        <f t="shared" si="48"/>
        <v>0</v>
      </c>
      <c r="M66" s="2"/>
      <c r="N66" s="7">
        <f t="shared" si="49"/>
        <v>0</v>
      </c>
      <c r="O66" s="10"/>
      <c r="P66" s="6"/>
      <c r="Q66" s="2"/>
      <c r="R66" s="7">
        <f t="shared" si="50"/>
        <v>0</v>
      </c>
      <c r="S66" s="2"/>
      <c r="T66" s="6">
        <v>637.03</v>
      </c>
      <c r="U66" s="2"/>
      <c r="V66" s="7">
        <f t="shared" si="51"/>
        <v>3.3533969680191534E-3</v>
      </c>
      <c r="W66" s="2"/>
      <c r="X66" s="6">
        <f t="shared" si="52"/>
        <v>-637.03</v>
      </c>
      <c r="Y66" s="2"/>
      <c r="Z66" s="7">
        <f t="shared" si="53"/>
        <v>-1</v>
      </c>
    </row>
    <row r="67" spans="1:26" s="26" customFormat="1" outlineLevel="1" collapsed="1" x14ac:dyDescent="0.25">
      <c r="A67" s="27"/>
      <c r="B67" s="12" t="str">
        <f>CONCATENATE("     ","Telephone/Data Lines                              ")</f>
        <v xml:space="preserve">     Telephone/Data Lines                              </v>
      </c>
      <c r="C67" s="12"/>
      <c r="D67" s="1">
        <f>SUM(OSRRefD22_12x_0)</f>
        <v>0</v>
      </c>
      <c r="E67" s="1"/>
      <c r="F67" s="5">
        <f t="shared" ref="F67:F72" si="54">IF(D$12=0,0,D67/D$12)</f>
        <v>0</v>
      </c>
      <c r="G67" s="1"/>
      <c r="H67" s="1">
        <f>SUM(OSRRefH22_12x_0)</f>
        <v>86</v>
      </c>
      <c r="I67" s="1"/>
      <c r="J67" s="5">
        <f t="shared" ref="J67:J72" si="55">IF(H$12=0,0,H67/H$12)</f>
        <v>7.5862695577998754E-3</v>
      </c>
      <c r="K67" s="1"/>
      <c r="L67" s="1">
        <f t="shared" ref="L67:L72" si="56">+D67-H67</f>
        <v>-86</v>
      </c>
      <c r="M67" s="1"/>
      <c r="N67" s="5">
        <f t="shared" ref="N67:N72" si="57">IF(H67=0,0,L67/H67)</f>
        <v>-1</v>
      </c>
      <c r="O67" s="12"/>
      <c r="P67" s="1">
        <f>SUM(OSRRefP22_12x_0)</f>
        <v>85.2</v>
      </c>
      <c r="Q67" s="1"/>
      <c r="R67" s="5">
        <f t="shared" ref="R67:R72" si="58">IF(P$12=0,0,P67/P$12)</f>
        <v>0</v>
      </c>
      <c r="S67" s="1"/>
      <c r="T67" s="1">
        <f>SUM(OSRRefT22_12x_0)</f>
        <v>779.5</v>
      </c>
      <c r="U67" s="1"/>
      <c r="V67" s="5">
        <f t="shared" ref="V67:V72" si="59">IF(T$12=0,0,T67/T$12)</f>
        <v>4.1033749377123998E-3</v>
      </c>
      <c r="W67" s="1"/>
      <c r="X67" s="1">
        <f t="shared" ref="X67:X72" si="60">+P67-T67</f>
        <v>-694.3</v>
      </c>
      <c r="Y67" s="1"/>
      <c r="Z67" s="5">
        <f t="shared" ref="Z67:Z72" si="61">IF(T67=0,0,X67/T67)</f>
        <v>-0.89069916613213596</v>
      </c>
    </row>
    <row r="68" spans="1:26" s="23" customFormat="1" hidden="1" outlineLevel="2" x14ac:dyDescent="0.25">
      <c r="A68" s="25"/>
      <c r="B68" s="10" t="str">
        <f>CONCATENATE("          ", "6309", " - ", "TELEPHONE")</f>
        <v xml:space="preserve">          6309 - TELEPHONE</v>
      </c>
      <c r="C68" s="10"/>
      <c r="D68" s="6"/>
      <c r="E68" s="2"/>
      <c r="F68" s="7">
        <f t="shared" si="54"/>
        <v>0</v>
      </c>
      <c r="G68" s="2"/>
      <c r="H68" s="6">
        <v>86</v>
      </c>
      <c r="I68" s="2"/>
      <c r="J68" s="7">
        <f t="shared" si="55"/>
        <v>7.5862695577998754E-3</v>
      </c>
      <c r="K68" s="2"/>
      <c r="L68" s="6">
        <f t="shared" si="56"/>
        <v>-86</v>
      </c>
      <c r="M68" s="2"/>
      <c r="N68" s="7">
        <f t="shared" si="57"/>
        <v>-1</v>
      </c>
      <c r="O68" s="10"/>
      <c r="P68" s="6">
        <v>85.2</v>
      </c>
      <c r="Q68" s="2"/>
      <c r="R68" s="7">
        <f t="shared" si="58"/>
        <v>0</v>
      </c>
      <c r="S68" s="2"/>
      <c r="T68" s="6">
        <v>779.5</v>
      </c>
      <c r="U68" s="2"/>
      <c r="V68" s="7">
        <f t="shared" si="59"/>
        <v>4.1033749377123998E-3</v>
      </c>
      <c r="W68" s="2"/>
      <c r="X68" s="6">
        <f t="shared" si="60"/>
        <v>-694.3</v>
      </c>
      <c r="Y68" s="2"/>
      <c r="Z68" s="7">
        <f t="shared" si="61"/>
        <v>-0.89069916613213596</v>
      </c>
    </row>
    <row r="69" spans="1:26" s="26" customFormat="1" outlineLevel="1" collapsed="1" x14ac:dyDescent="0.25">
      <c r="A69" s="27"/>
      <c r="B69" s="12" t="str">
        <f>CONCATENATE("     ","Training                                          ")</f>
        <v xml:space="preserve">     Training                                          </v>
      </c>
      <c r="C69" s="12"/>
      <c r="D69" s="1">
        <f>SUM(OSRRefD22_13x_0)</f>
        <v>0</v>
      </c>
      <c r="E69" s="1"/>
      <c r="F69" s="5">
        <f t="shared" si="54"/>
        <v>0</v>
      </c>
      <c r="G69" s="1"/>
      <c r="H69" s="1">
        <f>SUM(OSRRefH22_13x_0)</f>
        <v>0</v>
      </c>
      <c r="I69" s="1"/>
      <c r="J69" s="5">
        <f t="shared" si="55"/>
        <v>0</v>
      </c>
      <c r="K69" s="1"/>
      <c r="L69" s="1">
        <f t="shared" si="56"/>
        <v>0</v>
      </c>
      <c r="M69" s="1"/>
      <c r="N69" s="5">
        <f t="shared" si="57"/>
        <v>0</v>
      </c>
      <c r="O69" s="12"/>
      <c r="P69" s="1">
        <f>SUM(OSRRefP22_13x_0)</f>
        <v>0</v>
      </c>
      <c r="Q69" s="1"/>
      <c r="R69" s="5">
        <f t="shared" si="58"/>
        <v>0</v>
      </c>
      <c r="S69" s="1"/>
      <c r="T69" s="1">
        <f>SUM(OSRRefT22_13x_0)</f>
        <v>170.95</v>
      </c>
      <c r="U69" s="1"/>
      <c r="V69" s="5">
        <f t="shared" si="59"/>
        <v>8.9989986607047435E-4</v>
      </c>
      <c r="W69" s="1"/>
      <c r="X69" s="1">
        <f t="shared" si="60"/>
        <v>-170.95</v>
      </c>
      <c r="Y69" s="1"/>
      <c r="Z69" s="5">
        <f t="shared" si="61"/>
        <v>-1</v>
      </c>
    </row>
    <row r="70" spans="1:26" s="23" customFormat="1" hidden="1" outlineLevel="2" x14ac:dyDescent="0.25">
      <c r="A70" s="25"/>
      <c r="B70" s="10" t="str">
        <f>CONCATENATE("          ", "6376", " - ", "TRAINING")</f>
        <v xml:space="preserve">          6376 - TRAINING</v>
      </c>
      <c r="C70" s="10"/>
      <c r="D70" s="6"/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0"/>
      <c r="P70" s="6"/>
      <c r="Q70" s="2"/>
      <c r="R70" s="7">
        <f t="shared" si="58"/>
        <v>0</v>
      </c>
      <c r="S70" s="2"/>
      <c r="T70" s="6">
        <v>170.95</v>
      </c>
      <c r="U70" s="2"/>
      <c r="V70" s="7">
        <f t="shared" si="59"/>
        <v>8.9989986607047435E-4</v>
      </c>
      <c r="W70" s="2"/>
      <c r="X70" s="6">
        <f t="shared" si="60"/>
        <v>-170.95</v>
      </c>
      <c r="Y70" s="2"/>
      <c r="Z70" s="7">
        <f t="shared" si="61"/>
        <v>-1</v>
      </c>
    </row>
    <row r="71" spans="1:26" s="26" customFormat="1" outlineLevel="1" collapsed="1" x14ac:dyDescent="0.25">
      <c r="A71" s="27"/>
      <c r="B71" s="12" t="str">
        <f>CONCATENATE("     ","Travel                                            ")</f>
        <v xml:space="preserve">     Travel                                            </v>
      </c>
      <c r="C71" s="12"/>
      <c r="D71" s="1">
        <f>SUM(OSRRefD22_14x_0)</f>
        <v>0</v>
      </c>
      <c r="E71" s="1"/>
      <c r="F71" s="5">
        <f t="shared" si="54"/>
        <v>0</v>
      </c>
      <c r="G71" s="1"/>
      <c r="H71" s="1">
        <f>SUM(OSRRefH22_14x_0)</f>
        <v>11.5</v>
      </c>
      <c r="I71" s="1"/>
      <c r="J71" s="5">
        <f t="shared" si="55"/>
        <v>1.0144430222639369E-3</v>
      </c>
      <c r="K71" s="1"/>
      <c r="L71" s="1">
        <f t="shared" si="56"/>
        <v>-11.5</v>
      </c>
      <c r="M71" s="1"/>
      <c r="N71" s="5">
        <f t="shared" si="57"/>
        <v>-1</v>
      </c>
      <c r="O71" s="12"/>
      <c r="P71" s="1">
        <f>SUM(OSRRefP22_14x_0)</f>
        <v>0</v>
      </c>
      <c r="Q71" s="1"/>
      <c r="R71" s="5">
        <f t="shared" si="58"/>
        <v>0</v>
      </c>
      <c r="S71" s="1"/>
      <c r="T71" s="1">
        <f>SUM(OSRRefT22_14x_0)</f>
        <v>11.5</v>
      </c>
      <c r="U71" s="1"/>
      <c r="V71" s="5">
        <f t="shared" si="59"/>
        <v>6.0537282596141888E-5</v>
      </c>
      <c r="W71" s="1"/>
      <c r="X71" s="1">
        <f t="shared" si="60"/>
        <v>-11.5</v>
      </c>
      <c r="Y71" s="1"/>
      <c r="Z71" s="5">
        <f t="shared" si="61"/>
        <v>-1</v>
      </c>
    </row>
    <row r="72" spans="1:26" s="23" customFormat="1" hidden="1" outlineLevel="2" x14ac:dyDescent="0.25">
      <c r="A72" s="25"/>
      <c r="B72" s="10" t="str">
        <f>CONCATENATE("          ", "6294", " - ", "TRAVEL OPERATIONAL")</f>
        <v xml:space="preserve">          6294 - TRAVEL OPERATIONAL</v>
      </c>
      <c r="C72" s="10"/>
      <c r="D72" s="6"/>
      <c r="E72" s="2"/>
      <c r="F72" s="7">
        <f t="shared" si="54"/>
        <v>0</v>
      </c>
      <c r="G72" s="2"/>
      <c r="H72" s="6">
        <v>11.5</v>
      </c>
      <c r="I72" s="2"/>
      <c r="J72" s="7">
        <f t="shared" si="55"/>
        <v>1.0144430222639369E-3</v>
      </c>
      <c r="K72" s="2"/>
      <c r="L72" s="6">
        <f t="shared" si="56"/>
        <v>-11.5</v>
      </c>
      <c r="M72" s="2"/>
      <c r="N72" s="7">
        <f t="shared" si="57"/>
        <v>-1</v>
      </c>
      <c r="O72" s="10"/>
      <c r="P72" s="6"/>
      <c r="Q72" s="2"/>
      <c r="R72" s="7">
        <f t="shared" si="58"/>
        <v>0</v>
      </c>
      <c r="S72" s="2"/>
      <c r="T72" s="6">
        <v>11.5</v>
      </c>
      <c r="U72" s="2"/>
      <c r="V72" s="7">
        <f t="shared" si="59"/>
        <v>6.0537282596141888E-5</v>
      </c>
      <c r="W72" s="2"/>
      <c r="X72" s="6">
        <f t="shared" si="60"/>
        <v>-11.5</v>
      </c>
      <c r="Y72" s="2"/>
      <c r="Z72" s="7">
        <f t="shared" si="61"/>
        <v>-1</v>
      </c>
    </row>
    <row r="73" spans="1:26" s="60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4" customFormat="1" x14ac:dyDescent="0.25">
      <c r="A74" s="11"/>
      <c r="B74" s="28" t="s">
        <v>292</v>
      </c>
      <c r="C74" s="11"/>
      <c r="D74" s="4">
        <f>SUM(0)</f>
        <v>0</v>
      </c>
      <c r="E74" s="4"/>
      <c r="F74" s="13">
        <f>IF(D$12=0,0,D74/D$12)</f>
        <v>0</v>
      </c>
      <c r="G74" s="4"/>
      <c r="H74" s="4">
        <f>SUM(0)</f>
        <v>0</v>
      </c>
      <c r="I74" s="4"/>
      <c r="J74" s="13">
        <f>IF(H$12=0,0,H74/H$12)</f>
        <v>0</v>
      </c>
      <c r="K74" s="4"/>
      <c r="L74" s="4">
        <f>+D74-H74</f>
        <v>0</v>
      </c>
      <c r="M74" s="4"/>
      <c r="N74" s="13">
        <f>IF(H74=0,0,L74/H74)</f>
        <v>0</v>
      </c>
      <c r="O74" s="11"/>
      <c r="P74" s="4">
        <f>SUM(0)</f>
        <v>0</v>
      </c>
      <c r="Q74" s="4"/>
      <c r="R74" s="13">
        <f>IF(P$12=0,0,P74/P$12)</f>
        <v>0</v>
      </c>
      <c r="S74" s="4"/>
      <c r="T74" s="4">
        <f>SUM(0)</f>
        <v>0</v>
      </c>
      <c r="U74" s="4"/>
      <c r="V74" s="13">
        <f>IF(T$12=0,0,T74/T$12)</f>
        <v>0</v>
      </c>
      <c r="W74" s="4"/>
      <c r="X74" s="4">
        <f>+P74-T74</f>
        <v>0</v>
      </c>
      <c r="Y74" s="4"/>
      <c r="Z74" s="13">
        <f>IF(T74=0,0,X74/T74)</f>
        <v>0</v>
      </c>
    </row>
    <row r="75" spans="1:26" x14ac:dyDescent="0.25">
      <c r="A75" s="9"/>
      <c r="B75" s="11"/>
      <c r="C75" s="11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1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11"/>
      <c r="B76" s="29" t="s">
        <v>276</v>
      </c>
      <c r="C76" s="29"/>
      <c r="D76" s="22">
        <f>+D20-D22+D74</f>
        <v>-188.84</v>
      </c>
      <c r="E76" s="14"/>
      <c r="F76" s="20">
        <f>IF(D$12=0,0,D76/D$12)</f>
        <v>0</v>
      </c>
      <c r="G76" s="14"/>
      <c r="H76" s="22">
        <f>+H20-H22+H74</f>
        <v>-10895.909999999998</v>
      </c>
      <c r="I76" s="14"/>
      <c r="J76" s="20">
        <f>IF(H$12=0,0,H76/H$12)</f>
        <v>-0.96115477136659566</v>
      </c>
      <c r="K76" s="15"/>
      <c r="L76" s="22">
        <f>+D76-H76</f>
        <v>10707.069999999998</v>
      </c>
      <c r="M76" s="15"/>
      <c r="N76" s="20">
        <f>IF(H76=0,0,L76/H76)</f>
        <v>-0.98266872615504353</v>
      </c>
      <c r="O76" s="28"/>
      <c r="P76" s="22">
        <f>+P20-P22+P74</f>
        <v>-2172.4399999999996</v>
      </c>
      <c r="Q76" s="14"/>
      <c r="R76" s="20">
        <f>IF(P$12=0,0,P76/P$12)</f>
        <v>0</v>
      </c>
      <c r="S76" s="14"/>
      <c r="T76" s="22">
        <f>+T20-T22+T74</f>
        <v>-60120.740000000049</v>
      </c>
      <c r="U76" s="14"/>
      <c r="V76" s="20">
        <f>IF(T$12=0,0,T76/T$12)</f>
        <v>-0.3164822806321021</v>
      </c>
      <c r="W76" s="15"/>
      <c r="X76" s="22">
        <f>+P76-T76</f>
        <v>57948.300000000047</v>
      </c>
      <c r="Y76" s="15"/>
      <c r="Z76" s="20">
        <f>IF(T76=0,0,X76/T76)</f>
        <v>-0.96386538156383306</v>
      </c>
    </row>
    <row r="77" spans="1:26" x14ac:dyDescent="0.25">
      <c r="A77" s="9"/>
      <c r="B77" s="11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x14ac:dyDescent="0.25">
      <c r="A78" s="51"/>
      <c r="B78" s="11" t="s">
        <v>127</v>
      </c>
      <c r="C78" s="11"/>
      <c r="D78" s="4"/>
      <c r="E78" s="4"/>
      <c r="F78" s="13">
        <f>IF(D$12=0,0,D78/D$12)</f>
        <v>0</v>
      </c>
      <c r="G78" s="4"/>
      <c r="H78" s="4">
        <v>2149.41</v>
      </c>
      <c r="I78" s="4"/>
      <c r="J78" s="13">
        <f>IF(H$12=0,0,H78/H$12)</f>
        <v>0.1896046936073329</v>
      </c>
      <c r="K78" s="4"/>
      <c r="L78" s="4">
        <f>+D78-H78</f>
        <v>-2149.41</v>
      </c>
      <c r="M78" s="4"/>
      <c r="N78" s="13">
        <f>IF(H78=0,0,L78/H78)</f>
        <v>-1</v>
      </c>
      <c r="O78" s="11"/>
      <c r="P78" s="4"/>
      <c r="Q78" s="4"/>
      <c r="R78" s="13">
        <f>IF(P$12=0,0,P78/P$12)</f>
        <v>0</v>
      </c>
      <c r="S78" s="4"/>
      <c r="T78" s="4">
        <v>20355.27</v>
      </c>
      <c r="U78" s="4"/>
      <c r="V78" s="13">
        <f>IF(T$12=0,0,T78/T$12)</f>
        <v>0.10715241150528426</v>
      </c>
      <c r="W78" s="4"/>
      <c r="X78" s="4">
        <f>+P78-T78</f>
        <v>-20355.27</v>
      </c>
      <c r="Y78" s="4"/>
      <c r="Z78" s="13">
        <f>IF(T78=0,0,X78/T78)</f>
        <v>-1</v>
      </c>
    </row>
    <row r="79" spans="1:26" x14ac:dyDescent="0.25">
      <c r="A79" s="9"/>
      <c r="B79" s="11"/>
      <c r="C79" s="11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1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ht="15.75" thickBot="1" x14ac:dyDescent="0.3">
      <c r="A80" s="11"/>
      <c r="B80" s="29" t="s">
        <v>125</v>
      </c>
      <c r="C80" s="29"/>
      <c r="D80" s="30">
        <f>+D76-D78</f>
        <v>-188.84</v>
      </c>
      <c r="E80" s="14"/>
      <c r="F80" s="36">
        <f>IF(D$12=0,0,D80/D$12)</f>
        <v>0</v>
      </c>
      <c r="G80" s="14"/>
      <c r="H80" s="30">
        <f>+H76-H78</f>
        <v>-13045.319999999998</v>
      </c>
      <c r="I80" s="14"/>
      <c r="J80" s="36">
        <f>IF(H$12=0,0,H80/H$12)</f>
        <v>-1.1507594649739286</v>
      </c>
      <c r="K80" s="15"/>
      <c r="L80" s="30">
        <f>D80-H80</f>
        <v>12856.479999999998</v>
      </c>
      <c r="M80" s="15"/>
      <c r="N80" s="36">
        <f>IF(H80=0,0,L80/H80)</f>
        <v>-0.98552431063400514</v>
      </c>
      <c r="O80" s="28"/>
      <c r="P80" s="30">
        <f>+P76-P78</f>
        <v>-2172.4399999999996</v>
      </c>
      <c r="Q80" s="14"/>
      <c r="R80" s="36">
        <f>IF(P$12=0,0,P80/P$12)</f>
        <v>0</v>
      </c>
      <c r="S80" s="14"/>
      <c r="T80" s="30">
        <f>+T76-T78</f>
        <v>-80476.010000000053</v>
      </c>
      <c r="U80" s="14"/>
      <c r="V80" s="36">
        <f>IF(T$12=0,0,T80/T$12)</f>
        <v>-0.42363469213738641</v>
      </c>
      <c r="W80" s="15"/>
      <c r="X80" s="30">
        <f>P80-T80</f>
        <v>78303.570000000051</v>
      </c>
      <c r="Y80" s="15"/>
      <c r="Z80" s="36">
        <f>IF(T80=0,0,X80/T80)</f>
        <v>-0.97300512289314545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ht="15.75" thickBot="1" x14ac:dyDescent="0.3">
      <c r="A83" s="11"/>
      <c r="B83" s="29" t="s">
        <v>293</v>
      </c>
      <c r="C83" s="29"/>
      <c r="D83" s="35">
        <f>SUM(D80:D82)</f>
        <v>-188.84</v>
      </c>
      <c r="E83" s="14"/>
      <c r="F83" s="34">
        <f>IF(D$12=0,0,D83/D$12)</f>
        <v>0</v>
      </c>
      <c r="G83" s="14"/>
      <c r="H83" s="35">
        <f>SUM(H80:H82)</f>
        <v>-13045.319999999998</v>
      </c>
      <c r="I83" s="14"/>
      <c r="J83" s="34">
        <f>IF(H$12=0,0,H83/H$12)</f>
        <v>-1.1507594649739286</v>
      </c>
      <c r="K83" s="15"/>
      <c r="L83" s="35">
        <f>+D83-H83</f>
        <v>12856.479999999998</v>
      </c>
      <c r="M83" s="15"/>
      <c r="N83" s="34">
        <f>IF(H83=0,0,L83/H83)</f>
        <v>-0.98552431063400514</v>
      </c>
      <c r="O83" s="28"/>
      <c r="P83" s="35">
        <f>SUM(P80:P82)</f>
        <v>-2172.4399999999996</v>
      </c>
      <c r="Q83" s="14"/>
      <c r="R83" s="34">
        <f>IF(P$12=0,0,P83/P$12)</f>
        <v>0</v>
      </c>
      <c r="S83" s="14"/>
      <c r="T83" s="35">
        <f>SUM(T80:T82)</f>
        <v>-80476.010000000053</v>
      </c>
      <c r="U83" s="14"/>
      <c r="V83" s="34">
        <f>IF(T$12=0,0,T83/T$12)</f>
        <v>-0.42363469213738641</v>
      </c>
      <c r="W83" s="15"/>
      <c r="X83" s="35">
        <f>+P83-T83</f>
        <v>78303.570000000051</v>
      </c>
      <c r="Y83" s="15"/>
      <c r="Z83" s="34">
        <f>IF(T83=0,0,X83/T83)</f>
        <v>-0.97300512289314545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4">
        <v>44295.963243634258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8" t="s">
        <v>56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2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","411", " - ", "University Dining")</f>
        <v>Department 411 - University Dining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28376.869999999995</v>
      </c>
      <c r="E18" s="21"/>
      <c r="F18" s="31">
        <f t="shared" ref="F18:F28" si="0">IF(D$12=0,0,D18/D$12)</f>
        <v>0</v>
      </c>
      <c r="G18" s="21"/>
      <c r="H18" s="21">
        <f>SUM(OSRRefH22x_0)</f>
        <v>66291.73000000001</v>
      </c>
      <c r="I18" s="21"/>
      <c r="J18" s="31">
        <f t="shared" ref="J18:J28" si="1">IF(H$12=0,0,H18/H$12)</f>
        <v>0</v>
      </c>
      <c r="K18" s="4"/>
      <c r="L18" s="21">
        <f t="shared" ref="L18:L28" si="2">+D18-H18</f>
        <v>-37914.860000000015</v>
      </c>
      <c r="M18" s="4"/>
      <c r="N18" s="31">
        <f t="shared" ref="N18:N28" si="3">IF(H18=0,0,L18/H18)</f>
        <v>-0.57193951643742003</v>
      </c>
      <c r="O18" s="11"/>
      <c r="P18" s="21">
        <f>SUM(OSRRefP22x_0)</f>
        <v>253313.37000000005</v>
      </c>
      <c r="Q18" s="21"/>
      <c r="R18" s="31">
        <f t="shared" ref="R18:R28" si="4">IF(P$12=0,0,P18/P$12)</f>
        <v>0</v>
      </c>
      <c r="S18" s="21"/>
      <c r="T18" s="21">
        <f>SUM(OSRRefT22x_0)</f>
        <v>881998.12000000011</v>
      </c>
      <c r="U18" s="21"/>
      <c r="V18" s="31">
        <f t="shared" ref="V18:V28" si="5">IF(T$12=0,0,T18/T$12)</f>
        <v>0</v>
      </c>
      <c r="W18" s="4"/>
      <c r="X18" s="21">
        <f t="shared" ref="X18:X28" si="6">+P18-T18</f>
        <v>-628684.75</v>
      </c>
      <c r="Y18" s="4"/>
      <c r="Z18" s="31">
        <f t="shared" ref="Z18:Z28" si="7">IF(T18=0,0,X18/T18)</f>
        <v>-0.71279602047224311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5648.57</v>
      </c>
      <c r="E19" s="1"/>
      <c r="F19" s="5">
        <f t="shared" si="0"/>
        <v>0</v>
      </c>
      <c r="G19" s="1"/>
      <c r="H19" s="1">
        <f>SUM(OSRRefH22_0x_0)</f>
        <v>-17520.190000000002</v>
      </c>
      <c r="I19" s="1"/>
      <c r="J19" s="5">
        <f t="shared" si="1"/>
        <v>0</v>
      </c>
      <c r="K19" s="1"/>
      <c r="L19" s="1">
        <f t="shared" si="2"/>
        <v>23168.760000000002</v>
      </c>
      <c r="M19" s="1"/>
      <c r="N19" s="5">
        <f t="shared" si="3"/>
        <v>-1.3224034670856879</v>
      </c>
      <c r="O19" s="12"/>
      <c r="P19" s="1">
        <f>SUM(OSRRefP22_0x_0)</f>
        <v>53615.7</v>
      </c>
      <c r="Q19" s="1"/>
      <c r="R19" s="5">
        <f t="shared" si="4"/>
        <v>0</v>
      </c>
      <c r="S19" s="1"/>
      <c r="T19" s="1">
        <f>SUM(OSRRefT22_0x_0)</f>
        <v>70075.969999999987</v>
      </c>
      <c r="U19" s="1"/>
      <c r="V19" s="5">
        <f t="shared" si="5"/>
        <v>0</v>
      </c>
      <c r="W19" s="1"/>
      <c r="X19" s="1">
        <f t="shared" si="6"/>
        <v>-16460.26999999999</v>
      </c>
      <c r="Y19" s="1"/>
      <c r="Z19" s="5">
        <f t="shared" si="7"/>
        <v>-0.23489178958207774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852.54</v>
      </c>
      <c r="E20" s="2"/>
      <c r="F20" s="7">
        <f t="shared" si="0"/>
        <v>0</v>
      </c>
      <c r="G20" s="2"/>
      <c r="H20" s="6">
        <v>4206.75</v>
      </c>
      <c r="I20" s="2"/>
      <c r="J20" s="7">
        <f t="shared" si="1"/>
        <v>0</v>
      </c>
      <c r="K20" s="2"/>
      <c r="L20" s="6">
        <f t="shared" si="2"/>
        <v>-3354.21</v>
      </c>
      <c r="M20" s="2"/>
      <c r="N20" s="7">
        <f t="shared" si="3"/>
        <v>-0.79733998930290606</v>
      </c>
      <c r="O20" s="10"/>
      <c r="P20" s="6">
        <v>7893.71</v>
      </c>
      <c r="Q20" s="2"/>
      <c r="R20" s="7">
        <f t="shared" si="4"/>
        <v>0</v>
      </c>
      <c r="S20" s="2"/>
      <c r="T20" s="6">
        <v>22144.37</v>
      </c>
      <c r="U20" s="2"/>
      <c r="V20" s="7">
        <f t="shared" si="5"/>
        <v>0</v>
      </c>
      <c r="W20" s="2"/>
      <c r="X20" s="6">
        <f t="shared" si="6"/>
        <v>-14250.66</v>
      </c>
      <c r="Y20" s="2"/>
      <c r="Z20" s="7">
        <f t="shared" si="7"/>
        <v>-0.64353422562935869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36.78</v>
      </c>
      <c r="E21" s="2"/>
      <c r="F21" s="7">
        <f t="shared" si="0"/>
        <v>0</v>
      </c>
      <c r="G21" s="2"/>
      <c r="H21" s="6">
        <v>1860.3</v>
      </c>
      <c r="I21" s="2"/>
      <c r="J21" s="7">
        <f t="shared" si="1"/>
        <v>0</v>
      </c>
      <c r="K21" s="2"/>
      <c r="L21" s="6">
        <f t="shared" si="2"/>
        <v>-1823.52</v>
      </c>
      <c r="M21" s="2"/>
      <c r="N21" s="7">
        <f t="shared" si="3"/>
        <v>-0.98022899532333496</v>
      </c>
      <c r="O21" s="10"/>
      <c r="P21" s="6">
        <v>477.08</v>
      </c>
      <c r="Q21" s="2"/>
      <c r="R21" s="7">
        <f t="shared" si="4"/>
        <v>0</v>
      </c>
      <c r="S21" s="2"/>
      <c r="T21" s="6">
        <v>8359.86</v>
      </c>
      <c r="U21" s="2"/>
      <c r="V21" s="7">
        <f t="shared" si="5"/>
        <v>0</v>
      </c>
      <c r="W21" s="2"/>
      <c r="X21" s="6">
        <f t="shared" si="6"/>
        <v>-7882.7800000000007</v>
      </c>
      <c r="Y21" s="2"/>
      <c r="Z21" s="7">
        <f t="shared" si="7"/>
        <v>-0.94293205867083896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1920.87</v>
      </c>
      <c r="E22" s="2"/>
      <c r="F22" s="7">
        <f t="shared" si="0"/>
        <v>0</v>
      </c>
      <c r="G22" s="2"/>
      <c r="H22" s="6">
        <v>2994.83</v>
      </c>
      <c r="I22" s="2"/>
      <c r="J22" s="7">
        <f t="shared" si="1"/>
        <v>0</v>
      </c>
      <c r="K22" s="2"/>
      <c r="L22" s="6">
        <f t="shared" si="2"/>
        <v>-1073.96</v>
      </c>
      <c r="M22" s="2"/>
      <c r="N22" s="7">
        <f t="shared" si="3"/>
        <v>-0.35860466203423902</v>
      </c>
      <c r="O22" s="10"/>
      <c r="P22" s="6">
        <v>16333.08</v>
      </c>
      <c r="Q22" s="2"/>
      <c r="R22" s="7">
        <f t="shared" si="4"/>
        <v>0</v>
      </c>
      <c r="S22" s="2"/>
      <c r="T22" s="6">
        <v>30981.53</v>
      </c>
      <c r="U22" s="2"/>
      <c r="V22" s="7">
        <f t="shared" si="5"/>
        <v>0</v>
      </c>
      <c r="W22" s="2"/>
      <c r="X22" s="6">
        <f t="shared" si="6"/>
        <v>-14648.449999999999</v>
      </c>
      <c r="Y22" s="2"/>
      <c r="Z22" s="7">
        <f t="shared" si="7"/>
        <v>-0.47281234980970921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28.98</v>
      </c>
      <c r="E23" s="2"/>
      <c r="F23" s="7">
        <f t="shared" si="0"/>
        <v>0</v>
      </c>
      <c r="G23" s="2"/>
      <c r="H23" s="6">
        <v>148.47</v>
      </c>
      <c r="I23" s="2"/>
      <c r="J23" s="7">
        <f t="shared" si="1"/>
        <v>0</v>
      </c>
      <c r="K23" s="2"/>
      <c r="L23" s="6">
        <f t="shared" si="2"/>
        <v>-119.49</v>
      </c>
      <c r="M23" s="2"/>
      <c r="N23" s="7">
        <f t="shared" si="3"/>
        <v>-0.80480905233380473</v>
      </c>
      <c r="O23" s="10"/>
      <c r="P23" s="6">
        <v>310.99</v>
      </c>
      <c r="Q23" s="2"/>
      <c r="R23" s="7">
        <f t="shared" si="4"/>
        <v>0</v>
      </c>
      <c r="S23" s="2"/>
      <c r="T23" s="6">
        <v>772.92</v>
      </c>
      <c r="U23" s="2"/>
      <c r="V23" s="7">
        <f t="shared" si="5"/>
        <v>0</v>
      </c>
      <c r="W23" s="2"/>
      <c r="X23" s="6">
        <f t="shared" si="6"/>
        <v>-461.92999999999995</v>
      </c>
      <c r="Y23" s="2"/>
      <c r="Z23" s="7">
        <f t="shared" si="7"/>
        <v>-0.597642705584019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1221.05</v>
      </c>
      <c r="E24" s="2"/>
      <c r="F24" s="7">
        <f t="shared" si="0"/>
        <v>0</v>
      </c>
      <c r="G24" s="2"/>
      <c r="H24" s="6">
        <v>3077.78</v>
      </c>
      <c r="I24" s="2"/>
      <c r="J24" s="7">
        <f t="shared" si="1"/>
        <v>0</v>
      </c>
      <c r="K24" s="2"/>
      <c r="L24" s="6">
        <f t="shared" si="2"/>
        <v>-1856.7300000000002</v>
      </c>
      <c r="M24" s="2"/>
      <c r="N24" s="7">
        <f t="shared" si="3"/>
        <v>-0.60326923951679456</v>
      </c>
      <c r="O24" s="10"/>
      <c r="P24" s="6">
        <v>13260.89</v>
      </c>
      <c r="Q24" s="2"/>
      <c r="R24" s="7">
        <f t="shared" si="4"/>
        <v>0</v>
      </c>
      <c r="S24" s="2"/>
      <c r="T24" s="6">
        <v>14651.03</v>
      </c>
      <c r="U24" s="2"/>
      <c r="V24" s="7">
        <f t="shared" si="5"/>
        <v>0</v>
      </c>
      <c r="W24" s="2"/>
      <c r="X24" s="6">
        <f t="shared" si="6"/>
        <v>-1390.1400000000012</v>
      </c>
      <c r="Y24" s="2"/>
      <c r="Z24" s="7">
        <f t="shared" si="7"/>
        <v>-9.4883431403798998E-2</v>
      </c>
    </row>
    <row r="25" spans="1:26" s="23" customFormat="1" hidden="1" outlineLevel="2" x14ac:dyDescent="0.25">
      <c r="A25" s="25"/>
      <c r="B25" s="10" t="str">
        <f>CONCATENATE("          ", "6117", " - ", "RETIREMENT STAFF HOURLY")</f>
        <v xml:space="preserve">          6117 - RETIREMENT STAFF HOURLY</v>
      </c>
      <c r="C25" s="10"/>
      <c r="D25" s="6"/>
      <c r="E25" s="2"/>
      <c r="F25" s="7">
        <f t="shared" si="0"/>
        <v>0</v>
      </c>
      <c r="G25" s="2"/>
      <c r="H25" s="6">
        <v>28</v>
      </c>
      <c r="I25" s="2"/>
      <c r="J25" s="7">
        <f t="shared" si="1"/>
        <v>0</v>
      </c>
      <c r="K25" s="2"/>
      <c r="L25" s="6">
        <f t="shared" si="2"/>
        <v>-28</v>
      </c>
      <c r="M25" s="2"/>
      <c r="N25" s="7">
        <f t="shared" si="3"/>
        <v>-1</v>
      </c>
      <c r="O25" s="10"/>
      <c r="P25" s="6"/>
      <c r="Q25" s="2"/>
      <c r="R25" s="7">
        <f t="shared" si="4"/>
        <v>0</v>
      </c>
      <c r="S25" s="2"/>
      <c r="T25" s="6">
        <v>504</v>
      </c>
      <c r="U25" s="2"/>
      <c r="V25" s="7">
        <f t="shared" si="5"/>
        <v>0</v>
      </c>
      <c r="W25" s="2"/>
      <c r="X25" s="6">
        <f t="shared" si="6"/>
        <v>-504</v>
      </c>
      <c r="Y25" s="2"/>
      <c r="Z25" s="7">
        <f t="shared" si="7"/>
        <v>-1</v>
      </c>
    </row>
    <row r="26" spans="1:26" s="23" customFormat="1" hidden="1" outlineLevel="2" x14ac:dyDescent="0.25">
      <c r="A26" s="25"/>
      <c r="B26" s="10" t="str">
        <f>CONCATENATE("          ", "6118", " - ", "VACATION")</f>
        <v xml:space="preserve">          6118 - VACATION</v>
      </c>
      <c r="C26" s="10"/>
      <c r="D26" s="6">
        <v>1022.52</v>
      </c>
      <c r="E26" s="2"/>
      <c r="F26" s="7">
        <f t="shared" si="0"/>
        <v>0</v>
      </c>
      <c r="G26" s="2"/>
      <c r="H26" s="6">
        <v>2256.15</v>
      </c>
      <c r="I26" s="2"/>
      <c r="J26" s="7">
        <f t="shared" si="1"/>
        <v>0</v>
      </c>
      <c r="K26" s="2"/>
      <c r="L26" s="6">
        <f t="shared" si="2"/>
        <v>-1233.6300000000001</v>
      </c>
      <c r="M26" s="2"/>
      <c r="N26" s="7">
        <f t="shared" si="3"/>
        <v>-0.54678545309487403</v>
      </c>
      <c r="O26" s="10"/>
      <c r="P26" s="6">
        <v>9906.08</v>
      </c>
      <c r="Q26" s="2"/>
      <c r="R26" s="7">
        <f t="shared" si="4"/>
        <v>0</v>
      </c>
      <c r="S26" s="2"/>
      <c r="T26" s="6">
        <v>14238.16</v>
      </c>
      <c r="U26" s="2"/>
      <c r="V26" s="7">
        <f t="shared" si="5"/>
        <v>0</v>
      </c>
      <c r="W26" s="2"/>
      <c r="X26" s="6">
        <f t="shared" si="6"/>
        <v>-4332.08</v>
      </c>
      <c r="Y26" s="2"/>
      <c r="Z26" s="7">
        <f t="shared" si="7"/>
        <v>-0.30425841541322757</v>
      </c>
    </row>
    <row r="27" spans="1:26" s="23" customFormat="1" hidden="1" outlineLevel="2" x14ac:dyDescent="0.25">
      <c r="A27" s="25"/>
      <c r="B27" s="10" t="str">
        <f>CONCATENATE("          ", "6119", " - ", "SICK LEAVE")</f>
        <v xml:space="preserve">          6119 - SICK LEAVE</v>
      </c>
      <c r="C27" s="10"/>
      <c r="D27" s="6">
        <v>510.58</v>
      </c>
      <c r="E27" s="2"/>
      <c r="F27" s="7">
        <f t="shared" si="0"/>
        <v>0</v>
      </c>
      <c r="G27" s="2"/>
      <c r="H27" s="6">
        <v>-32366.75</v>
      </c>
      <c r="I27" s="2"/>
      <c r="J27" s="7">
        <f t="shared" si="1"/>
        <v>0</v>
      </c>
      <c r="K27" s="2"/>
      <c r="L27" s="6">
        <f t="shared" si="2"/>
        <v>32877.33</v>
      </c>
      <c r="M27" s="2"/>
      <c r="N27" s="7">
        <f t="shared" si="3"/>
        <v>-1.0157748306518264</v>
      </c>
      <c r="O27" s="10"/>
      <c r="P27" s="6">
        <v>4946.45</v>
      </c>
      <c r="Q27" s="2"/>
      <c r="R27" s="7">
        <f t="shared" si="4"/>
        <v>0</v>
      </c>
      <c r="S27" s="2"/>
      <c r="T27" s="6">
        <v>-25000.07</v>
      </c>
      <c r="U27" s="2"/>
      <c r="V27" s="7">
        <f t="shared" si="5"/>
        <v>0</v>
      </c>
      <c r="W27" s="2"/>
      <c r="X27" s="6">
        <f t="shared" si="6"/>
        <v>29946.52</v>
      </c>
      <c r="Y27" s="2"/>
      <c r="Z27" s="7">
        <f t="shared" si="7"/>
        <v>-1.1978574459991513</v>
      </c>
    </row>
    <row r="28" spans="1:26" s="23" customFormat="1" hidden="1" outlineLevel="2" x14ac:dyDescent="0.25">
      <c r="A28" s="25"/>
      <c r="B28" s="10" t="str">
        <f>CONCATENATE("          ", "6156", " - ", "EMPLOYEE MEALS")</f>
        <v xml:space="preserve">          6156 - EMPLOYEE MEALS</v>
      </c>
      <c r="C28" s="10"/>
      <c r="D28" s="6">
        <v>55.25</v>
      </c>
      <c r="E28" s="2"/>
      <c r="F28" s="7">
        <f t="shared" si="0"/>
        <v>0</v>
      </c>
      <c r="G28" s="2"/>
      <c r="H28" s="6">
        <v>274.27999999999997</v>
      </c>
      <c r="I28" s="2"/>
      <c r="J28" s="7">
        <f t="shared" si="1"/>
        <v>0</v>
      </c>
      <c r="K28" s="2"/>
      <c r="L28" s="6">
        <f t="shared" si="2"/>
        <v>-219.02999999999997</v>
      </c>
      <c r="M28" s="2"/>
      <c r="N28" s="7">
        <f t="shared" si="3"/>
        <v>-0.79856351173982787</v>
      </c>
      <c r="O28" s="10"/>
      <c r="P28" s="6">
        <v>487.42</v>
      </c>
      <c r="Q28" s="2"/>
      <c r="R28" s="7">
        <f t="shared" si="4"/>
        <v>0</v>
      </c>
      <c r="S28" s="2"/>
      <c r="T28" s="6">
        <v>3424.17</v>
      </c>
      <c r="U28" s="2"/>
      <c r="V28" s="7">
        <f t="shared" si="5"/>
        <v>0</v>
      </c>
      <c r="W28" s="2"/>
      <c r="X28" s="6">
        <f t="shared" si="6"/>
        <v>-2936.75</v>
      </c>
      <c r="Y28" s="2"/>
      <c r="Z28" s="7">
        <f t="shared" si="7"/>
        <v>-0.85765309549467461</v>
      </c>
    </row>
    <row r="29" spans="1:26" s="26" customFormat="1" outlineLevel="1" collapsed="1" x14ac:dyDescent="0.25">
      <c r="A29" s="27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10037.35</v>
      </c>
      <c r="E29" s="1"/>
      <c r="F29" s="5">
        <f t="shared" ref="F29:F35" si="8">IF(D$12=0,0,D29/D$12)</f>
        <v>0</v>
      </c>
      <c r="G29" s="1"/>
      <c r="H29" s="1">
        <f>SUM(OSRRefH22_1x_0)</f>
        <v>28342.07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-18304.72</v>
      </c>
      <c r="M29" s="1"/>
      <c r="N29" s="5">
        <f t="shared" ref="N29:N35" si="11">IF(H29=0,0,L29/H29)</f>
        <v>-0.64584979149370536</v>
      </c>
      <c r="O29" s="12"/>
      <c r="P29" s="1">
        <f>SUM(OSRRefP22_1x_0)</f>
        <v>99604.25</v>
      </c>
      <c r="Q29" s="1"/>
      <c r="R29" s="5">
        <f t="shared" ref="R29:R35" si="12">IF(P$12=0,0,P29/P$12)</f>
        <v>0</v>
      </c>
      <c r="S29" s="1"/>
      <c r="T29" s="1">
        <f>SUM(OSRRefT22_1x_0)</f>
        <v>248799.40000000002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-149195.15000000002</v>
      </c>
      <c r="Y29" s="1"/>
      <c r="Z29" s="5">
        <f t="shared" ref="Z29:Z35" si="15">IF(T29=0,0,X29/T29)</f>
        <v>-0.59966040914889673</v>
      </c>
    </row>
    <row r="30" spans="1:26" s="23" customFormat="1" hidden="1" outlineLevel="2" x14ac:dyDescent="0.25">
      <c r="A30" s="25"/>
      <c r="B30" s="10" t="str">
        <f>CONCATENATE("          ", "6001", " - ", "ADMINISTRATIVE SALARIES")</f>
        <v xml:space="preserve">          6001 - ADMINISTRATIVE SALARIES</v>
      </c>
      <c r="C30" s="10"/>
      <c r="D30" s="6">
        <v>10037.35</v>
      </c>
      <c r="E30" s="2"/>
      <c r="F30" s="7">
        <f t="shared" si="8"/>
        <v>0</v>
      </c>
      <c r="G30" s="2"/>
      <c r="H30" s="6">
        <v>1323.98</v>
      </c>
      <c r="I30" s="2"/>
      <c r="J30" s="7">
        <f t="shared" si="9"/>
        <v>0</v>
      </c>
      <c r="K30" s="2"/>
      <c r="L30" s="6">
        <f t="shared" si="10"/>
        <v>8713.3700000000008</v>
      </c>
      <c r="M30" s="2"/>
      <c r="N30" s="7">
        <f t="shared" si="11"/>
        <v>6.5811945799785496</v>
      </c>
      <c r="O30" s="10"/>
      <c r="P30" s="6">
        <v>97219.25</v>
      </c>
      <c r="Q30" s="2"/>
      <c r="R30" s="7">
        <f t="shared" si="12"/>
        <v>0</v>
      </c>
      <c r="S30" s="2"/>
      <c r="T30" s="6">
        <v>67427.61</v>
      </c>
      <c r="U30" s="2"/>
      <c r="V30" s="7">
        <f t="shared" si="13"/>
        <v>0</v>
      </c>
      <c r="W30" s="2"/>
      <c r="X30" s="6">
        <f t="shared" si="14"/>
        <v>29791.64</v>
      </c>
      <c r="Y30" s="2"/>
      <c r="Z30" s="7">
        <f t="shared" si="15"/>
        <v>0.4418314693342979</v>
      </c>
    </row>
    <row r="31" spans="1:26" s="23" customFormat="1" hidden="1" outlineLevel="2" x14ac:dyDescent="0.25">
      <c r="A31" s="25"/>
      <c r="B31" s="10" t="str">
        <f>CONCATENATE("          ", "6002", " - ", "STAFF SALARIES")</f>
        <v xml:space="preserve">          6002 - STAFF SALARIES</v>
      </c>
      <c r="C31" s="10"/>
      <c r="D31" s="6"/>
      <c r="E31" s="2"/>
      <c r="F31" s="7">
        <f t="shared" si="8"/>
        <v>0</v>
      </c>
      <c r="G31" s="2"/>
      <c r="H31" s="6">
        <v>8913.4599999999991</v>
      </c>
      <c r="I31" s="2"/>
      <c r="J31" s="7">
        <f t="shared" si="9"/>
        <v>0</v>
      </c>
      <c r="K31" s="2"/>
      <c r="L31" s="6">
        <f t="shared" si="10"/>
        <v>-8913.4599999999991</v>
      </c>
      <c r="M31" s="2"/>
      <c r="N31" s="7">
        <f t="shared" si="11"/>
        <v>-1</v>
      </c>
      <c r="O31" s="10"/>
      <c r="P31" s="6">
        <v>2080</v>
      </c>
      <c r="Q31" s="2"/>
      <c r="R31" s="7">
        <f t="shared" si="12"/>
        <v>0</v>
      </c>
      <c r="S31" s="2"/>
      <c r="T31" s="6">
        <v>45099.21</v>
      </c>
      <c r="U31" s="2"/>
      <c r="V31" s="7">
        <f t="shared" si="13"/>
        <v>0</v>
      </c>
      <c r="W31" s="2"/>
      <c r="X31" s="6">
        <f t="shared" si="14"/>
        <v>-43019.21</v>
      </c>
      <c r="Y31" s="2"/>
      <c r="Z31" s="7">
        <f t="shared" si="15"/>
        <v>-0.95387945819893516</v>
      </c>
    </row>
    <row r="32" spans="1:26" s="23" customFormat="1" hidden="1" outlineLevel="2" x14ac:dyDescent="0.25">
      <c r="A32" s="25"/>
      <c r="B32" s="10" t="str">
        <f>CONCATENATE("          ", "6004", " - ", "STAFF HOURLY")</f>
        <v xml:space="preserve">          6004 - STAFF HOURLY</v>
      </c>
      <c r="C32" s="10"/>
      <c r="D32" s="6"/>
      <c r="E32" s="2"/>
      <c r="F32" s="7">
        <f t="shared" si="8"/>
        <v>0</v>
      </c>
      <c r="G32" s="2"/>
      <c r="H32" s="6">
        <v>5474.27</v>
      </c>
      <c r="I32" s="2"/>
      <c r="J32" s="7">
        <f t="shared" si="9"/>
        <v>0</v>
      </c>
      <c r="K32" s="2"/>
      <c r="L32" s="6">
        <f t="shared" si="10"/>
        <v>-5474.27</v>
      </c>
      <c r="M32" s="2"/>
      <c r="N32" s="7">
        <f t="shared" si="11"/>
        <v>-1</v>
      </c>
      <c r="O32" s="10"/>
      <c r="P32" s="6"/>
      <c r="Q32" s="2"/>
      <c r="R32" s="7">
        <f t="shared" si="12"/>
        <v>0</v>
      </c>
      <c r="S32" s="2"/>
      <c r="T32" s="6">
        <v>23599.23</v>
      </c>
      <c r="U32" s="2"/>
      <c r="V32" s="7">
        <f t="shared" si="13"/>
        <v>0</v>
      </c>
      <c r="W32" s="2"/>
      <c r="X32" s="6">
        <f t="shared" si="14"/>
        <v>-23599.23</v>
      </c>
      <c r="Y32" s="2"/>
      <c r="Z32" s="7">
        <f t="shared" si="15"/>
        <v>-1</v>
      </c>
    </row>
    <row r="33" spans="1:26" s="23" customFormat="1" hidden="1" outlineLevel="2" x14ac:dyDescent="0.25">
      <c r="A33" s="25"/>
      <c r="B33" s="10" t="str">
        <f>CONCATENATE("          ", "6005", " - ", "TEMPORARY WAGES-HOURLY")</f>
        <v xml:space="preserve">          6005 - TEMPORARY WAGES-HOURLY</v>
      </c>
      <c r="C33" s="10"/>
      <c r="D33" s="6"/>
      <c r="E33" s="2"/>
      <c r="F33" s="7">
        <f t="shared" si="8"/>
        <v>0</v>
      </c>
      <c r="G33" s="2"/>
      <c r="H33" s="6">
        <v>13269.5</v>
      </c>
      <c r="I33" s="2"/>
      <c r="J33" s="7">
        <f t="shared" si="9"/>
        <v>0</v>
      </c>
      <c r="K33" s="2"/>
      <c r="L33" s="6">
        <f t="shared" si="10"/>
        <v>-13269.5</v>
      </c>
      <c r="M33" s="2"/>
      <c r="N33" s="7">
        <f t="shared" si="11"/>
        <v>-1</v>
      </c>
      <c r="O33" s="10"/>
      <c r="P33" s="6">
        <v>305</v>
      </c>
      <c r="Q33" s="2"/>
      <c r="R33" s="7">
        <f t="shared" si="12"/>
        <v>0</v>
      </c>
      <c r="S33" s="2"/>
      <c r="T33" s="6">
        <v>94654.75</v>
      </c>
      <c r="U33" s="2"/>
      <c r="V33" s="7">
        <f t="shared" si="13"/>
        <v>0</v>
      </c>
      <c r="W33" s="2"/>
      <c r="X33" s="6">
        <f t="shared" si="14"/>
        <v>-94349.75</v>
      </c>
      <c r="Y33" s="2"/>
      <c r="Z33" s="7">
        <f t="shared" si="15"/>
        <v>-0.99677776339803337</v>
      </c>
    </row>
    <row r="34" spans="1:26" s="23" customFormat="1" hidden="1" outlineLevel="2" x14ac:dyDescent="0.25">
      <c r="A34" s="25"/>
      <c r="B34" s="10" t="str">
        <f>CONCATENATE("          ", "6006", " - ", "TEMPORARY PART TIME")</f>
        <v xml:space="preserve">          6006 - TEMPORARY PART TIME</v>
      </c>
      <c r="C34" s="10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0"/>
      <c r="P34" s="6"/>
      <c r="Q34" s="2"/>
      <c r="R34" s="7">
        <f t="shared" si="12"/>
        <v>0</v>
      </c>
      <c r="S34" s="2"/>
      <c r="T34" s="6">
        <v>1236.8800000000001</v>
      </c>
      <c r="U34" s="2"/>
      <c r="V34" s="7">
        <f t="shared" si="13"/>
        <v>0</v>
      </c>
      <c r="W34" s="2"/>
      <c r="X34" s="6">
        <f t="shared" si="14"/>
        <v>-1236.8800000000001</v>
      </c>
      <c r="Y34" s="2"/>
      <c r="Z34" s="7">
        <f t="shared" si="15"/>
        <v>-1</v>
      </c>
    </row>
    <row r="35" spans="1:26" s="23" customFormat="1" hidden="1" outlineLevel="2" x14ac:dyDescent="0.25">
      <c r="A35" s="25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8"/>
        <v>0</v>
      </c>
      <c r="G35" s="2"/>
      <c r="H35" s="6">
        <v>-639.14</v>
      </c>
      <c r="I35" s="2"/>
      <c r="J35" s="7">
        <f t="shared" si="9"/>
        <v>0</v>
      </c>
      <c r="K35" s="2"/>
      <c r="L35" s="6">
        <f t="shared" si="10"/>
        <v>639.14</v>
      </c>
      <c r="M35" s="2"/>
      <c r="N35" s="7">
        <f t="shared" si="11"/>
        <v>-1</v>
      </c>
      <c r="O35" s="10"/>
      <c r="P35" s="6"/>
      <c r="Q35" s="2"/>
      <c r="R35" s="7">
        <f t="shared" si="12"/>
        <v>0</v>
      </c>
      <c r="S35" s="2"/>
      <c r="T35" s="6">
        <v>16781.72</v>
      </c>
      <c r="U35" s="2"/>
      <c r="V35" s="7">
        <f t="shared" si="13"/>
        <v>0</v>
      </c>
      <c r="W35" s="2"/>
      <c r="X35" s="6">
        <f t="shared" si="14"/>
        <v>-16781.72</v>
      </c>
      <c r="Y35" s="2"/>
      <c r="Z35" s="7">
        <f t="shared" si="15"/>
        <v>-1</v>
      </c>
    </row>
    <row r="36" spans="1:26" s="26" customFormat="1" outlineLevel="1" collapsed="1" x14ac:dyDescent="0.25">
      <c r="A36" s="27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314.20999999999998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-314.20999999999998</v>
      </c>
      <c r="M36" s="1"/>
      <c r="N36" s="5">
        <f t="shared" ref="N36:N43" si="19">IF(H36=0,0,L36/H36)</f>
        <v>-1</v>
      </c>
      <c r="O36" s="12"/>
      <c r="P36" s="1">
        <f>SUM(OSRRefP22_2x_0)</f>
        <v>0</v>
      </c>
      <c r="Q36" s="1"/>
      <c r="R36" s="5">
        <f t="shared" ref="R36:R43" si="20">IF(P$12=0,0,P36/P$12)</f>
        <v>0</v>
      </c>
      <c r="S36" s="1"/>
      <c r="T36" s="1">
        <f>SUM(OSRRefT22_2x_0)</f>
        <v>3780.74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-3780.74</v>
      </c>
      <c r="Y36" s="1"/>
      <c r="Z36" s="5">
        <f t="shared" ref="Z36:Z43" si="23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>
        <v>314.20999999999998</v>
      </c>
      <c r="I37" s="2"/>
      <c r="J37" s="7">
        <f t="shared" si="17"/>
        <v>0</v>
      </c>
      <c r="K37" s="2"/>
      <c r="L37" s="6">
        <f t="shared" si="18"/>
        <v>-314.20999999999998</v>
      </c>
      <c r="M37" s="2"/>
      <c r="N37" s="7">
        <f t="shared" si="19"/>
        <v>-1</v>
      </c>
      <c r="O37" s="10"/>
      <c r="P37" s="6"/>
      <c r="Q37" s="2"/>
      <c r="R37" s="7">
        <f t="shared" si="20"/>
        <v>0</v>
      </c>
      <c r="S37" s="2"/>
      <c r="T37" s="6">
        <v>3780.74</v>
      </c>
      <c r="U37" s="2"/>
      <c r="V37" s="7">
        <f t="shared" si="21"/>
        <v>0</v>
      </c>
      <c r="W37" s="2"/>
      <c r="X37" s="6">
        <f t="shared" si="22"/>
        <v>-3780.74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492.91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492.91</v>
      </c>
      <c r="M38" s="1"/>
      <c r="N38" s="5">
        <f t="shared" si="19"/>
        <v>0</v>
      </c>
      <c r="O38" s="12"/>
      <c r="P38" s="1">
        <f>SUM(OSRRefP22_3x_0)</f>
        <v>3880.4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3880.4</v>
      </c>
      <c r="Y38" s="1"/>
      <c r="Z38" s="5">
        <f t="shared" si="23"/>
        <v>0</v>
      </c>
    </row>
    <row r="39" spans="1:26" s="23" customFormat="1" hidden="1" outlineLevel="2" x14ac:dyDescent="0.25">
      <c r="A39" s="25"/>
      <c r="B39" s="10" t="str">
        <f>CONCATENATE("          ", "6381", " - ", "BANK/CREDIT CARD FEES")</f>
        <v xml:space="preserve">          6381 - BANK/CREDIT CARD FEES</v>
      </c>
      <c r="C39" s="10"/>
      <c r="D39" s="6">
        <v>492.91</v>
      </c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492.91</v>
      </c>
      <c r="M39" s="2"/>
      <c r="N39" s="7">
        <f t="shared" si="19"/>
        <v>0</v>
      </c>
      <c r="O39" s="10"/>
      <c r="P39" s="6">
        <v>3880.4</v>
      </c>
      <c r="Q39" s="2"/>
      <c r="R39" s="7">
        <f t="shared" si="20"/>
        <v>0</v>
      </c>
      <c r="S39" s="2"/>
      <c r="T39" s="6"/>
      <c r="U39" s="2"/>
      <c r="V39" s="7">
        <f t="shared" si="21"/>
        <v>0</v>
      </c>
      <c r="W39" s="2"/>
      <c r="X39" s="6">
        <f t="shared" si="22"/>
        <v>3880.4</v>
      </c>
      <c r="Y39" s="2"/>
      <c r="Z39" s="7">
        <f t="shared" si="23"/>
        <v>0</v>
      </c>
    </row>
    <row r="40" spans="1:26" s="26" customFormat="1" outlineLevel="1" collapsed="1" x14ac:dyDescent="0.25">
      <c r="A40" s="27"/>
      <c r="B40" s="12" t="str">
        <f>CONCATENATE("     ","Depreciation                                      ")</f>
        <v xml:space="preserve">     Depreciation                                      </v>
      </c>
      <c r="C40" s="12"/>
      <c r="D40" s="1">
        <f>SUM(OSRRefD22_4x_0)</f>
        <v>6779.8600000000006</v>
      </c>
      <c r="E40" s="1"/>
      <c r="F40" s="5">
        <f t="shared" si="16"/>
        <v>0</v>
      </c>
      <c r="G40" s="1"/>
      <c r="H40" s="1">
        <f>SUM(OSRRefH22_4x_0)</f>
        <v>7688.7</v>
      </c>
      <c r="I40" s="1"/>
      <c r="J40" s="5">
        <f t="shared" si="17"/>
        <v>0</v>
      </c>
      <c r="K40" s="1"/>
      <c r="L40" s="1">
        <f t="shared" si="18"/>
        <v>-908.83999999999924</v>
      </c>
      <c r="M40" s="1"/>
      <c r="N40" s="5">
        <f t="shared" si="19"/>
        <v>-0.11820463797521027</v>
      </c>
      <c r="O40" s="12"/>
      <c r="P40" s="1">
        <f>SUM(OSRRefP22_4x_0)</f>
        <v>61802.930000000008</v>
      </c>
      <c r="Q40" s="1"/>
      <c r="R40" s="5">
        <f t="shared" si="20"/>
        <v>0</v>
      </c>
      <c r="S40" s="1"/>
      <c r="T40" s="1">
        <f>SUM(OSRRefT22_4x_0)</f>
        <v>63584.94</v>
      </c>
      <c r="U40" s="1"/>
      <c r="V40" s="5">
        <f t="shared" si="21"/>
        <v>0</v>
      </c>
      <c r="W40" s="1"/>
      <c r="X40" s="1">
        <f t="shared" si="22"/>
        <v>-1782.0099999999948</v>
      </c>
      <c r="Y40" s="1"/>
      <c r="Z40" s="5">
        <f t="shared" si="23"/>
        <v>-2.8025661422343005E-2</v>
      </c>
    </row>
    <row r="41" spans="1:26" s="23" customFormat="1" hidden="1" outlineLevel="2" x14ac:dyDescent="0.25">
      <c r="A41" s="25"/>
      <c r="B41" s="10" t="str">
        <f>CONCATENATE("          ", "6321", " - ", "BUILDING DEPRECIATION")</f>
        <v xml:space="preserve">          6321 - BUILDING DEPRECIATION</v>
      </c>
      <c r="C41" s="10"/>
      <c r="D41" s="6">
        <v>1822.68</v>
      </c>
      <c r="E41" s="2"/>
      <c r="F41" s="7">
        <f t="shared" si="16"/>
        <v>0</v>
      </c>
      <c r="G41" s="2"/>
      <c r="H41" s="6">
        <v>2266.9499999999998</v>
      </c>
      <c r="I41" s="2"/>
      <c r="J41" s="7">
        <f t="shared" si="17"/>
        <v>0</v>
      </c>
      <c r="K41" s="2"/>
      <c r="L41" s="6">
        <f t="shared" si="18"/>
        <v>-444.26999999999975</v>
      </c>
      <c r="M41" s="2"/>
      <c r="N41" s="7">
        <f t="shared" si="19"/>
        <v>-0.19597697346655188</v>
      </c>
      <c r="O41" s="10"/>
      <c r="P41" s="6">
        <v>17188.310000000001</v>
      </c>
      <c r="Q41" s="2"/>
      <c r="R41" s="7">
        <f t="shared" si="20"/>
        <v>0</v>
      </c>
      <c r="S41" s="2"/>
      <c r="T41" s="6">
        <v>20402.55</v>
      </c>
      <c r="U41" s="2"/>
      <c r="V41" s="7">
        <f t="shared" si="21"/>
        <v>0</v>
      </c>
      <c r="W41" s="2"/>
      <c r="X41" s="6">
        <f t="shared" si="22"/>
        <v>-3214.239999999998</v>
      </c>
      <c r="Y41" s="2"/>
      <c r="Z41" s="7">
        <f t="shared" si="23"/>
        <v>-0.15754109167726574</v>
      </c>
    </row>
    <row r="42" spans="1:26" s="23" customFormat="1" hidden="1" outlineLevel="2" x14ac:dyDescent="0.25">
      <c r="A42" s="25"/>
      <c r="B42" s="10" t="str">
        <f>CONCATENATE("          ", "6322", " - ", "EQUIPMENT DEPRECIATION EXPENSE")</f>
        <v xml:space="preserve">          6322 - EQUIPMENT DEPRECIATION EXPENSE</v>
      </c>
      <c r="C42" s="10"/>
      <c r="D42" s="6">
        <v>4957.18</v>
      </c>
      <c r="E42" s="2"/>
      <c r="F42" s="7">
        <f t="shared" si="16"/>
        <v>0</v>
      </c>
      <c r="G42" s="2"/>
      <c r="H42" s="6">
        <v>4997.5</v>
      </c>
      <c r="I42" s="2"/>
      <c r="J42" s="7">
        <f t="shared" si="17"/>
        <v>0</v>
      </c>
      <c r="K42" s="2"/>
      <c r="L42" s="6">
        <f t="shared" si="18"/>
        <v>-40.319999999999709</v>
      </c>
      <c r="M42" s="2"/>
      <c r="N42" s="7">
        <f t="shared" si="19"/>
        <v>-8.0680340170084467E-3</v>
      </c>
      <c r="O42" s="10"/>
      <c r="P42" s="6">
        <v>44614.62</v>
      </c>
      <c r="Q42" s="2"/>
      <c r="R42" s="7">
        <f t="shared" si="20"/>
        <v>0</v>
      </c>
      <c r="S42" s="2"/>
      <c r="T42" s="6">
        <v>39364.14</v>
      </c>
      <c r="U42" s="2"/>
      <c r="V42" s="7">
        <f t="shared" si="21"/>
        <v>0</v>
      </c>
      <c r="W42" s="2"/>
      <c r="X42" s="6">
        <f t="shared" si="22"/>
        <v>5250.4800000000032</v>
      </c>
      <c r="Y42" s="2"/>
      <c r="Z42" s="7">
        <f t="shared" si="23"/>
        <v>0.13338231192145955</v>
      </c>
    </row>
    <row r="43" spans="1:26" s="23" customFormat="1" hidden="1" outlineLevel="2" x14ac:dyDescent="0.25">
      <c r="A43" s="25"/>
      <c r="B43" s="10" t="str">
        <f>CONCATENATE("          ", "6326", " - ", "VEHICLES DEPRECIATION EXPENSE")</f>
        <v xml:space="preserve">          6326 - VEHICLES DEPRECIATION EXPENSE</v>
      </c>
      <c r="C43" s="10"/>
      <c r="D43" s="6"/>
      <c r="E43" s="2"/>
      <c r="F43" s="7">
        <f t="shared" si="16"/>
        <v>0</v>
      </c>
      <c r="G43" s="2"/>
      <c r="H43" s="6">
        <v>424.25</v>
      </c>
      <c r="I43" s="2"/>
      <c r="J43" s="7">
        <f t="shared" si="17"/>
        <v>0</v>
      </c>
      <c r="K43" s="2"/>
      <c r="L43" s="6">
        <f t="shared" si="18"/>
        <v>-424.25</v>
      </c>
      <c r="M43" s="2"/>
      <c r="N43" s="7">
        <f t="shared" si="19"/>
        <v>-1</v>
      </c>
      <c r="O43" s="10"/>
      <c r="P43" s="6"/>
      <c r="Q43" s="2"/>
      <c r="R43" s="7">
        <f t="shared" si="20"/>
        <v>0</v>
      </c>
      <c r="S43" s="2"/>
      <c r="T43" s="6">
        <v>3818.25</v>
      </c>
      <c r="U43" s="2"/>
      <c r="V43" s="7">
        <f t="shared" si="21"/>
        <v>0</v>
      </c>
      <c r="W43" s="2"/>
      <c r="X43" s="6">
        <f t="shared" si="22"/>
        <v>-3818.25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2" t="str">
        <f>CONCATENATE("     ","Donations                                         ")</f>
        <v xml:space="preserve">     Donations                                         </v>
      </c>
      <c r="C44" s="12"/>
      <c r="D44" s="1">
        <f>SUM(OSRRefD22_5x_0)</f>
        <v>0</v>
      </c>
      <c r="E44" s="1"/>
      <c r="F44" s="5">
        <f t="shared" ref="F44:F62" si="24">IF(D$12=0,0,D44/D$12)</f>
        <v>0</v>
      </c>
      <c r="G44" s="1"/>
      <c r="H44" s="1">
        <f>SUM(OSRRefH22_5x_0)</f>
        <v>0</v>
      </c>
      <c r="I44" s="1"/>
      <c r="J44" s="5">
        <f t="shared" ref="J44:J62" si="25">IF(H$12=0,0,H44/H$12)</f>
        <v>0</v>
      </c>
      <c r="K44" s="1"/>
      <c r="L44" s="1">
        <f t="shared" ref="L44:L62" si="26">+D44-H44</f>
        <v>0</v>
      </c>
      <c r="M44" s="1"/>
      <c r="N44" s="5">
        <f t="shared" ref="N44:N62" si="27">IF(H44=0,0,L44/H44)</f>
        <v>0</v>
      </c>
      <c r="O44" s="12"/>
      <c r="P44" s="1">
        <f>SUM(OSRRefP22_5x_0)</f>
        <v>0</v>
      </c>
      <c r="Q44" s="1"/>
      <c r="R44" s="5">
        <f t="shared" ref="R44:R62" si="28">IF(P$12=0,0,P44/P$12)</f>
        <v>0</v>
      </c>
      <c r="S44" s="1"/>
      <c r="T44" s="1">
        <f>SUM(OSRRefT22_5x_0)</f>
        <v>163.68</v>
      </c>
      <c r="U44" s="1"/>
      <c r="V44" s="5">
        <f t="shared" ref="V44:V62" si="29">IF(T$12=0,0,T44/T$12)</f>
        <v>0</v>
      </c>
      <c r="W44" s="1"/>
      <c r="X44" s="1">
        <f t="shared" ref="X44:X62" si="30">+P44-T44</f>
        <v>-163.68</v>
      </c>
      <c r="Y44" s="1"/>
      <c r="Z44" s="5">
        <f t="shared" ref="Z44:Z62" si="31">IF(T44=0,0,X44/T44)</f>
        <v>-1</v>
      </c>
    </row>
    <row r="45" spans="1:26" s="23" customFormat="1" hidden="1" outlineLevel="2" x14ac:dyDescent="0.25">
      <c r="A45" s="25"/>
      <c r="B45" s="10" t="str">
        <f>CONCATENATE("          ", "6399", " - ", "DONATION-ON CAMPUS")</f>
        <v xml:space="preserve">          6399 - DONATION-ON CAMPUS</v>
      </c>
      <c r="C45" s="10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0"/>
      <c r="P45" s="6"/>
      <c r="Q45" s="2"/>
      <c r="R45" s="7">
        <f t="shared" si="28"/>
        <v>0</v>
      </c>
      <c r="S45" s="2"/>
      <c r="T45" s="6">
        <v>163.68</v>
      </c>
      <c r="U45" s="2"/>
      <c r="V45" s="7">
        <f t="shared" si="29"/>
        <v>0</v>
      </c>
      <c r="W45" s="2"/>
      <c r="X45" s="6">
        <f t="shared" si="30"/>
        <v>-163.68</v>
      </c>
      <c r="Y45" s="2"/>
      <c r="Z45" s="7">
        <f t="shared" si="31"/>
        <v>-1</v>
      </c>
    </row>
    <row r="46" spans="1:26" s="26" customFormat="1" outlineLevel="1" collapsed="1" x14ac:dyDescent="0.25">
      <c r="A46" s="27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136.22</v>
      </c>
      <c r="I46" s="1"/>
      <c r="J46" s="5">
        <f t="shared" si="25"/>
        <v>0</v>
      </c>
      <c r="K46" s="1"/>
      <c r="L46" s="1">
        <f t="shared" si="26"/>
        <v>-136.22</v>
      </c>
      <c r="M46" s="1"/>
      <c r="N46" s="5">
        <f t="shared" si="27"/>
        <v>-1</v>
      </c>
      <c r="O46" s="12"/>
      <c r="P46" s="1">
        <f>SUM(OSRRefP22_6x_0)</f>
        <v>0</v>
      </c>
      <c r="Q46" s="1"/>
      <c r="R46" s="5">
        <f t="shared" si="28"/>
        <v>0</v>
      </c>
      <c r="S46" s="1"/>
      <c r="T46" s="1">
        <f>SUM(OSRRefT22_6x_0)</f>
        <v>502.38</v>
      </c>
      <c r="U46" s="1"/>
      <c r="V46" s="5">
        <f t="shared" si="29"/>
        <v>0</v>
      </c>
      <c r="W46" s="1"/>
      <c r="X46" s="1">
        <f t="shared" si="30"/>
        <v>-502.38</v>
      </c>
      <c r="Y46" s="1"/>
      <c r="Z46" s="5">
        <f t="shared" si="31"/>
        <v>-1</v>
      </c>
    </row>
    <row r="47" spans="1:26" s="23" customFormat="1" hidden="1" outlineLevel="2" x14ac:dyDescent="0.25">
      <c r="A47" s="25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24"/>
        <v>0</v>
      </c>
      <c r="G47" s="2"/>
      <c r="H47" s="6">
        <v>136.22</v>
      </c>
      <c r="I47" s="2"/>
      <c r="J47" s="7">
        <f t="shared" si="25"/>
        <v>0</v>
      </c>
      <c r="K47" s="2"/>
      <c r="L47" s="6">
        <f t="shared" si="26"/>
        <v>-136.22</v>
      </c>
      <c r="M47" s="2"/>
      <c r="N47" s="7">
        <f t="shared" si="27"/>
        <v>-1</v>
      </c>
      <c r="O47" s="10"/>
      <c r="P47" s="6"/>
      <c r="Q47" s="2"/>
      <c r="R47" s="7">
        <f t="shared" si="28"/>
        <v>0</v>
      </c>
      <c r="S47" s="2"/>
      <c r="T47" s="6">
        <v>502.38</v>
      </c>
      <c r="U47" s="2"/>
      <c r="V47" s="7">
        <f t="shared" si="29"/>
        <v>0</v>
      </c>
      <c r="W47" s="2"/>
      <c r="X47" s="6">
        <f t="shared" si="30"/>
        <v>-502.38</v>
      </c>
      <c r="Y47" s="2"/>
      <c r="Z47" s="7">
        <f t="shared" si="31"/>
        <v>-1</v>
      </c>
    </row>
    <row r="48" spans="1:26" s="26" customFormat="1" outlineLevel="1" collapsed="1" x14ac:dyDescent="0.25">
      <c r="A48" s="27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91.26</v>
      </c>
      <c r="E48" s="1"/>
      <c r="F48" s="5">
        <f t="shared" si="24"/>
        <v>0</v>
      </c>
      <c r="G48" s="1"/>
      <c r="H48" s="1">
        <f>SUM(OSRRefH22_7x_0)</f>
        <v>916.05</v>
      </c>
      <c r="I48" s="1"/>
      <c r="J48" s="5">
        <f t="shared" si="25"/>
        <v>0</v>
      </c>
      <c r="K48" s="1"/>
      <c r="L48" s="1">
        <f t="shared" si="26"/>
        <v>-824.79</v>
      </c>
      <c r="M48" s="1"/>
      <c r="N48" s="5">
        <f t="shared" si="27"/>
        <v>-0.90037661699688887</v>
      </c>
      <c r="O48" s="12"/>
      <c r="P48" s="1">
        <f>SUM(OSRRefP22_7x_0)</f>
        <v>3019.49</v>
      </c>
      <c r="Q48" s="1"/>
      <c r="R48" s="5">
        <f t="shared" si="28"/>
        <v>0</v>
      </c>
      <c r="S48" s="1"/>
      <c r="T48" s="1">
        <f>SUM(OSRRefT22_7x_0)</f>
        <v>9633.1200000000008</v>
      </c>
      <c r="U48" s="1"/>
      <c r="V48" s="5">
        <f t="shared" si="29"/>
        <v>0</v>
      </c>
      <c r="W48" s="1"/>
      <c r="X48" s="1">
        <f t="shared" si="30"/>
        <v>-6613.630000000001</v>
      </c>
      <c r="Y48" s="1"/>
      <c r="Z48" s="5">
        <f t="shared" si="31"/>
        <v>-0.68655119006095644</v>
      </c>
    </row>
    <row r="49" spans="1:26" s="23" customFormat="1" hidden="1" outlineLevel="2" x14ac:dyDescent="0.25">
      <c r="A49" s="25"/>
      <c r="B49" s="10" t="str">
        <f>CONCATENATE("          ", "6351", " - ", "EQUIPMENT RENTAL")</f>
        <v xml:space="preserve">          6351 - EQUIPMENT RENTAL</v>
      </c>
      <c r="C49" s="10"/>
      <c r="D49" s="6">
        <v>91.26</v>
      </c>
      <c r="E49" s="2"/>
      <c r="F49" s="7">
        <f t="shared" si="24"/>
        <v>0</v>
      </c>
      <c r="G49" s="2"/>
      <c r="H49" s="6">
        <v>916.05</v>
      </c>
      <c r="I49" s="2"/>
      <c r="J49" s="7">
        <f t="shared" si="25"/>
        <v>0</v>
      </c>
      <c r="K49" s="2"/>
      <c r="L49" s="6">
        <f t="shared" si="26"/>
        <v>-824.79</v>
      </c>
      <c r="M49" s="2"/>
      <c r="N49" s="7">
        <f t="shared" si="27"/>
        <v>-0.90037661699688887</v>
      </c>
      <c r="O49" s="10"/>
      <c r="P49" s="6">
        <v>3019.49</v>
      </c>
      <c r="Q49" s="2"/>
      <c r="R49" s="7">
        <f t="shared" si="28"/>
        <v>0</v>
      </c>
      <c r="S49" s="2"/>
      <c r="T49" s="6">
        <v>9633.1200000000008</v>
      </c>
      <c r="U49" s="2"/>
      <c r="V49" s="7">
        <f t="shared" si="29"/>
        <v>0</v>
      </c>
      <c r="W49" s="2"/>
      <c r="X49" s="6">
        <f t="shared" si="30"/>
        <v>-6613.630000000001</v>
      </c>
      <c r="Y49" s="2"/>
      <c r="Z49" s="7">
        <f t="shared" si="31"/>
        <v>-0.68655119006095644</v>
      </c>
    </row>
    <row r="50" spans="1:26" s="26" customFormat="1" outlineLevel="1" collapsed="1" x14ac:dyDescent="0.25">
      <c r="A50" s="27"/>
      <c r="B50" s="12" t="str">
        <f>CONCATENATE("     ","Freight out/Postage                               ")</f>
        <v xml:space="preserve">     Freight out/Postage                               </v>
      </c>
      <c r="C50" s="12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2"/>
      <c r="P50" s="1">
        <f>SUM(OSRRefP22_8x_0)</f>
        <v>-5.41</v>
      </c>
      <c r="Q50" s="1"/>
      <c r="R50" s="5">
        <f t="shared" si="28"/>
        <v>0</v>
      </c>
      <c r="S50" s="1"/>
      <c r="T50" s="1">
        <f>SUM(OSRRefT22_8x_0)</f>
        <v>0</v>
      </c>
      <c r="U50" s="1"/>
      <c r="V50" s="5">
        <f t="shared" si="29"/>
        <v>0</v>
      </c>
      <c r="W50" s="1"/>
      <c r="X50" s="1">
        <f t="shared" si="30"/>
        <v>-5.41</v>
      </c>
      <c r="Y50" s="1"/>
      <c r="Z50" s="5">
        <f t="shared" si="31"/>
        <v>0</v>
      </c>
    </row>
    <row r="51" spans="1:26" s="23" customFormat="1" hidden="1" outlineLevel="2" x14ac:dyDescent="0.25">
      <c r="A51" s="25"/>
      <c r="B51" s="10" t="str">
        <f>CONCATENATE("          ", "6307", " - ", "POSTAGE")</f>
        <v xml:space="preserve">          6307 - POSTAGE</v>
      </c>
      <c r="C51" s="10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0"/>
      <c r="P51" s="6">
        <v>-5.41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-5.41</v>
      </c>
      <c r="Y51" s="2"/>
      <c r="Z51" s="7">
        <f t="shared" si="31"/>
        <v>0</v>
      </c>
    </row>
    <row r="52" spans="1:26" s="26" customFormat="1" outlineLevel="1" collapsed="1" x14ac:dyDescent="0.25">
      <c r="A52" s="27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SUM(OSRRefD22_9x_0)</f>
        <v>0</v>
      </c>
      <c r="E52" s="1"/>
      <c r="F52" s="5">
        <f t="shared" si="24"/>
        <v>0</v>
      </c>
      <c r="G52" s="1"/>
      <c r="H52" s="1">
        <f>SUM(OSRRefH22_9x_0)</f>
        <v>0</v>
      </c>
      <c r="I52" s="1"/>
      <c r="J52" s="5">
        <f t="shared" si="25"/>
        <v>0</v>
      </c>
      <c r="K52" s="1"/>
      <c r="L52" s="1">
        <f t="shared" si="26"/>
        <v>0</v>
      </c>
      <c r="M52" s="1"/>
      <c r="N52" s="5">
        <f t="shared" si="27"/>
        <v>0</v>
      </c>
      <c r="O52" s="12"/>
      <c r="P52" s="1">
        <f>SUM(OSRRefP22_9x_0)</f>
        <v>516.41</v>
      </c>
      <c r="Q52" s="1"/>
      <c r="R52" s="5">
        <f t="shared" si="28"/>
        <v>0</v>
      </c>
      <c r="S52" s="1"/>
      <c r="T52" s="1">
        <f>SUM(OSRRefT22_9x_0)</f>
        <v>23117.71</v>
      </c>
      <c r="U52" s="1"/>
      <c r="V52" s="5">
        <f t="shared" si="29"/>
        <v>0</v>
      </c>
      <c r="W52" s="1"/>
      <c r="X52" s="1">
        <f t="shared" si="30"/>
        <v>-22601.3</v>
      </c>
      <c r="Y52" s="1"/>
      <c r="Z52" s="5">
        <f t="shared" si="31"/>
        <v>-0.97766171476327024</v>
      </c>
    </row>
    <row r="53" spans="1:26" s="23" customFormat="1" hidden="1" outlineLevel="2" x14ac:dyDescent="0.25">
      <c r="A53" s="25"/>
      <c r="B53" s="10" t="str">
        <f>CONCATENATE("          ", "6279", " - ", "GENERAL EXPENSE")</f>
        <v xml:space="preserve">          6279 - GENERAL EXPENSE</v>
      </c>
      <c r="C53" s="10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0"/>
      <c r="P53" s="6">
        <v>516.41</v>
      </c>
      <c r="Q53" s="2"/>
      <c r="R53" s="7">
        <f t="shared" si="28"/>
        <v>0</v>
      </c>
      <c r="S53" s="2"/>
      <c r="T53" s="6">
        <v>23117.71</v>
      </c>
      <c r="U53" s="2"/>
      <c r="V53" s="7">
        <f t="shared" si="29"/>
        <v>0</v>
      </c>
      <c r="W53" s="2"/>
      <c r="X53" s="6">
        <f t="shared" si="30"/>
        <v>-22601.3</v>
      </c>
      <c r="Y53" s="2"/>
      <c r="Z53" s="7">
        <f t="shared" si="31"/>
        <v>-0.97766171476327024</v>
      </c>
    </row>
    <row r="54" spans="1:26" s="26" customFormat="1" outlineLevel="1" collapsed="1" x14ac:dyDescent="0.25">
      <c r="A54" s="27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SUM(OSRRefD22_10x_0)</f>
        <v>3598.85</v>
      </c>
      <c r="E54" s="1"/>
      <c r="F54" s="5">
        <f t="shared" si="24"/>
        <v>0</v>
      </c>
      <c r="G54" s="1"/>
      <c r="H54" s="1">
        <f>SUM(OSRRefH22_10x_0)</f>
        <v>3598.85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2"/>
      <c r="P54" s="1">
        <f>SUM(OSRRefP22_10x_0)</f>
        <v>38501.65</v>
      </c>
      <c r="Q54" s="1"/>
      <c r="R54" s="5">
        <f t="shared" si="28"/>
        <v>0</v>
      </c>
      <c r="S54" s="1"/>
      <c r="T54" s="1">
        <f>SUM(OSRRefT22_10x_0)</f>
        <v>38150.65</v>
      </c>
      <c r="U54" s="1"/>
      <c r="V54" s="5">
        <f t="shared" si="29"/>
        <v>0</v>
      </c>
      <c r="W54" s="1"/>
      <c r="X54" s="1">
        <f t="shared" si="30"/>
        <v>351</v>
      </c>
      <c r="Y54" s="1"/>
      <c r="Z54" s="5">
        <f t="shared" si="31"/>
        <v>9.2003674904621545E-3</v>
      </c>
    </row>
    <row r="55" spans="1:26" s="23" customFormat="1" hidden="1" outlineLevel="2" x14ac:dyDescent="0.25">
      <c r="A55" s="25"/>
      <c r="B55" s="10" t="str">
        <f>CONCATENATE("          ", "6314", " - ", "LIABILITY INSURANCE")</f>
        <v xml:space="preserve">          6314 - LIABILITY INSURANCE</v>
      </c>
      <c r="C55" s="10"/>
      <c r="D55" s="6">
        <v>3598.85</v>
      </c>
      <c r="E55" s="2"/>
      <c r="F55" s="7">
        <f t="shared" si="24"/>
        <v>0</v>
      </c>
      <c r="G55" s="2"/>
      <c r="H55" s="6">
        <v>3598.85</v>
      </c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0"/>
      <c r="P55" s="6">
        <v>38501.65</v>
      </c>
      <c r="Q55" s="2"/>
      <c r="R55" s="7">
        <f t="shared" si="28"/>
        <v>0</v>
      </c>
      <c r="S55" s="2"/>
      <c r="T55" s="6">
        <v>38150.65</v>
      </c>
      <c r="U55" s="2"/>
      <c r="V55" s="7">
        <f t="shared" si="29"/>
        <v>0</v>
      </c>
      <c r="W55" s="2"/>
      <c r="X55" s="6">
        <f t="shared" si="30"/>
        <v>351</v>
      </c>
      <c r="Y55" s="2"/>
      <c r="Z55" s="7">
        <f t="shared" si="31"/>
        <v>9.2003674904621545E-3</v>
      </c>
    </row>
    <row r="56" spans="1:26" s="26" customFormat="1" outlineLevel="1" collapsed="1" x14ac:dyDescent="0.25">
      <c r="A56" s="27"/>
      <c r="B56" s="12" t="str">
        <f>CONCATENATE("     ","Professional Services                             ")</f>
        <v xml:space="preserve">     Professional Services                             </v>
      </c>
      <c r="C56" s="12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2"/>
      <c r="P56" s="1">
        <f>SUM(OSRRefP22_11x_0)</f>
        <v>0</v>
      </c>
      <c r="Q56" s="1"/>
      <c r="R56" s="5">
        <f t="shared" si="28"/>
        <v>0</v>
      </c>
      <c r="S56" s="1"/>
      <c r="T56" s="1">
        <f>SUM(OSRRefT22_11x_0)</f>
        <v>125</v>
      </c>
      <c r="U56" s="1"/>
      <c r="V56" s="5">
        <f t="shared" si="29"/>
        <v>0</v>
      </c>
      <c r="W56" s="1"/>
      <c r="X56" s="1">
        <f t="shared" si="30"/>
        <v>-125</v>
      </c>
      <c r="Y56" s="1"/>
      <c r="Z56" s="5">
        <f t="shared" si="31"/>
        <v>-1</v>
      </c>
    </row>
    <row r="57" spans="1:26" s="23" customFormat="1" hidden="1" outlineLevel="2" x14ac:dyDescent="0.25">
      <c r="A57" s="25"/>
      <c r="B57" s="10" t="str">
        <f>CONCATENATE("          ", "6336", " - ", "PROFESSIONAL SERVICES")</f>
        <v xml:space="preserve">          6336 - PROFESSIONAL SERVICES</v>
      </c>
      <c r="C57" s="10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0"/>
      <c r="P57" s="6"/>
      <c r="Q57" s="2"/>
      <c r="R57" s="7">
        <f t="shared" si="28"/>
        <v>0</v>
      </c>
      <c r="S57" s="2"/>
      <c r="T57" s="6">
        <v>125</v>
      </c>
      <c r="U57" s="2"/>
      <c r="V57" s="7">
        <f t="shared" si="29"/>
        <v>0</v>
      </c>
      <c r="W57" s="2"/>
      <c r="X57" s="6">
        <f t="shared" si="30"/>
        <v>-125</v>
      </c>
      <c r="Y57" s="2"/>
      <c r="Z57" s="7">
        <f t="shared" si="31"/>
        <v>-1</v>
      </c>
    </row>
    <row r="58" spans="1:26" s="26" customFormat="1" outlineLevel="1" collapsed="1" x14ac:dyDescent="0.25">
      <c r="A58" s="27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SUM(OSRRefD22_12x_0)</f>
        <v>3575.48</v>
      </c>
      <c r="E58" s="1"/>
      <c r="F58" s="5">
        <f t="shared" si="24"/>
        <v>0</v>
      </c>
      <c r="G58" s="1"/>
      <c r="H58" s="1">
        <f>SUM(OSRRefH22_12x_0)</f>
        <v>5973.49</v>
      </c>
      <c r="I58" s="1"/>
      <c r="J58" s="5">
        <f t="shared" si="25"/>
        <v>0</v>
      </c>
      <c r="K58" s="1"/>
      <c r="L58" s="1">
        <f t="shared" si="26"/>
        <v>-2398.0099999999998</v>
      </c>
      <c r="M58" s="1"/>
      <c r="N58" s="5">
        <f t="shared" si="27"/>
        <v>-0.4014420380715461</v>
      </c>
      <c r="O58" s="12"/>
      <c r="P58" s="1">
        <f>SUM(OSRRefP22_12x_0)</f>
        <v>8241.84</v>
      </c>
      <c r="Q58" s="1"/>
      <c r="R58" s="5">
        <f t="shared" si="28"/>
        <v>0</v>
      </c>
      <c r="S58" s="1"/>
      <c r="T58" s="1">
        <f>SUM(OSRRefT22_12x_0)</f>
        <v>99783.59</v>
      </c>
      <c r="U58" s="1"/>
      <c r="V58" s="5">
        <f t="shared" si="29"/>
        <v>0</v>
      </c>
      <c r="W58" s="1"/>
      <c r="X58" s="1">
        <f t="shared" si="30"/>
        <v>-91541.75</v>
      </c>
      <c r="Y58" s="1"/>
      <c r="Z58" s="5">
        <f t="shared" si="31"/>
        <v>-0.91740285151095491</v>
      </c>
    </row>
    <row r="59" spans="1:26" s="23" customFormat="1" hidden="1" outlineLevel="2" x14ac:dyDescent="0.25">
      <c r="A59" s="25"/>
      <c r="B59" s="10" t="str">
        <f>CONCATENATE("          ", "6371", " - ", "COMPUTER SOFTWARE MAINTENANCE")</f>
        <v xml:space="preserve">          6371 - COMPUTER SOFTWARE MAINTENANCE</v>
      </c>
      <c r="C59" s="10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0"/>
      <c r="P59" s="6">
        <v>702.27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702.27</v>
      </c>
      <c r="Y59" s="2"/>
      <c r="Z59" s="7">
        <f t="shared" si="31"/>
        <v>0</v>
      </c>
    </row>
    <row r="60" spans="1:26" s="23" customFormat="1" hidden="1" outlineLevel="2" x14ac:dyDescent="0.25">
      <c r="A60" s="25"/>
      <c r="B60" s="10" t="str">
        <f>CONCATENATE("          ", "6372", " - ", "COMPUTER HARDWARE MAINTENANCE")</f>
        <v xml:space="preserve">          6372 - COMPUTER HARDWARE MAINTENANCE</v>
      </c>
      <c r="C60" s="10"/>
      <c r="D60" s="6">
        <v>100</v>
      </c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100</v>
      </c>
      <c r="M60" s="2"/>
      <c r="N60" s="7">
        <f t="shared" si="27"/>
        <v>0</v>
      </c>
      <c r="O60" s="10"/>
      <c r="P60" s="6">
        <v>100</v>
      </c>
      <c r="Q60" s="2"/>
      <c r="R60" s="7">
        <f t="shared" si="28"/>
        <v>0</v>
      </c>
      <c r="S60" s="2"/>
      <c r="T60" s="6"/>
      <c r="U60" s="2"/>
      <c r="V60" s="7">
        <f t="shared" si="29"/>
        <v>0</v>
      </c>
      <c r="W60" s="2"/>
      <c r="X60" s="6">
        <f t="shared" si="30"/>
        <v>100</v>
      </c>
      <c r="Y60" s="2"/>
      <c r="Z60" s="7">
        <f t="shared" si="31"/>
        <v>0</v>
      </c>
    </row>
    <row r="61" spans="1:26" s="23" customFormat="1" hidden="1" outlineLevel="2" x14ac:dyDescent="0.25">
      <c r="A61" s="25"/>
      <c r="B61" s="10" t="str">
        <f>CONCATENATE("          ", "6373", " - ", "MAINTENANCE CONTRACTS")</f>
        <v xml:space="preserve">          6373 - MAINTENANCE CONTRACTS</v>
      </c>
      <c r="C61" s="10"/>
      <c r="D61" s="6">
        <v>84.41</v>
      </c>
      <c r="E61" s="2"/>
      <c r="F61" s="7">
        <f t="shared" si="24"/>
        <v>0</v>
      </c>
      <c r="G61" s="2"/>
      <c r="H61" s="6">
        <v>5099.88</v>
      </c>
      <c r="I61" s="2"/>
      <c r="J61" s="7">
        <f t="shared" si="25"/>
        <v>0</v>
      </c>
      <c r="K61" s="2"/>
      <c r="L61" s="6">
        <f t="shared" si="26"/>
        <v>-5015.47</v>
      </c>
      <c r="M61" s="2"/>
      <c r="N61" s="7">
        <f t="shared" si="27"/>
        <v>-0.98344863016384698</v>
      </c>
      <c r="O61" s="10"/>
      <c r="P61" s="6">
        <v>2215.61</v>
      </c>
      <c r="Q61" s="2"/>
      <c r="R61" s="7">
        <f t="shared" si="28"/>
        <v>0</v>
      </c>
      <c r="S61" s="2"/>
      <c r="T61" s="6">
        <v>53632.71</v>
      </c>
      <c r="U61" s="2"/>
      <c r="V61" s="7">
        <f t="shared" si="29"/>
        <v>0</v>
      </c>
      <c r="W61" s="2"/>
      <c r="X61" s="6">
        <f t="shared" si="30"/>
        <v>-51417.1</v>
      </c>
      <c r="Y61" s="2"/>
      <c r="Z61" s="7">
        <f t="shared" si="31"/>
        <v>-0.95868920291366966</v>
      </c>
    </row>
    <row r="62" spans="1:26" s="23" customFormat="1" hidden="1" outlineLevel="2" x14ac:dyDescent="0.25">
      <c r="A62" s="25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3391.07</v>
      </c>
      <c r="E62" s="2"/>
      <c r="F62" s="7">
        <f t="shared" si="24"/>
        <v>0</v>
      </c>
      <c r="G62" s="2"/>
      <c r="H62" s="6">
        <v>873.61</v>
      </c>
      <c r="I62" s="2"/>
      <c r="J62" s="7">
        <f t="shared" si="25"/>
        <v>0</v>
      </c>
      <c r="K62" s="2"/>
      <c r="L62" s="6">
        <f t="shared" si="26"/>
        <v>2517.46</v>
      </c>
      <c r="M62" s="2"/>
      <c r="N62" s="7">
        <f t="shared" si="27"/>
        <v>2.8816748892526411</v>
      </c>
      <c r="O62" s="10"/>
      <c r="P62" s="6">
        <v>5223.96</v>
      </c>
      <c r="Q62" s="2"/>
      <c r="R62" s="7">
        <f t="shared" si="28"/>
        <v>0</v>
      </c>
      <c r="S62" s="2"/>
      <c r="T62" s="6">
        <v>46150.879999999997</v>
      </c>
      <c r="U62" s="2"/>
      <c r="V62" s="7">
        <f t="shared" si="29"/>
        <v>0</v>
      </c>
      <c r="W62" s="2"/>
      <c r="X62" s="6">
        <f t="shared" si="30"/>
        <v>-40926.92</v>
      </c>
      <c r="Y62" s="2"/>
      <c r="Z62" s="7">
        <f t="shared" si="31"/>
        <v>-0.88680692545840945</v>
      </c>
    </row>
    <row r="63" spans="1:26" s="26" customFormat="1" outlineLevel="1" collapsed="1" x14ac:dyDescent="0.25">
      <c r="A63" s="27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SUM(OSRRefD22_13x_0)</f>
        <v>-2899.48</v>
      </c>
      <c r="E63" s="1"/>
      <c r="F63" s="5">
        <f t="shared" ref="F63:F68" si="32">IF(D$12=0,0,D63/D$12)</f>
        <v>0</v>
      </c>
      <c r="G63" s="1"/>
      <c r="H63" s="1">
        <f>SUM(OSRRefH22_13x_0)</f>
        <v>16291.07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-19190.55</v>
      </c>
      <c r="M63" s="1"/>
      <c r="N63" s="5">
        <f t="shared" ref="N63:N68" si="35">IF(H63=0,0,L63/H63)</f>
        <v>-1.1779797152673213</v>
      </c>
      <c r="O63" s="12"/>
      <c r="P63" s="1">
        <f>SUM(OSRRefP22_13x_0)</f>
        <v>22128.080000000002</v>
      </c>
      <c r="Q63" s="1"/>
      <c r="R63" s="5">
        <f t="shared" ref="R63:R68" si="36">IF(P$12=0,0,P63/P$12)</f>
        <v>0</v>
      </c>
      <c r="S63" s="1"/>
      <c r="T63" s="1">
        <f>SUM(OSRRefT22_13x_0)</f>
        <v>130903.21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-108775.13</v>
      </c>
      <c r="Y63" s="1"/>
      <c r="Z63" s="5">
        <f t="shared" ref="Z63:Z68" si="39">IF(T63=0,0,X63/T63)</f>
        <v>-0.83095846159922282</v>
      </c>
    </row>
    <row r="64" spans="1:26" s="23" customFormat="1" hidden="1" outlineLevel="2" x14ac:dyDescent="0.25">
      <c r="A64" s="25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1252.52</v>
      </c>
      <c r="E64" s="2"/>
      <c r="F64" s="7">
        <f t="shared" si="32"/>
        <v>0</v>
      </c>
      <c r="G64" s="2"/>
      <c r="H64" s="6">
        <v>626.26</v>
      </c>
      <c r="I64" s="2"/>
      <c r="J64" s="7">
        <f t="shared" si="33"/>
        <v>0</v>
      </c>
      <c r="K64" s="2"/>
      <c r="L64" s="6">
        <f t="shared" si="34"/>
        <v>626.26</v>
      </c>
      <c r="M64" s="2"/>
      <c r="N64" s="7">
        <f t="shared" si="35"/>
        <v>1</v>
      </c>
      <c r="O64" s="10"/>
      <c r="P64" s="6">
        <v>5010.08</v>
      </c>
      <c r="Q64" s="2"/>
      <c r="R64" s="7">
        <f t="shared" si="36"/>
        <v>0</v>
      </c>
      <c r="S64" s="2"/>
      <c r="T64" s="6">
        <v>6262.6</v>
      </c>
      <c r="U64" s="2"/>
      <c r="V64" s="7">
        <f t="shared" si="37"/>
        <v>0</v>
      </c>
      <c r="W64" s="2"/>
      <c r="X64" s="6">
        <f t="shared" si="38"/>
        <v>-1252.5200000000004</v>
      </c>
      <c r="Y64" s="2"/>
      <c r="Z64" s="7">
        <f t="shared" si="39"/>
        <v>-0.20000000000000007</v>
      </c>
    </row>
    <row r="65" spans="1:26" s="23" customFormat="1" hidden="1" outlineLevel="2" x14ac:dyDescent="0.25">
      <c r="A65" s="25"/>
      <c r="B65" s="10" t="str">
        <f>CONCATENATE("          ", "6283", " - ", "PLANT SERVICE")</f>
        <v xml:space="preserve">          6283 - PLANT SERVICE</v>
      </c>
      <c r="C65" s="10"/>
      <c r="D65" s="6"/>
      <c r="E65" s="2"/>
      <c r="F65" s="7">
        <f t="shared" si="32"/>
        <v>0</v>
      </c>
      <c r="G65" s="2"/>
      <c r="H65" s="6">
        <v>71.06</v>
      </c>
      <c r="I65" s="2"/>
      <c r="J65" s="7">
        <f t="shared" si="33"/>
        <v>0</v>
      </c>
      <c r="K65" s="2"/>
      <c r="L65" s="6">
        <f t="shared" si="34"/>
        <v>-71.06</v>
      </c>
      <c r="M65" s="2"/>
      <c r="N65" s="7">
        <f t="shared" si="35"/>
        <v>-1</v>
      </c>
      <c r="O65" s="10"/>
      <c r="P65" s="6"/>
      <c r="Q65" s="2"/>
      <c r="R65" s="7">
        <f t="shared" si="36"/>
        <v>0</v>
      </c>
      <c r="S65" s="2"/>
      <c r="T65" s="6">
        <v>248.71</v>
      </c>
      <c r="U65" s="2"/>
      <c r="V65" s="7">
        <f t="shared" si="37"/>
        <v>0</v>
      </c>
      <c r="W65" s="2"/>
      <c r="X65" s="6">
        <f t="shared" si="38"/>
        <v>-248.71</v>
      </c>
      <c r="Y65" s="2"/>
      <c r="Z65" s="7">
        <f t="shared" si="39"/>
        <v>-1</v>
      </c>
    </row>
    <row r="66" spans="1:26" s="23" customFormat="1" hidden="1" outlineLevel="2" x14ac:dyDescent="0.25">
      <c r="A66" s="25"/>
      <c r="B66" s="10" t="str">
        <f>CONCATENATE("          ", "6284", " - ", "TRASH REMOVAL EXPENSE")</f>
        <v xml:space="preserve">          6284 - TRASH REMOVAL EXPENSE</v>
      </c>
      <c r="C66" s="10"/>
      <c r="D66" s="6">
        <v>-4152</v>
      </c>
      <c r="E66" s="2"/>
      <c r="F66" s="7">
        <f t="shared" si="32"/>
        <v>0</v>
      </c>
      <c r="G66" s="2"/>
      <c r="H66" s="6">
        <v>4254</v>
      </c>
      <c r="I66" s="2"/>
      <c r="J66" s="7">
        <f t="shared" si="33"/>
        <v>0</v>
      </c>
      <c r="K66" s="2"/>
      <c r="L66" s="6">
        <f t="shared" si="34"/>
        <v>-8406</v>
      </c>
      <c r="M66" s="2"/>
      <c r="N66" s="7">
        <f t="shared" si="35"/>
        <v>-1.9760225669957687</v>
      </c>
      <c r="O66" s="10"/>
      <c r="P66" s="6">
        <v>17118</v>
      </c>
      <c r="Q66" s="2"/>
      <c r="R66" s="7">
        <f t="shared" si="36"/>
        <v>0</v>
      </c>
      <c r="S66" s="2"/>
      <c r="T66" s="6">
        <v>30503</v>
      </c>
      <c r="U66" s="2"/>
      <c r="V66" s="7">
        <f t="shared" si="37"/>
        <v>0</v>
      </c>
      <c r="W66" s="2"/>
      <c r="X66" s="6">
        <f t="shared" si="38"/>
        <v>-13385</v>
      </c>
      <c r="Y66" s="2"/>
      <c r="Z66" s="7">
        <f t="shared" si="39"/>
        <v>-0.43880929744615282</v>
      </c>
    </row>
    <row r="67" spans="1:26" s="23" customFormat="1" hidden="1" outlineLevel="2" x14ac:dyDescent="0.25">
      <c r="A67" s="25"/>
      <c r="B67" s="10" t="str">
        <f>CONCATENATE("          ", "6285", " - ", "JANITORIAL SERVICES")</f>
        <v xml:space="preserve">          6285 - JANITORIAL SERVICES</v>
      </c>
      <c r="C67" s="10"/>
      <c r="D67" s="6"/>
      <c r="E67" s="2"/>
      <c r="F67" s="7">
        <f t="shared" si="32"/>
        <v>0</v>
      </c>
      <c r="G67" s="2"/>
      <c r="H67" s="6">
        <v>11290.07</v>
      </c>
      <c r="I67" s="2"/>
      <c r="J67" s="7">
        <f t="shared" si="33"/>
        <v>0</v>
      </c>
      <c r="K67" s="2"/>
      <c r="L67" s="6">
        <f t="shared" si="34"/>
        <v>-11290.07</v>
      </c>
      <c r="M67" s="2"/>
      <c r="N67" s="7">
        <f t="shared" si="35"/>
        <v>-1</v>
      </c>
      <c r="O67" s="10"/>
      <c r="P67" s="6"/>
      <c r="Q67" s="2"/>
      <c r="R67" s="7">
        <f t="shared" si="36"/>
        <v>0</v>
      </c>
      <c r="S67" s="2"/>
      <c r="T67" s="6">
        <v>93144.07</v>
      </c>
      <c r="U67" s="2"/>
      <c r="V67" s="7">
        <f t="shared" si="37"/>
        <v>0</v>
      </c>
      <c r="W67" s="2"/>
      <c r="X67" s="6">
        <f t="shared" si="38"/>
        <v>-93144.07</v>
      </c>
      <c r="Y67" s="2"/>
      <c r="Z67" s="7">
        <f t="shared" si="39"/>
        <v>-1</v>
      </c>
    </row>
    <row r="68" spans="1:26" s="23" customFormat="1" hidden="1" outlineLevel="2" x14ac:dyDescent="0.25">
      <c r="A68" s="25"/>
      <c r="B68" s="10" t="str">
        <f>CONCATENATE("          ", "6286", " - ", "LAUNDRY EXPENSE")</f>
        <v xml:space="preserve">          6286 - LAUNDRY EXPENSE</v>
      </c>
      <c r="C68" s="10"/>
      <c r="D68" s="6"/>
      <c r="E68" s="2"/>
      <c r="F68" s="7">
        <f t="shared" si="32"/>
        <v>0</v>
      </c>
      <c r="G68" s="2"/>
      <c r="H68" s="6">
        <v>49.68</v>
      </c>
      <c r="I68" s="2"/>
      <c r="J68" s="7">
        <f t="shared" si="33"/>
        <v>0</v>
      </c>
      <c r="K68" s="2"/>
      <c r="L68" s="6">
        <f t="shared" si="34"/>
        <v>-49.68</v>
      </c>
      <c r="M68" s="2"/>
      <c r="N68" s="7">
        <f t="shared" si="35"/>
        <v>-1</v>
      </c>
      <c r="O68" s="10"/>
      <c r="P68" s="6"/>
      <c r="Q68" s="2"/>
      <c r="R68" s="7">
        <f t="shared" si="36"/>
        <v>0</v>
      </c>
      <c r="S68" s="2"/>
      <c r="T68" s="6">
        <v>744.83</v>
      </c>
      <c r="U68" s="2"/>
      <c r="V68" s="7">
        <f t="shared" si="37"/>
        <v>0</v>
      </c>
      <c r="W68" s="2"/>
      <c r="X68" s="6">
        <f t="shared" si="38"/>
        <v>-744.83</v>
      </c>
      <c r="Y68" s="2"/>
      <c r="Z68" s="7">
        <f t="shared" si="39"/>
        <v>-1</v>
      </c>
    </row>
    <row r="69" spans="1:26" s="26" customFormat="1" outlineLevel="1" collapsed="1" x14ac:dyDescent="0.25">
      <c r="A69" s="27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SUM(OSRRefD22_14x_0)</f>
        <v>119.07</v>
      </c>
      <c r="E69" s="1"/>
      <c r="F69" s="5">
        <f t="shared" ref="F69:F71" si="40">IF(D$12=0,0,D69/D$12)</f>
        <v>0</v>
      </c>
      <c r="G69" s="1"/>
      <c r="H69" s="1">
        <f>SUM(OSRRefH22_14x_0)</f>
        <v>0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119.07</v>
      </c>
      <c r="M69" s="1"/>
      <c r="N69" s="5">
        <f t="shared" ref="N69:N71" si="43">IF(H69=0,0,L69/H69)</f>
        <v>0</v>
      </c>
      <c r="O69" s="12"/>
      <c r="P69" s="1">
        <f>SUM(OSRRefP22_14x_0)</f>
        <v>119.07</v>
      </c>
      <c r="Q69" s="1"/>
      <c r="R69" s="5">
        <f t="shared" ref="R69:R71" si="44">IF(P$12=0,0,P69/P$12)</f>
        <v>0</v>
      </c>
      <c r="S69" s="1"/>
      <c r="T69" s="1">
        <f>SUM(OSRRefT22_14x_0)</f>
        <v>795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-675.93000000000006</v>
      </c>
      <c r="Y69" s="1"/>
      <c r="Z69" s="5">
        <f t="shared" ref="Z69:Z71" si="47">IF(T69=0,0,X69/T69)</f>
        <v>-0.85022641509433972</v>
      </c>
    </row>
    <row r="70" spans="1:26" s="23" customFormat="1" hidden="1" outlineLevel="2" x14ac:dyDescent="0.25">
      <c r="A70" s="25"/>
      <c r="B70" s="10" t="str">
        <f>CONCATENATE("          ", "6258", " - ", "MEMBERSHIP DUES")</f>
        <v xml:space="preserve">          6258 - MEMBERSHIP DUES</v>
      </c>
      <c r="C70" s="10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0"/>
      <c r="P70" s="6"/>
      <c r="Q70" s="2"/>
      <c r="R70" s="7">
        <f t="shared" si="44"/>
        <v>0</v>
      </c>
      <c r="S70" s="2"/>
      <c r="T70" s="6">
        <v>795</v>
      </c>
      <c r="U70" s="2"/>
      <c r="V70" s="7">
        <f t="shared" si="45"/>
        <v>0</v>
      </c>
      <c r="W70" s="2"/>
      <c r="X70" s="6">
        <f t="shared" si="46"/>
        <v>-795</v>
      </c>
      <c r="Y70" s="2"/>
      <c r="Z70" s="7">
        <f t="shared" si="47"/>
        <v>-1</v>
      </c>
    </row>
    <row r="71" spans="1:26" s="23" customFormat="1" hidden="1" outlineLevel="2" x14ac:dyDescent="0.25">
      <c r="A71" s="25"/>
      <c r="B71" s="10" t="str">
        <f>CONCATENATE("          ", "6275", " - ", "SUBSCRIPTIONS")</f>
        <v xml:space="preserve">          6275 - SUBSCRIPTIONS</v>
      </c>
      <c r="C71" s="10"/>
      <c r="D71" s="6">
        <v>119.07</v>
      </c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119.07</v>
      </c>
      <c r="M71" s="2"/>
      <c r="N71" s="7">
        <f t="shared" si="43"/>
        <v>0</v>
      </c>
      <c r="O71" s="10"/>
      <c r="P71" s="6">
        <v>119.07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119.07</v>
      </c>
      <c r="Y71" s="2"/>
      <c r="Z71" s="7">
        <f t="shared" si="47"/>
        <v>0</v>
      </c>
    </row>
    <row r="72" spans="1:26" s="26" customFormat="1" outlineLevel="1" collapsed="1" x14ac:dyDescent="0.25">
      <c r="A72" s="27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SUM(OSRRefD22_15x_0)</f>
        <v>0</v>
      </c>
      <c r="E72" s="1"/>
      <c r="F72" s="5">
        <f t="shared" ref="F72:F81" si="48">IF(D$12=0,0,D72/D$12)</f>
        <v>0</v>
      </c>
      <c r="G72" s="1"/>
      <c r="H72" s="1">
        <f>SUM(OSRRefH22_15x_0)</f>
        <v>6779.8499999999995</v>
      </c>
      <c r="I72" s="1"/>
      <c r="J72" s="5">
        <f t="shared" ref="J72:J81" si="49">IF(H$12=0,0,H72/H$12)</f>
        <v>0</v>
      </c>
      <c r="K72" s="1"/>
      <c r="L72" s="1">
        <f t="shared" ref="L72:L81" si="50">+D72-H72</f>
        <v>-6779.8499999999995</v>
      </c>
      <c r="M72" s="1"/>
      <c r="N72" s="5">
        <f t="shared" ref="N72:N81" si="51">IF(H72=0,0,L72/H72)</f>
        <v>-1</v>
      </c>
      <c r="O72" s="12"/>
      <c r="P72" s="1">
        <f>SUM(OSRRefP22_15x_0)</f>
        <v>-29072.880000000001</v>
      </c>
      <c r="Q72" s="1"/>
      <c r="R72" s="5">
        <f t="shared" ref="R72:R81" si="52">IF(P$12=0,0,P72/P$12)</f>
        <v>0</v>
      </c>
      <c r="S72" s="1"/>
      <c r="T72" s="1">
        <f>SUM(OSRRefT22_15x_0)</f>
        <v>65938.28</v>
      </c>
      <c r="U72" s="1"/>
      <c r="V72" s="5">
        <f t="shared" ref="V72:V81" si="53">IF(T$12=0,0,T72/T$12)</f>
        <v>0</v>
      </c>
      <c r="W72" s="1"/>
      <c r="X72" s="1">
        <f t="shared" ref="X72:X81" si="54">+P72-T72</f>
        <v>-95011.16</v>
      </c>
      <c r="Y72" s="1"/>
      <c r="Z72" s="5">
        <f t="shared" ref="Z72:Z81" si="55">IF(T72=0,0,X72/T72)</f>
        <v>-1.4409104999402473</v>
      </c>
    </row>
    <row r="73" spans="1:26" s="23" customFormat="1" hidden="1" outlineLevel="2" x14ac:dyDescent="0.25">
      <c r="A73" s="25"/>
      <c r="B73" s="10" t="str">
        <f>CONCATENATE("          ", "6234", " - ", "EXPENDABLE SUPPLIES &amp; EQUIPMEN")</f>
        <v xml:space="preserve">          6234 - EXPENDABLE SUPPLIES &amp; EQUIPMEN</v>
      </c>
      <c r="C73" s="10"/>
      <c r="D73" s="6"/>
      <c r="E73" s="2"/>
      <c r="F73" s="7">
        <f t="shared" si="48"/>
        <v>0</v>
      </c>
      <c r="G73" s="2"/>
      <c r="H73" s="6">
        <v>388.93</v>
      </c>
      <c r="I73" s="2"/>
      <c r="J73" s="7">
        <f t="shared" si="49"/>
        <v>0</v>
      </c>
      <c r="K73" s="2"/>
      <c r="L73" s="6">
        <f t="shared" si="50"/>
        <v>-388.93</v>
      </c>
      <c r="M73" s="2"/>
      <c r="N73" s="7">
        <f t="shared" si="51"/>
        <v>-1</v>
      </c>
      <c r="O73" s="10"/>
      <c r="P73" s="6"/>
      <c r="Q73" s="2"/>
      <c r="R73" s="7">
        <f t="shared" si="52"/>
        <v>0</v>
      </c>
      <c r="S73" s="2"/>
      <c r="T73" s="6">
        <v>8480.18</v>
      </c>
      <c r="U73" s="2"/>
      <c r="V73" s="7">
        <f t="shared" si="53"/>
        <v>0</v>
      </c>
      <c r="W73" s="2"/>
      <c r="X73" s="6">
        <f t="shared" si="54"/>
        <v>-8480.18</v>
      </c>
      <c r="Y73" s="2"/>
      <c r="Z73" s="7">
        <f t="shared" si="55"/>
        <v>-1</v>
      </c>
    </row>
    <row r="74" spans="1:26" s="23" customFormat="1" hidden="1" outlineLevel="2" x14ac:dyDescent="0.25">
      <c r="A74" s="25"/>
      <c r="B74" s="10" t="str">
        <f>CONCATENATE("          ", "6235", " - ", "COVID-19 EXPENSES")</f>
        <v xml:space="preserve">          6235 - COVID-19 EXPENSES</v>
      </c>
      <c r="C74" s="10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0"/>
      <c r="P74" s="6">
        <v>127.89</v>
      </c>
      <c r="Q74" s="2"/>
      <c r="R74" s="7">
        <f t="shared" si="52"/>
        <v>0</v>
      </c>
      <c r="S74" s="2"/>
      <c r="T74" s="6"/>
      <c r="U74" s="2"/>
      <c r="V74" s="7">
        <f t="shared" si="53"/>
        <v>0</v>
      </c>
      <c r="W74" s="2"/>
      <c r="X74" s="6">
        <f t="shared" si="54"/>
        <v>127.89</v>
      </c>
      <c r="Y74" s="2"/>
      <c r="Z74" s="7">
        <f t="shared" si="55"/>
        <v>0</v>
      </c>
    </row>
    <row r="75" spans="1:26" s="23" customFormat="1" hidden="1" outlineLevel="2" x14ac:dyDescent="0.25">
      <c r="A75" s="25"/>
      <c r="B75" s="10" t="str">
        <f>CONCATENATE("          ", "6237", " - ", "JANITORIAL SUPPLIES")</f>
        <v xml:space="preserve">          6237 - JANITORIAL SUPPLIES</v>
      </c>
      <c r="C75" s="10"/>
      <c r="D75" s="6"/>
      <c r="E75" s="2"/>
      <c r="F75" s="7">
        <f t="shared" si="48"/>
        <v>0</v>
      </c>
      <c r="G75" s="2"/>
      <c r="H75" s="6">
        <v>3989.48</v>
      </c>
      <c r="I75" s="2"/>
      <c r="J75" s="7">
        <f t="shared" si="49"/>
        <v>0</v>
      </c>
      <c r="K75" s="2"/>
      <c r="L75" s="6">
        <f t="shared" si="50"/>
        <v>-3989.48</v>
      </c>
      <c r="M75" s="2"/>
      <c r="N75" s="7">
        <f t="shared" si="51"/>
        <v>-1</v>
      </c>
      <c r="O75" s="10"/>
      <c r="P75" s="6"/>
      <c r="Q75" s="2"/>
      <c r="R75" s="7">
        <f t="shared" si="52"/>
        <v>0</v>
      </c>
      <c r="S75" s="2"/>
      <c r="T75" s="6">
        <v>35461.51</v>
      </c>
      <c r="U75" s="2"/>
      <c r="V75" s="7">
        <f t="shared" si="53"/>
        <v>0</v>
      </c>
      <c r="W75" s="2"/>
      <c r="X75" s="6">
        <f t="shared" si="54"/>
        <v>-35461.51</v>
      </c>
      <c r="Y75" s="2"/>
      <c r="Z75" s="7">
        <f t="shared" si="55"/>
        <v>-1</v>
      </c>
    </row>
    <row r="76" spans="1:26" s="23" customFormat="1" hidden="1" outlineLevel="2" x14ac:dyDescent="0.25">
      <c r="A76" s="25"/>
      <c r="B76" s="10" t="str">
        <f>CONCATENATE("          ", "6239", " - ", "KITCHEN SUPPLIES")</f>
        <v xml:space="preserve">          6239 - KITCHEN SUPPLIES</v>
      </c>
      <c r="C76" s="10"/>
      <c r="D76" s="6"/>
      <c r="E76" s="2"/>
      <c r="F76" s="7">
        <f t="shared" si="48"/>
        <v>0</v>
      </c>
      <c r="G76" s="2"/>
      <c r="H76" s="6">
        <v>784.02</v>
      </c>
      <c r="I76" s="2"/>
      <c r="J76" s="7">
        <f t="shared" si="49"/>
        <v>0</v>
      </c>
      <c r="K76" s="2"/>
      <c r="L76" s="6">
        <f t="shared" si="50"/>
        <v>-784.02</v>
      </c>
      <c r="M76" s="2"/>
      <c r="N76" s="7">
        <f t="shared" si="51"/>
        <v>-1</v>
      </c>
      <c r="O76" s="10"/>
      <c r="P76" s="6"/>
      <c r="Q76" s="2"/>
      <c r="R76" s="7">
        <f t="shared" si="52"/>
        <v>0</v>
      </c>
      <c r="S76" s="2"/>
      <c r="T76" s="6">
        <v>18397.89</v>
      </c>
      <c r="U76" s="2"/>
      <c r="V76" s="7">
        <f t="shared" si="53"/>
        <v>0</v>
      </c>
      <c r="W76" s="2"/>
      <c r="X76" s="6">
        <f t="shared" si="54"/>
        <v>-18397.89</v>
      </c>
      <c r="Y76" s="2"/>
      <c r="Z76" s="7">
        <f t="shared" si="55"/>
        <v>-1</v>
      </c>
    </row>
    <row r="77" spans="1:26" s="23" customFormat="1" hidden="1" outlineLevel="2" x14ac:dyDescent="0.25">
      <c r="A77" s="25"/>
      <c r="B77" s="10" t="str">
        <f>CONCATENATE("          ", "6241", " - ", "OFFICE EXPENSE")</f>
        <v xml:space="preserve">          6241 - OFFICE EXPENSE</v>
      </c>
      <c r="C77" s="10"/>
      <c r="D77" s="6"/>
      <c r="E77" s="2"/>
      <c r="F77" s="7">
        <f t="shared" si="48"/>
        <v>0</v>
      </c>
      <c r="G77" s="2"/>
      <c r="H77" s="6">
        <v>782.32</v>
      </c>
      <c r="I77" s="2"/>
      <c r="J77" s="7">
        <f t="shared" si="49"/>
        <v>0</v>
      </c>
      <c r="K77" s="2"/>
      <c r="L77" s="6">
        <f t="shared" si="50"/>
        <v>-782.32</v>
      </c>
      <c r="M77" s="2"/>
      <c r="N77" s="7">
        <f t="shared" si="51"/>
        <v>-1</v>
      </c>
      <c r="O77" s="10"/>
      <c r="P77" s="6">
        <v>-29200.77</v>
      </c>
      <c r="Q77" s="2"/>
      <c r="R77" s="7">
        <f t="shared" si="52"/>
        <v>0</v>
      </c>
      <c r="S77" s="2"/>
      <c r="T77" s="6">
        <v>1941.38</v>
      </c>
      <c r="U77" s="2"/>
      <c r="V77" s="7">
        <f t="shared" si="53"/>
        <v>0</v>
      </c>
      <c r="W77" s="2"/>
      <c r="X77" s="6">
        <f t="shared" si="54"/>
        <v>-31142.15</v>
      </c>
      <c r="Y77" s="2"/>
      <c r="Z77" s="7">
        <f t="shared" si="55"/>
        <v>-16.041243857462216</v>
      </c>
    </row>
    <row r="78" spans="1:26" s="23" customFormat="1" hidden="1" outlineLevel="2" x14ac:dyDescent="0.25">
      <c r="A78" s="25"/>
      <c r="B78" s="10" t="str">
        <f>CONCATENATE("          ", "6243", " - ", "PAPER SUPPLIES")</f>
        <v xml:space="preserve">          6243 - PAPER SUPPLIES</v>
      </c>
      <c r="C78" s="10"/>
      <c r="D78" s="6"/>
      <c r="E78" s="2"/>
      <c r="F78" s="7">
        <f t="shared" si="48"/>
        <v>0</v>
      </c>
      <c r="G78" s="2"/>
      <c r="H78" s="6">
        <v>630.41</v>
      </c>
      <c r="I78" s="2"/>
      <c r="J78" s="7">
        <f t="shared" si="49"/>
        <v>0</v>
      </c>
      <c r="K78" s="2"/>
      <c r="L78" s="6">
        <f t="shared" si="50"/>
        <v>-630.41</v>
      </c>
      <c r="M78" s="2"/>
      <c r="N78" s="7">
        <f t="shared" si="51"/>
        <v>-1</v>
      </c>
      <c r="O78" s="10"/>
      <c r="P78" s="6"/>
      <c r="Q78" s="2"/>
      <c r="R78" s="7">
        <f t="shared" si="52"/>
        <v>0</v>
      </c>
      <c r="S78" s="2"/>
      <c r="T78" s="6">
        <v>1027.17</v>
      </c>
      <c r="U78" s="2"/>
      <c r="V78" s="7">
        <f t="shared" si="53"/>
        <v>0</v>
      </c>
      <c r="W78" s="2"/>
      <c r="X78" s="6">
        <f t="shared" si="54"/>
        <v>-1027.17</v>
      </c>
      <c r="Y78" s="2"/>
      <c r="Z78" s="7">
        <f t="shared" si="55"/>
        <v>-1</v>
      </c>
    </row>
    <row r="79" spans="1:26" s="23" customFormat="1" hidden="1" outlineLevel="2" x14ac:dyDescent="0.25">
      <c r="A79" s="25"/>
      <c r="B79" s="10" t="str">
        <f>CONCATENATE("          ", "6245", " - ", "PRINTING")</f>
        <v xml:space="preserve">          6245 - PRINTING</v>
      </c>
      <c r="C79" s="10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0"/>
      <c r="P79" s="6"/>
      <c r="Q79" s="2"/>
      <c r="R79" s="7">
        <f t="shared" si="52"/>
        <v>0</v>
      </c>
      <c r="S79" s="2"/>
      <c r="T79" s="6">
        <v>15.99</v>
      </c>
      <c r="U79" s="2"/>
      <c r="V79" s="7">
        <f t="shared" si="53"/>
        <v>0</v>
      </c>
      <c r="W79" s="2"/>
      <c r="X79" s="6">
        <f t="shared" si="54"/>
        <v>-15.99</v>
      </c>
      <c r="Y79" s="2"/>
      <c r="Z79" s="7">
        <f t="shared" si="55"/>
        <v>-1</v>
      </c>
    </row>
    <row r="80" spans="1:26" s="23" customFormat="1" hidden="1" outlineLevel="2" x14ac:dyDescent="0.25">
      <c r="A80" s="25"/>
      <c r="B80" s="10" t="str">
        <f>CONCATENATE("          ", "6247", " - ", "STORE SUPPLIES")</f>
        <v xml:space="preserve">          6247 - STORE SUPPLIES</v>
      </c>
      <c r="C80" s="10"/>
      <c r="D80" s="6"/>
      <c r="E80" s="2"/>
      <c r="F80" s="7">
        <f t="shared" si="48"/>
        <v>0</v>
      </c>
      <c r="G80" s="2"/>
      <c r="H80" s="6">
        <v>13.11</v>
      </c>
      <c r="I80" s="2"/>
      <c r="J80" s="7">
        <f t="shared" si="49"/>
        <v>0</v>
      </c>
      <c r="K80" s="2"/>
      <c r="L80" s="6">
        <f t="shared" si="50"/>
        <v>-13.11</v>
      </c>
      <c r="M80" s="2"/>
      <c r="N80" s="7">
        <f t="shared" si="51"/>
        <v>-1</v>
      </c>
      <c r="O80" s="10"/>
      <c r="P80" s="6"/>
      <c r="Q80" s="2"/>
      <c r="R80" s="7">
        <f t="shared" si="52"/>
        <v>0</v>
      </c>
      <c r="S80" s="2"/>
      <c r="T80" s="6">
        <v>123.68</v>
      </c>
      <c r="U80" s="2"/>
      <c r="V80" s="7">
        <f t="shared" si="53"/>
        <v>0</v>
      </c>
      <c r="W80" s="2"/>
      <c r="X80" s="6">
        <f t="shared" si="54"/>
        <v>-123.68</v>
      </c>
      <c r="Y80" s="2"/>
      <c r="Z80" s="7">
        <f t="shared" si="55"/>
        <v>-1</v>
      </c>
    </row>
    <row r="81" spans="1:26" s="23" customFormat="1" hidden="1" outlineLevel="2" x14ac:dyDescent="0.25">
      <c r="A81" s="25"/>
      <c r="B81" s="10" t="str">
        <f>CONCATENATE("          ", "6248", " - ", "UNIFORMS")</f>
        <v xml:space="preserve">          6248 - UNIFORMS</v>
      </c>
      <c r="C81" s="10"/>
      <c r="D81" s="6"/>
      <c r="E81" s="2"/>
      <c r="F81" s="7">
        <f t="shared" si="48"/>
        <v>0</v>
      </c>
      <c r="G81" s="2"/>
      <c r="H81" s="6">
        <v>191.58</v>
      </c>
      <c r="I81" s="2"/>
      <c r="J81" s="7">
        <f t="shared" si="49"/>
        <v>0</v>
      </c>
      <c r="K81" s="2"/>
      <c r="L81" s="6">
        <f t="shared" si="50"/>
        <v>-191.58</v>
      </c>
      <c r="M81" s="2"/>
      <c r="N81" s="7">
        <f t="shared" si="51"/>
        <v>-1</v>
      </c>
      <c r="O81" s="10"/>
      <c r="P81" s="6"/>
      <c r="Q81" s="2"/>
      <c r="R81" s="7">
        <f t="shared" si="52"/>
        <v>0</v>
      </c>
      <c r="S81" s="2"/>
      <c r="T81" s="6">
        <v>490.48</v>
      </c>
      <c r="U81" s="2"/>
      <c r="V81" s="7">
        <f t="shared" si="53"/>
        <v>0</v>
      </c>
      <c r="W81" s="2"/>
      <c r="X81" s="6">
        <f t="shared" si="54"/>
        <v>-490.48</v>
      </c>
      <c r="Y81" s="2"/>
      <c r="Z81" s="7">
        <f t="shared" si="55"/>
        <v>-1</v>
      </c>
    </row>
    <row r="82" spans="1:26" s="26" customFormat="1" outlineLevel="1" collapsed="1" x14ac:dyDescent="0.25">
      <c r="A82" s="27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SUM(OSRRefD22_16x_0)</f>
        <v>96</v>
      </c>
      <c r="E82" s="1"/>
      <c r="F82" s="5">
        <f t="shared" ref="F82:F89" si="56">IF(D$12=0,0,D82/D$12)</f>
        <v>0</v>
      </c>
      <c r="G82" s="1"/>
      <c r="H82" s="1">
        <f>SUM(OSRRefH22_16x_0)</f>
        <v>683.59</v>
      </c>
      <c r="I82" s="1"/>
      <c r="J82" s="5">
        <f t="shared" ref="J82:J89" si="57">IF(H$12=0,0,H82/H$12)</f>
        <v>0</v>
      </c>
      <c r="K82" s="1"/>
      <c r="L82" s="1">
        <f t="shared" ref="L82:L89" si="58">+D82-H82</f>
        <v>-587.59</v>
      </c>
      <c r="M82" s="1"/>
      <c r="N82" s="5">
        <f t="shared" ref="N82:N89" si="59">IF(H82=0,0,L82/H82)</f>
        <v>-0.85956494389912086</v>
      </c>
      <c r="O82" s="12"/>
      <c r="P82" s="1">
        <f>SUM(OSRRefP22_16x_0)</f>
        <v>1668.63</v>
      </c>
      <c r="Q82" s="1"/>
      <c r="R82" s="5">
        <f t="shared" ref="R82:R89" si="60">IF(P$12=0,0,P82/P$12)</f>
        <v>0</v>
      </c>
      <c r="S82" s="1"/>
      <c r="T82" s="1">
        <f>SUM(OSRRefT22_16x_0)</f>
        <v>3933.94</v>
      </c>
      <c r="U82" s="1"/>
      <c r="V82" s="5">
        <f t="shared" ref="V82:V89" si="61">IF(T$12=0,0,T82/T$12)</f>
        <v>0</v>
      </c>
      <c r="W82" s="1"/>
      <c r="X82" s="1">
        <f t="shared" ref="X82:X89" si="62">+P82-T82</f>
        <v>-2265.31</v>
      </c>
      <c r="Y82" s="1"/>
      <c r="Z82" s="5">
        <f t="shared" ref="Z82:Z89" si="63">IF(T82=0,0,X82/T82)</f>
        <v>-0.57583745557888522</v>
      </c>
    </row>
    <row r="83" spans="1:26" s="23" customFormat="1" hidden="1" outlineLevel="2" x14ac:dyDescent="0.25">
      <c r="A83" s="25"/>
      <c r="B83" s="10" t="str">
        <f>CONCATENATE("          ", "6309", " - ", "TELEPHONE")</f>
        <v xml:space="preserve">          6309 - TELEPHONE</v>
      </c>
      <c r="C83" s="10"/>
      <c r="D83" s="6">
        <v>96</v>
      </c>
      <c r="E83" s="2"/>
      <c r="F83" s="7">
        <f t="shared" si="56"/>
        <v>0</v>
      </c>
      <c r="G83" s="2"/>
      <c r="H83" s="6">
        <v>683.59</v>
      </c>
      <c r="I83" s="2"/>
      <c r="J83" s="7">
        <f t="shared" si="57"/>
        <v>0</v>
      </c>
      <c r="K83" s="2"/>
      <c r="L83" s="6">
        <f t="shared" si="58"/>
        <v>-587.59</v>
      </c>
      <c r="M83" s="2"/>
      <c r="N83" s="7">
        <f t="shared" si="59"/>
        <v>-0.85956494389912086</v>
      </c>
      <c r="O83" s="10"/>
      <c r="P83" s="6">
        <v>1668.63</v>
      </c>
      <c r="Q83" s="2"/>
      <c r="R83" s="7">
        <f t="shared" si="60"/>
        <v>0</v>
      </c>
      <c r="S83" s="2"/>
      <c r="T83" s="6">
        <v>3933.94</v>
      </c>
      <c r="U83" s="2"/>
      <c r="V83" s="7">
        <f t="shared" si="61"/>
        <v>0</v>
      </c>
      <c r="W83" s="2"/>
      <c r="X83" s="6">
        <f t="shared" si="62"/>
        <v>-2265.31</v>
      </c>
      <c r="Y83" s="2"/>
      <c r="Z83" s="7">
        <f t="shared" si="63"/>
        <v>-0.57583745557888522</v>
      </c>
    </row>
    <row r="84" spans="1:26" s="26" customFormat="1" outlineLevel="1" collapsed="1" x14ac:dyDescent="0.25">
      <c r="A84" s="27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SUM(OSRRefD22_17x_0)</f>
        <v>0</v>
      </c>
      <c r="E84" s="1"/>
      <c r="F84" s="5">
        <f t="shared" si="56"/>
        <v>0</v>
      </c>
      <c r="G84" s="1"/>
      <c r="H84" s="1">
        <f>SUM(OSRRefH22_17x_0)</f>
        <v>0</v>
      </c>
      <c r="I84" s="1"/>
      <c r="J84" s="5">
        <f t="shared" si="57"/>
        <v>0</v>
      </c>
      <c r="K84" s="1"/>
      <c r="L84" s="1">
        <f t="shared" si="58"/>
        <v>0</v>
      </c>
      <c r="M84" s="1"/>
      <c r="N84" s="5">
        <f t="shared" si="59"/>
        <v>0</v>
      </c>
      <c r="O84" s="12"/>
      <c r="P84" s="1">
        <f>SUM(OSRRefP22_17x_0)</f>
        <v>0</v>
      </c>
      <c r="Q84" s="1"/>
      <c r="R84" s="5">
        <f t="shared" si="60"/>
        <v>0</v>
      </c>
      <c r="S84" s="1"/>
      <c r="T84" s="1">
        <f>SUM(OSRRefT22_17x_0)</f>
        <v>240</v>
      </c>
      <c r="U84" s="1"/>
      <c r="V84" s="5">
        <f t="shared" si="61"/>
        <v>0</v>
      </c>
      <c r="W84" s="1"/>
      <c r="X84" s="1">
        <f t="shared" si="62"/>
        <v>-240</v>
      </c>
      <c r="Y84" s="1"/>
      <c r="Z84" s="5">
        <f t="shared" si="63"/>
        <v>-1</v>
      </c>
    </row>
    <row r="85" spans="1:26" s="23" customFormat="1" hidden="1" outlineLevel="2" x14ac:dyDescent="0.25">
      <c r="A85" s="25"/>
      <c r="B85" s="10" t="str">
        <f>CONCATENATE("          ", "6376", " - ", "TRAINING")</f>
        <v xml:space="preserve">          6376 - TRAINING</v>
      </c>
      <c r="C85" s="10"/>
      <c r="D85" s="6"/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0</v>
      </c>
      <c r="M85" s="2"/>
      <c r="N85" s="7">
        <f t="shared" si="59"/>
        <v>0</v>
      </c>
      <c r="O85" s="10"/>
      <c r="P85" s="6"/>
      <c r="Q85" s="2"/>
      <c r="R85" s="7">
        <f t="shared" si="60"/>
        <v>0</v>
      </c>
      <c r="S85" s="2"/>
      <c r="T85" s="6">
        <v>240</v>
      </c>
      <c r="U85" s="2"/>
      <c r="V85" s="7">
        <f t="shared" si="61"/>
        <v>0</v>
      </c>
      <c r="W85" s="2"/>
      <c r="X85" s="6">
        <f t="shared" si="62"/>
        <v>-240</v>
      </c>
      <c r="Y85" s="2"/>
      <c r="Z85" s="7">
        <f t="shared" si="63"/>
        <v>-1</v>
      </c>
    </row>
    <row r="86" spans="1:26" s="26" customFormat="1" outlineLevel="1" collapsed="1" x14ac:dyDescent="0.25">
      <c r="A86" s="27"/>
      <c r="B86" s="12" t="str">
        <f>CONCATENATE("     ","Travel                                            ")</f>
        <v xml:space="preserve">     Travel                                            </v>
      </c>
      <c r="C86" s="12"/>
      <c r="D86" s="1">
        <f>SUM(OSRRefD22_18x_0)</f>
        <v>0</v>
      </c>
      <c r="E86" s="1"/>
      <c r="F86" s="5">
        <f t="shared" si="56"/>
        <v>0</v>
      </c>
      <c r="G86" s="1"/>
      <c r="H86" s="1">
        <f>SUM(OSRRefH22_18x_0)</f>
        <v>164.82</v>
      </c>
      <c r="I86" s="1"/>
      <c r="J86" s="5">
        <f t="shared" si="57"/>
        <v>0</v>
      </c>
      <c r="K86" s="1"/>
      <c r="L86" s="1">
        <f t="shared" si="58"/>
        <v>-164.82</v>
      </c>
      <c r="M86" s="1"/>
      <c r="N86" s="5">
        <f t="shared" si="59"/>
        <v>-1</v>
      </c>
      <c r="O86" s="12"/>
      <c r="P86" s="1">
        <f>SUM(OSRRefP22_18x_0)</f>
        <v>332.21</v>
      </c>
      <c r="Q86" s="1"/>
      <c r="R86" s="5">
        <f t="shared" si="60"/>
        <v>0</v>
      </c>
      <c r="S86" s="1"/>
      <c r="T86" s="1">
        <f>SUM(OSRRefT22_18x_0)</f>
        <v>2110.5100000000002</v>
      </c>
      <c r="U86" s="1"/>
      <c r="V86" s="5">
        <f t="shared" si="61"/>
        <v>0</v>
      </c>
      <c r="W86" s="1"/>
      <c r="X86" s="1">
        <f t="shared" si="62"/>
        <v>-1778.3000000000002</v>
      </c>
      <c r="Y86" s="1"/>
      <c r="Z86" s="5">
        <f t="shared" si="63"/>
        <v>-0.84259254872045142</v>
      </c>
    </row>
    <row r="87" spans="1:26" s="23" customFormat="1" hidden="1" outlineLevel="2" x14ac:dyDescent="0.25">
      <c r="A87" s="25"/>
      <c r="B87" s="10" t="str">
        <f>CONCATENATE("          ", "6292", " - ", "TRAVEL/CONFERENCE")</f>
        <v xml:space="preserve">          6292 - TRAVEL/CONFERENCE</v>
      </c>
      <c r="C87" s="10"/>
      <c r="D87" s="6"/>
      <c r="E87" s="2"/>
      <c r="F87" s="7">
        <f t="shared" si="56"/>
        <v>0</v>
      </c>
      <c r="G87" s="2"/>
      <c r="H87" s="6"/>
      <c r="I87" s="2"/>
      <c r="J87" s="7">
        <f t="shared" si="57"/>
        <v>0</v>
      </c>
      <c r="K87" s="2"/>
      <c r="L87" s="6">
        <f t="shared" si="58"/>
        <v>0</v>
      </c>
      <c r="M87" s="2"/>
      <c r="N87" s="7">
        <f t="shared" si="59"/>
        <v>0</v>
      </c>
      <c r="O87" s="10"/>
      <c r="P87" s="6"/>
      <c r="Q87" s="2"/>
      <c r="R87" s="7">
        <f t="shared" si="60"/>
        <v>0</v>
      </c>
      <c r="S87" s="2"/>
      <c r="T87" s="6">
        <v>966.72</v>
      </c>
      <c r="U87" s="2"/>
      <c r="V87" s="7">
        <f t="shared" si="61"/>
        <v>0</v>
      </c>
      <c r="W87" s="2"/>
      <c r="X87" s="6">
        <f t="shared" si="62"/>
        <v>-966.72</v>
      </c>
      <c r="Y87" s="2"/>
      <c r="Z87" s="7">
        <f t="shared" si="63"/>
        <v>-1</v>
      </c>
    </row>
    <row r="88" spans="1:26" s="23" customFormat="1" hidden="1" outlineLevel="2" x14ac:dyDescent="0.25">
      <c r="A88" s="25"/>
      <c r="B88" s="10" t="str">
        <f>CONCATENATE("          ", "6294", " - ", "TRAVEL OPERATIONAL")</f>
        <v xml:space="preserve">          6294 - TRAVEL OPERATIONAL</v>
      </c>
      <c r="C88" s="10"/>
      <c r="D88" s="6"/>
      <c r="E88" s="2"/>
      <c r="F88" s="7">
        <f t="shared" si="56"/>
        <v>0</v>
      </c>
      <c r="G88" s="2"/>
      <c r="H88" s="6"/>
      <c r="I88" s="2"/>
      <c r="J88" s="7">
        <f t="shared" si="57"/>
        <v>0</v>
      </c>
      <c r="K88" s="2"/>
      <c r="L88" s="6">
        <f t="shared" si="58"/>
        <v>0</v>
      </c>
      <c r="M88" s="2"/>
      <c r="N88" s="7">
        <f t="shared" si="59"/>
        <v>0</v>
      </c>
      <c r="O88" s="10"/>
      <c r="P88" s="6"/>
      <c r="Q88" s="2"/>
      <c r="R88" s="7">
        <f t="shared" si="60"/>
        <v>0</v>
      </c>
      <c r="S88" s="2"/>
      <c r="T88" s="6">
        <v>45.49</v>
      </c>
      <c r="U88" s="2"/>
      <c r="V88" s="7">
        <f t="shared" si="61"/>
        <v>0</v>
      </c>
      <c r="W88" s="2"/>
      <c r="X88" s="6">
        <f t="shared" si="62"/>
        <v>-45.49</v>
      </c>
      <c r="Y88" s="2"/>
      <c r="Z88" s="7">
        <f t="shared" si="63"/>
        <v>-1</v>
      </c>
    </row>
    <row r="89" spans="1:26" s="23" customFormat="1" hidden="1" outlineLevel="2" x14ac:dyDescent="0.25">
      <c r="A89" s="25"/>
      <c r="B89" s="10" t="str">
        <f>CONCATENATE("          ", "6298", " - ", "VEHICLE MILEAGE")</f>
        <v xml:space="preserve">          6298 - VEHICLE MILEAGE</v>
      </c>
      <c r="C89" s="10"/>
      <c r="D89" s="6"/>
      <c r="E89" s="2"/>
      <c r="F89" s="7">
        <f t="shared" si="56"/>
        <v>0</v>
      </c>
      <c r="G89" s="2"/>
      <c r="H89" s="6">
        <v>164.82</v>
      </c>
      <c r="I89" s="2"/>
      <c r="J89" s="7">
        <f t="shared" si="57"/>
        <v>0</v>
      </c>
      <c r="K89" s="2"/>
      <c r="L89" s="6">
        <f t="shared" si="58"/>
        <v>-164.82</v>
      </c>
      <c r="M89" s="2"/>
      <c r="N89" s="7">
        <f t="shared" si="59"/>
        <v>-1</v>
      </c>
      <c r="O89" s="10"/>
      <c r="P89" s="6">
        <v>332.21</v>
      </c>
      <c r="Q89" s="2"/>
      <c r="R89" s="7">
        <f t="shared" si="60"/>
        <v>0</v>
      </c>
      <c r="S89" s="2"/>
      <c r="T89" s="6">
        <v>1098.3</v>
      </c>
      <c r="U89" s="2"/>
      <c r="V89" s="7">
        <f t="shared" si="61"/>
        <v>0</v>
      </c>
      <c r="W89" s="2"/>
      <c r="X89" s="6">
        <f t="shared" si="62"/>
        <v>-766.08999999999992</v>
      </c>
      <c r="Y89" s="2"/>
      <c r="Z89" s="7">
        <f t="shared" si="63"/>
        <v>-0.69752344532459254</v>
      </c>
    </row>
    <row r="90" spans="1:26" s="26" customFormat="1" outlineLevel="1" collapsed="1" x14ac:dyDescent="0.25">
      <c r="A90" s="27"/>
      <c r="B90" s="12" t="str">
        <f>CONCATENATE("     ","Utilities                                         ")</f>
        <v xml:space="preserve">     Utilities                                         </v>
      </c>
      <c r="C90" s="12"/>
      <c r="D90" s="1">
        <f>SUM(OSRRefD22_19x_0)</f>
        <v>837</v>
      </c>
      <c r="E90" s="1"/>
      <c r="F90" s="5">
        <f t="shared" ref="F90:F91" si="64">IF(D$12=0,0,D90/D$12)</f>
        <v>0</v>
      </c>
      <c r="G90" s="1"/>
      <c r="H90" s="1">
        <f>SUM(OSRRefH22_19x_0)</f>
        <v>12923</v>
      </c>
      <c r="I90" s="1"/>
      <c r="J90" s="5">
        <f t="shared" ref="J90:J91" si="65">IF(H$12=0,0,H90/H$12)</f>
        <v>0</v>
      </c>
      <c r="K90" s="1"/>
      <c r="L90" s="1">
        <f t="shared" ref="L90:L91" si="66">+D90-H90</f>
        <v>-12086</v>
      </c>
      <c r="M90" s="1"/>
      <c r="N90" s="5">
        <f t="shared" ref="N90:N91" si="67">IF(H90=0,0,L90/H90)</f>
        <v>-0.9352317573318889</v>
      </c>
      <c r="O90" s="12"/>
      <c r="P90" s="1">
        <f>SUM(OSRRefP22_19x_0)</f>
        <v>-11039</v>
      </c>
      <c r="Q90" s="1"/>
      <c r="R90" s="5">
        <f t="shared" ref="R90:R91" si="68">IF(P$12=0,0,P90/P$12)</f>
        <v>0</v>
      </c>
      <c r="S90" s="1"/>
      <c r="T90" s="1">
        <f>SUM(OSRRefT22_19x_0)</f>
        <v>120360</v>
      </c>
      <c r="U90" s="1"/>
      <c r="V90" s="5">
        <f t="shared" ref="V90:V91" si="69">IF(T$12=0,0,T90/T$12)</f>
        <v>0</v>
      </c>
      <c r="W90" s="1"/>
      <c r="X90" s="1">
        <f t="shared" ref="X90:X91" si="70">+P90-T90</f>
        <v>-131399</v>
      </c>
      <c r="Y90" s="1"/>
      <c r="Z90" s="5">
        <f t="shared" ref="Z90:Z91" si="71">IF(T90=0,0,X90/T90)</f>
        <v>-1.0917165171153207</v>
      </c>
    </row>
    <row r="91" spans="1:26" s="23" customFormat="1" hidden="1" outlineLevel="2" x14ac:dyDescent="0.25">
      <c r="A91" s="25"/>
      <c r="B91" s="10" t="str">
        <f>CONCATENATE("          ", "6274", " - ", "UTILITIES")</f>
        <v xml:space="preserve">          6274 - UTILITIES</v>
      </c>
      <c r="C91" s="10"/>
      <c r="D91" s="6">
        <v>837</v>
      </c>
      <c r="E91" s="2"/>
      <c r="F91" s="7">
        <f t="shared" si="64"/>
        <v>0</v>
      </c>
      <c r="G91" s="2"/>
      <c r="H91" s="6">
        <v>12923</v>
      </c>
      <c r="I91" s="2"/>
      <c r="J91" s="7">
        <f t="shared" si="65"/>
        <v>0</v>
      </c>
      <c r="K91" s="2"/>
      <c r="L91" s="6">
        <f t="shared" si="66"/>
        <v>-12086</v>
      </c>
      <c r="M91" s="2"/>
      <c r="N91" s="7">
        <f t="shared" si="67"/>
        <v>-0.9352317573318889</v>
      </c>
      <c r="O91" s="10"/>
      <c r="P91" s="6">
        <v>-11039</v>
      </c>
      <c r="Q91" s="2"/>
      <c r="R91" s="7">
        <f t="shared" si="68"/>
        <v>0</v>
      </c>
      <c r="S91" s="2"/>
      <c r="T91" s="6">
        <v>120360</v>
      </c>
      <c r="U91" s="2"/>
      <c r="V91" s="7">
        <f t="shared" si="69"/>
        <v>0</v>
      </c>
      <c r="W91" s="2"/>
      <c r="X91" s="6">
        <f t="shared" si="70"/>
        <v>-131399</v>
      </c>
      <c r="Y91" s="2"/>
      <c r="Z91" s="7">
        <f t="shared" si="71"/>
        <v>-1.0917165171153207</v>
      </c>
    </row>
    <row r="92" spans="1:26" s="60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4" customFormat="1" collapsed="1" x14ac:dyDescent="0.25">
      <c r="A93" s="11"/>
      <c r="B93" s="28" t="s">
        <v>292</v>
      </c>
      <c r="C93" s="11"/>
      <c r="D93" s="4">
        <f>SUM(OSRRefD25x_0)</f>
        <v>3116.44</v>
      </c>
      <c r="E93" s="4"/>
      <c r="F93" s="13">
        <f t="shared" ref="F93:F95" si="72">IF(D$12=0,0,D93/D$12)</f>
        <v>0</v>
      </c>
      <c r="G93" s="4"/>
      <c r="H93" s="4">
        <f>SUM(OSRRefH25x_0)</f>
        <v>20162.61</v>
      </c>
      <c r="I93" s="4"/>
      <c r="J93" s="13">
        <f t="shared" ref="J93:J95" si="73">IF(H$12=0,0,H93/H$12)</f>
        <v>0</v>
      </c>
      <c r="K93" s="4"/>
      <c r="L93" s="4">
        <f t="shared" ref="L93:L95" si="74">+D93-H93</f>
        <v>-17046.170000000002</v>
      </c>
      <c r="M93" s="4"/>
      <c r="N93" s="13">
        <f t="shared" ref="N93:N95" si="75">IF(H93=0,0,L93/H93)</f>
        <v>-0.84543469322672027</v>
      </c>
      <c r="O93" s="11"/>
      <c r="P93" s="4">
        <f>SUM(OSRRefP25x_0)</f>
        <v>5549.42</v>
      </c>
      <c r="Q93" s="4"/>
      <c r="R93" s="13">
        <f t="shared" ref="R93:R95" si="76">IF(P$12=0,0,P93/P$12)</f>
        <v>0</v>
      </c>
      <c r="S93" s="4"/>
      <c r="T93" s="4">
        <f>SUM(OSRRefT25x_0)</f>
        <v>103889.85</v>
      </c>
      <c r="U93" s="4"/>
      <c r="V93" s="13">
        <f t="shared" ref="V93:V95" si="77">IF(T$12=0,0,T93/T$12)</f>
        <v>0</v>
      </c>
      <c r="W93" s="4"/>
      <c r="X93" s="4">
        <f t="shared" ref="X93:X95" si="78">+P93-T93</f>
        <v>-98340.430000000008</v>
      </c>
      <c r="Y93" s="4"/>
      <c r="Z93" s="13">
        <f t="shared" ref="Z93:Z95" si="79">IF(T93=0,0,X93/T93)</f>
        <v>-0.94658361716760586</v>
      </c>
    </row>
    <row r="94" spans="1:26" s="23" customFormat="1" hidden="1" outlineLevel="1" x14ac:dyDescent="0.25">
      <c r="A94" s="44"/>
      <c r="B94" s="10" t="str">
        <f>CONCATENATE("          ", "9150", " - ", "MISC. INCOME")</f>
        <v xml:space="preserve">          9150 - MISC. INCOME</v>
      </c>
      <c r="C94" s="10"/>
      <c r="D94" s="2">
        <f>--3116.44</f>
        <v>3116.44</v>
      </c>
      <c r="E94" s="2"/>
      <c r="F94" s="19">
        <f t="shared" si="72"/>
        <v>0</v>
      </c>
      <c r="G94" s="2"/>
      <c r="H94" s="2">
        <f>--20162.61</f>
        <v>20162.61</v>
      </c>
      <c r="I94" s="2"/>
      <c r="J94" s="19">
        <f t="shared" si="73"/>
        <v>0</v>
      </c>
      <c r="K94" s="2"/>
      <c r="L94" s="2">
        <f t="shared" si="74"/>
        <v>-17046.170000000002</v>
      </c>
      <c r="M94" s="2"/>
      <c r="N94" s="19">
        <f t="shared" si="75"/>
        <v>-0.84543469322672027</v>
      </c>
      <c r="O94" s="10"/>
      <c r="P94" s="2">
        <f>--4733.07</f>
        <v>4733.07</v>
      </c>
      <c r="Q94" s="2"/>
      <c r="R94" s="19">
        <f t="shared" si="76"/>
        <v>0</v>
      </c>
      <c r="S94" s="2"/>
      <c r="T94" s="2">
        <f>--101839.82</f>
        <v>101839.82</v>
      </c>
      <c r="U94" s="2"/>
      <c r="V94" s="19">
        <f t="shared" si="77"/>
        <v>0</v>
      </c>
      <c r="W94" s="2"/>
      <c r="X94" s="2">
        <f t="shared" si="78"/>
        <v>-97106.75</v>
      </c>
      <c r="Y94" s="2"/>
      <c r="Z94" s="19">
        <f t="shared" si="79"/>
        <v>-0.95352436797315621</v>
      </c>
    </row>
    <row r="95" spans="1:26" s="23" customFormat="1" hidden="1" outlineLevel="1" x14ac:dyDescent="0.25">
      <c r="A95" s="44"/>
      <c r="B95" s="10" t="str">
        <f>CONCATENATE("          ", "9160", " - ", "MISC. INCOME")</f>
        <v xml:space="preserve">          9160 - MISC. INCOME</v>
      </c>
      <c r="C95" s="10"/>
      <c r="D95" s="2">
        <f>0</f>
        <v>0</v>
      </c>
      <c r="E95" s="2"/>
      <c r="F95" s="19">
        <f t="shared" si="72"/>
        <v>0</v>
      </c>
      <c r="G95" s="2"/>
      <c r="H95" s="2">
        <f>0</f>
        <v>0</v>
      </c>
      <c r="I95" s="2"/>
      <c r="J95" s="19">
        <f t="shared" si="73"/>
        <v>0</v>
      </c>
      <c r="K95" s="2"/>
      <c r="L95" s="2">
        <f t="shared" si="74"/>
        <v>0</v>
      </c>
      <c r="M95" s="2"/>
      <c r="N95" s="19">
        <f t="shared" si="75"/>
        <v>0</v>
      </c>
      <c r="O95" s="10"/>
      <c r="P95" s="2">
        <f>--816.35</f>
        <v>816.35</v>
      </c>
      <c r="Q95" s="2"/>
      <c r="R95" s="19">
        <f t="shared" si="76"/>
        <v>0</v>
      </c>
      <c r="S95" s="2"/>
      <c r="T95" s="2">
        <f>--2050.03</f>
        <v>2050.0300000000002</v>
      </c>
      <c r="U95" s="2"/>
      <c r="V95" s="19">
        <f t="shared" si="77"/>
        <v>0</v>
      </c>
      <c r="W95" s="2"/>
      <c r="X95" s="2">
        <f t="shared" si="78"/>
        <v>-1233.6800000000003</v>
      </c>
      <c r="Y95" s="2"/>
      <c r="Z95" s="19">
        <f t="shared" si="79"/>
        <v>-0.60178631532221483</v>
      </c>
    </row>
    <row r="96" spans="1:26" x14ac:dyDescent="0.25">
      <c r="A96" s="9"/>
      <c r="B96" s="11"/>
      <c r="C96" s="11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1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4" customFormat="1" x14ac:dyDescent="0.25">
      <c r="A97" s="11"/>
      <c r="B97" s="29" t="s">
        <v>276</v>
      </c>
      <c r="C97" s="29"/>
      <c r="D97" s="22">
        <f>+D16-D18+D93</f>
        <v>-25260.429999999997</v>
      </c>
      <c r="E97" s="14"/>
      <c r="F97" s="20">
        <f>IF(D$12=0,0,D97/D$12)</f>
        <v>0</v>
      </c>
      <c r="G97" s="14"/>
      <c r="H97" s="22">
        <f>+H16-H18+H93</f>
        <v>-46129.12000000001</v>
      </c>
      <c r="I97" s="14"/>
      <c r="J97" s="20">
        <f>IF(H$12=0,0,H97/H$12)</f>
        <v>0</v>
      </c>
      <c r="K97" s="15"/>
      <c r="L97" s="22">
        <f>+D97-H97</f>
        <v>20868.690000000013</v>
      </c>
      <c r="M97" s="15"/>
      <c r="N97" s="20">
        <f>IF(H97=0,0,L97/H97)</f>
        <v>-0.45239731432119251</v>
      </c>
      <c r="O97" s="28"/>
      <c r="P97" s="22">
        <f>+P16-P18+P93</f>
        <v>-247763.95000000004</v>
      </c>
      <c r="Q97" s="14"/>
      <c r="R97" s="20">
        <f>IF(P$12=0,0,P97/P$12)</f>
        <v>0</v>
      </c>
      <c r="S97" s="14"/>
      <c r="T97" s="22">
        <f>+T16-T18+T93</f>
        <v>-778108.27000000014</v>
      </c>
      <c r="U97" s="14"/>
      <c r="V97" s="20">
        <f>IF(T$12=0,0,T97/T$12)</f>
        <v>0</v>
      </c>
      <c r="W97" s="15"/>
      <c r="X97" s="22">
        <f>+P97-T97</f>
        <v>530344.32000000007</v>
      </c>
      <c r="Y97" s="15"/>
      <c r="Z97" s="20">
        <f>IF(T97=0,0,X97/T97)</f>
        <v>-0.68158165186960418</v>
      </c>
    </row>
    <row r="98" spans="1:26" x14ac:dyDescent="0.25">
      <c r="A98" s="9"/>
      <c r="B98" s="11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x14ac:dyDescent="0.25">
      <c r="A99" s="51"/>
      <c r="B99" s="11" t="s">
        <v>127</v>
      </c>
      <c r="C99" s="11"/>
      <c r="D99" s="4"/>
      <c r="E99" s="4"/>
      <c r="F99" s="13">
        <f>IF(D$12=0,0,D99/D$12)</f>
        <v>0</v>
      </c>
      <c r="G99" s="4"/>
      <c r="H99" s="4"/>
      <c r="I99" s="4"/>
      <c r="J99" s="13">
        <f>IF(H$12=0,0,H99/H$12)</f>
        <v>0</v>
      </c>
      <c r="K99" s="4"/>
      <c r="L99" s="4">
        <f>+D99-H99</f>
        <v>0</v>
      </c>
      <c r="M99" s="4"/>
      <c r="N99" s="13">
        <f>IF(H99=0,0,L99/H99)</f>
        <v>0</v>
      </c>
      <c r="O99" s="11"/>
      <c r="P99" s="4"/>
      <c r="Q99" s="4"/>
      <c r="R99" s="13">
        <f>IF(P$12=0,0,P99/P$12)</f>
        <v>0</v>
      </c>
      <c r="S99" s="4"/>
      <c r="T99" s="4"/>
      <c r="U99" s="4"/>
      <c r="V99" s="13">
        <f>IF(T$12=0,0,T99/T$12)</f>
        <v>0</v>
      </c>
      <c r="W99" s="4"/>
      <c r="X99" s="4">
        <f>+P99-T99</f>
        <v>0</v>
      </c>
      <c r="Y99" s="4"/>
      <c r="Z99" s="13">
        <f>IF(T99=0,0,X99/T99)</f>
        <v>0</v>
      </c>
    </row>
    <row r="100" spans="1:26" x14ac:dyDescent="0.25">
      <c r="A100" s="9"/>
      <c r="B100" s="11"/>
      <c r="C100" s="11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1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4" customFormat="1" ht="15.75" thickBot="1" x14ac:dyDescent="0.3">
      <c r="A101" s="11"/>
      <c r="B101" s="29" t="s">
        <v>125</v>
      </c>
      <c r="C101" s="29"/>
      <c r="D101" s="30">
        <f>+D97-D99</f>
        <v>-25260.429999999997</v>
      </c>
      <c r="E101" s="14"/>
      <c r="F101" s="36">
        <f>IF(D$12=0,0,D101/D$12)</f>
        <v>0</v>
      </c>
      <c r="G101" s="14"/>
      <c r="H101" s="30">
        <f>+H97-H99</f>
        <v>-46129.12000000001</v>
      </c>
      <c r="I101" s="14"/>
      <c r="J101" s="36">
        <f>IF(H$12=0,0,H101/H$12)</f>
        <v>0</v>
      </c>
      <c r="K101" s="15"/>
      <c r="L101" s="30">
        <f>D101-H101</f>
        <v>20868.690000000013</v>
      </c>
      <c r="M101" s="15"/>
      <c r="N101" s="36">
        <f>IF(H101=0,0,L101/H101)</f>
        <v>-0.45239731432119251</v>
      </c>
      <c r="O101" s="28"/>
      <c r="P101" s="30">
        <f>+P97-P99</f>
        <v>-247763.95000000004</v>
      </c>
      <c r="Q101" s="14"/>
      <c r="R101" s="36">
        <f>IF(P$12=0,0,P101/P$12)</f>
        <v>0</v>
      </c>
      <c r="S101" s="14"/>
      <c r="T101" s="30">
        <f>+T97-T99</f>
        <v>-778108.27000000014</v>
      </c>
      <c r="U101" s="14"/>
      <c r="V101" s="36">
        <f>IF(T$12=0,0,T101/T$12)</f>
        <v>0</v>
      </c>
      <c r="W101" s="15"/>
      <c r="X101" s="30">
        <f>P101-T101</f>
        <v>530344.32000000007</v>
      </c>
      <c r="Y101" s="15"/>
      <c r="Z101" s="36">
        <f>IF(T101=0,0,X101/T101)</f>
        <v>-0.68158165186960418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4" customFormat="1" ht="15.75" thickBot="1" x14ac:dyDescent="0.3">
      <c r="A104" s="11"/>
      <c r="B104" s="29" t="s">
        <v>293</v>
      </c>
      <c r="C104" s="29"/>
      <c r="D104" s="35">
        <f>SUM(D101:D103)</f>
        <v>-25260.429999999997</v>
      </c>
      <c r="E104" s="14"/>
      <c r="F104" s="34">
        <f>IF(D$12=0,0,D104/D$12)</f>
        <v>0</v>
      </c>
      <c r="G104" s="14"/>
      <c r="H104" s="35">
        <f>SUM(H101:H103)</f>
        <v>-46129.12000000001</v>
      </c>
      <c r="I104" s="14"/>
      <c r="J104" s="34">
        <f>IF(H$12=0,0,H104/H$12)</f>
        <v>0</v>
      </c>
      <c r="K104" s="15"/>
      <c r="L104" s="35">
        <f>+D104-H104</f>
        <v>20868.690000000013</v>
      </c>
      <c r="M104" s="15"/>
      <c r="N104" s="34">
        <f>IF(H104=0,0,L104/H104)</f>
        <v>-0.45239731432119251</v>
      </c>
      <c r="O104" s="28"/>
      <c r="P104" s="35">
        <f>SUM(P101:P103)</f>
        <v>-247763.95000000004</v>
      </c>
      <c r="Q104" s="14"/>
      <c r="R104" s="34">
        <f>IF(P$12=0,0,P104/P$12)</f>
        <v>0</v>
      </c>
      <c r="S104" s="14"/>
      <c r="T104" s="35">
        <f>SUM(T101:T103)</f>
        <v>-778108.27000000014</v>
      </c>
      <c r="U104" s="14"/>
      <c r="V104" s="34">
        <f>IF(T$12=0,0,T104/T$12)</f>
        <v>0</v>
      </c>
      <c r="W104" s="15"/>
      <c r="X104" s="35">
        <f>+P104-T104</f>
        <v>530344.32000000007</v>
      </c>
      <c r="Y104" s="15"/>
      <c r="Z104" s="34">
        <f>IF(T104=0,0,X104/T104)</f>
        <v>-0.68158165186960418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4">
        <v>44295.963243634258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8" t="s">
        <v>56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62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217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","412", " - ", "Chartroom")</f>
        <v>Department 412 - Chartroom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9205.2200000000012</v>
      </c>
      <c r="I12" s="4"/>
      <c r="J12" s="13"/>
      <c r="K12" s="4"/>
      <c r="L12" s="4">
        <f t="shared" ref="L12:L14" si="0">+D12-H12</f>
        <v>-9205.2200000000012</v>
      </c>
      <c r="M12" s="4"/>
      <c r="N12" s="13">
        <f t="shared" ref="N12:N14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379973.86</v>
      </c>
      <c r="U12" s="4"/>
      <c r="V12" s="13"/>
      <c r="W12" s="4"/>
      <c r="X12" s="4">
        <f t="shared" ref="X12:X14" si="2">+P12-T12</f>
        <v>-379973.86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"4052", " - ", "TAXABLE SALES-FOOD")</f>
        <v xml:space="preserve">          4052 - TAXABLE SALES-FOOD</v>
      </c>
      <c r="C13" s="10"/>
      <c r="D13" s="2">
        <f t="shared" ref="D13:D14" si="4">0</f>
        <v>0</v>
      </c>
      <c r="E13" s="2"/>
      <c r="F13" s="19"/>
      <c r="G13" s="2"/>
      <c r="H13" s="2">
        <f>--5738.89</f>
        <v>5738.89</v>
      </c>
      <c r="I13" s="2"/>
      <c r="J13" s="19"/>
      <c r="K13" s="2"/>
      <c r="L13" s="2">
        <f t="shared" si="0"/>
        <v>-5738.89</v>
      </c>
      <c r="M13" s="2"/>
      <c r="N13" s="19">
        <f t="shared" si="1"/>
        <v>-1</v>
      </c>
      <c r="O13" s="10"/>
      <c r="P13" s="2">
        <f t="shared" ref="P13:P14" si="5">0</f>
        <v>0</v>
      </c>
      <c r="Q13" s="2"/>
      <c r="R13" s="19"/>
      <c r="S13" s="2"/>
      <c r="T13" s="2">
        <f>--329896.47</f>
        <v>329896.46999999997</v>
      </c>
      <c r="U13" s="2"/>
      <c r="V13" s="19"/>
      <c r="W13" s="2"/>
      <c r="X13" s="2">
        <f t="shared" si="2"/>
        <v>-329896.46999999997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"4152", " - ", "NON-TAXABLE SALES-FOOD")</f>
        <v xml:space="preserve">          4152 - NON-TAXABLE SALES-FOOD</v>
      </c>
      <c r="C14" s="10"/>
      <c r="D14" s="2">
        <f t="shared" si="4"/>
        <v>0</v>
      </c>
      <c r="E14" s="2"/>
      <c r="F14" s="19"/>
      <c r="G14" s="2"/>
      <c r="H14" s="2">
        <f>--3466.33</f>
        <v>3466.33</v>
      </c>
      <c r="I14" s="2"/>
      <c r="J14" s="19"/>
      <c r="K14" s="2"/>
      <c r="L14" s="2">
        <f t="shared" si="0"/>
        <v>-3466.33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--50077.39</f>
        <v>50077.39</v>
      </c>
      <c r="U14" s="2"/>
      <c r="V14" s="19"/>
      <c r="W14" s="2"/>
      <c r="X14" s="2">
        <f t="shared" si="2"/>
        <v>-50077.39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2899.5299999999988</v>
      </c>
      <c r="I16" s="4"/>
      <c r="J16" s="13">
        <f t="shared" ref="J16:J18" si="7">IF(H$12=0,0,H16/H$12)</f>
        <v>0.31498758313217917</v>
      </c>
      <c r="K16" s="4"/>
      <c r="L16" s="4">
        <f t="shared" ref="L16:L18" si="8">+D16-H16</f>
        <v>-2899.5299999999988</v>
      </c>
      <c r="M16" s="4"/>
      <c r="N16" s="13">
        <f t="shared" ref="N16:N18" si="9">IF(H16=0,0,L16/H16)</f>
        <v>-1</v>
      </c>
      <c r="O16" s="11"/>
      <c r="P16" s="4">
        <f>SUM(OSRRefP16x_0)</f>
        <v>0</v>
      </c>
      <c r="Q16" s="4"/>
      <c r="R16" s="13">
        <f t="shared" ref="R16:R18" si="10">IF(P$12=0,0,P16/P$12)</f>
        <v>0</v>
      </c>
      <c r="S16" s="4"/>
      <c r="T16" s="4">
        <f>SUM(OSRRefT16x_0)</f>
        <v>189241.42</v>
      </c>
      <c r="U16" s="4"/>
      <c r="V16" s="13">
        <f t="shared" ref="V16:V18" si="11">IF(T$12=0,0,T16/T$12)</f>
        <v>0.49803799661376713</v>
      </c>
      <c r="W16" s="4"/>
      <c r="X16" s="4">
        <f t="shared" ref="X16:X18" si="12">+P16-T16</f>
        <v>-189241.42</v>
      </c>
      <c r="Y16" s="4"/>
      <c r="Z16" s="13">
        <f t="shared" ref="Z16:Z18" si="13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>
        <v>16849.53</v>
      </c>
      <c r="I17" s="2"/>
      <c r="J17" s="19">
        <f t="shared" si="7"/>
        <v>1.8304320809279948</v>
      </c>
      <c r="K17" s="2"/>
      <c r="L17" s="2">
        <f t="shared" si="8"/>
        <v>-16849.53</v>
      </c>
      <c r="M17" s="2"/>
      <c r="N17" s="19">
        <f t="shared" si="9"/>
        <v>-1</v>
      </c>
      <c r="O17" s="10"/>
      <c r="P17" s="2"/>
      <c r="Q17" s="2"/>
      <c r="R17" s="19">
        <f t="shared" si="10"/>
        <v>0</v>
      </c>
      <c r="S17" s="2"/>
      <c r="T17" s="2">
        <v>203191.42</v>
      </c>
      <c r="U17" s="2"/>
      <c r="V17" s="19">
        <f t="shared" si="11"/>
        <v>0.53475104840106635</v>
      </c>
      <c r="W17" s="2"/>
      <c r="X17" s="2">
        <f t="shared" si="12"/>
        <v>-203191.42</v>
      </c>
      <c r="Y17" s="2"/>
      <c r="Z17" s="19">
        <f t="shared" si="13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-13950</v>
      </c>
      <c r="I18" s="2"/>
      <c r="J18" s="19">
        <f t="shared" si="7"/>
        <v>-1.5154444977958157</v>
      </c>
      <c r="K18" s="2"/>
      <c r="L18" s="2">
        <f t="shared" si="8"/>
        <v>13950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-13950</v>
      </c>
      <c r="U18" s="2"/>
      <c r="V18" s="19">
        <f t="shared" si="11"/>
        <v>-3.6713051787299264E-2</v>
      </c>
      <c r="W18" s="2"/>
      <c r="X18" s="2">
        <f t="shared" si="12"/>
        <v>13950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6305.6900000000023</v>
      </c>
      <c r="I20" s="14"/>
      <c r="J20" s="20">
        <f>IF(H$12=0,0,H20/H$12)</f>
        <v>0.68501241686782077</v>
      </c>
      <c r="K20" s="15"/>
      <c r="L20" s="22">
        <f>+D20-H20</f>
        <v>-6305.6900000000023</v>
      </c>
      <c r="M20" s="15"/>
      <c r="N20" s="20">
        <f>IF(H20=0,0,L20/H20)</f>
        <v>-1</v>
      </c>
      <c r="O20" s="28"/>
      <c r="P20" s="22">
        <f>P12-P16</f>
        <v>0</v>
      </c>
      <c r="Q20" s="14"/>
      <c r="R20" s="20">
        <f>IF(P$12=0,0,P20/P$12)</f>
        <v>0</v>
      </c>
      <c r="S20" s="14"/>
      <c r="T20" s="22">
        <f>T12-T16</f>
        <v>190732.43999999997</v>
      </c>
      <c r="U20" s="14"/>
      <c r="V20" s="20">
        <f>IF(T$12=0,0,T20/T$12)</f>
        <v>0.50196200338623287</v>
      </c>
      <c r="W20" s="15"/>
      <c r="X20" s="22">
        <f>+P20-T20</f>
        <v>-190732.43999999997</v>
      </c>
      <c r="Y20" s="15"/>
      <c r="Z20" s="20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673.96</v>
      </c>
      <c r="E22" s="21"/>
      <c r="F22" s="31">
        <f t="shared" ref="F22:F31" si="14">IF(D$12=0,0,D22/D$12)</f>
        <v>0</v>
      </c>
      <c r="G22" s="21"/>
      <c r="H22" s="21">
        <f>SUM(OSRRefH22x_0)</f>
        <v>33581.96</v>
      </c>
      <c r="I22" s="21"/>
      <c r="J22" s="31">
        <f t="shared" ref="J22:J31" si="15">IF(H$12=0,0,H22/H$12)</f>
        <v>3.6481431187956392</v>
      </c>
      <c r="K22" s="4"/>
      <c r="L22" s="21">
        <f t="shared" ref="L22:L31" si="16">+D22-H22</f>
        <v>-32908</v>
      </c>
      <c r="M22" s="4"/>
      <c r="N22" s="31">
        <f t="shared" ref="N22:N31" si="17">IF(H22=0,0,L22/H22)</f>
        <v>-0.97993089146672796</v>
      </c>
      <c r="O22" s="11"/>
      <c r="P22" s="21">
        <f>SUM(OSRRefP22x_0)</f>
        <v>7950.2099999999991</v>
      </c>
      <c r="Q22" s="21"/>
      <c r="R22" s="31">
        <f t="shared" ref="R22:R31" si="18">IF(P$12=0,0,P22/P$12)</f>
        <v>0</v>
      </c>
      <c r="S22" s="21"/>
      <c r="T22" s="21">
        <f>SUM(OSRRefT22x_0)</f>
        <v>345993.30000000005</v>
      </c>
      <c r="U22" s="21"/>
      <c r="V22" s="31">
        <f t="shared" ref="V22:V31" si="19">IF(T$12=0,0,T22/T$12)</f>
        <v>0.91057132193251411</v>
      </c>
      <c r="W22" s="4"/>
      <c r="X22" s="21">
        <f t="shared" ref="X22:X31" si="20">+P22-T22</f>
        <v>-338043.09</v>
      </c>
      <c r="Y22" s="4"/>
      <c r="Z22" s="31">
        <f t="shared" ref="Z22:Z31" si="21">IF(T22=0,0,X22/T22)</f>
        <v>-0.97702206950250192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7319.81</v>
      </c>
      <c r="I23" s="1"/>
      <c r="J23" s="5">
        <f t="shared" si="15"/>
        <v>0.79518034332693832</v>
      </c>
      <c r="K23" s="1"/>
      <c r="L23" s="1">
        <f t="shared" si="16"/>
        <v>-7319.81</v>
      </c>
      <c r="M23" s="1"/>
      <c r="N23" s="5">
        <f t="shared" si="17"/>
        <v>-1</v>
      </c>
      <c r="O23" s="12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84996.640000000014</v>
      </c>
      <c r="U23" s="1"/>
      <c r="V23" s="5">
        <f t="shared" si="19"/>
        <v>0.22369075599042529</v>
      </c>
      <c r="W23" s="1"/>
      <c r="X23" s="1">
        <f t="shared" si="20"/>
        <v>-84996.640000000014</v>
      </c>
      <c r="Y23" s="1"/>
      <c r="Z23" s="5">
        <f t="shared" si="21"/>
        <v>-1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2433.7399999999998</v>
      </c>
      <c r="I24" s="2"/>
      <c r="J24" s="7">
        <f t="shared" si="15"/>
        <v>0.26438694566778409</v>
      </c>
      <c r="K24" s="2"/>
      <c r="L24" s="6">
        <f t="shared" si="16"/>
        <v>-2433.7399999999998</v>
      </c>
      <c r="M24" s="2"/>
      <c r="N24" s="7">
        <f t="shared" si="17"/>
        <v>-1</v>
      </c>
      <c r="O24" s="10"/>
      <c r="P24" s="6"/>
      <c r="Q24" s="2"/>
      <c r="R24" s="7">
        <f t="shared" si="18"/>
        <v>0</v>
      </c>
      <c r="S24" s="2"/>
      <c r="T24" s="6">
        <v>14871.7</v>
      </c>
      <c r="U24" s="2"/>
      <c r="V24" s="7">
        <f t="shared" si="19"/>
        <v>3.9138744965245768E-2</v>
      </c>
      <c r="W24" s="2"/>
      <c r="X24" s="6">
        <f t="shared" si="20"/>
        <v>-14871.7</v>
      </c>
      <c r="Y24" s="2"/>
      <c r="Z24" s="7">
        <f t="shared" si="21"/>
        <v>-1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>
        <v>1197.97</v>
      </c>
      <c r="I25" s="2"/>
      <c r="J25" s="7">
        <f t="shared" si="15"/>
        <v>0.13014028996591062</v>
      </c>
      <c r="K25" s="2"/>
      <c r="L25" s="6">
        <f t="shared" si="16"/>
        <v>-1197.97</v>
      </c>
      <c r="M25" s="2"/>
      <c r="N25" s="7">
        <f t="shared" si="17"/>
        <v>-1</v>
      </c>
      <c r="O25" s="10"/>
      <c r="P25" s="6"/>
      <c r="Q25" s="2"/>
      <c r="R25" s="7">
        <f t="shared" si="18"/>
        <v>0</v>
      </c>
      <c r="S25" s="2"/>
      <c r="T25" s="6">
        <v>5449.61</v>
      </c>
      <c r="U25" s="2"/>
      <c r="V25" s="7">
        <f t="shared" si="19"/>
        <v>1.4342065530507809E-2</v>
      </c>
      <c r="W25" s="2"/>
      <c r="X25" s="6">
        <f t="shared" si="20"/>
        <v>-5449.61</v>
      </c>
      <c r="Y25" s="2"/>
      <c r="Z25" s="7">
        <f t="shared" si="21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>
        <v>2418.6</v>
      </c>
      <c r="I26" s="2"/>
      <c r="J26" s="7">
        <f t="shared" si="15"/>
        <v>0.26274222669311537</v>
      </c>
      <c r="K26" s="2"/>
      <c r="L26" s="6">
        <f t="shared" si="16"/>
        <v>-2418.6</v>
      </c>
      <c r="M26" s="2"/>
      <c r="N26" s="7">
        <f t="shared" si="17"/>
        <v>-1</v>
      </c>
      <c r="O26" s="10"/>
      <c r="P26" s="6"/>
      <c r="Q26" s="2"/>
      <c r="R26" s="7">
        <f t="shared" si="18"/>
        <v>0</v>
      </c>
      <c r="S26" s="2"/>
      <c r="T26" s="6">
        <v>36209.82</v>
      </c>
      <c r="U26" s="2"/>
      <c r="V26" s="7">
        <f t="shared" si="19"/>
        <v>9.5295555331095669E-2</v>
      </c>
      <c r="W26" s="2"/>
      <c r="X26" s="6">
        <f t="shared" si="20"/>
        <v>-36209.82</v>
      </c>
      <c r="Y26" s="2"/>
      <c r="Z26" s="7">
        <f t="shared" si="21"/>
        <v>-1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86.66</v>
      </c>
      <c r="I27" s="2"/>
      <c r="J27" s="7">
        <f t="shared" si="15"/>
        <v>9.4142236687444723E-3</v>
      </c>
      <c r="K27" s="2"/>
      <c r="L27" s="6">
        <f t="shared" si="16"/>
        <v>-86.66</v>
      </c>
      <c r="M27" s="2"/>
      <c r="N27" s="7">
        <f t="shared" si="17"/>
        <v>-1</v>
      </c>
      <c r="O27" s="10"/>
      <c r="P27" s="6"/>
      <c r="Q27" s="2"/>
      <c r="R27" s="7">
        <f t="shared" si="18"/>
        <v>0</v>
      </c>
      <c r="S27" s="2"/>
      <c r="T27" s="6">
        <v>552.04999999999995</v>
      </c>
      <c r="U27" s="2"/>
      <c r="V27" s="7">
        <f t="shared" si="19"/>
        <v>1.4528630995826923E-3</v>
      </c>
      <c r="W27" s="2"/>
      <c r="X27" s="6">
        <f t="shared" si="20"/>
        <v>-552.04999999999995</v>
      </c>
      <c r="Y27" s="2"/>
      <c r="Z27" s="7">
        <f t="shared" si="21"/>
        <v>-1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>
        <v>214.92</v>
      </c>
      <c r="I28" s="2"/>
      <c r="J28" s="7">
        <f t="shared" si="15"/>
        <v>2.334762232733166E-2</v>
      </c>
      <c r="K28" s="2"/>
      <c r="L28" s="6">
        <f t="shared" si="16"/>
        <v>-214.92</v>
      </c>
      <c r="M28" s="2"/>
      <c r="N28" s="7">
        <f t="shared" si="17"/>
        <v>-1</v>
      </c>
      <c r="O28" s="10"/>
      <c r="P28" s="6"/>
      <c r="Q28" s="2"/>
      <c r="R28" s="7">
        <f t="shared" si="18"/>
        <v>0</v>
      </c>
      <c r="S28" s="2"/>
      <c r="T28" s="6">
        <v>6215.55</v>
      </c>
      <c r="U28" s="2"/>
      <c r="V28" s="7">
        <f t="shared" si="19"/>
        <v>1.6357835773229242E-2</v>
      </c>
      <c r="W28" s="2"/>
      <c r="X28" s="6">
        <f t="shared" si="20"/>
        <v>-6215.55</v>
      </c>
      <c r="Y28" s="2"/>
      <c r="Z28" s="7">
        <f t="shared" si="21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>
        <v>411.6</v>
      </c>
      <c r="I29" s="2"/>
      <c r="J29" s="7">
        <f t="shared" si="15"/>
        <v>4.4713760236039984E-2</v>
      </c>
      <c r="K29" s="2"/>
      <c r="L29" s="6">
        <f t="shared" si="16"/>
        <v>-411.6</v>
      </c>
      <c r="M29" s="2"/>
      <c r="N29" s="7">
        <f t="shared" si="17"/>
        <v>-1</v>
      </c>
      <c r="O29" s="10"/>
      <c r="P29" s="6"/>
      <c r="Q29" s="2"/>
      <c r="R29" s="7">
        <f t="shared" si="18"/>
        <v>0</v>
      </c>
      <c r="S29" s="2"/>
      <c r="T29" s="6">
        <v>7805.68</v>
      </c>
      <c r="U29" s="2"/>
      <c r="V29" s="7">
        <f t="shared" si="19"/>
        <v>2.0542676277783951E-2</v>
      </c>
      <c r="W29" s="2"/>
      <c r="X29" s="6">
        <f t="shared" si="20"/>
        <v>-7805.68</v>
      </c>
      <c r="Y29" s="2"/>
      <c r="Z29" s="7">
        <f t="shared" si="21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>
        <v>423.1</v>
      </c>
      <c r="I30" s="2"/>
      <c r="J30" s="7">
        <f t="shared" si="15"/>
        <v>4.5963051399097468E-2</v>
      </c>
      <c r="K30" s="2"/>
      <c r="L30" s="6">
        <f t="shared" si="16"/>
        <v>-423.1</v>
      </c>
      <c r="M30" s="2"/>
      <c r="N30" s="7">
        <f t="shared" si="17"/>
        <v>-1</v>
      </c>
      <c r="O30" s="10"/>
      <c r="P30" s="6"/>
      <c r="Q30" s="2"/>
      <c r="R30" s="7">
        <f t="shared" si="18"/>
        <v>0</v>
      </c>
      <c r="S30" s="2"/>
      <c r="T30" s="6">
        <v>10158.27</v>
      </c>
      <c r="U30" s="2"/>
      <c r="V30" s="7">
        <f t="shared" si="19"/>
        <v>2.6734128500313155E-2</v>
      </c>
      <c r="W30" s="2"/>
      <c r="X30" s="6">
        <f t="shared" si="20"/>
        <v>-10158.27</v>
      </c>
      <c r="Y30" s="2"/>
      <c r="Z30" s="7">
        <f t="shared" si="21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>
        <v>133.22</v>
      </c>
      <c r="I31" s="2"/>
      <c r="J31" s="7">
        <f t="shared" si="15"/>
        <v>1.4472223368914593E-2</v>
      </c>
      <c r="K31" s="2"/>
      <c r="L31" s="6">
        <f t="shared" si="16"/>
        <v>-133.22</v>
      </c>
      <c r="M31" s="2"/>
      <c r="N31" s="7">
        <f t="shared" si="17"/>
        <v>-1</v>
      </c>
      <c r="O31" s="10"/>
      <c r="P31" s="6"/>
      <c r="Q31" s="2"/>
      <c r="R31" s="7">
        <f t="shared" si="18"/>
        <v>0</v>
      </c>
      <c r="S31" s="2"/>
      <c r="T31" s="6">
        <v>3733.96</v>
      </c>
      <c r="U31" s="2"/>
      <c r="V31" s="7">
        <f t="shared" si="19"/>
        <v>9.8268865126669505E-3</v>
      </c>
      <c r="W31" s="2"/>
      <c r="X31" s="6">
        <f t="shared" si="20"/>
        <v>-3733.96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22524.53</v>
      </c>
      <c r="I32" s="1"/>
      <c r="J32" s="5">
        <f t="shared" ref="J32:J38" si="23">IF(H$12=0,0,H32/H$12)</f>
        <v>2.4469301113933177</v>
      </c>
      <c r="K32" s="1"/>
      <c r="L32" s="1">
        <f t="shared" ref="L32:L38" si="24">+D32-H32</f>
        <v>-22524.53</v>
      </c>
      <c r="M32" s="1"/>
      <c r="N32" s="5">
        <f t="shared" ref="N32:N38" si="25">IF(H32=0,0,L32/H32)</f>
        <v>-1</v>
      </c>
      <c r="O32" s="12"/>
      <c r="P32" s="1">
        <f>SUM(OSRRefP22_1x_0)</f>
        <v>0</v>
      </c>
      <c r="Q32" s="1"/>
      <c r="R32" s="5">
        <f t="shared" ref="R32:R38" si="26">IF(P$12=0,0,P32/P$12)</f>
        <v>0</v>
      </c>
      <c r="S32" s="1"/>
      <c r="T32" s="1">
        <f>SUM(OSRRefT22_1x_0)</f>
        <v>208459.5</v>
      </c>
      <c r="U32" s="1"/>
      <c r="V32" s="5">
        <f t="shared" ref="V32:V38" si="27">IF(T$12=0,0,T32/T$12)</f>
        <v>0.54861537054154197</v>
      </c>
      <c r="W32" s="1"/>
      <c r="X32" s="1">
        <f t="shared" ref="X32:X38" si="28">+P32-T32</f>
        <v>-208459.5</v>
      </c>
      <c r="Y32" s="1"/>
      <c r="Z32" s="5">
        <f t="shared" ref="Z32:Z38" si="29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>
        <v>3323.37</v>
      </c>
      <c r="I33" s="2"/>
      <c r="J33" s="7">
        <f t="shared" si="23"/>
        <v>0.36103102370176915</v>
      </c>
      <c r="K33" s="2"/>
      <c r="L33" s="6">
        <f t="shared" si="24"/>
        <v>-3323.37</v>
      </c>
      <c r="M33" s="2"/>
      <c r="N33" s="7">
        <f t="shared" si="25"/>
        <v>-1</v>
      </c>
      <c r="O33" s="10"/>
      <c r="P33" s="6"/>
      <c r="Q33" s="2"/>
      <c r="R33" s="7">
        <f t="shared" si="26"/>
        <v>0</v>
      </c>
      <c r="S33" s="2"/>
      <c r="T33" s="6">
        <v>60376.42</v>
      </c>
      <c r="U33" s="2"/>
      <c r="V33" s="7">
        <f t="shared" si="27"/>
        <v>0.15889624617861872</v>
      </c>
      <c r="W33" s="2"/>
      <c r="X33" s="6">
        <f t="shared" si="28"/>
        <v>-60376.42</v>
      </c>
      <c r="Y33" s="2"/>
      <c r="Z33" s="7">
        <f t="shared" si="29"/>
        <v>-1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2"/>
        <v>0</v>
      </c>
      <c r="G34" s="2"/>
      <c r="H34" s="6">
        <v>11850.75</v>
      </c>
      <c r="I34" s="2"/>
      <c r="J34" s="7">
        <f t="shared" si="23"/>
        <v>1.2873945435307357</v>
      </c>
      <c r="K34" s="2"/>
      <c r="L34" s="6">
        <f t="shared" si="24"/>
        <v>-11850.75</v>
      </c>
      <c r="M34" s="2"/>
      <c r="N34" s="7">
        <f t="shared" si="25"/>
        <v>-1</v>
      </c>
      <c r="O34" s="10"/>
      <c r="P34" s="6"/>
      <c r="Q34" s="2"/>
      <c r="R34" s="7">
        <f t="shared" si="26"/>
        <v>0</v>
      </c>
      <c r="S34" s="2"/>
      <c r="T34" s="6">
        <v>54540.13</v>
      </c>
      <c r="U34" s="2"/>
      <c r="V34" s="7">
        <f t="shared" si="27"/>
        <v>0.14353653169720676</v>
      </c>
      <c r="W34" s="2"/>
      <c r="X34" s="6">
        <f t="shared" si="28"/>
        <v>-54540.13</v>
      </c>
      <c r="Y34" s="2"/>
      <c r="Z34" s="7">
        <f t="shared" si="29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2"/>
        <v>0</v>
      </c>
      <c r="G35" s="2"/>
      <c r="H35" s="6">
        <v>5639.38</v>
      </c>
      <c r="I35" s="2"/>
      <c r="J35" s="7">
        <f t="shared" si="23"/>
        <v>0.61262848688027005</v>
      </c>
      <c r="K35" s="2"/>
      <c r="L35" s="6">
        <f t="shared" si="24"/>
        <v>-5639.38</v>
      </c>
      <c r="M35" s="2"/>
      <c r="N35" s="7">
        <f t="shared" si="25"/>
        <v>-1</v>
      </c>
      <c r="O35" s="10"/>
      <c r="P35" s="6"/>
      <c r="Q35" s="2"/>
      <c r="R35" s="7">
        <f t="shared" si="26"/>
        <v>0</v>
      </c>
      <c r="S35" s="2"/>
      <c r="T35" s="6">
        <v>47551.69</v>
      </c>
      <c r="U35" s="2"/>
      <c r="V35" s="7">
        <f t="shared" si="27"/>
        <v>0.12514463494936207</v>
      </c>
      <c r="W35" s="2"/>
      <c r="X35" s="6">
        <f t="shared" si="28"/>
        <v>-47551.69</v>
      </c>
      <c r="Y35" s="2"/>
      <c r="Z35" s="7">
        <f t="shared" si="29"/>
        <v>-1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0"/>
      <c r="P36" s="6"/>
      <c r="Q36" s="2"/>
      <c r="R36" s="7">
        <f t="shared" si="26"/>
        <v>0</v>
      </c>
      <c r="S36" s="2"/>
      <c r="T36" s="6">
        <v>1299.6300000000001</v>
      </c>
      <c r="U36" s="2"/>
      <c r="V36" s="7">
        <f t="shared" si="27"/>
        <v>3.4203142289840681E-3</v>
      </c>
      <c r="W36" s="2"/>
      <c r="X36" s="6">
        <f t="shared" si="28"/>
        <v>-1299.6300000000001</v>
      </c>
      <c r="Y36" s="2"/>
      <c r="Z36" s="7">
        <f t="shared" si="29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2"/>
        <v>0</v>
      </c>
      <c r="G37" s="2"/>
      <c r="H37" s="6">
        <v>1711.03</v>
      </c>
      <c r="I37" s="2"/>
      <c r="J37" s="7">
        <f t="shared" si="23"/>
        <v>0.18587605728054296</v>
      </c>
      <c r="K37" s="2"/>
      <c r="L37" s="6">
        <f t="shared" si="24"/>
        <v>-1711.03</v>
      </c>
      <c r="M37" s="2"/>
      <c r="N37" s="7">
        <f t="shared" si="25"/>
        <v>-1</v>
      </c>
      <c r="O37" s="10"/>
      <c r="P37" s="6"/>
      <c r="Q37" s="2"/>
      <c r="R37" s="7">
        <f t="shared" si="26"/>
        <v>0</v>
      </c>
      <c r="S37" s="2"/>
      <c r="T37" s="6">
        <v>41286.410000000003</v>
      </c>
      <c r="U37" s="2"/>
      <c r="V37" s="7">
        <f t="shared" si="27"/>
        <v>0.10865592175209106</v>
      </c>
      <c r="W37" s="2"/>
      <c r="X37" s="6">
        <f t="shared" si="28"/>
        <v>-41286.410000000003</v>
      </c>
      <c r="Y37" s="2"/>
      <c r="Z37" s="7">
        <f t="shared" si="29"/>
        <v>-1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/>
      <c r="Q38" s="2"/>
      <c r="R38" s="7">
        <f t="shared" si="26"/>
        <v>0</v>
      </c>
      <c r="S38" s="2"/>
      <c r="T38" s="6">
        <v>3405.22</v>
      </c>
      <c r="U38" s="2"/>
      <c r="V38" s="7">
        <f t="shared" si="27"/>
        <v>8.9617217352793693E-3</v>
      </c>
      <c r="W38" s="2"/>
      <c r="X38" s="6">
        <f t="shared" si="28"/>
        <v>-3405.22</v>
      </c>
      <c r="Y38" s="2"/>
      <c r="Z38" s="7">
        <f t="shared" si="29"/>
        <v>-1</v>
      </c>
    </row>
    <row r="39" spans="1:26" s="26" customFormat="1" outlineLevel="1" collapsed="1" x14ac:dyDescent="0.25">
      <c r="A39" s="27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6" si="30">IF(D$12=0,0,D39/D$12)</f>
        <v>0</v>
      </c>
      <c r="G39" s="1"/>
      <c r="H39" s="1">
        <f>SUM(OSRRefH22_2x_0)</f>
        <v>44</v>
      </c>
      <c r="I39" s="1"/>
      <c r="J39" s="5">
        <f t="shared" ref="J39:J56" si="31">IF(H$12=0,0,H39/H$12)</f>
        <v>4.7798966238721064E-3</v>
      </c>
      <c r="K39" s="1"/>
      <c r="L39" s="1">
        <f t="shared" ref="L39:L56" si="32">+D39-H39</f>
        <v>-44</v>
      </c>
      <c r="M39" s="1"/>
      <c r="N39" s="5">
        <f t="shared" ref="N39:N56" si="33">IF(H39=0,0,L39/H39)</f>
        <v>-1</v>
      </c>
      <c r="O39" s="12"/>
      <c r="P39" s="1">
        <f>SUM(OSRRefP22_2x_0)</f>
        <v>0</v>
      </c>
      <c r="Q39" s="1"/>
      <c r="R39" s="5">
        <f t="shared" ref="R39:R56" si="34">IF(P$12=0,0,P39/P$12)</f>
        <v>0</v>
      </c>
      <c r="S39" s="1"/>
      <c r="T39" s="1">
        <f>SUM(OSRRefT22_2x_0)</f>
        <v>462.48</v>
      </c>
      <c r="U39" s="1"/>
      <c r="V39" s="5">
        <f t="shared" ref="V39:V56" si="35">IF(T$12=0,0,T39/T$12)</f>
        <v>1.2171363577483988E-3</v>
      </c>
      <c r="W39" s="1"/>
      <c r="X39" s="1">
        <f t="shared" ref="X39:X56" si="36">+P39-T39</f>
        <v>-462.48</v>
      </c>
      <c r="Y39" s="1"/>
      <c r="Z39" s="5">
        <f t="shared" ref="Z39:Z56" si="37">IF(T39=0,0,X39/T39)</f>
        <v>-1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0"/>
        <v>0</v>
      </c>
      <c r="G40" s="2"/>
      <c r="H40" s="6">
        <v>44</v>
      </c>
      <c r="I40" s="2"/>
      <c r="J40" s="7">
        <f t="shared" si="31"/>
        <v>4.7798966238721064E-3</v>
      </c>
      <c r="K40" s="2"/>
      <c r="L40" s="6">
        <f t="shared" si="32"/>
        <v>-44</v>
      </c>
      <c r="M40" s="2"/>
      <c r="N40" s="7">
        <f t="shared" si="33"/>
        <v>-1</v>
      </c>
      <c r="O40" s="10"/>
      <c r="P40" s="6"/>
      <c r="Q40" s="2"/>
      <c r="R40" s="7">
        <f t="shared" si="34"/>
        <v>0</v>
      </c>
      <c r="S40" s="2"/>
      <c r="T40" s="6">
        <v>462.48</v>
      </c>
      <c r="U40" s="2"/>
      <c r="V40" s="7">
        <f t="shared" si="35"/>
        <v>1.2171363577483988E-3</v>
      </c>
      <c r="W40" s="2"/>
      <c r="X40" s="6">
        <f t="shared" si="36"/>
        <v>-462.48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-0.01</v>
      </c>
      <c r="I41" s="1"/>
      <c r="J41" s="5">
        <f t="shared" si="31"/>
        <v>-1.0863401417891153E-6</v>
      </c>
      <c r="K41" s="1"/>
      <c r="L41" s="1">
        <f t="shared" si="32"/>
        <v>0.01</v>
      </c>
      <c r="M41" s="1"/>
      <c r="N41" s="5">
        <f t="shared" si="33"/>
        <v>-1</v>
      </c>
      <c r="O41" s="12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-0.24</v>
      </c>
      <c r="U41" s="1"/>
      <c r="V41" s="5">
        <f t="shared" si="35"/>
        <v>-6.3162239634063244E-7</v>
      </c>
      <c r="W41" s="1"/>
      <c r="X41" s="1">
        <f t="shared" si="36"/>
        <v>0.24</v>
      </c>
      <c r="Y41" s="1"/>
      <c r="Z41" s="5">
        <f t="shared" si="37"/>
        <v>-1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0"/>
        <v>0</v>
      </c>
      <c r="G42" s="2"/>
      <c r="H42" s="6">
        <v>-0.01</v>
      </c>
      <c r="I42" s="2"/>
      <c r="J42" s="7">
        <f t="shared" si="31"/>
        <v>-1.0863401417891153E-6</v>
      </c>
      <c r="K42" s="2"/>
      <c r="L42" s="6">
        <f t="shared" si="32"/>
        <v>0.01</v>
      </c>
      <c r="M42" s="2"/>
      <c r="N42" s="7">
        <f t="shared" si="33"/>
        <v>-1</v>
      </c>
      <c r="O42" s="10"/>
      <c r="P42" s="6"/>
      <c r="Q42" s="2"/>
      <c r="R42" s="7">
        <f t="shared" si="34"/>
        <v>0</v>
      </c>
      <c r="S42" s="2"/>
      <c r="T42" s="6">
        <v>-0.24</v>
      </c>
      <c r="U42" s="2"/>
      <c r="V42" s="7">
        <f t="shared" si="35"/>
        <v>-6.3162239634063244E-7</v>
      </c>
      <c r="W42" s="2"/>
      <c r="X42" s="6">
        <f t="shared" si="36"/>
        <v>0.24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231.78</v>
      </c>
      <c r="I43" s="1"/>
      <c r="J43" s="5">
        <f t="shared" si="31"/>
        <v>2.5179191806388113E-2</v>
      </c>
      <c r="K43" s="1"/>
      <c r="L43" s="1">
        <f t="shared" si="32"/>
        <v>-231.78</v>
      </c>
      <c r="M43" s="1"/>
      <c r="N43" s="5">
        <f t="shared" si="33"/>
        <v>-1</v>
      </c>
      <c r="O43" s="12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5691.38</v>
      </c>
      <c r="U43" s="1"/>
      <c r="V43" s="5">
        <f t="shared" si="35"/>
        <v>1.4978346142021455E-2</v>
      </c>
      <c r="W43" s="1"/>
      <c r="X43" s="1">
        <f t="shared" si="36"/>
        <v>-5691.38</v>
      </c>
      <c r="Y43" s="1"/>
      <c r="Z43" s="5">
        <f t="shared" si="37"/>
        <v>-1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0"/>
        <v>0</v>
      </c>
      <c r="G44" s="2"/>
      <c r="H44" s="6">
        <v>231.78</v>
      </c>
      <c r="I44" s="2"/>
      <c r="J44" s="7">
        <f t="shared" si="31"/>
        <v>2.5179191806388113E-2</v>
      </c>
      <c r="K44" s="2"/>
      <c r="L44" s="6">
        <f t="shared" si="32"/>
        <v>-231.78</v>
      </c>
      <c r="M44" s="2"/>
      <c r="N44" s="7">
        <f t="shared" si="33"/>
        <v>-1</v>
      </c>
      <c r="O44" s="10"/>
      <c r="P44" s="6"/>
      <c r="Q44" s="2"/>
      <c r="R44" s="7">
        <f t="shared" si="34"/>
        <v>0</v>
      </c>
      <c r="S44" s="2"/>
      <c r="T44" s="6">
        <v>5691.38</v>
      </c>
      <c r="U44" s="2"/>
      <c r="V44" s="7">
        <f t="shared" si="35"/>
        <v>1.4978346142021455E-2</v>
      </c>
      <c r="W44" s="2"/>
      <c r="X44" s="6">
        <f t="shared" si="36"/>
        <v>-5691.38</v>
      </c>
      <c r="Y44" s="2"/>
      <c r="Z44" s="7">
        <f t="shared" si="37"/>
        <v>-1</v>
      </c>
    </row>
    <row r="45" spans="1:26" s="26" customFormat="1" outlineLevel="1" collapsed="1" x14ac:dyDescent="0.25">
      <c r="A45" s="27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577.36</v>
      </c>
      <c r="E45" s="1"/>
      <c r="F45" s="5">
        <f t="shared" si="30"/>
        <v>0</v>
      </c>
      <c r="G45" s="1"/>
      <c r="H45" s="1">
        <f>SUM(OSRRefH22_5x_0)</f>
        <v>689.04</v>
      </c>
      <c r="I45" s="1"/>
      <c r="J45" s="5">
        <f t="shared" si="31"/>
        <v>7.4853181129837187E-2</v>
      </c>
      <c r="K45" s="1"/>
      <c r="L45" s="1">
        <f t="shared" si="32"/>
        <v>-111.67999999999995</v>
      </c>
      <c r="M45" s="1"/>
      <c r="N45" s="5">
        <f t="shared" si="33"/>
        <v>-0.16208057587367924</v>
      </c>
      <c r="O45" s="12"/>
      <c r="P45" s="1">
        <f>SUM(OSRRefP22_5x_0)</f>
        <v>5535.23</v>
      </c>
      <c r="Q45" s="1"/>
      <c r="R45" s="5">
        <f t="shared" si="34"/>
        <v>0</v>
      </c>
      <c r="S45" s="1"/>
      <c r="T45" s="1">
        <f>SUM(OSRRefT22_5x_0)</f>
        <v>3310.86</v>
      </c>
      <c r="U45" s="1"/>
      <c r="V45" s="5">
        <f t="shared" si="35"/>
        <v>8.7133888631181107E-3</v>
      </c>
      <c r="W45" s="1"/>
      <c r="X45" s="1">
        <f t="shared" si="36"/>
        <v>2224.3699999999994</v>
      </c>
      <c r="Y45" s="1"/>
      <c r="Z45" s="5">
        <f t="shared" si="37"/>
        <v>0.67184054898123124</v>
      </c>
    </row>
    <row r="46" spans="1:26" s="23" customFormat="1" hidden="1" outlineLevel="2" x14ac:dyDescent="0.25">
      <c r="A46" s="25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577.36</v>
      </c>
      <c r="E46" s="2"/>
      <c r="F46" s="7">
        <f t="shared" si="30"/>
        <v>0</v>
      </c>
      <c r="G46" s="2"/>
      <c r="H46" s="6">
        <v>689.04</v>
      </c>
      <c r="I46" s="2"/>
      <c r="J46" s="7">
        <f t="shared" si="31"/>
        <v>7.4853181129837187E-2</v>
      </c>
      <c r="K46" s="2"/>
      <c r="L46" s="6">
        <f t="shared" si="32"/>
        <v>-111.67999999999995</v>
      </c>
      <c r="M46" s="2"/>
      <c r="N46" s="7">
        <f t="shared" si="33"/>
        <v>-0.16208057587367924</v>
      </c>
      <c r="O46" s="10"/>
      <c r="P46" s="6">
        <v>5535.23</v>
      </c>
      <c r="Q46" s="2"/>
      <c r="R46" s="7">
        <f t="shared" si="34"/>
        <v>0</v>
      </c>
      <c r="S46" s="2"/>
      <c r="T46" s="6">
        <v>3310.86</v>
      </c>
      <c r="U46" s="2"/>
      <c r="V46" s="7">
        <f t="shared" si="35"/>
        <v>8.7133888631181107E-3</v>
      </c>
      <c r="W46" s="2"/>
      <c r="X46" s="6">
        <f t="shared" si="36"/>
        <v>2224.3699999999994</v>
      </c>
      <c r="Y46" s="2"/>
      <c r="Z46" s="7">
        <f t="shared" si="37"/>
        <v>0.67184054898123124</v>
      </c>
    </row>
    <row r="47" spans="1:26" s="26" customFormat="1" outlineLevel="1" collapsed="1" x14ac:dyDescent="0.25">
      <c r="A47" s="27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0"/>
        <v>0</v>
      </c>
      <c r="G47" s="1"/>
      <c r="H47" s="1">
        <f>SUM(OSRRefH22_6x_0)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2"/>
      <c r="P47" s="1">
        <f>SUM(OSRRefP22_6x_0)</f>
        <v>0</v>
      </c>
      <c r="Q47" s="1"/>
      <c r="R47" s="5">
        <f t="shared" si="34"/>
        <v>0</v>
      </c>
      <c r="S47" s="1"/>
      <c r="T47" s="1">
        <f>SUM(OSRRefT22_6x_0)</f>
        <v>60</v>
      </c>
      <c r="U47" s="1"/>
      <c r="V47" s="5">
        <f t="shared" si="35"/>
        <v>1.5790559908515812E-4</v>
      </c>
      <c r="W47" s="1"/>
      <c r="X47" s="1">
        <f t="shared" si="36"/>
        <v>-60</v>
      </c>
      <c r="Y47" s="1"/>
      <c r="Z47" s="5">
        <f t="shared" si="37"/>
        <v>-1</v>
      </c>
    </row>
    <row r="48" spans="1:26" s="23" customFormat="1" hidden="1" outlineLevel="2" x14ac:dyDescent="0.25">
      <c r="A48" s="25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0"/>
      <c r="P48" s="6"/>
      <c r="Q48" s="2"/>
      <c r="R48" s="7">
        <f t="shared" si="34"/>
        <v>0</v>
      </c>
      <c r="S48" s="2"/>
      <c r="T48" s="6">
        <v>60</v>
      </c>
      <c r="U48" s="2"/>
      <c r="V48" s="7">
        <f t="shared" si="35"/>
        <v>1.5790559908515812E-4</v>
      </c>
      <c r="W48" s="2"/>
      <c r="X48" s="6">
        <f t="shared" si="36"/>
        <v>-60</v>
      </c>
      <c r="Y48" s="2"/>
      <c r="Z48" s="7">
        <f t="shared" si="37"/>
        <v>-1</v>
      </c>
    </row>
    <row r="49" spans="1:26" s="26" customFormat="1" outlineLevel="1" collapsed="1" x14ac:dyDescent="0.25">
      <c r="A49" s="27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0"/>
        <v>0</v>
      </c>
      <c r="G49" s="1"/>
      <c r="H49" s="1">
        <f>SUM(OSRRefH22_7x_0)</f>
        <v>46.56</v>
      </c>
      <c r="I49" s="1"/>
      <c r="J49" s="5">
        <f t="shared" si="31"/>
        <v>5.0579997001701203E-3</v>
      </c>
      <c r="K49" s="1"/>
      <c r="L49" s="1">
        <f t="shared" si="32"/>
        <v>-46.56</v>
      </c>
      <c r="M49" s="1"/>
      <c r="N49" s="5">
        <f t="shared" si="33"/>
        <v>-1</v>
      </c>
      <c r="O49" s="12"/>
      <c r="P49" s="1">
        <f>SUM(OSRRefP22_7x_0)</f>
        <v>16.239999999999998</v>
      </c>
      <c r="Q49" s="1"/>
      <c r="R49" s="5">
        <f t="shared" si="34"/>
        <v>0</v>
      </c>
      <c r="S49" s="1"/>
      <c r="T49" s="1">
        <f>SUM(OSRRefT22_7x_0)</f>
        <v>805.28</v>
      </c>
      <c r="U49" s="1"/>
      <c r="V49" s="5">
        <f t="shared" si="35"/>
        <v>2.1193036805216021E-3</v>
      </c>
      <c r="W49" s="1"/>
      <c r="X49" s="1">
        <f t="shared" si="36"/>
        <v>-789.04</v>
      </c>
      <c r="Y49" s="1"/>
      <c r="Z49" s="5">
        <f t="shared" si="37"/>
        <v>-0.97983310152990266</v>
      </c>
    </row>
    <row r="50" spans="1:26" s="23" customFormat="1" hidden="1" outlineLevel="2" x14ac:dyDescent="0.25">
      <c r="A50" s="25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0"/>
        <v>0</v>
      </c>
      <c r="G50" s="2"/>
      <c r="H50" s="6">
        <v>46.56</v>
      </c>
      <c r="I50" s="2"/>
      <c r="J50" s="7">
        <f t="shared" si="31"/>
        <v>5.0579997001701203E-3</v>
      </c>
      <c r="K50" s="2"/>
      <c r="L50" s="6">
        <f t="shared" si="32"/>
        <v>-46.56</v>
      </c>
      <c r="M50" s="2"/>
      <c r="N50" s="7">
        <f t="shared" si="33"/>
        <v>-1</v>
      </c>
      <c r="O50" s="10"/>
      <c r="P50" s="6">
        <v>16.239999999999998</v>
      </c>
      <c r="Q50" s="2"/>
      <c r="R50" s="7">
        <f t="shared" si="34"/>
        <v>0</v>
      </c>
      <c r="S50" s="2"/>
      <c r="T50" s="6">
        <v>805.28</v>
      </c>
      <c r="U50" s="2"/>
      <c r="V50" s="7">
        <f t="shared" si="35"/>
        <v>2.1193036805216021E-3</v>
      </c>
      <c r="W50" s="2"/>
      <c r="X50" s="6">
        <f t="shared" si="36"/>
        <v>-789.04</v>
      </c>
      <c r="Y50" s="2"/>
      <c r="Z50" s="7">
        <f t="shared" si="37"/>
        <v>-0.97983310152990266</v>
      </c>
    </row>
    <row r="51" spans="1:26" s="26" customFormat="1" outlineLevel="1" collapsed="1" x14ac:dyDescent="0.25">
      <c r="A51" s="27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0"/>
        <v>0</v>
      </c>
      <c r="G51" s="1"/>
      <c r="H51" s="1">
        <f>SUM(OSRRefH22_8x_0)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2"/>
      <c r="P51" s="1">
        <f>SUM(OSRRefP22_8x_0)</f>
        <v>0</v>
      </c>
      <c r="Q51" s="1"/>
      <c r="R51" s="5">
        <f t="shared" si="34"/>
        <v>0</v>
      </c>
      <c r="S51" s="1"/>
      <c r="T51" s="1">
        <f>SUM(OSRRefT22_8x_0)</f>
        <v>2898.74</v>
      </c>
      <c r="U51" s="1"/>
      <c r="V51" s="5">
        <f t="shared" si="35"/>
        <v>7.6287879382018536E-3</v>
      </c>
      <c r="W51" s="1"/>
      <c r="X51" s="1">
        <f t="shared" si="36"/>
        <v>-2898.74</v>
      </c>
      <c r="Y51" s="1"/>
      <c r="Z51" s="5">
        <f t="shared" si="37"/>
        <v>-1</v>
      </c>
    </row>
    <row r="52" spans="1:26" s="23" customFormat="1" hidden="1" outlineLevel="2" x14ac:dyDescent="0.25">
      <c r="A52" s="25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0"/>
      <c r="P52" s="6"/>
      <c r="Q52" s="2"/>
      <c r="R52" s="7">
        <f t="shared" si="34"/>
        <v>0</v>
      </c>
      <c r="S52" s="2"/>
      <c r="T52" s="6">
        <v>2898.74</v>
      </c>
      <c r="U52" s="2"/>
      <c r="V52" s="7">
        <f t="shared" si="35"/>
        <v>7.6287879382018536E-3</v>
      </c>
      <c r="W52" s="2"/>
      <c r="X52" s="6">
        <f t="shared" si="36"/>
        <v>-2898.74</v>
      </c>
      <c r="Y52" s="2"/>
      <c r="Z52" s="7">
        <f t="shared" si="37"/>
        <v>-1</v>
      </c>
    </row>
    <row r="53" spans="1:26" s="26" customFormat="1" outlineLevel="1" collapsed="1" x14ac:dyDescent="0.25">
      <c r="A53" s="27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60.6</v>
      </c>
      <c r="E53" s="1"/>
      <c r="F53" s="5">
        <f t="shared" si="30"/>
        <v>0</v>
      </c>
      <c r="G53" s="1"/>
      <c r="H53" s="1">
        <f>SUM(OSRRefH22_9x_0)</f>
        <v>161.49</v>
      </c>
      <c r="I53" s="1"/>
      <c r="J53" s="5">
        <f t="shared" si="31"/>
        <v>1.7543306949752421E-2</v>
      </c>
      <c r="K53" s="1"/>
      <c r="L53" s="1">
        <f t="shared" si="32"/>
        <v>-100.89000000000001</v>
      </c>
      <c r="M53" s="1"/>
      <c r="N53" s="5">
        <f t="shared" si="33"/>
        <v>-0.62474456622701102</v>
      </c>
      <c r="O53" s="12"/>
      <c r="P53" s="1">
        <f>SUM(OSRRefP22_9x_0)</f>
        <v>1677.13</v>
      </c>
      <c r="Q53" s="1"/>
      <c r="R53" s="5">
        <f t="shared" si="34"/>
        <v>0</v>
      </c>
      <c r="S53" s="1"/>
      <c r="T53" s="1">
        <f>SUM(OSRRefT22_9x_0)</f>
        <v>5456.32</v>
      </c>
      <c r="U53" s="1"/>
      <c r="V53" s="5">
        <f t="shared" si="35"/>
        <v>1.4359724640005499E-2</v>
      </c>
      <c r="W53" s="1"/>
      <c r="X53" s="1">
        <f t="shared" si="36"/>
        <v>-3779.1899999999996</v>
      </c>
      <c r="Y53" s="1"/>
      <c r="Z53" s="5">
        <f t="shared" si="37"/>
        <v>-0.69262616562078472</v>
      </c>
    </row>
    <row r="54" spans="1:26" s="23" customFormat="1" hidden="1" outlineLevel="2" x14ac:dyDescent="0.25">
      <c r="A54" s="25"/>
      <c r="B54" s="10" t="str">
        <f>CONCATENATE("          ", "6371", " - ", "COMPUTER SOFTWARE MAINTENANCE")</f>
        <v xml:space="preserve">          6371 - COMPUTER SOFTWARE MAINTENANCE</v>
      </c>
      <c r="C54" s="10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0"/>
      <c r="P54" s="6"/>
      <c r="Q54" s="2"/>
      <c r="R54" s="7">
        <f t="shared" si="34"/>
        <v>0</v>
      </c>
      <c r="S54" s="2"/>
      <c r="T54" s="6">
        <v>0</v>
      </c>
      <c r="U54" s="2"/>
      <c r="V54" s="7">
        <f t="shared" si="35"/>
        <v>0</v>
      </c>
      <c r="W54" s="2"/>
      <c r="X54" s="6">
        <f t="shared" si="36"/>
        <v>0</v>
      </c>
      <c r="Y54" s="2"/>
      <c r="Z54" s="7">
        <f t="shared" si="37"/>
        <v>0</v>
      </c>
    </row>
    <row r="55" spans="1:26" s="23" customFormat="1" hidden="1" outlineLevel="2" x14ac:dyDescent="0.25">
      <c r="A55" s="25"/>
      <c r="B55" s="10" t="str">
        <f>CONCATENATE("          ", "6373", " - ", "MAINTENANCE CONTRACTS")</f>
        <v xml:space="preserve">          6373 - MAINTENANCE CONTRACTS</v>
      </c>
      <c r="C55" s="10"/>
      <c r="D55" s="6">
        <v>60.6</v>
      </c>
      <c r="E55" s="2"/>
      <c r="F55" s="7">
        <f t="shared" si="30"/>
        <v>0</v>
      </c>
      <c r="G55" s="2"/>
      <c r="H55" s="6">
        <v>60.6</v>
      </c>
      <c r="I55" s="2"/>
      <c r="J55" s="7">
        <f t="shared" si="31"/>
        <v>6.5832212592420378E-3</v>
      </c>
      <c r="K55" s="2"/>
      <c r="L55" s="6">
        <f t="shared" si="32"/>
        <v>0</v>
      </c>
      <c r="M55" s="2"/>
      <c r="N55" s="7">
        <f t="shared" si="33"/>
        <v>0</v>
      </c>
      <c r="O55" s="10"/>
      <c r="P55" s="6">
        <v>339</v>
      </c>
      <c r="Q55" s="2"/>
      <c r="R55" s="7">
        <f t="shared" si="34"/>
        <v>0</v>
      </c>
      <c r="S55" s="2"/>
      <c r="T55" s="6">
        <v>1131.8800000000001</v>
      </c>
      <c r="U55" s="2"/>
      <c r="V55" s="7">
        <f t="shared" si="35"/>
        <v>2.9788364915418132E-3</v>
      </c>
      <c r="W55" s="2"/>
      <c r="X55" s="6">
        <f t="shared" si="36"/>
        <v>-792.88000000000011</v>
      </c>
      <c r="Y55" s="2"/>
      <c r="Z55" s="7">
        <f t="shared" si="37"/>
        <v>-0.70049828603738917</v>
      </c>
    </row>
    <row r="56" spans="1:26" s="23" customFormat="1" hidden="1" outlineLevel="2" x14ac:dyDescent="0.25">
      <c r="A56" s="25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0"/>
        <v>0</v>
      </c>
      <c r="G56" s="2"/>
      <c r="H56" s="6">
        <v>100.89</v>
      </c>
      <c r="I56" s="2"/>
      <c r="J56" s="7">
        <f t="shared" si="31"/>
        <v>1.0960085690510383E-2</v>
      </c>
      <c r="K56" s="2"/>
      <c r="L56" s="6">
        <f t="shared" si="32"/>
        <v>-100.89</v>
      </c>
      <c r="M56" s="2"/>
      <c r="N56" s="7">
        <f t="shared" si="33"/>
        <v>-1</v>
      </c>
      <c r="O56" s="10"/>
      <c r="P56" s="6">
        <v>1338.13</v>
      </c>
      <c r="Q56" s="2"/>
      <c r="R56" s="7">
        <f t="shared" si="34"/>
        <v>0</v>
      </c>
      <c r="S56" s="2"/>
      <c r="T56" s="6">
        <v>4324.4399999999996</v>
      </c>
      <c r="U56" s="2"/>
      <c r="V56" s="7">
        <f t="shared" si="35"/>
        <v>1.1380888148463686E-2</v>
      </c>
      <c r="W56" s="2"/>
      <c r="X56" s="6">
        <f t="shared" si="36"/>
        <v>-2986.3099999999995</v>
      </c>
      <c r="Y56" s="2"/>
      <c r="Z56" s="7">
        <f t="shared" si="37"/>
        <v>-0.69056571486712726</v>
      </c>
    </row>
    <row r="57" spans="1:26" s="26" customFormat="1" outlineLevel="1" collapsed="1" x14ac:dyDescent="0.25">
      <c r="A57" s="27"/>
      <c r="B57" s="12" t="str">
        <f>CONCATENATE("     ","Services                                          ")</f>
        <v xml:space="preserve">     Services                                          </v>
      </c>
      <c r="C57" s="12"/>
      <c r="D57" s="1">
        <f>SUM(OSRRefD22_10x_0)</f>
        <v>0</v>
      </c>
      <c r="E57" s="1"/>
      <c r="F57" s="5">
        <f t="shared" ref="F57:F60" si="38">IF(D$12=0,0,D57/D$12)</f>
        <v>0</v>
      </c>
      <c r="G57" s="1"/>
      <c r="H57" s="1">
        <f>SUM(OSRRefH22_10x_0)</f>
        <v>1664.84</v>
      </c>
      <c r="I57" s="1"/>
      <c r="J57" s="5">
        <f t="shared" ref="J57:J60" si="39">IF(H$12=0,0,H57/H$12)</f>
        <v>0.18085825216561904</v>
      </c>
      <c r="K57" s="1"/>
      <c r="L57" s="1">
        <f t="shared" ref="L57:L60" si="40">+D57-H57</f>
        <v>-1664.84</v>
      </c>
      <c r="M57" s="1"/>
      <c r="N57" s="5">
        <f t="shared" ref="N57:N60" si="41">IF(H57=0,0,L57/H57)</f>
        <v>-1</v>
      </c>
      <c r="O57" s="12"/>
      <c r="P57" s="1">
        <f>SUM(OSRRefP22_10x_0)</f>
        <v>320.58</v>
      </c>
      <c r="Q57" s="1"/>
      <c r="R57" s="5">
        <f t="shared" ref="R57:R60" si="42">IF(P$12=0,0,P57/P$12)</f>
        <v>0</v>
      </c>
      <c r="S57" s="1"/>
      <c r="T57" s="1">
        <f>SUM(OSRRefT22_10x_0)</f>
        <v>19588.91</v>
      </c>
      <c r="U57" s="1"/>
      <c r="V57" s="5">
        <f t="shared" ref="V57:V60" si="43">IF(T$12=0,0,T57/T$12)</f>
        <v>5.1553309482920751E-2</v>
      </c>
      <c r="W57" s="1"/>
      <c r="X57" s="1">
        <f t="shared" ref="X57:X60" si="44">+P57-T57</f>
        <v>-19268.329999999998</v>
      </c>
      <c r="Y57" s="1"/>
      <c r="Z57" s="5">
        <f t="shared" ref="Z57:Z60" si="45">IF(T57=0,0,X57/T57)</f>
        <v>-0.98363461775055372</v>
      </c>
    </row>
    <row r="58" spans="1:26" s="23" customFormat="1" hidden="1" outlineLevel="2" x14ac:dyDescent="0.25">
      <c r="A58" s="25"/>
      <c r="B58" s="10" t="str">
        <f>CONCATENATE("          ", "6283", " - ", "PLANT SERVICE")</f>
        <v xml:space="preserve">          6283 - PLANT SERVICE</v>
      </c>
      <c r="C58" s="10"/>
      <c r="D58" s="6"/>
      <c r="E58" s="2"/>
      <c r="F58" s="7">
        <f t="shared" si="38"/>
        <v>0</v>
      </c>
      <c r="G58" s="2"/>
      <c r="H58" s="6">
        <v>125.9</v>
      </c>
      <c r="I58" s="2"/>
      <c r="J58" s="7">
        <f t="shared" si="39"/>
        <v>1.367702238512496E-2</v>
      </c>
      <c r="K58" s="2"/>
      <c r="L58" s="6">
        <f t="shared" si="40"/>
        <v>-125.9</v>
      </c>
      <c r="M58" s="2"/>
      <c r="N58" s="7">
        <f t="shared" si="41"/>
        <v>-1</v>
      </c>
      <c r="O58" s="10"/>
      <c r="P58" s="6"/>
      <c r="Q58" s="2"/>
      <c r="R58" s="7">
        <f t="shared" si="42"/>
        <v>0</v>
      </c>
      <c r="S58" s="2"/>
      <c r="T58" s="6">
        <v>440.65</v>
      </c>
      <c r="U58" s="2"/>
      <c r="V58" s="7">
        <f t="shared" si="43"/>
        <v>1.1596850372812488E-3</v>
      </c>
      <c r="W58" s="2"/>
      <c r="X58" s="6">
        <f t="shared" si="44"/>
        <v>-440.65</v>
      </c>
      <c r="Y58" s="2"/>
      <c r="Z58" s="7">
        <f t="shared" si="45"/>
        <v>-1</v>
      </c>
    </row>
    <row r="59" spans="1:26" s="23" customFormat="1" hidden="1" outlineLevel="2" x14ac:dyDescent="0.25">
      <c r="A59" s="25"/>
      <c r="B59" s="10" t="str">
        <f>CONCATENATE("          ", "6285", " - ", "JANITORIAL SERVICES")</f>
        <v xml:space="preserve">          6285 - JANITORIAL SERVICES</v>
      </c>
      <c r="C59" s="10"/>
      <c r="D59" s="6"/>
      <c r="E59" s="2"/>
      <c r="F59" s="7">
        <f t="shared" si="38"/>
        <v>0</v>
      </c>
      <c r="G59" s="2"/>
      <c r="H59" s="6">
        <v>517.04999999999995</v>
      </c>
      <c r="I59" s="2"/>
      <c r="J59" s="7">
        <f t="shared" si="39"/>
        <v>5.6169217031206198E-2</v>
      </c>
      <c r="K59" s="2"/>
      <c r="L59" s="6">
        <f t="shared" si="40"/>
        <v>-517.04999999999995</v>
      </c>
      <c r="M59" s="2"/>
      <c r="N59" s="7">
        <f t="shared" si="41"/>
        <v>-1</v>
      </c>
      <c r="O59" s="10"/>
      <c r="P59" s="6"/>
      <c r="Q59" s="2"/>
      <c r="R59" s="7">
        <f t="shared" si="42"/>
        <v>0</v>
      </c>
      <c r="S59" s="2"/>
      <c r="T59" s="6">
        <v>517.04999999999995</v>
      </c>
      <c r="U59" s="2"/>
      <c r="V59" s="7">
        <f t="shared" si="43"/>
        <v>1.3607515001163501E-3</v>
      </c>
      <c r="W59" s="2"/>
      <c r="X59" s="6">
        <f t="shared" si="44"/>
        <v>-517.04999999999995</v>
      </c>
      <c r="Y59" s="2"/>
      <c r="Z59" s="7">
        <f t="shared" si="45"/>
        <v>-1</v>
      </c>
    </row>
    <row r="60" spans="1:26" s="23" customFormat="1" hidden="1" outlineLevel="2" x14ac:dyDescent="0.25">
      <c r="A60" s="25"/>
      <c r="B60" s="10" t="str">
        <f>CONCATENATE("          ", "6286", " - ", "LAUNDRY EXPENSE")</f>
        <v xml:space="preserve">          6286 - LAUNDRY EXPENSE</v>
      </c>
      <c r="C60" s="10"/>
      <c r="D60" s="6"/>
      <c r="E60" s="2"/>
      <c r="F60" s="7">
        <f t="shared" si="38"/>
        <v>0</v>
      </c>
      <c r="G60" s="2"/>
      <c r="H60" s="6">
        <v>1021.89</v>
      </c>
      <c r="I60" s="2"/>
      <c r="J60" s="7">
        <f t="shared" si="39"/>
        <v>0.11101201274928789</v>
      </c>
      <c r="K60" s="2"/>
      <c r="L60" s="6">
        <f t="shared" si="40"/>
        <v>-1021.89</v>
      </c>
      <c r="M60" s="2"/>
      <c r="N60" s="7">
        <f t="shared" si="41"/>
        <v>-1</v>
      </c>
      <c r="O60" s="10"/>
      <c r="P60" s="6">
        <v>320.58</v>
      </c>
      <c r="Q60" s="2"/>
      <c r="R60" s="7">
        <f t="shared" si="42"/>
        <v>0</v>
      </c>
      <c r="S60" s="2"/>
      <c r="T60" s="6">
        <v>18631.21</v>
      </c>
      <c r="U60" s="2"/>
      <c r="V60" s="7">
        <f t="shared" si="43"/>
        <v>4.9032872945523144E-2</v>
      </c>
      <c r="W60" s="2"/>
      <c r="X60" s="6">
        <f t="shared" si="44"/>
        <v>-18310.629999999997</v>
      </c>
      <c r="Y60" s="2"/>
      <c r="Z60" s="7">
        <f t="shared" si="45"/>
        <v>-0.98279338808375827</v>
      </c>
    </row>
    <row r="61" spans="1:26" s="26" customFormat="1" outlineLevel="1" collapsed="1" x14ac:dyDescent="0.25">
      <c r="A61" s="27"/>
      <c r="B61" s="12" t="str">
        <f>CONCATENATE("     ","Supplies                                          ")</f>
        <v xml:space="preserve">     Supplies                                          </v>
      </c>
      <c r="C61" s="12"/>
      <c r="D61" s="1">
        <f>SUM(OSRRefD22_11x_0)</f>
        <v>0</v>
      </c>
      <c r="E61" s="1"/>
      <c r="F61" s="5">
        <f t="shared" ref="F61:F67" si="46">IF(D$12=0,0,D61/D$12)</f>
        <v>0</v>
      </c>
      <c r="G61" s="1"/>
      <c r="H61" s="1">
        <f>SUM(OSRRefH22_11x_0)</f>
        <v>725.27</v>
      </c>
      <c r="I61" s="1"/>
      <c r="J61" s="5">
        <f t="shared" ref="J61:J67" si="47">IF(H$12=0,0,H61/H$12)</f>
        <v>7.8788991463539154E-2</v>
      </c>
      <c r="K61" s="1"/>
      <c r="L61" s="1">
        <f t="shared" ref="L61:L67" si="48">+D61-H61</f>
        <v>-725.27</v>
      </c>
      <c r="M61" s="1"/>
      <c r="N61" s="5">
        <f t="shared" ref="N61:N67" si="49">IF(H61=0,0,L61/H61)</f>
        <v>-1</v>
      </c>
      <c r="O61" s="12"/>
      <c r="P61" s="1">
        <f>SUM(OSRRefP22_11x_0)</f>
        <v>0</v>
      </c>
      <c r="Q61" s="1"/>
      <c r="R61" s="5">
        <f t="shared" ref="R61:R67" si="50">IF(P$12=0,0,P61/P$12)</f>
        <v>0</v>
      </c>
      <c r="S61" s="1"/>
      <c r="T61" s="1">
        <f>SUM(OSRRefT22_11x_0)</f>
        <v>12277.42</v>
      </c>
      <c r="U61" s="1"/>
      <c r="V61" s="5">
        <f t="shared" ref="V61:V67" si="51">IF(T$12=0,0,T61/T$12)</f>
        <v>3.2311222672001705E-2</v>
      </c>
      <c r="W61" s="1"/>
      <c r="X61" s="1">
        <f t="shared" ref="X61:X67" si="52">+P61-T61</f>
        <v>-12277.42</v>
      </c>
      <c r="Y61" s="1"/>
      <c r="Z61" s="5">
        <f t="shared" ref="Z61:Z67" si="53">IF(T61=0,0,X61/T61)</f>
        <v>-1</v>
      </c>
    </row>
    <row r="62" spans="1:26" s="23" customFormat="1" hidden="1" outlineLevel="2" x14ac:dyDescent="0.25">
      <c r="A62" s="25"/>
      <c r="B62" s="10" t="str">
        <f>CONCATENATE("          ", "6234", " - ", "EXPENDABLE SUPPLIES &amp; EQUIPMEN")</f>
        <v xml:space="preserve">          6234 - EXPENDABLE SUPPLIES &amp; EQUIPMEN</v>
      </c>
      <c r="C62" s="10"/>
      <c r="D62" s="6"/>
      <c r="E62" s="2"/>
      <c r="F62" s="7">
        <f t="shared" si="46"/>
        <v>0</v>
      </c>
      <c r="G62" s="2"/>
      <c r="H62" s="6">
        <v>235.13</v>
      </c>
      <c r="I62" s="2"/>
      <c r="J62" s="7">
        <f t="shared" si="47"/>
        <v>2.5543115753887465E-2</v>
      </c>
      <c r="K62" s="2"/>
      <c r="L62" s="6">
        <f t="shared" si="48"/>
        <v>-235.13</v>
      </c>
      <c r="M62" s="2"/>
      <c r="N62" s="7">
        <f t="shared" si="49"/>
        <v>-1</v>
      </c>
      <c r="O62" s="10"/>
      <c r="P62" s="6"/>
      <c r="Q62" s="2"/>
      <c r="R62" s="7">
        <f t="shared" si="50"/>
        <v>0</v>
      </c>
      <c r="S62" s="2"/>
      <c r="T62" s="6">
        <v>883.03</v>
      </c>
      <c r="U62" s="2"/>
      <c r="V62" s="7">
        <f t="shared" si="51"/>
        <v>2.3239230193361198E-3</v>
      </c>
      <c r="W62" s="2"/>
      <c r="X62" s="6">
        <f t="shared" si="52"/>
        <v>-883.03</v>
      </c>
      <c r="Y62" s="2"/>
      <c r="Z62" s="7">
        <f t="shared" si="53"/>
        <v>-1</v>
      </c>
    </row>
    <row r="63" spans="1:26" s="23" customFormat="1" hidden="1" outlineLevel="2" x14ac:dyDescent="0.25">
      <c r="A63" s="25"/>
      <c r="B63" s="10" t="str">
        <f>CONCATENATE("          ", "6239", " - ", "KITCHEN SUPPLIES")</f>
        <v xml:space="preserve">          6239 - KITCHEN SUPPLIES</v>
      </c>
      <c r="C63" s="10"/>
      <c r="D63" s="6"/>
      <c r="E63" s="2"/>
      <c r="F63" s="7">
        <f t="shared" si="46"/>
        <v>0</v>
      </c>
      <c r="G63" s="2"/>
      <c r="H63" s="6"/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0"/>
      <c r="P63" s="6"/>
      <c r="Q63" s="2"/>
      <c r="R63" s="7">
        <f t="shared" si="50"/>
        <v>0</v>
      </c>
      <c r="S63" s="2"/>
      <c r="T63" s="6">
        <v>3652.68</v>
      </c>
      <c r="U63" s="2"/>
      <c r="V63" s="7">
        <f t="shared" si="51"/>
        <v>9.6129770611062555E-3</v>
      </c>
      <c r="W63" s="2"/>
      <c r="X63" s="6">
        <f t="shared" si="52"/>
        <v>-3652.68</v>
      </c>
      <c r="Y63" s="2"/>
      <c r="Z63" s="7">
        <f t="shared" si="53"/>
        <v>-1</v>
      </c>
    </row>
    <row r="64" spans="1:26" s="23" customFormat="1" hidden="1" outlineLevel="2" x14ac:dyDescent="0.25">
      <c r="A64" s="25"/>
      <c r="B64" s="10" t="str">
        <f>CONCATENATE("          ", "6241", " - ", "OFFICE EXPENSE")</f>
        <v xml:space="preserve">          6241 - OFFICE EXPENSE</v>
      </c>
      <c r="C64" s="10"/>
      <c r="D64" s="6"/>
      <c r="E64" s="2"/>
      <c r="F64" s="7">
        <f t="shared" si="46"/>
        <v>0</v>
      </c>
      <c r="G64" s="2"/>
      <c r="H64" s="6">
        <v>88.2</v>
      </c>
      <c r="I64" s="2"/>
      <c r="J64" s="7">
        <f t="shared" si="47"/>
        <v>9.5815200505799964E-3</v>
      </c>
      <c r="K64" s="2"/>
      <c r="L64" s="6">
        <f t="shared" si="48"/>
        <v>-88.2</v>
      </c>
      <c r="M64" s="2"/>
      <c r="N64" s="7">
        <f t="shared" si="49"/>
        <v>-1</v>
      </c>
      <c r="O64" s="10"/>
      <c r="P64" s="6"/>
      <c r="Q64" s="2"/>
      <c r="R64" s="7">
        <f t="shared" si="50"/>
        <v>0</v>
      </c>
      <c r="S64" s="2"/>
      <c r="T64" s="6">
        <v>737.89</v>
      </c>
      <c r="U64" s="2"/>
      <c r="V64" s="7">
        <f t="shared" si="51"/>
        <v>1.9419493751491222E-3</v>
      </c>
      <c r="W64" s="2"/>
      <c r="X64" s="6">
        <f t="shared" si="52"/>
        <v>-737.89</v>
      </c>
      <c r="Y64" s="2"/>
      <c r="Z64" s="7">
        <f t="shared" si="53"/>
        <v>-1</v>
      </c>
    </row>
    <row r="65" spans="1:26" s="23" customFormat="1" hidden="1" outlineLevel="2" x14ac:dyDescent="0.25">
      <c r="A65" s="25"/>
      <c r="B65" s="10" t="str">
        <f>CONCATENATE("          ", "6243", " - ", "PAPER SUPPLIES")</f>
        <v xml:space="preserve">          6243 - PAPER SUPPLIES</v>
      </c>
      <c r="C65" s="10"/>
      <c r="D65" s="6"/>
      <c r="E65" s="2"/>
      <c r="F65" s="7">
        <f t="shared" si="46"/>
        <v>0</v>
      </c>
      <c r="G65" s="2"/>
      <c r="H65" s="6">
        <v>182.11</v>
      </c>
      <c r="I65" s="2"/>
      <c r="J65" s="7">
        <f t="shared" si="47"/>
        <v>1.9783340322121579E-2</v>
      </c>
      <c r="K65" s="2"/>
      <c r="L65" s="6">
        <f t="shared" si="48"/>
        <v>-182.11</v>
      </c>
      <c r="M65" s="2"/>
      <c r="N65" s="7">
        <f t="shared" si="49"/>
        <v>-1</v>
      </c>
      <c r="O65" s="10"/>
      <c r="P65" s="6"/>
      <c r="Q65" s="2"/>
      <c r="R65" s="7">
        <f t="shared" si="50"/>
        <v>0</v>
      </c>
      <c r="S65" s="2"/>
      <c r="T65" s="6">
        <v>5217.22</v>
      </c>
      <c r="U65" s="2"/>
      <c r="V65" s="7">
        <f t="shared" si="51"/>
        <v>1.3730470827651145E-2</v>
      </c>
      <c r="W65" s="2"/>
      <c r="X65" s="6">
        <f t="shared" si="52"/>
        <v>-5217.22</v>
      </c>
      <c r="Y65" s="2"/>
      <c r="Z65" s="7">
        <f t="shared" si="53"/>
        <v>-1</v>
      </c>
    </row>
    <row r="66" spans="1:26" s="23" customFormat="1" hidden="1" outlineLevel="2" x14ac:dyDescent="0.25">
      <c r="A66" s="25"/>
      <c r="B66" s="10" t="str">
        <f>CONCATENATE("          ", "6247", " - ", "STORE SUPPLIES")</f>
        <v xml:space="preserve">          6247 - STORE SUPPLIES</v>
      </c>
      <c r="C66" s="10"/>
      <c r="D66" s="6"/>
      <c r="E66" s="2"/>
      <c r="F66" s="7">
        <f t="shared" si="46"/>
        <v>0</v>
      </c>
      <c r="G66" s="2"/>
      <c r="H66" s="6">
        <v>105.57</v>
      </c>
      <c r="I66" s="2"/>
      <c r="J66" s="7">
        <f t="shared" si="47"/>
        <v>1.1468492876867688E-2</v>
      </c>
      <c r="K66" s="2"/>
      <c r="L66" s="6">
        <f t="shared" si="48"/>
        <v>-105.57</v>
      </c>
      <c r="M66" s="2"/>
      <c r="N66" s="7">
        <f t="shared" si="49"/>
        <v>-1</v>
      </c>
      <c r="O66" s="10"/>
      <c r="P66" s="6"/>
      <c r="Q66" s="2"/>
      <c r="R66" s="7">
        <f t="shared" si="50"/>
        <v>0</v>
      </c>
      <c r="S66" s="2"/>
      <c r="T66" s="6">
        <v>493.94</v>
      </c>
      <c r="U66" s="2"/>
      <c r="V66" s="7">
        <f t="shared" si="51"/>
        <v>1.2999315268687167E-3</v>
      </c>
      <c r="W66" s="2"/>
      <c r="X66" s="6">
        <f t="shared" si="52"/>
        <v>-493.94</v>
      </c>
      <c r="Y66" s="2"/>
      <c r="Z66" s="7">
        <f t="shared" si="53"/>
        <v>-1</v>
      </c>
    </row>
    <row r="67" spans="1:26" s="23" customFormat="1" hidden="1" outlineLevel="2" x14ac:dyDescent="0.25">
      <c r="A67" s="25"/>
      <c r="B67" s="10" t="str">
        <f>CONCATENATE("          ", "6248", " - ", "UNIFORMS")</f>
        <v xml:space="preserve">          6248 - UNIFORMS</v>
      </c>
      <c r="C67" s="10"/>
      <c r="D67" s="6"/>
      <c r="E67" s="2"/>
      <c r="F67" s="7">
        <f t="shared" si="46"/>
        <v>0</v>
      </c>
      <c r="G67" s="2"/>
      <c r="H67" s="6">
        <v>114.26</v>
      </c>
      <c r="I67" s="2"/>
      <c r="J67" s="7">
        <f t="shared" si="47"/>
        <v>1.2412522460082431E-2</v>
      </c>
      <c r="K67" s="2"/>
      <c r="L67" s="6">
        <f t="shared" si="48"/>
        <v>-114.26</v>
      </c>
      <c r="M67" s="2"/>
      <c r="N67" s="7">
        <f t="shared" si="49"/>
        <v>-1</v>
      </c>
      <c r="O67" s="10"/>
      <c r="P67" s="6"/>
      <c r="Q67" s="2"/>
      <c r="R67" s="7">
        <f t="shared" si="50"/>
        <v>0</v>
      </c>
      <c r="S67" s="2"/>
      <c r="T67" s="6">
        <v>1292.6600000000001</v>
      </c>
      <c r="U67" s="2"/>
      <c r="V67" s="7">
        <f t="shared" si="51"/>
        <v>3.4019708618903419E-3</v>
      </c>
      <c r="W67" s="2"/>
      <c r="X67" s="6">
        <f t="shared" si="52"/>
        <v>-1292.6600000000001</v>
      </c>
      <c r="Y67" s="2"/>
      <c r="Z67" s="7">
        <f t="shared" si="53"/>
        <v>-1</v>
      </c>
    </row>
    <row r="68" spans="1:26" s="26" customFormat="1" outlineLevel="1" collapsed="1" x14ac:dyDescent="0.25">
      <c r="A68" s="27"/>
      <c r="B68" s="12" t="str">
        <f>CONCATENATE("     ","Telephone/Data Lines                              ")</f>
        <v xml:space="preserve">     Telephone/Data Lines                              </v>
      </c>
      <c r="C68" s="12"/>
      <c r="D68" s="1">
        <f>SUM(OSRRefD22_12x_0)</f>
        <v>36</v>
      </c>
      <c r="E68" s="1"/>
      <c r="F68" s="5">
        <f t="shared" ref="F68:F71" si="54">IF(D$12=0,0,D68/D$12)</f>
        <v>0</v>
      </c>
      <c r="G68" s="1"/>
      <c r="H68" s="1">
        <f>SUM(OSRRefH22_12x_0)</f>
        <v>174.65</v>
      </c>
      <c r="I68" s="1"/>
      <c r="J68" s="5">
        <f t="shared" ref="J68:J71" si="55">IF(H$12=0,0,H68/H$12)</f>
        <v>1.8972930576346896E-2</v>
      </c>
      <c r="K68" s="1"/>
      <c r="L68" s="1">
        <f t="shared" ref="L68:L71" si="56">+D68-H68</f>
        <v>-138.65</v>
      </c>
      <c r="M68" s="1"/>
      <c r="N68" s="5">
        <f t="shared" ref="N68:N71" si="57">IF(H68=0,0,L68/H68)</f>
        <v>-0.79387346120813052</v>
      </c>
      <c r="O68" s="12"/>
      <c r="P68" s="1">
        <f>SUM(OSRRefP22_12x_0)</f>
        <v>401.03</v>
      </c>
      <c r="Q68" s="1"/>
      <c r="R68" s="5">
        <f t="shared" ref="R68:R71" si="58">IF(P$12=0,0,P68/P$12)</f>
        <v>0</v>
      </c>
      <c r="S68" s="1"/>
      <c r="T68" s="1">
        <f>SUM(OSRRefT22_12x_0)</f>
        <v>1811.01</v>
      </c>
      <c r="U68" s="1"/>
      <c r="V68" s="5">
        <f t="shared" ref="V68:V71" si="59">IF(T$12=0,0,T68/T$12)</f>
        <v>4.7661436499868703E-3</v>
      </c>
      <c r="W68" s="1"/>
      <c r="X68" s="1">
        <f t="shared" ref="X68:X71" si="60">+P68-T68</f>
        <v>-1409.98</v>
      </c>
      <c r="Y68" s="1"/>
      <c r="Z68" s="5">
        <f t="shared" ref="Z68:Z71" si="61">IF(T68=0,0,X68/T68)</f>
        <v>-0.77856003003848684</v>
      </c>
    </row>
    <row r="69" spans="1:26" s="23" customFormat="1" hidden="1" outlineLevel="2" x14ac:dyDescent="0.25">
      <c r="A69" s="25"/>
      <c r="B69" s="10" t="str">
        <f>CONCATENATE("          ", "6309", " - ", "TELEPHONE")</f>
        <v xml:space="preserve">          6309 - TELEPHONE</v>
      </c>
      <c r="C69" s="10"/>
      <c r="D69" s="6">
        <v>36</v>
      </c>
      <c r="E69" s="2"/>
      <c r="F69" s="7">
        <f t="shared" si="54"/>
        <v>0</v>
      </c>
      <c r="G69" s="2"/>
      <c r="H69" s="6">
        <v>174.65</v>
      </c>
      <c r="I69" s="2"/>
      <c r="J69" s="7">
        <f t="shared" si="55"/>
        <v>1.8972930576346896E-2</v>
      </c>
      <c r="K69" s="2"/>
      <c r="L69" s="6">
        <f t="shared" si="56"/>
        <v>-138.65</v>
      </c>
      <c r="M69" s="2"/>
      <c r="N69" s="7">
        <f t="shared" si="57"/>
        <v>-0.79387346120813052</v>
      </c>
      <c r="O69" s="10"/>
      <c r="P69" s="6">
        <v>401.03</v>
      </c>
      <c r="Q69" s="2"/>
      <c r="R69" s="7">
        <f t="shared" si="58"/>
        <v>0</v>
      </c>
      <c r="S69" s="2"/>
      <c r="T69" s="6">
        <v>1811.01</v>
      </c>
      <c r="U69" s="2"/>
      <c r="V69" s="7">
        <f t="shared" si="59"/>
        <v>4.7661436499868703E-3</v>
      </c>
      <c r="W69" s="2"/>
      <c r="X69" s="6">
        <f t="shared" si="60"/>
        <v>-1409.98</v>
      </c>
      <c r="Y69" s="2"/>
      <c r="Z69" s="7">
        <f t="shared" si="61"/>
        <v>-0.77856003003848684</v>
      </c>
    </row>
    <row r="70" spans="1:26" s="26" customFormat="1" outlineLevel="1" collapsed="1" x14ac:dyDescent="0.25">
      <c r="A70" s="27"/>
      <c r="B70" s="12" t="str">
        <f>CONCATENATE("     ","Training                                          ")</f>
        <v xml:space="preserve">     Training                                          </v>
      </c>
      <c r="C70" s="12"/>
      <c r="D70" s="1">
        <f>SUM(OSRRefD22_13x_0)</f>
        <v>0</v>
      </c>
      <c r="E70" s="1"/>
      <c r="F70" s="5">
        <f t="shared" si="54"/>
        <v>0</v>
      </c>
      <c r="G70" s="1"/>
      <c r="H70" s="1">
        <f>SUM(OSRRefH22_13x_0)</f>
        <v>0</v>
      </c>
      <c r="I70" s="1"/>
      <c r="J70" s="5">
        <f t="shared" si="55"/>
        <v>0</v>
      </c>
      <c r="K70" s="1"/>
      <c r="L70" s="1">
        <f t="shared" si="56"/>
        <v>0</v>
      </c>
      <c r="M70" s="1"/>
      <c r="N70" s="5">
        <f t="shared" si="57"/>
        <v>0</v>
      </c>
      <c r="O70" s="12"/>
      <c r="P70" s="1">
        <f>SUM(OSRRefP22_13x_0)</f>
        <v>0</v>
      </c>
      <c r="Q70" s="1"/>
      <c r="R70" s="5">
        <f t="shared" si="58"/>
        <v>0</v>
      </c>
      <c r="S70" s="1"/>
      <c r="T70" s="1">
        <f>SUM(OSRRefT22_13x_0)</f>
        <v>175</v>
      </c>
      <c r="U70" s="1"/>
      <c r="V70" s="5">
        <f t="shared" si="59"/>
        <v>4.605579973317112E-4</v>
      </c>
      <c r="W70" s="1"/>
      <c r="X70" s="1">
        <f t="shared" si="60"/>
        <v>-175</v>
      </c>
      <c r="Y70" s="1"/>
      <c r="Z70" s="5">
        <f t="shared" si="61"/>
        <v>-1</v>
      </c>
    </row>
    <row r="71" spans="1:26" s="23" customFormat="1" hidden="1" outlineLevel="2" x14ac:dyDescent="0.25">
      <c r="A71" s="25"/>
      <c r="B71" s="10" t="str">
        <f>CONCATENATE("          ", "6376", " - ", "TRAINING")</f>
        <v xml:space="preserve">          6376 - TRAINING</v>
      </c>
      <c r="C71" s="10"/>
      <c r="D71" s="6"/>
      <c r="E71" s="2"/>
      <c r="F71" s="7">
        <f t="shared" si="54"/>
        <v>0</v>
      </c>
      <c r="G71" s="2"/>
      <c r="H71" s="6"/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0"/>
      <c r="P71" s="6"/>
      <c r="Q71" s="2"/>
      <c r="R71" s="7">
        <f t="shared" si="58"/>
        <v>0</v>
      </c>
      <c r="S71" s="2"/>
      <c r="T71" s="6">
        <v>175</v>
      </c>
      <c r="U71" s="2"/>
      <c r="V71" s="7">
        <f t="shared" si="59"/>
        <v>4.605579973317112E-4</v>
      </c>
      <c r="W71" s="2"/>
      <c r="X71" s="6">
        <f t="shared" si="60"/>
        <v>-175</v>
      </c>
      <c r="Y71" s="2"/>
      <c r="Z71" s="7">
        <f t="shared" si="61"/>
        <v>-1</v>
      </c>
    </row>
    <row r="72" spans="1:26" s="60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4" customFormat="1" x14ac:dyDescent="0.25">
      <c r="A73" s="11"/>
      <c r="B73" s="28" t="s">
        <v>292</v>
      </c>
      <c r="C73" s="11"/>
      <c r="D73" s="4">
        <f>SUM(0)</f>
        <v>0</v>
      </c>
      <c r="E73" s="4"/>
      <c r="F73" s="13">
        <f>IF(D$12=0,0,D73/D$12)</f>
        <v>0</v>
      </c>
      <c r="G73" s="4"/>
      <c r="H73" s="4">
        <f>SUM(0)</f>
        <v>0</v>
      </c>
      <c r="I73" s="4"/>
      <c r="J73" s="13">
        <f>IF(H$12=0,0,H73/H$12)</f>
        <v>0</v>
      </c>
      <c r="K73" s="4"/>
      <c r="L73" s="4">
        <f>+D73-H73</f>
        <v>0</v>
      </c>
      <c r="M73" s="4"/>
      <c r="N73" s="13">
        <f>IF(H73=0,0,L73/H73)</f>
        <v>0</v>
      </c>
      <c r="O73" s="11"/>
      <c r="P73" s="4">
        <f>SUM(0)</f>
        <v>0</v>
      </c>
      <c r="Q73" s="4"/>
      <c r="R73" s="13">
        <f>IF(P$12=0,0,P73/P$12)</f>
        <v>0</v>
      </c>
      <c r="S73" s="4"/>
      <c r="T73" s="4">
        <f>SUM(0)</f>
        <v>0</v>
      </c>
      <c r="U73" s="4"/>
      <c r="V73" s="13">
        <f>IF(T$12=0,0,T73/T$12)</f>
        <v>0</v>
      </c>
      <c r="W73" s="4"/>
      <c r="X73" s="4">
        <f>+P73-T73</f>
        <v>0</v>
      </c>
      <c r="Y73" s="4"/>
      <c r="Z73" s="13">
        <f>IF(T73=0,0,X73/T73)</f>
        <v>0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x14ac:dyDescent="0.25">
      <c r="A75" s="11"/>
      <c r="B75" s="29" t="s">
        <v>276</v>
      </c>
      <c r="C75" s="29"/>
      <c r="D75" s="22">
        <f>+D20-D22+D73</f>
        <v>-673.96</v>
      </c>
      <c r="E75" s="14"/>
      <c r="F75" s="20">
        <f>IF(D$12=0,0,D75/D$12)</f>
        <v>0</v>
      </c>
      <c r="G75" s="14"/>
      <c r="H75" s="22">
        <f>+H20-H22+H73</f>
        <v>-27276.269999999997</v>
      </c>
      <c r="I75" s="14"/>
      <c r="J75" s="20">
        <f>IF(H$12=0,0,H75/H$12)</f>
        <v>-2.9631307019278186</v>
      </c>
      <c r="K75" s="15"/>
      <c r="L75" s="22">
        <f>+D75-H75</f>
        <v>26602.309999999998</v>
      </c>
      <c r="M75" s="15"/>
      <c r="N75" s="20">
        <f>IF(H75=0,0,L75/H75)</f>
        <v>-0.97529134298787923</v>
      </c>
      <c r="O75" s="28"/>
      <c r="P75" s="22">
        <f>+P20-P22+P73</f>
        <v>-7950.2099999999991</v>
      </c>
      <c r="Q75" s="14"/>
      <c r="R75" s="20">
        <f>IF(P$12=0,0,P75/P$12)</f>
        <v>0</v>
      </c>
      <c r="S75" s="14"/>
      <c r="T75" s="22">
        <f>+T20-T22+T73</f>
        <v>-155260.86000000007</v>
      </c>
      <c r="U75" s="14"/>
      <c r="V75" s="20">
        <f>IF(T$12=0,0,T75/T$12)</f>
        <v>-0.40860931854628124</v>
      </c>
      <c r="W75" s="15"/>
      <c r="X75" s="22">
        <f>+P75-T75</f>
        <v>147310.65000000008</v>
      </c>
      <c r="Y75" s="15"/>
      <c r="Z75" s="20">
        <f>IF(T75=0,0,X75/T75)</f>
        <v>-0.94879449978571551</v>
      </c>
    </row>
    <row r="76" spans="1:26" x14ac:dyDescent="0.25">
      <c r="A76" s="9"/>
      <c r="B76" s="11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x14ac:dyDescent="0.25">
      <c r="A77" s="51"/>
      <c r="B77" s="11" t="s">
        <v>127</v>
      </c>
      <c r="C77" s="11"/>
      <c r="D77" s="4"/>
      <c r="E77" s="4"/>
      <c r="F77" s="13">
        <f>IF(D$12=0,0,D77/D$12)</f>
        <v>0</v>
      </c>
      <c r="G77" s="4"/>
      <c r="H77" s="4">
        <v>2926.46</v>
      </c>
      <c r="I77" s="4"/>
      <c r="J77" s="13">
        <f>IF(H$12=0,0,H77/H$12)</f>
        <v>0.31791309713401739</v>
      </c>
      <c r="K77" s="4"/>
      <c r="L77" s="4">
        <f>+D77-H77</f>
        <v>-2926.46</v>
      </c>
      <c r="M77" s="4"/>
      <c r="N77" s="13">
        <f>IF(H77=0,0,L77/H77)</f>
        <v>-1</v>
      </c>
      <c r="O77" s="11"/>
      <c r="P77" s="4"/>
      <c r="Q77" s="4"/>
      <c r="R77" s="13">
        <f>IF(P$12=0,0,P77/P$12)</f>
        <v>0</v>
      </c>
      <c r="S77" s="4"/>
      <c r="T77" s="4">
        <v>40715.120000000003</v>
      </c>
      <c r="U77" s="4"/>
      <c r="V77" s="13">
        <f>IF(T$12=0,0,T77/T$12)</f>
        <v>0.10715242359040172</v>
      </c>
      <c r="W77" s="4"/>
      <c r="X77" s="4">
        <f>+P77-T77</f>
        <v>-40715.120000000003</v>
      </c>
      <c r="Y77" s="4"/>
      <c r="Z77" s="13">
        <f>IF(T77=0,0,X77/T77)</f>
        <v>-1</v>
      </c>
    </row>
    <row r="78" spans="1:26" x14ac:dyDescent="0.25">
      <c r="A78" s="9"/>
      <c r="B78" s="11"/>
      <c r="C78" s="11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1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ht="15.75" thickBot="1" x14ac:dyDescent="0.3">
      <c r="A79" s="11"/>
      <c r="B79" s="29" t="s">
        <v>125</v>
      </c>
      <c r="C79" s="29"/>
      <c r="D79" s="30">
        <f>+D75-D77</f>
        <v>-673.96</v>
      </c>
      <c r="E79" s="14"/>
      <c r="F79" s="36">
        <f>IF(D$12=0,0,D79/D$12)</f>
        <v>0</v>
      </c>
      <c r="G79" s="14"/>
      <c r="H79" s="30">
        <f>+H75-H77</f>
        <v>-30202.729999999996</v>
      </c>
      <c r="I79" s="14"/>
      <c r="J79" s="36">
        <f>IF(H$12=0,0,H79/H$12)</f>
        <v>-3.2810437990618357</v>
      </c>
      <c r="K79" s="15"/>
      <c r="L79" s="30">
        <f>D79-H79</f>
        <v>29528.769999999997</v>
      </c>
      <c r="M79" s="15"/>
      <c r="N79" s="36">
        <f>IF(H79=0,0,L79/H79)</f>
        <v>-0.97768546088383401</v>
      </c>
      <c r="O79" s="28"/>
      <c r="P79" s="30">
        <f>+P75-P77</f>
        <v>-7950.2099999999991</v>
      </c>
      <c r="Q79" s="14"/>
      <c r="R79" s="36">
        <f>IF(P$12=0,0,P79/P$12)</f>
        <v>0</v>
      </c>
      <c r="S79" s="14"/>
      <c r="T79" s="30">
        <f>+T75-T77</f>
        <v>-195975.98000000007</v>
      </c>
      <c r="U79" s="14"/>
      <c r="V79" s="36">
        <f>IF(T$12=0,0,T79/T$12)</f>
        <v>-0.51576174213668302</v>
      </c>
      <c r="W79" s="15"/>
      <c r="X79" s="30">
        <f>P79-T79</f>
        <v>188025.77000000008</v>
      </c>
      <c r="Y79" s="15"/>
      <c r="Z79" s="36">
        <f>IF(T79=0,0,X79/T79)</f>
        <v>-0.9594327325216081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4" customFormat="1" ht="15.75" thickBot="1" x14ac:dyDescent="0.3">
      <c r="A82" s="11"/>
      <c r="B82" s="29" t="s">
        <v>293</v>
      </c>
      <c r="C82" s="29"/>
      <c r="D82" s="35">
        <f>SUM(D79:D81)</f>
        <v>-673.96</v>
      </c>
      <c r="E82" s="14"/>
      <c r="F82" s="34">
        <f>IF(D$12=0,0,D82/D$12)</f>
        <v>0</v>
      </c>
      <c r="G82" s="14"/>
      <c r="H82" s="35">
        <f>SUM(H79:H81)</f>
        <v>-30202.729999999996</v>
      </c>
      <c r="I82" s="14"/>
      <c r="J82" s="34">
        <f>IF(H$12=0,0,H82/H$12)</f>
        <v>-3.2810437990618357</v>
      </c>
      <c r="K82" s="15"/>
      <c r="L82" s="35">
        <f>+D82-H82</f>
        <v>29528.769999999997</v>
      </c>
      <c r="M82" s="15"/>
      <c r="N82" s="34">
        <f>IF(H82=0,0,L82/H82)</f>
        <v>-0.97768546088383401</v>
      </c>
      <c r="O82" s="28"/>
      <c r="P82" s="35">
        <f>SUM(P79:P81)</f>
        <v>-7950.2099999999991</v>
      </c>
      <c r="Q82" s="14"/>
      <c r="R82" s="34">
        <f>IF(P$12=0,0,P82/P$12)</f>
        <v>0</v>
      </c>
      <c r="S82" s="14"/>
      <c r="T82" s="35">
        <f>SUM(T79:T81)</f>
        <v>-195975.98000000007</v>
      </c>
      <c r="U82" s="14"/>
      <c r="V82" s="34">
        <f>IF(T$12=0,0,T82/T$12)</f>
        <v>-0.51576174213668302</v>
      </c>
      <c r="W82" s="15"/>
      <c r="X82" s="35">
        <f>+P82-T82</f>
        <v>188025.77000000008</v>
      </c>
      <c r="Y82" s="15"/>
      <c r="Z82" s="34">
        <f>IF(T82=0,0,X82/T82)</f>
        <v>-0.9594327325216081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4">
        <v>44295.963243634258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8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2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","413", " - ", "Beach Walk")</f>
        <v>Department 413 - Beach Walk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15804.53</v>
      </c>
      <c r="I12" s="4"/>
      <c r="J12" s="13"/>
      <c r="K12" s="4"/>
      <c r="L12" s="4">
        <f t="shared" ref="L12:L14" si="0">+D12-H12</f>
        <v>-15804.53</v>
      </c>
      <c r="M12" s="4"/>
      <c r="N12" s="13">
        <f t="shared" ref="N12:N14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255048.55</v>
      </c>
      <c r="U12" s="4"/>
      <c r="V12" s="13"/>
      <c r="W12" s="4"/>
      <c r="X12" s="4">
        <f t="shared" ref="X12:X14" si="2">+P12-T12</f>
        <v>-255048.55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>--3077.66</f>
        <v>3077.66</v>
      </c>
      <c r="I13" s="2"/>
      <c r="J13" s="19"/>
      <c r="K13" s="2"/>
      <c r="L13" s="2">
        <f t="shared" si="0"/>
        <v>-3077.66</v>
      </c>
      <c r="M13" s="2"/>
      <c r="N13" s="19">
        <f t="shared" si="1"/>
        <v>-1</v>
      </c>
      <c r="O13" s="10"/>
      <c r="P13" s="2">
        <f t="shared" ref="P13:P14" si="5">0</f>
        <v>0</v>
      </c>
      <c r="Q13" s="2"/>
      <c r="R13" s="19"/>
      <c r="S13" s="2"/>
      <c r="T13" s="2">
        <f>--57510.69</f>
        <v>57510.69</v>
      </c>
      <c r="U13" s="2"/>
      <c r="V13" s="19"/>
      <c r="W13" s="2"/>
      <c r="X13" s="2">
        <f t="shared" si="2"/>
        <v>-57510.69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--12726.87</f>
        <v>12726.87</v>
      </c>
      <c r="I14" s="2"/>
      <c r="J14" s="19"/>
      <c r="K14" s="2"/>
      <c r="L14" s="2">
        <f t="shared" si="0"/>
        <v>-12726.87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--197537.86</f>
        <v>197537.86</v>
      </c>
      <c r="U14" s="2"/>
      <c r="V14" s="19"/>
      <c r="W14" s="2"/>
      <c r="X14" s="2">
        <f t="shared" si="2"/>
        <v>-197537.86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4424.54</v>
      </c>
      <c r="I16" s="4"/>
      <c r="J16" s="13">
        <f t="shared" ref="J16:J18" si="7">IF(H$12=0,0,H16/H$12)</f>
        <v>0.2799539119480301</v>
      </c>
      <c r="K16" s="4"/>
      <c r="L16" s="4">
        <f t="shared" ref="L16:L18" si="8">+D16-H16</f>
        <v>-4424.54</v>
      </c>
      <c r="M16" s="4"/>
      <c r="N16" s="13">
        <f t="shared" ref="N16:N18" si="9">IF(H16=0,0,L16/H16)</f>
        <v>-1</v>
      </c>
      <c r="O16" s="11"/>
      <c r="P16" s="4">
        <f>SUM(OSRRefP16x_0)</f>
        <v>0</v>
      </c>
      <c r="Q16" s="4"/>
      <c r="R16" s="13">
        <f t="shared" ref="R16:R18" si="10">IF(P$12=0,0,P16/P$12)</f>
        <v>0</v>
      </c>
      <c r="S16" s="4"/>
      <c r="T16" s="4">
        <f>SUM(OSRRefT16x_0)</f>
        <v>82957.460000000006</v>
      </c>
      <c r="U16" s="4"/>
      <c r="V16" s="13">
        <f t="shared" ref="V16:V18" si="11">IF(T$12=0,0,T16/T$12)</f>
        <v>0.32526144532090073</v>
      </c>
      <c r="W16" s="4"/>
      <c r="X16" s="4">
        <f t="shared" ref="X16:X18" si="12">+P16-T16</f>
        <v>-82957.460000000006</v>
      </c>
      <c r="Y16" s="4"/>
      <c r="Z16" s="13">
        <f t="shared" ref="Z16:Z18" si="13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>
        <v>6415.54</v>
      </c>
      <c r="I17" s="2"/>
      <c r="J17" s="19">
        <f t="shared" si="7"/>
        <v>0.40593045158571622</v>
      </c>
      <c r="K17" s="2"/>
      <c r="L17" s="2">
        <f t="shared" si="8"/>
        <v>-6415.54</v>
      </c>
      <c r="M17" s="2"/>
      <c r="N17" s="19">
        <f t="shared" si="9"/>
        <v>-1</v>
      </c>
      <c r="O17" s="10"/>
      <c r="P17" s="2"/>
      <c r="Q17" s="2"/>
      <c r="R17" s="19">
        <f t="shared" si="10"/>
        <v>0</v>
      </c>
      <c r="S17" s="2"/>
      <c r="T17" s="2">
        <v>90960.52</v>
      </c>
      <c r="U17" s="2"/>
      <c r="V17" s="19">
        <f t="shared" si="11"/>
        <v>0.35664002010597595</v>
      </c>
      <c r="W17" s="2"/>
      <c r="X17" s="2">
        <f t="shared" si="12"/>
        <v>-90960.52</v>
      </c>
      <c r="Y17" s="2"/>
      <c r="Z17" s="19">
        <f t="shared" si="13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-1991</v>
      </c>
      <c r="I18" s="2"/>
      <c r="J18" s="19">
        <f t="shared" si="7"/>
        <v>-0.12597653963768615</v>
      </c>
      <c r="K18" s="2"/>
      <c r="L18" s="2">
        <f t="shared" si="8"/>
        <v>1991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-8003.06</v>
      </c>
      <c r="U18" s="2"/>
      <c r="V18" s="19">
        <f t="shared" si="11"/>
        <v>-3.1378574785075233E-2</v>
      </c>
      <c r="W18" s="2"/>
      <c r="X18" s="2">
        <f t="shared" si="12"/>
        <v>8003.06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11379.990000000002</v>
      </c>
      <c r="I20" s="14"/>
      <c r="J20" s="20">
        <f>IF(H$12=0,0,H20/H$12)</f>
        <v>0.72004608805197001</v>
      </c>
      <c r="K20" s="15"/>
      <c r="L20" s="22">
        <f>+D20-H20</f>
        <v>-11379.990000000002</v>
      </c>
      <c r="M20" s="15"/>
      <c r="N20" s="20">
        <f>IF(H20=0,0,L20/H20)</f>
        <v>-1</v>
      </c>
      <c r="O20" s="28"/>
      <c r="P20" s="22">
        <f>P12-P16</f>
        <v>0</v>
      </c>
      <c r="Q20" s="14"/>
      <c r="R20" s="20">
        <f>IF(P$12=0,0,P20/P$12)</f>
        <v>0</v>
      </c>
      <c r="S20" s="14"/>
      <c r="T20" s="22">
        <f>T12-T16</f>
        <v>172091.08999999997</v>
      </c>
      <c r="U20" s="14"/>
      <c r="V20" s="20">
        <f>IF(T$12=0,0,T20/T$12)</f>
        <v>0.67473855467909927</v>
      </c>
      <c r="W20" s="15"/>
      <c r="X20" s="22">
        <f>+P20-T20</f>
        <v>-172091.08999999997</v>
      </c>
      <c r="Y20" s="15"/>
      <c r="Z20" s="20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223.78</v>
      </c>
      <c r="E22" s="21"/>
      <c r="F22" s="31">
        <f t="shared" ref="F22:F31" si="14">IF(D$12=0,0,D22/D$12)</f>
        <v>0</v>
      </c>
      <c r="G22" s="21"/>
      <c r="H22" s="21">
        <f>SUM(OSRRefH22x_0)</f>
        <v>23127.179999999993</v>
      </c>
      <c r="I22" s="21"/>
      <c r="J22" s="31">
        <f t="shared" ref="J22:J31" si="15">IF(H$12=0,0,H22/H$12)</f>
        <v>1.4633260210838279</v>
      </c>
      <c r="K22" s="4"/>
      <c r="L22" s="21">
        <f t="shared" ref="L22:L31" si="16">+D22-H22</f>
        <v>-22903.399999999994</v>
      </c>
      <c r="M22" s="4"/>
      <c r="N22" s="31">
        <f t="shared" ref="N22:N31" si="17">IF(H22=0,0,L22/H22)</f>
        <v>-0.99032393919189465</v>
      </c>
      <c r="O22" s="11"/>
      <c r="P22" s="21">
        <f>SUM(OSRRefP22x_0)</f>
        <v>5187.3500000000004</v>
      </c>
      <c r="Q22" s="21"/>
      <c r="R22" s="31">
        <f t="shared" ref="R22:R31" si="18">IF(P$12=0,0,P22/P$12)</f>
        <v>0</v>
      </c>
      <c r="S22" s="21"/>
      <c r="T22" s="21">
        <f>SUM(OSRRefT22x_0)</f>
        <v>184026.46</v>
      </c>
      <c r="U22" s="21"/>
      <c r="V22" s="31">
        <f t="shared" ref="V22:V31" si="19">IF(T$12=0,0,T22/T$12)</f>
        <v>0.72153501754861971</v>
      </c>
      <c r="W22" s="4"/>
      <c r="X22" s="21">
        <f t="shared" ref="X22:X31" si="20">+P22-T22</f>
        <v>-178839.11</v>
      </c>
      <c r="Y22" s="4"/>
      <c r="Z22" s="31">
        <f t="shared" ref="Z22:Z31" si="21">IF(T22=0,0,X22/T22)</f>
        <v>-0.97181193400123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4584.2599999999993</v>
      </c>
      <c r="I23" s="1"/>
      <c r="J23" s="5">
        <f t="shared" si="15"/>
        <v>0.2900598752383019</v>
      </c>
      <c r="K23" s="1"/>
      <c r="L23" s="1">
        <f t="shared" si="16"/>
        <v>-4584.2599999999993</v>
      </c>
      <c r="M23" s="1"/>
      <c r="N23" s="5">
        <f t="shared" si="17"/>
        <v>-1</v>
      </c>
      <c r="O23" s="12"/>
      <c r="P23" s="1">
        <f>SUM(OSRRefP22_0x_0)</f>
        <v>1493.43</v>
      </c>
      <c r="Q23" s="1"/>
      <c r="R23" s="5">
        <f t="shared" si="18"/>
        <v>0</v>
      </c>
      <c r="S23" s="1"/>
      <c r="T23" s="1">
        <f>SUM(OSRRefT22_0x_0)</f>
        <v>32560.46</v>
      </c>
      <c r="U23" s="1"/>
      <c r="V23" s="5">
        <f t="shared" si="19"/>
        <v>0.12766377225042055</v>
      </c>
      <c r="W23" s="1"/>
      <c r="X23" s="1">
        <f t="shared" si="20"/>
        <v>-31067.03</v>
      </c>
      <c r="Y23" s="1"/>
      <c r="Z23" s="5">
        <f t="shared" si="21"/>
        <v>-0.95413363324719613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801.43</v>
      </c>
      <c r="I24" s="2"/>
      <c r="J24" s="7">
        <f t="shared" si="15"/>
        <v>5.0708879036580015E-2</v>
      </c>
      <c r="K24" s="2"/>
      <c r="L24" s="6">
        <f t="shared" si="16"/>
        <v>-801.43</v>
      </c>
      <c r="M24" s="2"/>
      <c r="N24" s="7">
        <f t="shared" si="17"/>
        <v>-1</v>
      </c>
      <c r="O24" s="10"/>
      <c r="P24" s="6">
        <v>191.51</v>
      </c>
      <c r="Q24" s="2"/>
      <c r="R24" s="7">
        <f t="shared" si="18"/>
        <v>0</v>
      </c>
      <c r="S24" s="2"/>
      <c r="T24" s="6">
        <v>6310.01</v>
      </c>
      <c r="U24" s="2"/>
      <c r="V24" s="7">
        <f t="shared" si="19"/>
        <v>2.4740426871668161E-2</v>
      </c>
      <c r="W24" s="2"/>
      <c r="X24" s="6">
        <f t="shared" si="20"/>
        <v>-6118.5</v>
      </c>
      <c r="Y24" s="2"/>
      <c r="Z24" s="7">
        <f t="shared" si="21"/>
        <v>-0.96964981038064912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>
        <v>782.23</v>
      </c>
      <c r="I25" s="2"/>
      <c r="J25" s="7">
        <f t="shared" si="15"/>
        <v>4.9494037469004139E-2</v>
      </c>
      <c r="K25" s="2"/>
      <c r="L25" s="6">
        <f t="shared" si="16"/>
        <v>-782.23</v>
      </c>
      <c r="M25" s="2"/>
      <c r="N25" s="7">
        <f t="shared" si="17"/>
        <v>-1</v>
      </c>
      <c r="O25" s="10"/>
      <c r="P25" s="6"/>
      <c r="Q25" s="2"/>
      <c r="R25" s="7">
        <f t="shared" si="18"/>
        <v>0</v>
      </c>
      <c r="S25" s="2"/>
      <c r="T25" s="6">
        <v>4045.93</v>
      </c>
      <c r="U25" s="2"/>
      <c r="V25" s="7">
        <f t="shared" si="19"/>
        <v>1.5863371895272489E-2</v>
      </c>
      <c r="W25" s="2"/>
      <c r="X25" s="6">
        <f t="shared" si="20"/>
        <v>-4045.93</v>
      </c>
      <c r="Y25" s="2"/>
      <c r="Z25" s="7">
        <f t="shared" si="21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>
        <v>1392.11</v>
      </c>
      <c r="I26" s="2"/>
      <c r="J26" s="7">
        <f t="shared" si="15"/>
        <v>8.8082973679065424E-2</v>
      </c>
      <c r="K26" s="2"/>
      <c r="L26" s="6">
        <f t="shared" si="16"/>
        <v>-1392.11</v>
      </c>
      <c r="M26" s="2"/>
      <c r="N26" s="7">
        <f t="shared" si="17"/>
        <v>-1</v>
      </c>
      <c r="O26" s="10"/>
      <c r="P26" s="6">
        <v>718.51</v>
      </c>
      <c r="Q26" s="2"/>
      <c r="R26" s="7">
        <f t="shared" si="18"/>
        <v>0</v>
      </c>
      <c r="S26" s="2"/>
      <c r="T26" s="6">
        <v>11862.85</v>
      </c>
      <c r="U26" s="2"/>
      <c r="V26" s="7">
        <f t="shared" si="19"/>
        <v>4.651212484838671E-2</v>
      </c>
      <c r="W26" s="2"/>
      <c r="X26" s="6">
        <f t="shared" si="20"/>
        <v>-11144.34</v>
      </c>
      <c r="Y26" s="2"/>
      <c r="Z26" s="7">
        <f t="shared" si="21"/>
        <v>-0.93943192403174614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52.42</v>
      </c>
      <c r="I27" s="2"/>
      <c r="J27" s="7">
        <f t="shared" si="15"/>
        <v>3.3167705714753936E-3</v>
      </c>
      <c r="K27" s="2"/>
      <c r="L27" s="6">
        <f t="shared" si="16"/>
        <v>-52.42</v>
      </c>
      <c r="M27" s="2"/>
      <c r="N27" s="7">
        <f t="shared" si="17"/>
        <v>-1</v>
      </c>
      <c r="O27" s="10"/>
      <c r="P27" s="6"/>
      <c r="Q27" s="2"/>
      <c r="R27" s="7">
        <f t="shared" si="18"/>
        <v>0</v>
      </c>
      <c r="S27" s="2"/>
      <c r="T27" s="6">
        <v>320.95</v>
      </c>
      <c r="U27" s="2"/>
      <c r="V27" s="7">
        <f t="shared" si="19"/>
        <v>1.2583878638008333E-3</v>
      </c>
      <c r="W27" s="2"/>
      <c r="X27" s="6">
        <f t="shared" si="20"/>
        <v>-320.95</v>
      </c>
      <c r="Y27" s="2"/>
      <c r="Z27" s="7">
        <f t="shared" si="21"/>
        <v>-1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>
        <v>333.61</v>
      </c>
      <c r="I28" s="2"/>
      <c r="J28" s="7">
        <f t="shared" si="15"/>
        <v>2.1108504966614001E-2</v>
      </c>
      <c r="K28" s="2"/>
      <c r="L28" s="6">
        <f t="shared" si="16"/>
        <v>-333.61</v>
      </c>
      <c r="M28" s="2"/>
      <c r="N28" s="7">
        <f t="shared" si="17"/>
        <v>-1</v>
      </c>
      <c r="O28" s="10"/>
      <c r="P28" s="6">
        <v>377.03</v>
      </c>
      <c r="Q28" s="2"/>
      <c r="R28" s="7">
        <f t="shared" si="18"/>
        <v>0</v>
      </c>
      <c r="S28" s="2"/>
      <c r="T28" s="6">
        <v>3109.03</v>
      </c>
      <c r="U28" s="2"/>
      <c r="V28" s="7">
        <f t="shared" si="19"/>
        <v>1.2189953638238682E-2</v>
      </c>
      <c r="W28" s="2"/>
      <c r="X28" s="6">
        <f t="shared" si="20"/>
        <v>-2732</v>
      </c>
      <c r="Y28" s="2"/>
      <c r="Z28" s="7">
        <f t="shared" si="21"/>
        <v>-0.87873066519139409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>
        <v>476.73</v>
      </c>
      <c r="I29" s="2"/>
      <c r="J29" s="7">
        <f t="shared" si="15"/>
        <v>3.0164136484919196E-2</v>
      </c>
      <c r="K29" s="2"/>
      <c r="L29" s="6">
        <f t="shared" si="16"/>
        <v>-476.73</v>
      </c>
      <c r="M29" s="2"/>
      <c r="N29" s="7">
        <f t="shared" si="17"/>
        <v>-1</v>
      </c>
      <c r="O29" s="10"/>
      <c r="P29" s="6">
        <v>93.89</v>
      </c>
      <c r="Q29" s="2"/>
      <c r="R29" s="7">
        <f t="shared" si="18"/>
        <v>0</v>
      </c>
      <c r="S29" s="2"/>
      <c r="T29" s="6">
        <v>2902.91</v>
      </c>
      <c r="U29" s="2"/>
      <c r="V29" s="7">
        <f t="shared" si="19"/>
        <v>1.1381793780046976E-2</v>
      </c>
      <c r="W29" s="2"/>
      <c r="X29" s="6">
        <f t="shared" si="20"/>
        <v>-2809.02</v>
      </c>
      <c r="Y29" s="2"/>
      <c r="Z29" s="7">
        <f t="shared" si="21"/>
        <v>-0.96765659286715744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>
        <v>663.27</v>
      </c>
      <c r="I30" s="2"/>
      <c r="J30" s="7">
        <f t="shared" si="15"/>
        <v>4.1967081589898592E-2</v>
      </c>
      <c r="K30" s="2"/>
      <c r="L30" s="6">
        <f t="shared" si="16"/>
        <v>-663.27</v>
      </c>
      <c r="M30" s="2"/>
      <c r="N30" s="7">
        <f t="shared" si="17"/>
        <v>-1</v>
      </c>
      <c r="O30" s="10"/>
      <c r="P30" s="6">
        <v>112.49</v>
      </c>
      <c r="Q30" s="2"/>
      <c r="R30" s="7">
        <f t="shared" si="18"/>
        <v>0</v>
      </c>
      <c r="S30" s="2"/>
      <c r="T30" s="6">
        <v>2892.66</v>
      </c>
      <c r="U30" s="2"/>
      <c r="V30" s="7">
        <f t="shared" si="19"/>
        <v>1.1341605353176876E-2</v>
      </c>
      <c r="W30" s="2"/>
      <c r="X30" s="6">
        <f t="shared" si="20"/>
        <v>-2780.17</v>
      </c>
      <c r="Y30" s="2"/>
      <c r="Z30" s="7">
        <f t="shared" si="21"/>
        <v>-0.96111191775044436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>
        <v>82.46</v>
      </c>
      <c r="I31" s="2"/>
      <c r="J31" s="7">
        <f t="shared" si="15"/>
        <v>5.2174914407451525E-3</v>
      </c>
      <c r="K31" s="2"/>
      <c r="L31" s="6">
        <f t="shared" si="16"/>
        <v>-82.46</v>
      </c>
      <c r="M31" s="2"/>
      <c r="N31" s="7">
        <f t="shared" si="17"/>
        <v>-1</v>
      </c>
      <c r="O31" s="10"/>
      <c r="P31" s="6"/>
      <c r="Q31" s="2"/>
      <c r="R31" s="7">
        <f t="shared" si="18"/>
        <v>0</v>
      </c>
      <c r="S31" s="2"/>
      <c r="T31" s="6">
        <v>1116.1199999999999</v>
      </c>
      <c r="U31" s="2"/>
      <c r="V31" s="7">
        <f t="shared" si="19"/>
        <v>4.3761079998298359E-3</v>
      </c>
      <c r="W31" s="2"/>
      <c r="X31" s="6">
        <f t="shared" si="20"/>
        <v>-1116.1199999999999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16157.010000000002</v>
      </c>
      <c r="I32" s="1"/>
      <c r="J32" s="5">
        <f t="shared" ref="J32:J37" si="23">IF(H$12=0,0,H32/H$12)</f>
        <v>1.0223024664447473</v>
      </c>
      <c r="K32" s="1"/>
      <c r="L32" s="1">
        <f t="shared" ref="L32:L37" si="24">+D32-H32</f>
        <v>-16157.010000000002</v>
      </c>
      <c r="M32" s="1"/>
      <c r="N32" s="5">
        <f t="shared" ref="N32:N37" si="25">IF(H32=0,0,L32/H32)</f>
        <v>-1</v>
      </c>
      <c r="O32" s="12"/>
      <c r="P32" s="1">
        <f>SUM(OSRRefP22_1x_0)</f>
        <v>2259.48</v>
      </c>
      <c r="Q32" s="1"/>
      <c r="R32" s="5">
        <f t="shared" ref="R32:R37" si="26">IF(P$12=0,0,P32/P$12)</f>
        <v>0</v>
      </c>
      <c r="S32" s="1"/>
      <c r="T32" s="1">
        <f>SUM(OSRRefT22_1x_0)</f>
        <v>116933.18</v>
      </c>
      <c r="U32" s="1"/>
      <c r="V32" s="5">
        <f t="shared" ref="V32:V37" si="27">IF(T$12=0,0,T32/T$12)</f>
        <v>0.45847420030421659</v>
      </c>
      <c r="W32" s="1"/>
      <c r="X32" s="1">
        <f t="shared" ref="X32:X37" si="28">+P32-T32</f>
        <v>-114673.7</v>
      </c>
      <c r="Y32" s="1"/>
      <c r="Z32" s="5">
        <f t="shared" ref="Z32:Z37" si="29">IF(T32=0,0,X32/T32)</f>
        <v>-0.98067716964509133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>
        <v>4890.66</v>
      </c>
      <c r="I33" s="2"/>
      <c r="J33" s="7">
        <f t="shared" si="23"/>
        <v>0.30944672192086697</v>
      </c>
      <c r="K33" s="2"/>
      <c r="L33" s="6">
        <f t="shared" si="24"/>
        <v>-4890.66</v>
      </c>
      <c r="M33" s="2"/>
      <c r="N33" s="7">
        <f t="shared" si="25"/>
        <v>-1</v>
      </c>
      <c r="O33" s="10"/>
      <c r="P33" s="6">
        <v>2259.48</v>
      </c>
      <c r="Q33" s="2"/>
      <c r="R33" s="7">
        <f t="shared" si="26"/>
        <v>0</v>
      </c>
      <c r="S33" s="2"/>
      <c r="T33" s="6">
        <v>43690.36</v>
      </c>
      <c r="U33" s="2"/>
      <c r="V33" s="7">
        <f t="shared" si="27"/>
        <v>0.17130213051593512</v>
      </c>
      <c r="W33" s="2"/>
      <c r="X33" s="6">
        <f t="shared" si="28"/>
        <v>-41430.879999999997</v>
      </c>
      <c r="Y33" s="2"/>
      <c r="Z33" s="7">
        <f t="shared" si="29"/>
        <v>-0.94828424393847977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2"/>
        <v>0</v>
      </c>
      <c r="G34" s="2"/>
      <c r="H34" s="6">
        <v>1386.85</v>
      </c>
      <c r="I34" s="2"/>
      <c r="J34" s="7">
        <f t="shared" si="23"/>
        <v>8.7750157707948279E-2</v>
      </c>
      <c r="K34" s="2"/>
      <c r="L34" s="6">
        <f t="shared" si="24"/>
        <v>-1386.85</v>
      </c>
      <c r="M34" s="2"/>
      <c r="N34" s="7">
        <f t="shared" si="25"/>
        <v>-1</v>
      </c>
      <c r="O34" s="10"/>
      <c r="P34" s="6"/>
      <c r="Q34" s="2"/>
      <c r="R34" s="7">
        <f t="shared" si="26"/>
        <v>0</v>
      </c>
      <c r="S34" s="2"/>
      <c r="T34" s="6">
        <v>2075.52</v>
      </c>
      <c r="U34" s="2"/>
      <c r="V34" s="7">
        <f t="shared" si="27"/>
        <v>8.13774475487118E-3</v>
      </c>
      <c r="W34" s="2"/>
      <c r="X34" s="6">
        <f t="shared" si="28"/>
        <v>-2075.52</v>
      </c>
      <c r="Y34" s="2"/>
      <c r="Z34" s="7">
        <f t="shared" si="29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2"/>
        <v>0</v>
      </c>
      <c r="G35" s="2"/>
      <c r="H35" s="6">
        <v>4248.62</v>
      </c>
      <c r="I35" s="2"/>
      <c r="J35" s="7">
        <f t="shared" si="23"/>
        <v>0.2688229260851161</v>
      </c>
      <c r="K35" s="2"/>
      <c r="L35" s="6">
        <f t="shared" si="24"/>
        <v>-4248.62</v>
      </c>
      <c r="M35" s="2"/>
      <c r="N35" s="7">
        <f t="shared" si="25"/>
        <v>-1</v>
      </c>
      <c r="O35" s="10"/>
      <c r="P35" s="6"/>
      <c r="Q35" s="2"/>
      <c r="R35" s="7">
        <f t="shared" si="26"/>
        <v>0</v>
      </c>
      <c r="S35" s="2"/>
      <c r="T35" s="6">
        <v>29725.46</v>
      </c>
      <c r="U35" s="2"/>
      <c r="V35" s="7">
        <f t="shared" si="27"/>
        <v>0.116548241501471</v>
      </c>
      <c r="W35" s="2"/>
      <c r="X35" s="6">
        <f t="shared" si="28"/>
        <v>-29725.46</v>
      </c>
      <c r="Y35" s="2"/>
      <c r="Z35" s="7">
        <f t="shared" si="29"/>
        <v>-1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2"/>
        <v>0</v>
      </c>
      <c r="G36" s="2"/>
      <c r="H36" s="6">
        <v>4689.68</v>
      </c>
      <c r="I36" s="2"/>
      <c r="J36" s="7">
        <f t="shared" si="23"/>
        <v>0.29673011472027322</v>
      </c>
      <c r="K36" s="2"/>
      <c r="L36" s="6">
        <f t="shared" si="24"/>
        <v>-4689.68</v>
      </c>
      <c r="M36" s="2"/>
      <c r="N36" s="7">
        <f t="shared" si="25"/>
        <v>-1</v>
      </c>
      <c r="O36" s="10"/>
      <c r="P36" s="6"/>
      <c r="Q36" s="2"/>
      <c r="R36" s="7">
        <f t="shared" si="26"/>
        <v>0</v>
      </c>
      <c r="S36" s="2"/>
      <c r="T36" s="6">
        <v>37072.25</v>
      </c>
      <c r="U36" s="2"/>
      <c r="V36" s="7">
        <f t="shared" si="27"/>
        <v>0.14535369834488376</v>
      </c>
      <c r="W36" s="2"/>
      <c r="X36" s="6">
        <f t="shared" si="28"/>
        <v>-37072.25</v>
      </c>
      <c r="Y36" s="2"/>
      <c r="Z36" s="7">
        <f t="shared" si="29"/>
        <v>-1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2"/>
        <v>0</v>
      </c>
      <c r="G37" s="2"/>
      <c r="H37" s="6">
        <v>941.2</v>
      </c>
      <c r="I37" s="2"/>
      <c r="J37" s="7">
        <f t="shared" si="23"/>
        <v>5.9552546010542551E-2</v>
      </c>
      <c r="K37" s="2"/>
      <c r="L37" s="6">
        <f t="shared" si="24"/>
        <v>-941.2</v>
      </c>
      <c r="M37" s="2"/>
      <c r="N37" s="7">
        <f t="shared" si="25"/>
        <v>-1</v>
      </c>
      <c r="O37" s="10"/>
      <c r="P37" s="6"/>
      <c r="Q37" s="2"/>
      <c r="R37" s="7">
        <f t="shared" si="26"/>
        <v>0</v>
      </c>
      <c r="S37" s="2"/>
      <c r="T37" s="6">
        <v>4369.59</v>
      </c>
      <c r="U37" s="2"/>
      <c r="V37" s="7">
        <f t="shared" si="27"/>
        <v>1.7132385187055565E-2</v>
      </c>
      <c r="W37" s="2"/>
      <c r="X37" s="6">
        <f t="shared" si="28"/>
        <v>-4369.59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1" si="30">IF(D$12=0,0,D38/D$12)</f>
        <v>0</v>
      </c>
      <c r="G38" s="1"/>
      <c r="H38" s="1">
        <f>SUM(OSRRefH22_2x_0)</f>
        <v>0</v>
      </c>
      <c r="I38" s="1"/>
      <c r="J38" s="5">
        <f t="shared" ref="J38:J51" si="31">IF(H$12=0,0,H38/H$12)</f>
        <v>0</v>
      </c>
      <c r="K38" s="1"/>
      <c r="L38" s="1">
        <f t="shared" ref="L38:L51" si="32">+D38-H38</f>
        <v>0</v>
      </c>
      <c r="M38" s="1"/>
      <c r="N38" s="5">
        <f t="shared" ref="N38:N51" si="33">IF(H38=0,0,L38/H38)</f>
        <v>0</v>
      </c>
      <c r="O38" s="12"/>
      <c r="P38" s="1">
        <f>SUM(OSRRefP22_2x_0)</f>
        <v>0</v>
      </c>
      <c r="Q38" s="1"/>
      <c r="R38" s="5">
        <f t="shared" ref="R38:R51" si="34">IF(P$12=0,0,P38/P$12)</f>
        <v>0</v>
      </c>
      <c r="S38" s="1"/>
      <c r="T38" s="1">
        <f>SUM(OSRRefT22_2x_0)</f>
        <v>2599.63</v>
      </c>
      <c r="U38" s="1"/>
      <c r="V38" s="5">
        <f t="shared" ref="V38:V51" si="35">IF(T$12=0,0,T38/T$12)</f>
        <v>1.0192686843348061E-2</v>
      </c>
      <c r="W38" s="1"/>
      <c r="X38" s="1">
        <f t="shared" ref="X38:X51" si="36">+P38-T38</f>
        <v>-2599.63</v>
      </c>
      <c r="Y38" s="1"/>
      <c r="Z38" s="5">
        <f t="shared" ref="Z38:Z51" si="37">IF(T38=0,0,X38/T38)</f>
        <v>-1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0"/>
        <v>0</v>
      </c>
      <c r="G39" s="2"/>
      <c r="H39" s="6"/>
      <c r="I39" s="2"/>
      <c r="J39" s="7">
        <f t="shared" si="31"/>
        <v>0</v>
      </c>
      <c r="K39" s="2"/>
      <c r="L39" s="6">
        <f t="shared" si="32"/>
        <v>0</v>
      </c>
      <c r="M39" s="2"/>
      <c r="N39" s="7">
        <f t="shared" si="33"/>
        <v>0</v>
      </c>
      <c r="O39" s="10"/>
      <c r="P39" s="6"/>
      <c r="Q39" s="2"/>
      <c r="R39" s="7">
        <f t="shared" si="34"/>
        <v>0</v>
      </c>
      <c r="S39" s="2"/>
      <c r="T39" s="6">
        <v>2599.63</v>
      </c>
      <c r="U39" s="2"/>
      <c r="V39" s="7">
        <f t="shared" si="35"/>
        <v>1.0192686843348061E-2</v>
      </c>
      <c r="W39" s="2"/>
      <c r="X39" s="6">
        <f t="shared" si="36"/>
        <v>-2599.63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-0.19</v>
      </c>
      <c r="I40" s="1"/>
      <c r="J40" s="5">
        <f t="shared" si="31"/>
        <v>-1.2021869679136298E-5</v>
      </c>
      <c r="K40" s="1"/>
      <c r="L40" s="1">
        <f t="shared" si="32"/>
        <v>0.19</v>
      </c>
      <c r="M40" s="1"/>
      <c r="N40" s="5">
        <f t="shared" si="33"/>
        <v>-1</v>
      </c>
      <c r="O40" s="12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-48.26</v>
      </c>
      <c r="U40" s="1"/>
      <c r="V40" s="5">
        <f t="shared" si="35"/>
        <v>-1.8921887617083101E-4</v>
      </c>
      <c r="W40" s="1"/>
      <c r="X40" s="1">
        <f t="shared" si="36"/>
        <v>48.26</v>
      </c>
      <c r="Y40" s="1"/>
      <c r="Z40" s="5">
        <f t="shared" si="37"/>
        <v>-1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0"/>
        <v>0</v>
      </c>
      <c r="G41" s="2"/>
      <c r="H41" s="6">
        <v>-0.19</v>
      </c>
      <c r="I41" s="2"/>
      <c r="J41" s="7">
        <f t="shared" si="31"/>
        <v>-1.2021869679136298E-5</v>
      </c>
      <c r="K41" s="2"/>
      <c r="L41" s="6">
        <f t="shared" si="32"/>
        <v>0.19</v>
      </c>
      <c r="M41" s="2"/>
      <c r="N41" s="7">
        <f t="shared" si="33"/>
        <v>-1</v>
      </c>
      <c r="O41" s="10"/>
      <c r="P41" s="6"/>
      <c r="Q41" s="2"/>
      <c r="R41" s="7">
        <f t="shared" si="34"/>
        <v>0</v>
      </c>
      <c r="S41" s="2"/>
      <c r="T41" s="6">
        <v>-48.26</v>
      </c>
      <c r="U41" s="2"/>
      <c r="V41" s="7">
        <f t="shared" si="35"/>
        <v>-1.8921887617083101E-4</v>
      </c>
      <c r="W41" s="2"/>
      <c r="X41" s="6">
        <f t="shared" si="36"/>
        <v>48.26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853.42</v>
      </c>
      <c r="I42" s="1"/>
      <c r="J42" s="5">
        <f t="shared" si="31"/>
        <v>5.399844221878157E-2</v>
      </c>
      <c r="K42" s="1"/>
      <c r="L42" s="1">
        <f t="shared" si="32"/>
        <v>-853.42</v>
      </c>
      <c r="M42" s="1"/>
      <c r="N42" s="5">
        <f t="shared" si="33"/>
        <v>-1</v>
      </c>
      <c r="O42" s="12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9818.16</v>
      </c>
      <c r="U42" s="1"/>
      <c r="V42" s="5">
        <f t="shared" si="35"/>
        <v>3.8495259039896521E-2</v>
      </c>
      <c r="W42" s="1"/>
      <c r="X42" s="1">
        <f t="shared" si="36"/>
        <v>-9818.16</v>
      </c>
      <c r="Y42" s="1"/>
      <c r="Z42" s="5">
        <f t="shared" si="37"/>
        <v>-1</v>
      </c>
    </row>
    <row r="43" spans="1:26" s="23" customFormat="1" hidden="1" outlineLevel="2" x14ac:dyDescent="0.25">
      <c r="A43" s="25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0"/>
        <v>0</v>
      </c>
      <c r="G43" s="2"/>
      <c r="H43" s="6">
        <v>853.42</v>
      </c>
      <c r="I43" s="2"/>
      <c r="J43" s="7">
        <f t="shared" si="31"/>
        <v>5.399844221878157E-2</v>
      </c>
      <c r="K43" s="2"/>
      <c r="L43" s="6">
        <f t="shared" si="32"/>
        <v>-853.42</v>
      </c>
      <c r="M43" s="2"/>
      <c r="N43" s="7">
        <f t="shared" si="33"/>
        <v>-1</v>
      </c>
      <c r="O43" s="10"/>
      <c r="P43" s="6"/>
      <c r="Q43" s="2"/>
      <c r="R43" s="7">
        <f t="shared" si="34"/>
        <v>0</v>
      </c>
      <c r="S43" s="2"/>
      <c r="T43" s="6">
        <v>9818.16</v>
      </c>
      <c r="U43" s="2"/>
      <c r="V43" s="7">
        <f t="shared" si="35"/>
        <v>3.8495259039896521E-2</v>
      </c>
      <c r="W43" s="2"/>
      <c r="X43" s="6">
        <f t="shared" si="36"/>
        <v>-9818.16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58.03</v>
      </c>
      <c r="E44" s="1"/>
      <c r="F44" s="5">
        <f t="shared" si="30"/>
        <v>0</v>
      </c>
      <c r="G44" s="1"/>
      <c r="H44" s="1">
        <f>SUM(OSRRefH22_5x_0)</f>
        <v>630.21</v>
      </c>
      <c r="I44" s="1"/>
      <c r="J44" s="5">
        <f t="shared" si="31"/>
        <v>3.9875276265728878E-2</v>
      </c>
      <c r="K44" s="1"/>
      <c r="L44" s="1">
        <f t="shared" si="32"/>
        <v>-572.18000000000006</v>
      </c>
      <c r="M44" s="1"/>
      <c r="N44" s="5">
        <f t="shared" si="33"/>
        <v>-0.90791958236143511</v>
      </c>
      <c r="O44" s="12"/>
      <c r="P44" s="1">
        <f>SUM(OSRRefP22_5x_0)</f>
        <v>522.27</v>
      </c>
      <c r="Q44" s="1"/>
      <c r="R44" s="5">
        <f t="shared" si="34"/>
        <v>0</v>
      </c>
      <c r="S44" s="1"/>
      <c r="T44" s="1">
        <f>SUM(OSRRefT22_5x_0)</f>
        <v>5671.89</v>
      </c>
      <c r="U44" s="1"/>
      <c r="V44" s="5">
        <f t="shared" si="35"/>
        <v>2.2238471851731761E-2</v>
      </c>
      <c r="W44" s="1"/>
      <c r="X44" s="1">
        <f t="shared" si="36"/>
        <v>-5149.6200000000008</v>
      </c>
      <c r="Y44" s="1"/>
      <c r="Z44" s="5">
        <f t="shared" si="37"/>
        <v>-0.90791958236143522</v>
      </c>
    </row>
    <row r="45" spans="1:26" s="23" customFormat="1" hidden="1" outlineLevel="2" x14ac:dyDescent="0.25">
      <c r="A45" s="25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58.03</v>
      </c>
      <c r="E45" s="2"/>
      <c r="F45" s="7">
        <f t="shared" si="30"/>
        <v>0</v>
      </c>
      <c r="G45" s="2"/>
      <c r="H45" s="6">
        <v>630.21</v>
      </c>
      <c r="I45" s="2"/>
      <c r="J45" s="7">
        <f t="shared" si="31"/>
        <v>3.9875276265728878E-2</v>
      </c>
      <c r="K45" s="2"/>
      <c r="L45" s="6">
        <f t="shared" si="32"/>
        <v>-572.18000000000006</v>
      </c>
      <c r="M45" s="2"/>
      <c r="N45" s="7">
        <f t="shared" si="33"/>
        <v>-0.90791958236143511</v>
      </c>
      <c r="O45" s="10"/>
      <c r="P45" s="6">
        <v>522.27</v>
      </c>
      <c r="Q45" s="2"/>
      <c r="R45" s="7">
        <f t="shared" si="34"/>
        <v>0</v>
      </c>
      <c r="S45" s="2"/>
      <c r="T45" s="6">
        <v>5671.89</v>
      </c>
      <c r="U45" s="2"/>
      <c r="V45" s="7">
        <f t="shared" si="35"/>
        <v>2.2238471851731761E-2</v>
      </c>
      <c r="W45" s="2"/>
      <c r="X45" s="6">
        <f t="shared" si="36"/>
        <v>-5149.6200000000008</v>
      </c>
      <c r="Y45" s="2"/>
      <c r="Z45" s="7">
        <f t="shared" si="37"/>
        <v>-0.90791958236143522</v>
      </c>
    </row>
    <row r="46" spans="1:26" s="26" customFormat="1" outlineLevel="1" collapsed="1" x14ac:dyDescent="0.25">
      <c r="A46" s="27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9.6</v>
      </c>
      <c r="I46" s="1"/>
      <c r="J46" s="5">
        <f t="shared" si="31"/>
        <v>6.0742078378793918E-4</v>
      </c>
      <c r="K46" s="1"/>
      <c r="L46" s="1">
        <f t="shared" si="32"/>
        <v>-9.6</v>
      </c>
      <c r="M46" s="1"/>
      <c r="N46" s="5">
        <f t="shared" si="33"/>
        <v>-1</v>
      </c>
      <c r="O46" s="12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901.75</v>
      </c>
      <c r="U46" s="1"/>
      <c r="V46" s="5">
        <f t="shared" si="35"/>
        <v>3.535601359035368E-3</v>
      </c>
      <c r="W46" s="1"/>
      <c r="X46" s="1">
        <f t="shared" si="36"/>
        <v>-901.75</v>
      </c>
      <c r="Y46" s="1"/>
      <c r="Z46" s="5">
        <f t="shared" si="37"/>
        <v>-1</v>
      </c>
    </row>
    <row r="47" spans="1:26" s="23" customFormat="1" hidden="1" outlineLevel="2" x14ac:dyDescent="0.25">
      <c r="A47" s="25"/>
      <c r="B47" s="10" t="str">
        <f>CONCATENATE("          ", "6279", " - ", "GENERAL EXPENSE")</f>
        <v xml:space="preserve">          6279 - GENERAL EXPENSE</v>
      </c>
      <c r="C47" s="10"/>
      <c r="D47" s="6"/>
      <c r="E47" s="2"/>
      <c r="F47" s="7">
        <f t="shared" si="30"/>
        <v>0</v>
      </c>
      <c r="G47" s="2"/>
      <c r="H47" s="6">
        <v>9.6</v>
      </c>
      <c r="I47" s="2"/>
      <c r="J47" s="7">
        <f t="shared" si="31"/>
        <v>6.0742078378793918E-4</v>
      </c>
      <c r="K47" s="2"/>
      <c r="L47" s="6">
        <f t="shared" si="32"/>
        <v>-9.6</v>
      </c>
      <c r="M47" s="2"/>
      <c r="N47" s="7">
        <f t="shared" si="33"/>
        <v>-1</v>
      </c>
      <c r="O47" s="10"/>
      <c r="P47" s="6"/>
      <c r="Q47" s="2"/>
      <c r="R47" s="7">
        <f t="shared" si="34"/>
        <v>0</v>
      </c>
      <c r="S47" s="2"/>
      <c r="T47" s="6">
        <v>901.75</v>
      </c>
      <c r="U47" s="2"/>
      <c r="V47" s="7">
        <f t="shared" si="35"/>
        <v>3.535601359035368E-3</v>
      </c>
      <c r="W47" s="2"/>
      <c r="X47" s="6">
        <f t="shared" si="36"/>
        <v>-901.75</v>
      </c>
      <c r="Y47" s="2"/>
      <c r="Z47" s="7">
        <f t="shared" si="37"/>
        <v>-1</v>
      </c>
    </row>
    <row r="48" spans="1:26" s="26" customFormat="1" outlineLevel="1" collapsed="1" x14ac:dyDescent="0.25">
      <c r="A48" s="27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SUM(OSRRefD22_7x_0)</f>
        <v>165.75</v>
      </c>
      <c r="E48" s="1"/>
      <c r="F48" s="5">
        <f t="shared" si="30"/>
        <v>0</v>
      </c>
      <c r="G48" s="1"/>
      <c r="H48" s="1">
        <f>SUM(OSRRefH22_7x_0)</f>
        <v>165.75</v>
      </c>
      <c r="I48" s="1"/>
      <c r="J48" s="5">
        <f t="shared" si="31"/>
        <v>1.0487499470088639E-2</v>
      </c>
      <c r="K48" s="1"/>
      <c r="L48" s="1">
        <f t="shared" si="32"/>
        <v>0</v>
      </c>
      <c r="M48" s="1"/>
      <c r="N48" s="5">
        <f t="shared" si="33"/>
        <v>0</v>
      </c>
      <c r="O48" s="12"/>
      <c r="P48" s="1">
        <f>SUM(OSRRefP22_7x_0)</f>
        <v>575.85</v>
      </c>
      <c r="Q48" s="1"/>
      <c r="R48" s="5">
        <f t="shared" si="34"/>
        <v>0</v>
      </c>
      <c r="S48" s="1"/>
      <c r="T48" s="1">
        <f>SUM(OSRRefT22_7x_0)</f>
        <v>8877.11</v>
      </c>
      <c r="U48" s="1"/>
      <c r="V48" s="5">
        <f t="shared" si="35"/>
        <v>3.4805569371007997E-2</v>
      </c>
      <c r="W48" s="1"/>
      <c r="X48" s="1">
        <f t="shared" si="36"/>
        <v>-8301.26</v>
      </c>
      <c r="Y48" s="1"/>
      <c r="Z48" s="5">
        <f t="shared" si="37"/>
        <v>-0.93513091535420867</v>
      </c>
    </row>
    <row r="49" spans="1:26" s="23" customFormat="1" hidden="1" outlineLevel="2" x14ac:dyDescent="0.25">
      <c r="A49" s="25"/>
      <c r="B49" s="10" t="str">
        <f>CONCATENATE("          ", "6371", " - ", "COMPUTER SOFTWARE MAINTENANCE")</f>
        <v xml:space="preserve">          6371 - COMPUTER SOFTWARE MAINTENANCE</v>
      </c>
      <c r="C49" s="10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0"/>
      <c r="P49" s="6"/>
      <c r="Q49" s="2"/>
      <c r="R49" s="7">
        <f t="shared" si="34"/>
        <v>0</v>
      </c>
      <c r="S49" s="2"/>
      <c r="T49" s="6">
        <v>874.62</v>
      </c>
      <c r="U49" s="2"/>
      <c r="V49" s="7">
        <f t="shared" si="35"/>
        <v>3.4292294545489477E-3</v>
      </c>
      <c r="W49" s="2"/>
      <c r="X49" s="6">
        <f t="shared" si="36"/>
        <v>-874.62</v>
      </c>
      <c r="Y49" s="2"/>
      <c r="Z49" s="7">
        <f t="shared" si="37"/>
        <v>-1</v>
      </c>
    </row>
    <row r="50" spans="1:26" s="23" customFormat="1" hidden="1" outlineLevel="2" x14ac:dyDescent="0.25">
      <c r="A50" s="25"/>
      <c r="B50" s="10" t="str">
        <f>CONCATENATE("          ", "6373", " - ", "MAINTENANCE CONTRACTS")</f>
        <v xml:space="preserve">          6373 - MAINTENANCE CONTRACTS</v>
      </c>
      <c r="C50" s="10"/>
      <c r="D50" s="6">
        <v>165.75</v>
      </c>
      <c r="E50" s="2"/>
      <c r="F50" s="7">
        <f t="shared" si="30"/>
        <v>0</v>
      </c>
      <c r="G50" s="2"/>
      <c r="H50" s="6">
        <v>165.75</v>
      </c>
      <c r="I50" s="2"/>
      <c r="J50" s="7">
        <f t="shared" si="31"/>
        <v>1.0487499470088639E-2</v>
      </c>
      <c r="K50" s="2"/>
      <c r="L50" s="6">
        <f t="shared" si="32"/>
        <v>0</v>
      </c>
      <c r="M50" s="2"/>
      <c r="N50" s="7">
        <f t="shared" si="33"/>
        <v>0</v>
      </c>
      <c r="O50" s="10"/>
      <c r="P50" s="6">
        <v>575.85</v>
      </c>
      <c r="Q50" s="2"/>
      <c r="R50" s="7">
        <f t="shared" si="34"/>
        <v>0</v>
      </c>
      <c r="S50" s="2"/>
      <c r="T50" s="6">
        <v>1031.97</v>
      </c>
      <c r="U50" s="2"/>
      <c r="V50" s="7">
        <f t="shared" si="35"/>
        <v>4.0461708172816512E-3</v>
      </c>
      <c r="W50" s="2"/>
      <c r="X50" s="6">
        <f t="shared" si="36"/>
        <v>-456.12</v>
      </c>
      <c r="Y50" s="2"/>
      <c r="Z50" s="7">
        <f t="shared" si="37"/>
        <v>-0.44198959272071864</v>
      </c>
    </row>
    <row r="51" spans="1:26" s="23" customFormat="1" hidden="1" outlineLevel="2" x14ac:dyDescent="0.25">
      <c r="A51" s="25"/>
      <c r="B51" s="10" t="str">
        <f>CONCATENATE("          ", "6375", " - ", "OUTSIDE REPAIRS &amp; MAINTENANCE")</f>
        <v xml:space="preserve">          6375 - OUTSIDE REPAIRS &amp; MAINTENANCE</v>
      </c>
      <c r="C51" s="10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0"/>
      <c r="P51" s="6"/>
      <c r="Q51" s="2"/>
      <c r="R51" s="7">
        <f t="shared" si="34"/>
        <v>0</v>
      </c>
      <c r="S51" s="2"/>
      <c r="T51" s="6">
        <v>6970.52</v>
      </c>
      <c r="U51" s="2"/>
      <c r="V51" s="7">
        <f t="shared" si="35"/>
        <v>2.7330169099177393E-2</v>
      </c>
      <c r="W51" s="2"/>
      <c r="X51" s="6">
        <f t="shared" si="36"/>
        <v>-6970.52</v>
      </c>
      <c r="Y51" s="2"/>
      <c r="Z51" s="7">
        <f t="shared" si="37"/>
        <v>-1</v>
      </c>
    </row>
    <row r="52" spans="1:26" s="26" customFormat="1" outlineLevel="1" collapsed="1" x14ac:dyDescent="0.25">
      <c r="A52" s="27"/>
      <c r="B52" s="12" t="str">
        <f>CONCATENATE("     ","Services                                          ")</f>
        <v xml:space="preserve">     Services                                          </v>
      </c>
      <c r="C52" s="12"/>
      <c r="D52" s="1">
        <f>SUM(OSRRefD22_8x_0)</f>
        <v>0</v>
      </c>
      <c r="E52" s="1"/>
      <c r="F52" s="5">
        <f t="shared" ref="F52:F55" si="38">IF(D$12=0,0,D52/D$12)</f>
        <v>0</v>
      </c>
      <c r="G52" s="1"/>
      <c r="H52" s="1">
        <f>SUM(OSRRefH22_8x_0)</f>
        <v>417.40000000000003</v>
      </c>
      <c r="I52" s="1"/>
      <c r="J52" s="5">
        <f t="shared" ref="J52:J55" si="39">IF(H$12=0,0,H52/H$12)</f>
        <v>2.6410149495113111E-2</v>
      </c>
      <c r="K52" s="1"/>
      <c r="L52" s="1">
        <f t="shared" ref="L52:L55" si="40">+D52-H52</f>
        <v>-417.40000000000003</v>
      </c>
      <c r="M52" s="1"/>
      <c r="N52" s="5">
        <f t="shared" ref="N52:N55" si="41">IF(H52=0,0,L52/H52)</f>
        <v>-1</v>
      </c>
      <c r="O52" s="12"/>
      <c r="P52" s="1">
        <f>SUM(OSRRefP22_8x_0)</f>
        <v>286.62</v>
      </c>
      <c r="Q52" s="1"/>
      <c r="R52" s="5">
        <f t="shared" ref="R52:R55" si="42">IF(P$12=0,0,P52/P$12)</f>
        <v>0</v>
      </c>
      <c r="S52" s="1"/>
      <c r="T52" s="1">
        <f>SUM(OSRRefT22_8x_0)</f>
        <v>1368.82</v>
      </c>
      <c r="U52" s="1"/>
      <c r="V52" s="5">
        <f t="shared" ref="V52:V55" si="43">IF(T$12=0,0,T52/T$12)</f>
        <v>5.3668997530078094E-3</v>
      </c>
      <c r="W52" s="1"/>
      <c r="X52" s="1">
        <f t="shared" ref="X52:X55" si="44">+P52-T52</f>
        <v>-1082.1999999999998</v>
      </c>
      <c r="Y52" s="1"/>
      <c r="Z52" s="5">
        <f t="shared" ref="Z52:Z55" si="45">IF(T52=0,0,X52/T52)</f>
        <v>-0.79060796890752605</v>
      </c>
    </row>
    <row r="53" spans="1:26" s="23" customFormat="1" hidden="1" outlineLevel="2" x14ac:dyDescent="0.25">
      <c r="A53" s="25"/>
      <c r="B53" s="10" t="str">
        <f>CONCATENATE("          ", "6282", " - ", "JANITORIAL/EXTERMINATOR EXPENS")</f>
        <v xml:space="preserve">          6282 - JANITORIAL/EXTERMINATOR EXPENS</v>
      </c>
      <c r="C53" s="10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0"/>
      <c r="P53" s="6">
        <v>286.62</v>
      </c>
      <c r="Q53" s="2"/>
      <c r="R53" s="7">
        <f t="shared" si="42"/>
        <v>0</v>
      </c>
      <c r="S53" s="2"/>
      <c r="T53" s="6"/>
      <c r="U53" s="2"/>
      <c r="V53" s="7">
        <f t="shared" si="43"/>
        <v>0</v>
      </c>
      <c r="W53" s="2"/>
      <c r="X53" s="6">
        <f t="shared" si="44"/>
        <v>286.62</v>
      </c>
      <c r="Y53" s="2"/>
      <c r="Z53" s="7">
        <f t="shared" si="45"/>
        <v>0</v>
      </c>
    </row>
    <row r="54" spans="1:26" s="23" customFormat="1" hidden="1" outlineLevel="2" x14ac:dyDescent="0.25">
      <c r="A54" s="25"/>
      <c r="B54" s="10" t="str">
        <f>CONCATENATE("          ", "6285", " - ", "JANITORIAL SERVICES")</f>
        <v xml:space="preserve">          6285 - JANITORIAL SERVICES</v>
      </c>
      <c r="C54" s="10"/>
      <c r="D54" s="6"/>
      <c r="E54" s="2"/>
      <c r="F54" s="7">
        <f t="shared" si="38"/>
        <v>0</v>
      </c>
      <c r="G54" s="2"/>
      <c r="H54" s="6">
        <v>364.8</v>
      </c>
      <c r="I54" s="2"/>
      <c r="J54" s="7">
        <f t="shared" si="39"/>
        <v>2.3081989783941693E-2</v>
      </c>
      <c r="K54" s="2"/>
      <c r="L54" s="6">
        <f t="shared" si="40"/>
        <v>-364.8</v>
      </c>
      <c r="M54" s="2"/>
      <c r="N54" s="7">
        <f t="shared" si="41"/>
        <v>-1</v>
      </c>
      <c r="O54" s="10"/>
      <c r="P54" s="6"/>
      <c r="Q54" s="2"/>
      <c r="R54" s="7">
        <f t="shared" si="42"/>
        <v>0</v>
      </c>
      <c r="S54" s="2"/>
      <c r="T54" s="6">
        <v>712.8</v>
      </c>
      <c r="U54" s="2"/>
      <c r="V54" s="7">
        <f t="shared" si="43"/>
        <v>2.7947620168787472E-3</v>
      </c>
      <c r="W54" s="2"/>
      <c r="X54" s="6">
        <f t="shared" si="44"/>
        <v>-712.8</v>
      </c>
      <c r="Y54" s="2"/>
      <c r="Z54" s="7">
        <f t="shared" si="45"/>
        <v>-1</v>
      </c>
    </row>
    <row r="55" spans="1:26" s="23" customFormat="1" hidden="1" outlineLevel="2" x14ac:dyDescent="0.25">
      <c r="A55" s="25"/>
      <c r="B55" s="10" t="str">
        <f>CONCATENATE("          ", "6286", " - ", "LAUNDRY EXPENSE")</f>
        <v xml:space="preserve">          6286 - LAUNDRY EXPENSE</v>
      </c>
      <c r="C55" s="10"/>
      <c r="D55" s="6"/>
      <c r="E55" s="2"/>
      <c r="F55" s="7">
        <f t="shared" si="38"/>
        <v>0</v>
      </c>
      <c r="G55" s="2"/>
      <c r="H55" s="6">
        <v>52.6</v>
      </c>
      <c r="I55" s="2"/>
      <c r="J55" s="7">
        <f t="shared" si="39"/>
        <v>3.3281597111714171E-3</v>
      </c>
      <c r="K55" s="2"/>
      <c r="L55" s="6">
        <f t="shared" si="40"/>
        <v>-52.6</v>
      </c>
      <c r="M55" s="2"/>
      <c r="N55" s="7">
        <f t="shared" si="41"/>
        <v>-1</v>
      </c>
      <c r="O55" s="10"/>
      <c r="P55" s="6"/>
      <c r="Q55" s="2"/>
      <c r="R55" s="7">
        <f t="shared" si="42"/>
        <v>0</v>
      </c>
      <c r="S55" s="2"/>
      <c r="T55" s="6">
        <v>656.02</v>
      </c>
      <c r="U55" s="2"/>
      <c r="V55" s="7">
        <f t="shared" si="43"/>
        <v>2.5721377361290626E-3</v>
      </c>
      <c r="W55" s="2"/>
      <c r="X55" s="6">
        <f t="shared" si="44"/>
        <v>-656.02</v>
      </c>
      <c r="Y55" s="2"/>
      <c r="Z55" s="7">
        <f t="shared" si="45"/>
        <v>-1</v>
      </c>
    </row>
    <row r="56" spans="1:26" s="26" customFormat="1" outlineLevel="1" collapsed="1" x14ac:dyDescent="0.25">
      <c r="A56" s="27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SUM(OSRRefD22_9x_0)</f>
        <v>0</v>
      </c>
      <c r="E56" s="1"/>
      <c r="F56" s="5">
        <f t="shared" ref="F56:F62" si="46">IF(D$12=0,0,D56/D$12)</f>
        <v>0</v>
      </c>
      <c r="G56" s="1"/>
      <c r="H56" s="1">
        <f>SUM(OSRRefH22_9x_0)</f>
        <v>182.76</v>
      </c>
      <c r="I56" s="1"/>
      <c r="J56" s="5">
        <f t="shared" ref="J56:J62" si="47">IF(H$12=0,0,H56/H$12)</f>
        <v>1.1563773171362894E-2</v>
      </c>
      <c r="K56" s="1"/>
      <c r="L56" s="1">
        <f t="shared" ref="L56:L62" si="48">+D56-H56</f>
        <v>-182.76</v>
      </c>
      <c r="M56" s="1"/>
      <c r="N56" s="5">
        <f t="shared" ref="N56:N62" si="49">IF(H56=0,0,L56/H56)</f>
        <v>-1</v>
      </c>
      <c r="O56" s="12"/>
      <c r="P56" s="1">
        <f>SUM(OSRRefP22_9x_0)</f>
        <v>0</v>
      </c>
      <c r="Q56" s="1"/>
      <c r="R56" s="5">
        <f t="shared" ref="R56:R62" si="50">IF(P$12=0,0,P56/P$12)</f>
        <v>0</v>
      </c>
      <c r="S56" s="1"/>
      <c r="T56" s="1">
        <f>SUM(OSRRefT22_9x_0)</f>
        <v>4596.26</v>
      </c>
      <c r="U56" s="1"/>
      <c r="V56" s="5">
        <f t="shared" ref="V56:V62" si="51">IF(T$12=0,0,T56/T$12)</f>
        <v>1.8021117940094152E-2</v>
      </c>
      <c r="W56" s="1"/>
      <c r="X56" s="1">
        <f t="shared" ref="X56:X62" si="52">+P56-T56</f>
        <v>-4596.26</v>
      </c>
      <c r="Y56" s="1"/>
      <c r="Z56" s="5">
        <f t="shared" ref="Z56:Z62" si="53">IF(T56=0,0,X56/T56)</f>
        <v>-1</v>
      </c>
    </row>
    <row r="57" spans="1:26" s="23" customFormat="1" hidden="1" outlineLevel="2" x14ac:dyDescent="0.25">
      <c r="A57" s="25"/>
      <c r="B57" s="10" t="str">
        <f>CONCATENATE("          ", "6239", " - ", "KITCHEN SUPPLIES")</f>
        <v xml:space="preserve">          6239 - KITCHEN SUPPLIES</v>
      </c>
      <c r="C57" s="10"/>
      <c r="D57" s="6"/>
      <c r="E57" s="2"/>
      <c r="F57" s="7">
        <f t="shared" si="46"/>
        <v>0</v>
      </c>
      <c r="G57" s="2"/>
      <c r="H57" s="6"/>
      <c r="I57" s="2"/>
      <c r="J57" s="7">
        <f t="shared" si="47"/>
        <v>0</v>
      </c>
      <c r="K57" s="2"/>
      <c r="L57" s="6">
        <f t="shared" si="48"/>
        <v>0</v>
      </c>
      <c r="M57" s="2"/>
      <c r="N57" s="7">
        <f t="shared" si="49"/>
        <v>0</v>
      </c>
      <c r="O57" s="10"/>
      <c r="P57" s="6"/>
      <c r="Q57" s="2"/>
      <c r="R57" s="7">
        <f t="shared" si="50"/>
        <v>0</v>
      </c>
      <c r="S57" s="2"/>
      <c r="T57" s="6">
        <v>960.31</v>
      </c>
      <c r="U57" s="2"/>
      <c r="V57" s="7">
        <f t="shared" si="51"/>
        <v>3.7652047031829822E-3</v>
      </c>
      <c r="W57" s="2"/>
      <c r="X57" s="6">
        <f t="shared" si="52"/>
        <v>-960.31</v>
      </c>
      <c r="Y57" s="2"/>
      <c r="Z57" s="7">
        <f t="shared" si="53"/>
        <v>-1</v>
      </c>
    </row>
    <row r="58" spans="1:26" s="23" customFormat="1" hidden="1" outlineLevel="2" x14ac:dyDescent="0.25">
      <c r="A58" s="25"/>
      <c r="B58" s="10" t="str">
        <f>CONCATENATE("          ", "6241", " - ", "OFFICE EXPENSE")</f>
        <v xml:space="preserve">          6241 - OFFICE EXPENSE</v>
      </c>
      <c r="C58" s="10"/>
      <c r="D58" s="6"/>
      <c r="E58" s="2"/>
      <c r="F58" s="7">
        <f t="shared" si="46"/>
        <v>0</v>
      </c>
      <c r="G58" s="2"/>
      <c r="H58" s="6"/>
      <c r="I58" s="2"/>
      <c r="J58" s="7">
        <f t="shared" si="47"/>
        <v>0</v>
      </c>
      <c r="K58" s="2"/>
      <c r="L58" s="6">
        <f t="shared" si="48"/>
        <v>0</v>
      </c>
      <c r="M58" s="2"/>
      <c r="N58" s="7">
        <f t="shared" si="49"/>
        <v>0</v>
      </c>
      <c r="O58" s="10"/>
      <c r="P58" s="6"/>
      <c r="Q58" s="2"/>
      <c r="R58" s="7">
        <f t="shared" si="50"/>
        <v>0</v>
      </c>
      <c r="S58" s="2"/>
      <c r="T58" s="6">
        <v>1153.24</v>
      </c>
      <c r="U58" s="2"/>
      <c r="V58" s="7">
        <f t="shared" si="51"/>
        <v>4.5216489174316025E-3</v>
      </c>
      <c r="W58" s="2"/>
      <c r="X58" s="6">
        <f t="shared" si="52"/>
        <v>-1153.24</v>
      </c>
      <c r="Y58" s="2"/>
      <c r="Z58" s="7">
        <f t="shared" si="53"/>
        <v>-1</v>
      </c>
    </row>
    <row r="59" spans="1:26" s="23" customFormat="1" hidden="1" outlineLevel="2" x14ac:dyDescent="0.25">
      <c r="A59" s="25"/>
      <c r="B59" s="10" t="str">
        <f>CONCATENATE("          ", "6243", " - ", "PAPER SUPPLIES")</f>
        <v xml:space="preserve">          6243 - PAPER SUPPLIES</v>
      </c>
      <c r="C59" s="10"/>
      <c r="D59" s="6"/>
      <c r="E59" s="2"/>
      <c r="F59" s="7">
        <f t="shared" si="46"/>
        <v>0</v>
      </c>
      <c r="G59" s="2"/>
      <c r="H59" s="6">
        <v>173.01</v>
      </c>
      <c r="I59" s="2"/>
      <c r="J59" s="7">
        <f t="shared" si="47"/>
        <v>1.0946861437828267E-2</v>
      </c>
      <c r="K59" s="2"/>
      <c r="L59" s="6">
        <f t="shared" si="48"/>
        <v>-173.01</v>
      </c>
      <c r="M59" s="2"/>
      <c r="N59" s="7">
        <f t="shared" si="49"/>
        <v>-1</v>
      </c>
      <c r="O59" s="10"/>
      <c r="P59" s="6"/>
      <c r="Q59" s="2"/>
      <c r="R59" s="7">
        <f t="shared" si="50"/>
        <v>0</v>
      </c>
      <c r="S59" s="2"/>
      <c r="T59" s="6">
        <v>1490.35</v>
      </c>
      <c r="U59" s="2"/>
      <c r="V59" s="7">
        <f t="shared" si="51"/>
        <v>5.8433972669125148E-3</v>
      </c>
      <c r="W59" s="2"/>
      <c r="X59" s="6">
        <f t="shared" si="52"/>
        <v>-1490.35</v>
      </c>
      <c r="Y59" s="2"/>
      <c r="Z59" s="7">
        <f t="shared" si="53"/>
        <v>-1</v>
      </c>
    </row>
    <row r="60" spans="1:26" s="23" customFormat="1" hidden="1" outlineLevel="2" x14ac:dyDescent="0.25">
      <c r="A60" s="25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0"/>
      <c r="P60" s="6"/>
      <c r="Q60" s="2"/>
      <c r="R60" s="7">
        <f t="shared" si="50"/>
        <v>0</v>
      </c>
      <c r="S60" s="2"/>
      <c r="T60" s="6">
        <v>244.39</v>
      </c>
      <c r="U60" s="2"/>
      <c r="V60" s="7">
        <f t="shared" si="51"/>
        <v>9.5820972124719002E-4</v>
      </c>
      <c r="W60" s="2"/>
      <c r="X60" s="6">
        <f t="shared" si="52"/>
        <v>-244.39</v>
      </c>
      <c r="Y60" s="2"/>
      <c r="Z60" s="7">
        <f t="shared" si="53"/>
        <v>-1</v>
      </c>
    </row>
    <row r="61" spans="1:26" s="23" customFormat="1" hidden="1" outlineLevel="2" x14ac:dyDescent="0.25">
      <c r="A61" s="25"/>
      <c r="B61" s="10" t="str">
        <f>CONCATENATE("          ", "6247", " - ", "STORE SUPPLIES")</f>
        <v xml:space="preserve">          6247 - STORE SUPPLIES</v>
      </c>
      <c r="C61" s="10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0"/>
      <c r="P61" s="6"/>
      <c r="Q61" s="2"/>
      <c r="R61" s="7">
        <f t="shared" si="50"/>
        <v>0</v>
      </c>
      <c r="S61" s="2"/>
      <c r="T61" s="6">
        <v>42.98</v>
      </c>
      <c r="U61" s="2"/>
      <c r="V61" s="7">
        <f t="shared" si="51"/>
        <v>1.685169353050625E-4</v>
      </c>
      <c r="W61" s="2"/>
      <c r="X61" s="6">
        <f t="shared" si="52"/>
        <v>-42.98</v>
      </c>
      <c r="Y61" s="2"/>
      <c r="Z61" s="7">
        <f t="shared" si="53"/>
        <v>-1</v>
      </c>
    </row>
    <row r="62" spans="1:26" s="23" customFormat="1" hidden="1" outlineLevel="2" x14ac:dyDescent="0.25">
      <c r="A62" s="25"/>
      <c r="B62" s="10" t="str">
        <f>CONCATENATE("          ", "6248", " - ", "UNIFORMS")</f>
        <v xml:space="preserve">          6248 - UNIFORMS</v>
      </c>
      <c r="C62" s="10"/>
      <c r="D62" s="6"/>
      <c r="E62" s="2"/>
      <c r="F62" s="7">
        <f t="shared" si="46"/>
        <v>0</v>
      </c>
      <c r="G62" s="2"/>
      <c r="H62" s="6">
        <v>9.75</v>
      </c>
      <c r="I62" s="2"/>
      <c r="J62" s="7">
        <f t="shared" si="47"/>
        <v>6.1691173353462577E-4</v>
      </c>
      <c r="K62" s="2"/>
      <c r="L62" s="6">
        <f t="shared" si="48"/>
        <v>-9.75</v>
      </c>
      <c r="M62" s="2"/>
      <c r="N62" s="7">
        <f t="shared" si="49"/>
        <v>-1</v>
      </c>
      <c r="O62" s="10"/>
      <c r="P62" s="6"/>
      <c r="Q62" s="2"/>
      <c r="R62" s="7">
        <f t="shared" si="50"/>
        <v>0</v>
      </c>
      <c r="S62" s="2"/>
      <c r="T62" s="6">
        <v>704.99</v>
      </c>
      <c r="U62" s="2"/>
      <c r="V62" s="7">
        <f t="shared" si="51"/>
        <v>2.7641403960147982E-3</v>
      </c>
      <c r="W62" s="2"/>
      <c r="X62" s="6">
        <f t="shared" si="52"/>
        <v>-704.99</v>
      </c>
      <c r="Y62" s="2"/>
      <c r="Z62" s="7">
        <f t="shared" si="53"/>
        <v>-1</v>
      </c>
    </row>
    <row r="63" spans="1:26" s="26" customFormat="1" outlineLevel="1" collapsed="1" x14ac:dyDescent="0.25">
      <c r="A63" s="27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SUM(OSRRefD22_10x_0)</f>
        <v>0</v>
      </c>
      <c r="E63" s="1"/>
      <c r="F63" s="5">
        <f t="shared" ref="F63:F66" si="54">IF(D$12=0,0,D63/D$12)</f>
        <v>0</v>
      </c>
      <c r="G63" s="1"/>
      <c r="H63" s="1">
        <f>SUM(OSRRefH22_10x_0)</f>
        <v>126.96</v>
      </c>
      <c r="I63" s="1"/>
      <c r="J63" s="5">
        <f t="shared" ref="J63:J66" si="55">IF(H$12=0,0,H63/H$12)</f>
        <v>8.0331398655954962E-3</v>
      </c>
      <c r="K63" s="1"/>
      <c r="L63" s="1">
        <f t="shared" ref="L63:L66" si="56">+D63-H63</f>
        <v>-126.96</v>
      </c>
      <c r="M63" s="1"/>
      <c r="N63" s="5">
        <f t="shared" ref="N63:N66" si="57">IF(H63=0,0,L63/H63)</f>
        <v>-1</v>
      </c>
      <c r="O63" s="12"/>
      <c r="P63" s="1">
        <f>SUM(OSRRefP22_10x_0)</f>
        <v>49.7</v>
      </c>
      <c r="Q63" s="1"/>
      <c r="R63" s="5">
        <f t="shared" ref="R63:R66" si="58">IF(P$12=0,0,P63/P$12)</f>
        <v>0</v>
      </c>
      <c r="S63" s="1"/>
      <c r="T63" s="1">
        <f>SUM(OSRRefT22_10x_0)</f>
        <v>694.96</v>
      </c>
      <c r="U63" s="1"/>
      <c r="V63" s="5">
        <f t="shared" ref="V63:V66" si="59">IF(T$12=0,0,T63/T$12)</f>
        <v>2.7248145500141053E-3</v>
      </c>
      <c r="W63" s="1"/>
      <c r="X63" s="1">
        <f t="shared" ref="X63:X66" si="60">+P63-T63</f>
        <v>-645.26</v>
      </c>
      <c r="Y63" s="1"/>
      <c r="Z63" s="5">
        <f t="shared" ref="Z63:Z66" si="61">IF(T63=0,0,X63/T63)</f>
        <v>-0.9284850926672038</v>
      </c>
    </row>
    <row r="64" spans="1:26" s="23" customFormat="1" hidden="1" outlineLevel="2" x14ac:dyDescent="0.25">
      <c r="A64" s="25"/>
      <c r="B64" s="10" t="str">
        <f>CONCATENATE("          ", "6309", " - ", "TELEPHONE")</f>
        <v xml:space="preserve">          6309 - TELEPHONE</v>
      </c>
      <c r="C64" s="10"/>
      <c r="D64" s="6"/>
      <c r="E64" s="2"/>
      <c r="F64" s="7">
        <f t="shared" si="54"/>
        <v>0</v>
      </c>
      <c r="G64" s="2"/>
      <c r="H64" s="6">
        <v>126.96</v>
      </c>
      <c r="I64" s="2"/>
      <c r="J64" s="7">
        <f t="shared" si="55"/>
        <v>8.0331398655954962E-3</v>
      </c>
      <c r="K64" s="2"/>
      <c r="L64" s="6">
        <f t="shared" si="56"/>
        <v>-126.96</v>
      </c>
      <c r="M64" s="2"/>
      <c r="N64" s="7">
        <f t="shared" si="57"/>
        <v>-1</v>
      </c>
      <c r="O64" s="10"/>
      <c r="P64" s="6">
        <v>49.7</v>
      </c>
      <c r="Q64" s="2"/>
      <c r="R64" s="7">
        <f t="shared" si="58"/>
        <v>0</v>
      </c>
      <c r="S64" s="2"/>
      <c r="T64" s="6">
        <v>694.96</v>
      </c>
      <c r="U64" s="2"/>
      <c r="V64" s="7">
        <f t="shared" si="59"/>
        <v>2.7248145500141053E-3</v>
      </c>
      <c r="W64" s="2"/>
      <c r="X64" s="6">
        <f t="shared" si="60"/>
        <v>-645.26</v>
      </c>
      <c r="Y64" s="2"/>
      <c r="Z64" s="7">
        <f t="shared" si="61"/>
        <v>-0.9284850926672038</v>
      </c>
    </row>
    <row r="65" spans="1:26" s="26" customFormat="1" outlineLevel="1" collapsed="1" x14ac:dyDescent="0.25">
      <c r="A65" s="27"/>
      <c r="B65" s="12" t="str">
        <f>CONCATENATE("     ","Training                                          ")</f>
        <v xml:space="preserve">     Training                                          </v>
      </c>
      <c r="C65" s="12"/>
      <c r="D65" s="1">
        <f>SUM(OSRRefD22_11x_0)</f>
        <v>0</v>
      </c>
      <c r="E65" s="1"/>
      <c r="F65" s="5">
        <f t="shared" si="54"/>
        <v>0</v>
      </c>
      <c r="G65" s="1"/>
      <c r="H65" s="1">
        <f>SUM(OSRRefH22_11x_0)</f>
        <v>0</v>
      </c>
      <c r="I65" s="1"/>
      <c r="J65" s="5">
        <f t="shared" si="55"/>
        <v>0</v>
      </c>
      <c r="K65" s="1"/>
      <c r="L65" s="1">
        <f t="shared" si="56"/>
        <v>0</v>
      </c>
      <c r="M65" s="1"/>
      <c r="N65" s="5">
        <f t="shared" si="57"/>
        <v>0</v>
      </c>
      <c r="O65" s="12"/>
      <c r="P65" s="1">
        <f>SUM(OSRRefP22_11x_0)</f>
        <v>0</v>
      </c>
      <c r="Q65" s="1"/>
      <c r="R65" s="5">
        <f t="shared" si="58"/>
        <v>0</v>
      </c>
      <c r="S65" s="1"/>
      <c r="T65" s="1">
        <f>SUM(OSRRefT22_11x_0)</f>
        <v>52.5</v>
      </c>
      <c r="U65" s="1"/>
      <c r="V65" s="5">
        <f t="shared" si="59"/>
        <v>2.058431620175845E-4</v>
      </c>
      <c r="W65" s="1"/>
      <c r="X65" s="1">
        <f t="shared" si="60"/>
        <v>-52.5</v>
      </c>
      <c r="Y65" s="1"/>
      <c r="Z65" s="5">
        <f t="shared" si="61"/>
        <v>-1</v>
      </c>
    </row>
    <row r="66" spans="1:26" s="23" customFormat="1" hidden="1" outlineLevel="2" x14ac:dyDescent="0.25">
      <c r="A66" s="25"/>
      <c r="B66" s="10" t="str">
        <f>CONCATENATE("          ", "6376", " - ", "TRAINING")</f>
        <v xml:space="preserve">          6376 - TRAINING</v>
      </c>
      <c r="C66" s="10"/>
      <c r="D66" s="6"/>
      <c r="E66" s="2"/>
      <c r="F66" s="7">
        <f t="shared" si="54"/>
        <v>0</v>
      </c>
      <c r="G66" s="2"/>
      <c r="H66" s="6"/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0"/>
      <c r="P66" s="6"/>
      <c r="Q66" s="2"/>
      <c r="R66" s="7">
        <f t="shared" si="58"/>
        <v>0</v>
      </c>
      <c r="S66" s="2"/>
      <c r="T66" s="6">
        <v>52.5</v>
      </c>
      <c r="U66" s="2"/>
      <c r="V66" s="7">
        <f t="shared" si="59"/>
        <v>2.058431620175845E-4</v>
      </c>
      <c r="W66" s="2"/>
      <c r="X66" s="6">
        <f t="shared" si="60"/>
        <v>-52.5</v>
      </c>
      <c r="Y66" s="2"/>
      <c r="Z66" s="7">
        <f t="shared" si="61"/>
        <v>-1</v>
      </c>
    </row>
    <row r="67" spans="1:26" s="60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collapsed="1" x14ac:dyDescent="0.25">
      <c r="A68" s="11"/>
      <c r="B68" s="28" t="s">
        <v>292</v>
      </c>
      <c r="C68" s="11"/>
      <c r="D68" s="4">
        <f>SUM(OSRRefD25x_0)</f>
        <v>0</v>
      </c>
      <c r="E68" s="4"/>
      <c r="F68" s="13">
        <f t="shared" ref="F68:F69" si="62">IF(D$12=0,0,D68/D$12)</f>
        <v>0</v>
      </c>
      <c r="G68" s="4"/>
      <c r="H68" s="4">
        <f>SUM(OSRRefH25x_0)</f>
        <v>0</v>
      </c>
      <c r="I68" s="4"/>
      <c r="J68" s="13">
        <f t="shared" ref="J68:J69" si="63">IF(H$12=0,0,H68/H$12)</f>
        <v>0</v>
      </c>
      <c r="K68" s="4"/>
      <c r="L68" s="4">
        <f t="shared" ref="L68:L69" si="64">+D68-H68</f>
        <v>0</v>
      </c>
      <c r="M68" s="4"/>
      <c r="N68" s="13">
        <f t="shared" ref="N68:N69" si="65">IF(H68=0,0,L68/H68)</f>
        <v>0</v>
      </c>
      <c r="O68" s="11"/>
      <c r="P68" s="4">
        <f>SUM(OSRRefP25x_0)</f>
        <v>0</v>
      </c>
      <c r="Q68" s="4"/>
      <c r="R68" s="13">
        <f t="shared" ref="R68:R69" si="66">IF(P$12=0,0,P68/P$12)</f>
        <v>0</v>
      </c>
      <c r="S68" s="4"/>
      <c r="T68" s="4">
        <f>SUM(OSRRefT25x_0)</f>
        <v>507</v>
      </c>
      <c r="U68" s="4"/>
      <c r="V68" s="13">
        <f t="shared" ref="V68:V69" si="67">IF(T$12=0,0,T68/T$12)</f>
        <v>1.9878568217698159E-3</v>
      </c>
      <c r="W68" s="4"/>
      <c r="X68" s="4">
        <f t="shared" ref="X68:X69" si="68">+P68-T68</f>
        <v>-507</v>
      </c>
      <c r="Y68" s="4"/>
      <c r="Z68" s="13">
        <f t="shared" ref="Z68:Z69" si="69">IF(T68=0,0,X68/T68)</f>
        <v>-1</v>
      </c>
    </row>
    <row r="69" spans="1:26" s="23" customFormat="1" hidden="1" outlineLevel="1" x14ac:dyDescent="0.25">
      <c r="A69" s="44"/>
      <c r="B69" s="10" t="str">
        <f>CONCATENATE("          ", "9150", " - ", "MISC. INCOME")</f>
        <v xml:space="preserve">          9150 - MISC. INCOME</v>
      </c>
      <c r="C69" s="10"/>
      <c r="D69" s="2">
        <f>0</f>
        <v>0</v>
      </c>
      <c r="E69" s="2"/>
      <c r="F69" s="19">
        <f t="shared" si="62"/>
        <v>0</v>
      </c>
      <c r="G69" s="2"/>
      <c r="H69" s="2">
        <f>0</f>
        <v>0</v>
      </c>
      <c r="I69" s="2"/>
      <c r="J69" s="19">
        <f t="shared" si="63"/>
        <v>0</v>
      </c>
      <c r="K69" s="2"/>
      <c r="L69" s="2">
        <f t="shared" si="64"/>
        <v>0</v>
      </c>
      <c r="M69" s="2"/>
      <c r="N69" s="19">
        <f t="shared" si="65"/>
        <v>0</v>
      </c>
      <c r="O69" s="10"/>
      <c r="P69" s="2">
        <f>0</f>
        <v>0</v>
      </c>
      <c r="Q69" s="2"/>
      <c r="R69" s="19">
        <f t="shared" si="66"/>
        <v>0</v>
      </c>
      <c r="S69" s="2"/>
      <c r="T69" s="2">
        <f>--507</f>
        <v>507</v>
      </c>
      <c r="U69" s="2"/>
      <c r="V69" s="19">
        <f t="shared" si="67"/>
        <v>1.9878568217698159E-3</v>
      </c>
      <c r="W69" s="2"/>
      <c r="X69" s="2">
        <f t="shared" si="68"/>
        <v>-507</v>
      </c>
      <c r="Y69" s="2"/>
      <c r="Z69" s="19">
        <f t="shared" si="69"/>
        <v>-1</v>
      </c>
    </row>
    <row r="70" spans="1:26" x14ac:dyDescent="0.25">
      <c r="A70" s="9"/>
      <c r="B70" s="11"/>
      <c r="C70" s="11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1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11"/>
      <c r="B71" s="29" t="s">
        <v>276</v>
      </c>
      <c r="C71" s="29"/>
      <c r="D71" s="22">
        <f>+D20-D22+D68</f>
        <v>-223.78</v>
      </c>
      <c r="E71" s="14"/>
      <c r="F71" s="20">
        <f>IF(D$12=0,0,D71/D$12)</f>
        <v>0</v>
      </c>
      <c r="G71" s="14"/>
      <c r="H71" s="22">
        <f>+H20-H22+H68</f>
        <v>-11747.189999999991</v>
      </c>
      <c r="I71" s="14"/>
      <c r="J71" s="20">
        <f>IF(H$12=0,0,H71/H$12)</f>
        <v>-0.74327993303185802</v>
      </c>
      <c r="K71" s="15"/>
      <c r="L71" s="22">
        <f>+D71-H71</f>
        <v>11523.409999999991</v>
      </c>
      <c r="M71" s="15"/>
      <c r="N71" s="20">
        <f>IF(H71=0,0,L71/H71)</f>
        <v>-0.98095033791059816</v>
      </c>
      <c r="O71" s="28"/>
      <c r="P71" s="22">
        <f>+P20-P22+P68</f>
        <v>-5187.3500000000004</v>
      </c>
      <c r="Q71" s="14"/>
      <c r="R71" s="20">
        <f>IF(P$12=0,0,P71/P$12)</f>
        <v>0</v>
      </c>
      <c r="S71" s="14"/>
      <c r="T71" s="22">
        <f>+T20-T22+T68</f>
        <v>-11428.370000000024</v>
      </c>
      <c r="U71" s="14"/>
      <c r="V71" s="20">
        <f>IF(T$12=0,0,T71/T$12)</f>
        <v>-4.4808606047750617E-2</v>
      </c>
      <c r="W71" s="15"/>
      <c r="X71" s="22">
        <f>+P71-T71</f>
        <v>6241.0200000000241</v>
      </c>
      <c r="Y71" s="15"/>
      <c r="Z71" s="20">
        <f>IF(T71=0,0,X71/T71)</f>
        <v>-0.54609887499267273</v>
      </c>
    </row>
    <row r="72" spans="1:26" x14ac:dyDescent="0.25">
      <c r="A72" s="9"/>
      <c r="B72" s="11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51"/>
      <c r="B73" s="11" t="s">
        <v>127</v>
      </c>
      <c r="C73" s="11"/>
      <c r="D73" s="4"/>
      <c r="E73" s="4"/>
      <c r="F73" s="13">
        <f>IF(D$12=0,0,D73/D$12)</f>
        <v>0</v>
      </c>
      <c r="G73" s="4"/>
      <c r="H73" s="4">
        <v>2945.37</v>
      </c>
      <c r="I73" s="4"/>
      <c r="J73" s="13">
        <f>IF(H$12=0,0,H73/H$12)</f>
        <v>0.18636239103598776</v>
      </c>
      <c r="K73" s="4"/>
      <c r="L73" s="4">
        <f>+D73-H73</f>
        <v>-2945.37</v>
      </c>
      <c r="M73" s="4"/>
      <c r="N73" s="13">
        <f>IF(H73=0,0,L73/H73)</f>
        <v>-1</v>
      </c>
      <c r="O73" s="11"/>
      <c r="P73" s="4"/>
      <c r="Q73" s="4"/>
      <c r="R73" s="13">
        <f>IF(P$12=0,0,P73/P$12)</f>
        <v>0</v>
      </c>
      <c r="S73" s="4"/>
      <c r="T73" s="4">
        <v>27329.07</v>
      </c>
      <c r="U73" s="4"/>
      <c r="V73" s="13">
        <f>IF(T$12=0,0,T73/T$12)</f>
        <v>0.10715242254856967</v>
      </c>
      <c r="W73" s="4"/>
      <c r="X73" s="4">
        <f>+P73-T73</f>
        <v>-27329.07</v>
      </c>
      <c r="Y73" s="4"/>
      <c r="Z73" s="13">
        <f>IF(T73=0,0,X73/T73)</f>
        <v>-1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9" t="s">
        <v>125</v>
      </c>
      <c r="C75" s="29"/>
      <c r="D75" s="30">
        <f>+D71-D73</f>
        <v>-223.78</v>
      </c>
      <c r="E75" s="14"/>
      <c r="F75" s="36">
        <f>IF(D$12=0,0,D75/D$12)</f>
        <v>0</v>
      </c>
      <c r="G75" s="14"/>
      <c r="H75" s="30">
        <f>+H71-H73</f>
        <v>-14692.55999999999</v>
      </c>
      <c r="I75" s="14"/>
      <c r="J75" s="36">
        <f>IF(H$12=0,0,H75/H$12)</f>
        <v>-0.92964232406784575</v>
      </c>
      <c r="K75" s="15"/>
      <c r="L75" s="30">
        <f>D75-H75</f>
        <v>14468.77999999999</v>
      </c>
      <c r="M75" s="15"/>
      <c r="N75" s="36">
        <f>IF(H75=0,0,L75/H75)</f>
        <v>-0.98476916207931087</v>
      </c>
      <c r="O75" s="28"/>
      <c r="P75" s="30">
        <f>+P71-P73</f>
        <v>-5187.3500000000004</v>
      </c>
      <c r="Q75" s="14"/>
      <c r="R75" s="36">
        <f>IF(P$12=0,0,P75/P$12)</f>
        <v>0</v>
      </c>
      <c r="S75" s="14"/>
      <c r="T75" s="30">
        <f>+T71-T73</f>
        <v>-38757.440000000024</v>
      </c>
      <c r="U75" s="14"/>
      <c r="V75" s="36">
        <f>IF(T$12=0,0,T75/T$12)</f>
        <v>-0.1519610285963203</v>
      </c>
      <c r="W75" s="15"/>
      <c r="X75" s="30">
        <f>P75-T75</f>
        <v>33570.090000000026</v>
      </c>
      <c r="Y75" s="15"/>
      <c r="Z75" s="36">
        <f>IF(T75=0,0,X75/T75)</f>
        <v>-0.86615860077445783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9" t="s">
        <v>293</v>
      </c>
      <c r="C78" s="29"/>
      <c r="D78" s="35">
        <f>SUM(D75:D77)</f>
        <v>-223.78</v>
      </c>
      <c r="E78" s="14"/>
      <c r="F78" s="34">
        <f>IF(D$12=0,0,D78/D$12)</f>
        <v>0</v>
      </c>
      <c r="G78" s="14"/>
      <c r="H78" s="35">
        <f>SUM(H75:H77)</f>
        <v>-14692.55999999999</v>
      </c>
      <c r="I78" s="14"/>
      <c r="J78" s="34">
        <f>IF(H$12=0,0,H78/H$12)</f>
        <v>-0.92964232406784575</v>
      </c>
      <c r="K78" s="15"/>
      <c r="L78" s="35">
        <f>+D78-H78</f>
        <v>14468.77999999999</v>
      </c>
      <c r="M78" s="15"/>
      <c r="N78" s="34">
        <f>IF(H78=0,0,L78/H78)</f>
        <v>-0.98476916207931087</v>
      </c>
      <c r="O78" s="28"/>
      <c r="P78" s="35">
        <f>SUM(P75:P77)</f>
        <v>-5187.3500000000004</v>
      </c>
      <c r="Q78" s="14"/>
      <c r="R78" s="34">
        <f>IF(P$12=0,0,P78/P$12)</f>
        <v>0</v>
      </c>
      <c r="S78" s="14"/>
      <c r="T78" s="35">
        <f>SUM(T75:T77)</f>
        <v>-38757.440000000024</v>
      </c>
      <c r="U78" s="14"/>
      <c r="V78" s="34">
        <f>IF(T$12=0,0,T78/T$12)</f>
        <v>-0.1519610285963203</v>
      </c>
      <c r="W78" s="15"/>
      <c r="X78" s="35">
        <f>+P78-T78</f>
        <v>33570.090000000026</v>
      </c>
      <c r="Y78" s="15"/>
      <c r="Z78" s="34">
        <f>IF(T78=0,0,X78/T78)</f>
        <v>-0.86615860077445783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4">
        <v>44295.963243634258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8" t="s">
        <v>56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2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","414", " - ", "Starbucks UDP")</f>
        <v>Department 414 - Starbucks UDP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39566.22</v>
      </c>
      <c r="I12" s="4"/>
      <c r="J12" s="13"/>
      <c r="K12" s="4"/>
      <c r="L12" s="4">
        <f t="shared" ref="L12:L14" si="0">+D12-H12</f>
        <v>-39566.22</v>
      </c>
      <c r="M12" s="4"/>
      <c r="N12" s="13">
        <f t="shared" ref="N12:N14" si="1">IF(H12=0,0,L12/H12)</f>
        <v>-1</v>
      </c>
      <c r="O12" s="11"/>
      <c r="P12" s="4">
        <f>SUM(OSRRefP13x_0)</f>
        <v>974.91</v>
      </c>
      <c r="Q12" s="4"/>
      <c r="R12" s="13"/>
      <c r="S12" s="4"/>
      <c r="T12" s="4">
        <f>SUM(OSRRefT13x_0)</f>
        <v>591931.24</v>
      </c>
      <c r="U12" s="4"/>
      <c r="V12" s="13"/>
      <c r="W12" s="4"/>
      <c r="X12" s="4">
        <f t="shared" ref="X12:X14" si="2">+P12-T12</f>
        <v>-590956.32999999996</v>
      </c>
      <c r="Y12" s="4"/>
      <c r="Z12" s="13">
        <f t="shared" ref="Z12:Z14" si="3">IF(T12=0,0,X12/T12)</f>
        <v>-0.99835300127089077</v>
      </c>
    </row>
    <row r="13" spans="1:26" s="23" customFormat="1" hidden="1" outlineLevel="1" x14ac:dyDescent="0.25">
      <c r="A13" s="44"/>
      <c r="B13" s="10" t="str">
        <f>CONCATENATE("          ", "4058", " - ", "TAXABLE SALES-FOOD")</f>
        <v xml:space="preserve">          4058 - TAXABLE SALES-FOOD</v>
      </c>
      <c r="C13" s="10"/>
      <c r="D13" s="2">
        <f t="shared" ref="D13:D14" si="4">0</f>
        <v>0</v>
      </c>
      <c r="E13" s="2"/>
      <c r="F13" s="19"/>
      <c r="G13" s="2"/>
      <c r="H13" s="2">
        <f>--6106.33</f>
        <v>6106.33</v>
      </c>
      <c r="I13" s="2"/>
      <c r="J13" s="19"/>
      <c r="K13" s="2"/>
      <c r="L13" s="2">
        <f t="shared" si="0"/>
        <v>-6106.33</v>
      </c>
      <c r="M13" s="2"/>
      <c r="N13" s="19">
        <f t="shared" si="1"/>
        <v>-1</v>
      </c>
      <c r="O13" s="10"/>
      <c r="P13" s="2">
        <f>--974.91</f>
        <v>974.91</v>
      </c>
      <c r="Q13" s="2"/>
      <c r="R13" s="19"/>
      <c r="S13" s="2"/>
      <c r="T13" s="2">
        <f>--117077.57</f>
        <v>117077.57</v>
      </c>
      <c r="U13" s="2"/>
      <c r="V13" s="19"/>
      <c r="W13" s="2"/>
      <c r="X13" s="2">
        <f t="shared" si="2"/>
        <v>-116102.66</v>
      </c>
      <c r="Y13" s="2"/>
      <c r="Z13" s="19">
        <f t="shared" si="3"/>
        <v>-0.99167295665600164</v>
      </c>
    </row>
    <row r="14" spans="1:26" s="23" customFormat="1" hidden="1" outlineLevel="1" x14ac:dyDescent="0.25">
      <c r="A14" s="44"/>
      <c r="B14" s="10" t="str">
        <f>CONCATENATE("          ", "4158", " - ", "NON-TAXABLE SALES-FOOD")</f>
        <v xml:space="preserve">          4158 - NON-TAXABLE SALES-FOOD</v>
      </c>
      <c r="C14" s="10"/>
      <c r="D14" s="2">
        <f t="shared" si="4"/>
        <v>0</v>
      </c>
      <c r="E14" s="2"/>
      <c r="F14" s="19"/>
      <c r="G14" s="2"/>
      <c r="H14" s="2">
        <f>--33459.89</f>
        <v>33459.89</v>
      </c>
      <c r="I14" s="2"/>
      <c r="J14" s="19"/>
      <c r="K14" s="2"/>
      <c r="L14" s="2">
        <f t="shared" si="0"/>
        <v>-33459.89</v>
      </c>
      <c r="M14" s="2"/>
      <c r="N14" s="19">
        <f t="shared" si="1"/>
        <v>-1</v>
      </c>
      <c r="O14" s="10"/>
      <c r="P14" s="2">
        <f>0</f>
        <v>0</v>
      </c>
      <c r="Q14" s="2"/>
      <c r="R14" s="19"/>
      <c r="S14" s="2"/>
      <c r="T14" s="2">
        <f>--474853.67</f>
        <v>474853.67</v>
      </c>
      <c r="U14" s="2"/>
      <c r="V14" s="19"/>
      <c r="W14" s="2"/>
      <c r="X14" s="2">
        <f t="shared" si="2"/>
        <v>-474853.67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5">IF(D$12=0,0,D16/D$12)</f>
        <v>0</v>
      </c>
      <c r="G16" s="4"/>
      <c r="H16" s="4">
        <f>SUM(OSRRefH16x_0)</f>
        <v>12899.15</v>
      </c>
      <c r="I16" s="4"/>
      <c r="J16" s="13">
        <f t="shared" ref="J16:J18" si="6">IF(H$12=0,0,H16/H$12)</f>
        <v>0.32601421111240847</v>
      </c>
      <c r="K16" s="4"/>
      <c r="L16" s="4">
        <f t="shared" ref="L16:L18" si="7">+D16-H16</f>
        <v>-12899.15</v>
      </c>
      <c r="M16" s="4"/>
      <c r="N16" s="13">
        <f t="shared" ref="N16:N18" si="8">IF(H16=0,0,L16/H16)</f>
        <v>-1</v>
      </c>
      <c r="O16" s="11"/>
      <c r="P16" s="4">
        <f>SUM(OSRRefP16x_0)</f>
        <v>-2369.56</v>
      </c>
      <c r="Q16" s="4"/>
      <c r="R16" s="13">
        <f t="shared" ref="R16:R18" si="9">IF(P$12=0,0,P16/P$12)</f>
        <v>-2.4305423064693152</v>
      </c>
      <c r="S16" s="4"/>
      <c r="T16" s="4">
        <f>SUM(OSRRefT16x_0)</f>
        <v>198437.77</v>
      </c>
      <c r="U16" s="4"/>
      <c r="V16" s="13">
        <f t="shared" ref="V16:V18" si="10">IF(T$12=0,0,T16/T$12)</f>
        <v>0.33523787323676307</v>
      </c>
      <c r="W16" s="4"/>
      <c r="X16" s="4">
        <f t="shared" ref="X16:X18" si="11">+P16-T16</f>
        <v>-200807.33</v>
      </c>
      <c r="Y16" s="4"/>
      <c r="Z16" s="13">
        <f t="shared" ref="Z16:Z18" si="12">IF(T16=0,0,X16/T16)</f>
        <v>-1.0119410735163976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5"/>
        <v>0</v>
      </c>
      <c r="G17" s="2"/>
      <c r="H17" s="2">
        <v>15570.15</v>
      </c>
      <c r="I17" s="2"/>
      <c r="J17" s="19">
        <f t="shared" si="6"/>
        <v>0.39352129164726879</v>
      </c>
      <c r="K17" s="2"/>
      <c r="L17" s="2">
        <f t="shared" si="7"/>
        <v>-15570.15</v>
      </c>
      <c r="M17" s="2"/>
      <c r="N17" s="19">
        <f t="shared" si="8"/>
        <v>-1</v>
      </c>
      <c r="O17" s="10"/>
      <c r="P17" s="2">
        <v>-2369.56</v>
      </c>
      <c r="Q17" s="2"/>
      <c r="R17" s="19">
        <f t="shared" si="9"/>
        <v>-2.4305423064693152</v>
      </c>
      <c r="S17" s="2"/>
      <c r="T17" s="2">
        <v>197326.77</v>
      </c>
      <c r="U17" s="2"/>
      <c r="V17" s="19">
        <f t="shared" si="10"/>
        <v>0.33336096604734022</v>
      </c>
      <c r="W17" s="2"/>
      <c r="X17" s="2">
        <f t="shared" si="11"/>
        <v>-199696.33</v>
      </c>
      <c r="Y17" s="2"/>
      <c r="Z17" s="19">
        <f t="shared" si="12"/>
        <v>-1.012008304803246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5"/>
        <v>0</v>
      </c>
      <c r="G18" s="2"/>
      <c r="H18" s="2">
        <v>-2671</v>
      </c>
      <c r="I18" s="2"/>
      <c r="J18" s="19">
        <f t="shared" si="6"/>
        <v>-6.7507080534860292E-2</v>
      </c>
      <c r="K18" s="2"/>
      <c r="L18" s="2">
        <f t="shared" si="7"/>
        <v>2671</v>
      </c>
      <c r="M18" s="2"/>
      <c r="N18" s="19">
        <f t="shared" si="8"/>
        <v>-1</v>
      </c>
      <c r="O18" s="10"/>
      <c r="P18" s="2"/>
      <c r="Q18" s="2"/>
      <c r="R18" s="19">
        <f t="shared" si="9"/>
        <v>0</v>
      </c>
      <c r="S18" s="2"/>
      <c r="T18" s="2">
        <v>1111</v>
      </c>
      <c r="U18" s="2"/>
      <c r="V18" s="19">
        <f t="shared" si="10"/>
        <v>1.8769071894228796E-3</v>
      </c>
      <c r="W18" s="2"/>
      <c r="X18" s="2">
        <f t="shared" si="11"/>
        <v>-1111</v>
      </c>
      <c r="Y18" s="2"/>
      <c r="Z18" s="19">
        <f t="shared" si="12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26667.07</v>
      </c>
      <c r="I20" s="14"/>
      <c r="J20" s="20">
        <f>IF(H$12=0,0,H20/H$12)</f>
        <v>0.67398578888759142</v>
      </c>
      <c r="K20" s="15"/>
      <c r="L20" s="22">
        <f>+D20-H20</f>
        <v>-26667.07</v>
      </c>
      <c r="M20" s="15"/>
      <c r="N20" s="20">
        <f>IF(H20=0,0,L20/H20)</f>
        <v>-1</v>
      </c>
      <c r="O20" s="28"/>
      <c r="P20" s="22">
        <f>P12-P16</f>
        <v>3344.47</v>
      </c>
      <c r="Q20" s="14"/>
      <c r="R20" s="20">
        <f>IF(P$12=0,0,P20/P$12)</f>
        <v>3.4305423064693152</v>
      </c>
      <c r="S20" s="14"/>
      <c r="T20" s="22">
        <f>T12-T16</f>
        <v>393493.47</v>
      </c>
      <c r="U20" s="14"/>
      <c r="V20" s="20">
        <f>IF(T$12=0,0,T20/T$12)</f>
        <v>0.66476212676323687</v>
      </c>
      <c r="W20" s="15"/>
      <c r="X20" s="22">
        <f>+P20-T20</f>
        <v>-390149</v>
      </c>
      <c r="Y20" s="15"/>
      <c r="Z20" s="20">
        <f>IF(T20=0,0,X20/T20)</f>
        <v>-0.99150057051772689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1954.84</v>
      </c>
      <c r="E22" s="21"/>
      <c r="F22" s="31">
        <f t="shared" ref="F22:F31" si="13">IF(D$12=0,0,D22/D$12)</f>
        <v>0</v>
      </c>
      <c r="G22" s="21"/>
      <c r="H22" s="21">
        <f>SUM(OSRRefH22x_0)</f>
        <v>38162.920000000013</v>
      </c>
      <c r="I22" s="21"/>
      <c r="J22" s="31">
        <f t="shared" ref="J22:J31" si="14">IF(H$12=0,0,H22/H$12)</f>
        <v>0.96453287678226562</v>
      </c>
      <c r="K22" s="4"/>
      <c r="L22" s="21">
        <f t="shared" ref="L22:L31" si="15">+D22-H22</f>
        <v>-36208.080000000016</v>
      </c>
      <c r="M22" s="4"/>
      <c r="N22" s="31">
        <f t="shared" ref="N22:N31" si="16">IF(H22=0,0,L22/H22)</f>
        <v>-0.94877645630889895</v>
      </c>
      <c r="O22" s="11"/>
      <c r="P22" s="21">
        <f>SUM(OSRRefP22x_0)</f>
        <v>18092.09</v>
      </c>
      <c r="Q22" s="21"/>
      <c r="R22" s="31">
        <f t="shared" ref="R22:R31" si="17">IF(P$12=0,0,P22/P$12)</f>
        <v>18.557702762306263</v>
      </c>
      <c r="S22" s="21"/>
      <c r="T22" s="21">
        <f>SUM(OSRRefT22x_0)</f>
        <v>321914.24999999994</v>
      </c>
      <c r="U22" s="21"/>
      <c r="V22" s="31">
        <f t="shared" ref="V22:V31" si="18">IF(T$12=0,0,T22/T$12)</f>
        <v>0.54383723690609731</v>
      </c>
      <c r="W22" s="4"/>
      <c r="X22" s="21">
        <f t="shared" ref="X22:X31" si="19">+P22-T22</f>
        <v>-303822.15999999992</v>
      </c>
      <c r="Y22" s="4"/>
      <c r="Z22" s="31">
        <f t="shared" ref="Z22:Z31" si="20">IF(T22=0,0,X22/T22)</f>
        <v>-0.94379841836762424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3544.61</v>
      </c>
      <c r="I23" s="1"/>
      <c r="J23" s="5">
        <f t="shared" si="14"/>
        <v>8.9586773768128472E-2</v>
      </c>
      <c r="K23" s="1"/>
      <c r="L23" s="1">
        <f t="shared" si="15"/>
        <v>-3544.61</v>
      </c>
      <c r="M23" s="1"/>
      <c r="N23" s="5">
        <f t="shared" si="16"/>
        <v>-1</v>
      </c>
      <c r="O23" s="12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25447.790000000005</v>
      </c>
      <c r="U23" s="1"/>
      <c r="V23" s="5">
        <f t="shared" si="18"/>
        <v>4.2991125117843088E-2</v>
      </c>
      <c r="W23" s="1"/>
      <c r="X23" s="1">
        <f t="shared" si="19"/>
        <v>-24745.280000000006</v>
      </c>
      <c r="Y23" s="1"/>
      <c r="Z23" s="5">
        <f t="shared" si="20"/>
        <v>-0.97239406643956128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3"/>
        <v>0</v>
      </c>
      <c r="G24" s="2"/>
      <c r="H24" s="6">
        <v>780.71</v>
      </c>
      <c r="I24" s="2"/>
      <c r="J24" s="7">
        <f t="shared" si="14"/>
        <v>1.9731730754163526E-2</v>
      </c>
      <c r="K24" s="2"/>
      <c r="L24" s="6">
        <f t="shared" si="15"/>
        <v>-780.71</v>
      </c>
      <c r="M24" s="2"/>
      <c r="N24" s="7">
        <f t="shared" si="16"/>
        <v>-1</v>
      </c>
      <c r="O24" s="10"/>
      <c r="P24" s="6"/>
      <c r="Q24" s="2"/>
      <c r="R24" s="7">
        <f t="shared" si="17"/>
        <v>0</v>
      </c>
      <c r="S24" s="2"/>
      <c r="T24" s="6">
        <v>5786.12</v>
      </c>
      <c r="U24" s="2"/>
      <c r="V24" s="7">
        <f t="shared" si="18"/>
        <v>9.7749867028474463E-3</v>
      </c>
      <c r="W24" s="2"/>
      <c r="X24" s="6">
        <f t="shared" si="19"/>
        <v>-5786.12</v>
      </c>
      <c r="Y24" s="2"/>
      <c r="Z24" s="7">
        <f t="shared" si="20"/>
        <v>-1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3"/>
        <v>0</v>
      </c>
      <c r="G25" s="2"/>
      <c r="H25" s="6">
        <v>970.65</v>
      </c>
      <c r="I25" s="2"/>
      <c r="J25" s="7">
        <f t="shared" si="14"/>
        <v>2.4532290423497617E-2</v>
      </c>
      <c r="K25" s="2"/>
      <c r="L25" s="6">
        <f t="shared" si="15"/>
        <v>-970.65</v>
      </c>
      <c r="M25" s="2"/>
      <c r="N25" s="7">
        <f t="shared" si="16"/>
        <v>-1</v>
      </c>
      <c r="O25" s="10"/>
      <c r="P25" s="6"/>
      <c r="Q25" s="2"/>
      <c r="R25" s="7">
        <f t="shared" si="17"/>
        <v>0</v>
      </c>
      <c r="S25" s="2"/>
      <c r="T25" s="6">
        <v>5805.12</v>
      </c>
      <c r="U25" s="2"/>
      <c r="V25" s="7">
        <f t="shared" si="18"/>
        <v>9.8070850256188544E-3</v>
      </c>
      <c r="W25" s="2"/>
      <c r="X25" s="6">
        <f t="shared" si="19"/>
        <v>-5805.12</v>
      </c>
      <c r="Y25" s="2"/>
      <c r="Z25" s="7">
        <f t="shared" si="20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3"/>
        <v>0</v>
      </c>
      <c r="G26" s="2"/>
      <c r="H26" s="6">
        <v>1033.82</v>
      </c>
      <c r="I26" s="2"/>
      <c r="J26" s="7">
        <f t="shared" si="14"/>
        <v>2.6128854361119155E-2</v>
      </c>
      <c r="K26" s="2"/>
      <c r="L26" s="6">
        <f t="shared" si="15"/>
        <v>-1033.82</v>
      </c>
      <c r="M26" s="2"/>
      <c r="N26" s="7">
        <f t="shared" si="16"/>
        <v>-1</v>
      </c>
      <c r="O26" s="10"/>
      <c r="P26" s="6">
        <v>702.51</v>
      </c>
      <c r="Q26" s="2"/>
      <c r="R26" s="7">
        <f t="shared" si="17"/>
        <v>0.72058959288549718</v>
      </c>
      <c r="S26" s="2"/>
      <c r="T26" s="6">
        <v>7003.8</v>
      </c>
      <c r="U26" s="2"/>
      <c r="V26" s="7">
        <f t="shared" si="18"/>
        <v>1.1832117527704739E-2</v>
      </c>
      <c r="W26" s="2"/>
      <c r="X26" s="6">
        <f t="shared" si="19"/>
        <v>-6301.29</v>
      </c>
      <c r="Y26" s="2"/>
      <c r="Z26" s="7">
        <f t="shared" si="20"/>
        <v>-0.89969587937976525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3"/>
        <v>0</v>
      </c>
      <c r="G27" s="2"/>
      <c r="H27" s="6">
        <v>65.040000000000006</v>
      </c>
      <c r="I27" s="2"/>
      <c r="J27" s="7">
        <f t="shared" si="14"/>
        <v>1.643826476221383E-3</v>
      </c>
      <c r="K27" s="2"/>
      <c r="L27" s="6">
        <f t="shared" si="15"/>
        <v>-65.040000000000006</v>
      </c>
      <c r="M27" s="2"/>
      <c r="N27" s="7">
        <f t="shared" si="16"/>
        <v>-1</v>
      </c>
      <c r="O27" s="10"/>
      <c r="P27" s="6"/>
      <c r="Q27" s="2"/>
      <c r="R27" s="7">
        <f t="shared" si="17"/>
        <v>0</v>
      </c>
      <c r="S27" s="2"/>
      <c r="T27" s="6">
        <v>473.14</v>
      </c>
      <c r="U27" s="2"/>
      <c r="V27" s="7">
        <f t="shared" si="18"/>
        <v>7.9931581242442958E-4</v>
      </c>
      <c r="W27" s="2"/>
      <c r="X27" s="6">
        <f t="shared" si="19"/>
        <v>-473.14</v>
      </c>
      <c r="Y27" s="2"/>
      <c r="Z27" s="7">
        <f t="shared" si="20"/>
        <v>-1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3"/>
        <v>0</v>
      </c>
      <c r="G28" s="2"/>
      <c r="H28" s="6">
        <v>203.4</v>
      </c>
      <c r="I28" s="2"/>
      <c r="J28" s="7">
        <f t="shared" si="14"/>
        <v>5.1407488509137341E-3</v>
      </c>
      <c r="K28" s="2"/>
      <c r="L28" s="6">
        <f t="shared" si="15"/>
        <v>-203.4</v>
      </c>
      <c r="M28" s="2"/>
      <c r="N28" s="7">
        <f t="shared" si="16"/>
        <v>-1</v>
      </c>
      <c r="O28" s="10"/>
      <c r="P28" s="6"/>
      <c r="Q28" s="2"/>
      <c r="R28" s="7">
        <f t="shared" si="17"/>
        <v>0</v>
      </c>
      <c r="S28" s="2"/>
      <c r="T28" s="6">
        <v>711.9</v>
      </c>
      <c r="U28" s="2"/>
      <c r="V28" s="7">
        <f t="shared" si="18"/>
        <v>1.2026734726824015E-3</v>
      </c>
      <c r="W28" s="2"/>
      <c r="X28" s="6">
        <f t="shared" si="19"/>
        <v>-711.9</v>
      </c>
      <c r="Y28" s="2"/>
      <c r="Z28" s="7">
        <f t="shared" si="20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3"/>
        <v>0</v>
      </c>
      <c r="G29" s="2"/>
      <c r="H29" s="6">
        <v>192.5</v>
      </c>
      <c r="I29" s="2"/>
      <c r="J29" s="7">
        <f t="shared" si="14"/>
        <v>4.8652613264547383E-3</v>
      </c>
      <c r="K29" s="2"/>
      <c r="L29" s="6">
        <f t="shared" si="15"/>
        <v>-192.5</v>
      </c>
      <c r="M29" s="2"/>
      <c r="N29" s="7">
        <f t="shared" si="16"/>
        <v>-1</v>
      </c>
      <c r="O29" s="10"/>
      <c r="P29" s="6"/>
      <c r="Q29" s="2"/>
      <c r="R29" s="7">
        <f t="shared" si="17"/>
        <v>0</v>
      </c>
      <c r="S29" s="2"/>
      <c r="T29" s="6">
        <v>1940.86</v>
      </c>
      <c r="U29" s="2"/>
      <c r="V29" s="7">
        <f t="shared" si="18"/>
        <v>3.2788605649534562E-3</v>
      </c>
      <c r="W29" s="2"/>
      <c r="X29" s="6">
        <f t="shared" si="19"/>
        <v>-1940.86</v>
      </c>
      <c r="Y29" s="2"/>
      <c r="Z29" s="7">
        <f t="shared" si="20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3"/>
        <v>0</v>
      </c>
      <c r="G30" s="2"/>
      <c r="H30" s="6">
        <v>230.62</v>
      </c>
      <c r="I30" s="2"/>
      <c r="J30" s="7">
        <f t="shared" si="14"/>
        <v>5.8287094395168401E-3</v>
      </c>
      <c r="K30" s="2"/>
      <c r="L30" s="6">
        <f t="shared" si="15"/>
        <v>-230.62</v>
      </c>
      <c r="M30" s="2"/>
      <c r="N30" s="7">
        <f t="shared" si="16"/>
        <v>-1</v>
      </c>
      <c r="O30" s="10"/>
      <c r="P30" s="6"/>
      <c r="Q30" s="2"/>
      <c r="R30" s="7">
        <f t="shared" si="17"/>
        <v>0</v>
      </c>
      <c r="S30" s="2"/>
      <c r="T30" s="6">
        <v>2325.1999999999998</v>
      </c>
      <c r="U30" s="2"/>
      <c r="V30" s="7">
        <f t="shared" si="18"/>
        <v>3.9281589530567769E-3</v>
      </c>
      <c r="W30" s="2"/>
      <c r="X30" s="6">
        <f t="shared" si="19"/>
        <v>-2325.1999999999998</v>
      </c>
      <c r="Y30" s="2"/>
      <c r="Z30" s="7">
        <f t="shared" si="20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3"/>
        <v>0</v>
      </c>
      <c r="G31" s="2"/>
      <c r="H31" s="6">
        <v>67.87</v>
      </c>
      <c r="I31" s="2"/>
      <c r="J31" s="7">
        <f t="shared" si="14"/>
        <v>1.7153521362414706E-3</v>
      </c>
      <c r="K31" s="2"/>
      <c r="L31" s="6">
        <f t="shared" si="15"/>
        <v>-67.87</v>
      </c>
      <c r="M31" s="2"/>
      <c r="N31" s="7">
        <f t="shared" si="16"/>
        <v>-1</v>
      </c>
      <c r="O31" s="10"/>
      <c r="P31" s="6"/>
      <c r="Q31" s="2"/>
      <c r="R31" s="7">
        <f t="shared" si="17"/>
        <v>0</v>
      </c>
      <c r="S31" s="2"/>
      <c r="T31" s="6">
        <v>1401.65</v>
      </c>
      <c r="U31" s="2"/>
      <c r="V31" s="7">
        <f t="shared" si="18"/>
        <v>2.367927058554977E-3</v>
      </c>
      <c r="W31" s="2"/>
      <c r="X31" s="6">
        <f t="shared" si="19"/>
        <v>-1401.65</v>
      </c>
      <c r="Y31" s="2"/>
      <c r="Z31" s="7">
        <f t="shared" si="20"/>
        <v>-1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1">IF(D$12=0,0,D32/D$12)</f>
        <v>0</v>
      </c>
      <c r="G32" s="1"/>
      <c r="H32" s="1">
        <f>SUM(OSRRefH22_1x_0)</f>
        <v>26258.250000000004</v>
      </c>
      <c r="I32" s="1"/>
      <c r="J32" s="5">
        <f t="shared" ref="J32:J38" si="22">IF(H$12=0,0,H32/H$12)</f>
        <v>0.66365323753444239</v>
      </c>
      <c r="K32" s="1"/>
      <c r="L32" s="1">
        <f t="shared" ref="L32:L38" si="23">+D32-H32</f>
        <v>-26258.250000000004</v>
      </c>
      <c r="M32" s="1"/>
      <c r="N32" s="5">
        <f t="shared" ref="N32:N38" si="24">IF(H32=0,0,L32/H32)</f>
        <v>-1</v>
      </c>
      <c r="O32" s="12"/>
      <c r="P32" s="1">
        <f>SUM(OSRRefP22_1x_0)</f>
        <v>0</v>
      </c>
      <c r="Q32" s="1"/>
      <c r="R32" s="5">
        <f t="shared" ref="R32:R38" si="25">IF(P$12=0,0,P32/P$12)</f>
        <v>0</v>
      </c>
      <c r="S32" s="1"/>
      <c r="T32" s="1">
        <f>SUM(OSRRefT22_1x_0)</f>
        <v>186432.16000000003</v>
      </c>
      <c r="U32" s="1"/>
      <c r="V32" s="5">
        <f t="shared" ref="V32:V38" si="26">IF(T$12=0,0,T32/T$12)</f>
        <v>0.31495577087636062</v>
      </c>
      <c r="W32" s="1"/>
      <c r="X32" s="1">
        <f t="shared" ref="X32:X38" si="27">+P32-T32</f>
        <v>-186432.16000000003</v>
      </c>
      <c r="Y32" s="1"/>
      <c r="Z32" s="5">
        <f t="shared" ref="Z32:Z38" si="28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1"/>
        <v>0</v>
      </c>
      <c r="G33" s="2"/>
      <c r="H33" s="6">
        <v>3931.11</v>
      </c>
      <c r="I33" s="2"/>
      <c r="J33" s="7">
        <f t="shared" si="22"/>
        <v>9.935520754825708E-2</v>
      </c>
      <c r="K33" s="2"/>
      <c r="L33" s="6">
        <f t="shared" si="23"/>
        <v>-3931.11</v>
      </c>
      <c r="M33" s="2"/>
      <c r="N33" s="7">
        <f t="shared" si="24"/>
        <v>-1</v>
      </c>
      <c r="O33" s="10"/>
      <c r="P33" s="6"/>
      <c r="Q33" s="2"/>
      <c r="R33" s="7">
        <f t="shared" si="25"/>
        <v>0</v>
      </c>
      <c r="S33" s="2"/>
      <c r="T33" s="6">
        <v>9754.9500000000007</v>
      </c>
      <c r="U33" s="2"/>
      <c r="V33" s="7">
        <f t="shared" si="26"/>
        <v>1.6479870195734221E-2</v>
      </c>
      <c r="W33" s="2"/>
      <c r="X33" s="6">
        <f t="shared" si="27"/>
        <v>-9754.9500000000007</v>
      </c>
      <c r="Y33" s="2"/>
      <c r="Z33" s="7">
        <f t="shared" si="28"/>
        <v>-1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1"/>
        <v>0</v>
      </c>
      <c r="G34" s="2"/>
      <c r="H34" s="6">
        <v>4998.91</v>
      </c>
      <c r="I34" s="2"/>
      <c r="J34" s="7">
        <f t="shared" si="22"/>
        <v>0.12634287531131352</v>
      </c>
      <c r="K34" s="2"/>
      <c r="L34" s="6">
        <f t="shared" si="23"/>
        <v>-4998.91</v>
      </c>
      <c r="M34" s="2"/>
      <c r="N34" s="7">
        <f t="shared" si="24"/>
        <v>-1</v>
      </c>
      <c r="O34" s="10"/>
      <c r="P34" s="6"/>
      <c r="Q34" s="2"/>
      <c r="R34" s="7">
        <f t="shared" si="25"/>
        <v>0</v>
      </c>
      <c r="S34" s="2"/>
      <c r="T34" s="6">
        <v>51112.35</v>
      </c>
      <c r="U34" s="2"/>
      <c r="V34" s="7">
        <f t="shared" si="26"/>
        <v>8.634845831079975E-2</v>
      </c>
      <c r="W34" s="2"/>
      <c r="X34" s="6">
        <f t="shared" si="27"/>
        <v>-51112.35</v>
      </c>
      <c r="Y34" s="2"/>
      <c r="Z34" s="7">
        <f t="shared" si="28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1"/>
        <v>0</v>
      </c>
      <c r="G35" s="2"/>
      <c r="H35" s="6"/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0"/>
      <c r="P35" s="6"/>
      <c r="Q35" s="2"/>
      <c r="R35" s="7">
        <f t="shared" si="25"/>
        <v>0</v>
      </c>
      <c r="S35" s="2"/>
      <c r="T35" s="6">
        <v>1997.5</v>
      </c>
      <c r="U35" s="2"/>
      <c r="V35" s="7">
        <f t="shared" si="26"/>
        <v>3.3745473545204337E-3</v>
      </c>
      <c r="W35" s="2"/>
      <c r="X35" s="6">
        <f t="shared" si="27"/>
        <v>-1997.5</v>
      </c>
      <c r="Y35" s="2"/>
      <c r="Z35" s="7">
        <f t="shared" si="28"/>
        <v>-1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0"/>
      <c r="P36" s="6"/>
      <c r="Q36" s="2"/>
      <c r="R36" s="7">
        <f t="shared" si="25"/>
        <v>0</v>
      </c>
      <c r="S36" s="2"/>
      <c r="T36" s="6">
        <v>29.25</v>
      </c>
      <c r="U36" s="2"/>
      <c r="V36" s="7">
        <f t="shared" si="26"/>
        <v>4.9414523213878695E-5</v>
      </c>
      <c r="W36" s="2"/>
      <c r="X36" s="6">
        <f t="shared" si="27"/>
        <v>-29.25</v>
      </c>
      <c r="Y36" s="2"/>
      <c r="Z36" s="7">
        <f t="shared" si="28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1"/>
        <v>0</v>
      </c>
      <c r="G37" s="2"/>
      <c r="H37" s="6">
        <v>16768.580000000002</v>
      </c>
      <c r="I37" s="2"/>
      <c r="J37" s="7">
        <f t="shared" si="22"/>
        <v>0.42381051310941509</v>
      </c>
      <c r="K37" s="2"/>
      <c r="L37" s="6">
        <f t="shared" si="23"/>
        <v>-16768.580000000002</v>
      </c>
      <c r="M37" s="2"/>
      <c r="N37" s="7">
        <f t="shared" si="24"/>
        <v>-1</v>
      </c>
      <c r="O37" s="10"/>
      <c r="P37" s="6"/>
      <c r="Q37" s="2"/>
      <c r="R37" s="7">
        <f t="shared" si="25"/>
        <v>0</v>
      </c>
      <c r="S37" s="2"/>
      <c r="T37" s="6">
        <v>122307.66</v>
      </c>
      <c r="U37" s="2"/>
      <c r="V37" s="7">
        <f t="shared" si="26"/>
        <v>0.2066247762155618</v>
      </c>
      <c r="W37" s="2"/>
      <c r="X37" s="6">
        <f t="shared" si="27"/>
        <v>-122307.66</v>
      </c>
      <c r="Y37" s="2"/>
      <c r="Z37" s="7">
        <f t="shared" si="28"/>
        <v>-1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1"/>
        <v>0</v>
      </c>
      <c r="G38" s="2"/>
      <c r="H38" s="6">
        <v>559.65</v>
      </c>
      <c r="I38" s="2"/>
      <c r="J38" s="7">
        <f t="shared" si="22"/>
        <v>1.4144641565456592E-2</v>
      </c>
      <c r="K38" s="2"/>
      <c r="L38" s="6">
        <f t="shared" si="23"/>
        <v>-559.65</v>
      </c>
      <c r="M38" s="2"/>
      <c r="N38" s="7">
        <f t="shared" si="24"/>
        <v>-1</v>
      </c>
      <c r="O38" s="10"/>
      <c r="P38" s="6"/>
      <c r="Q38" s="2"/>
      <c r="R38" s="7">
        <f t="shared" si="25"/>
        <v>0</v>
      </c>
      <c r="S38" s="2"/>
      <c r="T38" s="6">
        <v>1230.45</v>
      </c>
      <c r="U38" s="2"/>
      <c r="V38" s="7">
        <f t="shared" si="26"/>
        <v>2.0787042765304971E-3</v>
      </c>
      <c r="W38" s="2"/>
      <c r="X38" s="6">
        <f t="shared" si="27"/>
        <v>-1230.45</v>
      </c>
      <c r="Y38" s="2"/>
      <c r="Z38" s="7">
        <f t="shared" si="28"/>
        <v>-1</v>
      </c>
    </row>
    <row r="39" spans="1:26" s="26" customFormat="1" outlineLevel="1" collapsed="1" x14ac:dyDescent="0.25">
      <c r="A39" s="27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5" si="29">IF(D$12=0,0,D39/D$12)</f>
        <v>0</v>
      </c>
      <c r="G39" s="1"/>
      <c r="H39" s="1">
        <f>SUM(OSRRefH22_2x_0)</f>
        <v>43.64</v>
      </c>
      <c r="I39" s="1"/>
      <c r="J39" s="5">
        <f t="shared" ref="J39:J55" si="30">IF(H$12=0,0,H39/H$12)</f>
        <v>1.1029610612284923E-3</v>
      </c>
      <c r="K39" s="1"/>
      <c r="L39" s="1">
        <f t="shared" ref="L39:L55" si="31">+D39-H39</f>
        <v>-43.64</v>
      </c>
      <c r="M39" s="1"/>
      <c r="N39" s="5">
        <f t="shared" ref="N39:N55" si="32">IF(H39=0,0,L39/H39)</f>
        <v>-1</v>
      </c>
      <c r="O39" s="12"/>
      <c r="P39" s="1">
        <f>SUM(OSRRefP22_2x_0)</f>
        <v>83.83</v>
      </c>
      <c r="Q39" s="1"/>
      <c r="R39" s="5">
        <f t="shared" ref="R39:R55" si="33">IF(P$12=0,0,P39/P$12)</f>
        <v>8.5987424480208435E-2</v>
      </c>
      <c r="S39" s="1"/>
      <c r="T39" s="1">
        <f>SUM(OSRRefT22_2x_0)</f>
        <v>769.01</v>
      </c>
      <c r="U39" s="1"/>
      <c r="V39" s="5">
        <f t="shared" ref="V39:V55" si="34">IF(T$12=0,0,T39/T$12)</f>
        <v>1.2991542733916189E-3</v>
      </c>
      <c r="W39" s="1"/>
      <c r="X39" s="1">
        <f t="shared" ref="X39:X55" si="35">+P39-T39</f>
        <v>-685.18</v>
      </c>
      <c r="Y39" s="1"/>
      <c r="Z39" s="5">
        <f t="shared" ref="Z39:Z55" si="36">IF(T39=0,0,X39/T39)</f>
        <v>-0.8909897140479317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29"/>
        <v>0</v>
      </c>
      <c r="G40" s="2"/>
      <c r="H40" s="6">
        <v>43.64</v>
      </c>
      <c r="I40" s="2"/>
      <c r="J40" s="7">
        <f t="shared" si="30"/>
        <v>1.1029610612284923E-3</v>
      </c>
      <c r="K40" s="2"/>
      <c r="L40" s="6">
        <f t="shared" si="31"/>
        <v>-43.64</v>
      </c>
      <c r="M40" s="2"/>
      <c r="N40" s="7">
        <f t="shared" si="32"/>
        <v>-1</v>
      </c>
      <c r="O40" s="10"/>
      <c r="P40" s="6">
        <v>83.83</v>
      </c>
      <c r="Q40" s="2"/>
      <c r="R40" s="7">
        <f t="shared" si="33"/>
        <v>8.5987424480208435E-2</v>
      </c>
      <c r="S40" s="2"/>
      <c r="T40" s="6">
        <v>769.01</v>
      </c>
      <c r="U40" s="2"/>
      <c r="V40" s="7">
        <f t="shared" si="34"/>
        <v>1.2991542733916189E-3</v>
      </c>
      <c r="W40" s="2"/>
      <c r="X40" s="6">
        <f t="shared" si="35"/>
        <v>-685.18</v>
      </c>
      <c r="Y40" s="2"/>
      <c r="Z40" s="7">
        <f t="shared" si="36"/>
        <v>-0.8909897140479317</v>
      </c>
    </row>
    <row r="41" spans="1:26" s="26" customFormat="1" outlineLevel="1" collapsed="1" x14ac:dyDescent="0.25">
      <c r="A41" s="27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-3.14</v>
      </c>
      <c r="I41" s="1"/>
      <c r="J41" s="5">
        <f t="shared" si="30"/>
        <v>-7.9360626312040925E-5</v>
      </c>
      <c r="K41" s="1"/>
      <c r="L41" s="1">
        <f t="shared" si="31"/>
        <v>3.14</v>
      </c>
      <c r="M41" s="1"/>
      <c r="N41" s="5">
        <f t="shared" si="32"/>
        <v>-1</v>
      </c>
      <c r="O41" s="12"/>
      <c r="P41" s="1">
        <f>SUM(OSRRefP22_3x_0)</f>
        <v>0</v>
      </c>
      <c r="Q41" s="1"/>
      <c r="R41" s="5">
        <f t="shared" si="33"/>
        <v>0</v>
      </c>
      <c r="S41" s="1"/>
      <c r="T41" s="1">
        <f>SUM(OSRRefT22_3x_0)</f>
        <v>125.23</v>
      </c>
      <c r="U41" s="1"/>
      <c r="V41" s="5">
        <f t="shared" si="34"/>
        <v>2.1156173477176167E-4</v>
      </c>
      <c r="W41" s="1"/>
      <c r="X41" s="1">
        <f t="shared" si="35"/>
        <v>-125.23</v>
      </c>
      <c r="Y41" s="1"/>
      <c r="Z41" s="5">
        <f t="shared" si="36"/>
        <v>-1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29"/>
        <v>0</v>
      </c>
      <c r="G42" s="2"/>
      <c r="H42" s="6">
        <v>-3.14</v>
      </c>
      <c r="I42" s="2"/>
      <c r="J42" s="7">
        <f t="shared" si="30"/>
        <v>-7.9360626312040925E-5</v>
      </c>
      <c r="K42" s="2"/>
      <c r="L42" s="6">
        <f t="shared" si="31"/>
        <v>3.14</v>
      </c>
      <c r="M42" s="2"/>
      <c r="N42" s="7">
        <f t="shared" si="32"/>
        <v>-1</v>
      </c>
      <c r="O42" s="10"/>
      <c r="P42" s="6"/>
      <c r="Q42" s="2"/>
      <c r="R42" s="7">
        <f t="shared" si="33"/>
        <v>0</v>
      </c>
      <c r="S42" s="2"/>
      <c r="T42" s="6">
        <v>125.23</v>
      </c>
      <c r="U42" s="2"/>
      <c r="V42" s="7">
        <f t="shared" si="34"/>
        <v>2.1156173477176167E-4</v>
      </c>
      <c r="W42" s="2"/>
      <c r="X42" s="6">
        <f t="shared" si="35"/>
        <v>-125.23</v>
      </c>
      <c r="Y42" s="2"/>
      <c r="Z42" s="7">
        <f t="shared" si="36"/>
        <v>-1</v>
      </c>
    </row>
    <row r="43" spans="1:26" s="26" customFormat="1" outlineLevel="1" collapsed="1" x14ac:dyDescent="0.25">
      <c r="A43" s="27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1828.65</v>
      </c>
      <c r="I43" s="1"/>
      <c r="J43" s="5">
        <f t="shared" si="30"/>
        <v>4.6217455192838743E-2</v>
      </c>
      <c r="K43" s="1"/>
      <c r="L43" s="1">
        <f t="shared" si="31"/>
        <v>-1828.65</v>
      </c>
      <c r="M43" s="1"/>
      <c r="N43" s="5">
        <f t="shared" si="32"/>
        <v>-1</v>
      </c>
      <c r="O43" s="12"/>
      <c r="P43" s="1">
        <f>SUM(OSRRefP22_4x_0)</f>
        <v>0</v>
      </c>
      <c r="Q43" s="1"/>
      <c r="R43" s="5">
        <f t="shared" si="33"/>
        <v>0</v>
      </c>
      <c r="S43" s="1"/>
      <c r="T43" s="1">
        <f>SUM(OSRRefT22_4x_0)</f>
        <v>18398.82</v>
      </c>
      <c r="U43" s="1"/>
      <c r="V43" s="5">
        <f t="shared" si="34"/>
        <v>3.1082698051212842E-2</v>
      </c>
      <c r="W43" s="1"/>
      <c r="X43" s="1">
        <f t="shared" si="35"/>
        <v>-18398.82</v>
      </c>
      <c r="Y43" s="1"/>
      <c r="Z43" s="5">
        <f t="shared" si="36"/>
        <v>-1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29"/>
        <v>0</v>
      </c>
      <c r="G44" s="2"/>
      <c r="H44" s="6">
        <v>1828.65</v>
      </c>
      <c r="I44" s="2"/>
      <c r="J44" s="7">
        <f t="shared" si="30"/>
        <v>4.6217455192838743E-2</v>
      </c>
      <c r="K44" s="2"/>
      <c r="L44" s="6">
        <f t="shared" si="31"/>
        <v>-1828.65</v>
      </c>
      <c r="M44" s="2"/>
      <c r="N44" s="7">
        <f t="shared" si="32"/>
        <v>-1</v>
      </c>
      <c r="O44" s="10"/>
      <c r="P44" s="6"/>
      <c r="Q44" s="2"/>
      <c r="R44" s="7">
        <f t="shared" si="33"/>
        <v>0</v>
      </c>
      <c r="S44" s="2"/>
      <c r="T44" s="6">
        <v>18398.82</v>
      </c>
      <c r="U44" s="2"/>
      <c r="V44" s="7">
        <f t="shared" si="34"/>
        <v>3.1082698051212842E-2</v>
      </c>
      <c r="W44" s="2"/>
      <c r="X44" s="6">
        <f t="shared" si="35"/>
        <v>-18398.82</v>
      </c>
      <c r="Y44" s="2"/>
      <c r="Z44" s="7">
        <f t="shared" si="36"/>
        <v>-1</v>
      </c>
    </row>
    <row r="45" spans="1:26" s="26" customFormat="1" outlineLevel="1" collapsed="1" x14ac:dyDescent="0.25">
      <c r="A45" s="27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1825.26</v>
      </c>
      <c r="E45" s="1"/>
      <c r="F45" s="5">
        <f t="shared" si="29"/>
        <v>0</v>
      </c>
      <c r="G45" s="1"/>
      <c r="H45" s="1">
        <f>SUM(OSRRefH22_5x_0)</f>
        <v>2173.85</v>
      </c>
      <c r="I45" s="1"/>
      <c r="J45" s="5">
        <f t="shared" si="30"/>
        <v>5.4942069270200684E-2</v>
      </c>
      <c r="K45" s="1"/>
      <c r="L45" s="1">
        <f t="shared" si="31"/>
        <v>-348.58999999999992</v>
      </c>
      <c r="M45" s="1"/>
      <c r="N45" s="5">
        <f t="shared" si="32"/>
        <v>-0.16035605032545941</v>
      </c>
      <c r="O45" s="12"/>
      <c r="P45" s="1">
        <f>SUM(OSRRefP22_5x_0)</f>
        <v>16574.13</v>
      </c>
      <c r="Q45" s="1"/>
      <c r="R45" s="5">
        <f t="shared" si="33"/>
        <v>17.0006769855679</v>
      </c>
      <c r="S45" s="1"/>
      <c r="T45" s="1">
        <f>SUM(OSRRefT22_5x_0)</f>
        <v>16613.82</v>
      </c>
      <c r="U45" s="1"/>
      <c r="V45" s="5">
        <f t="shared" si="34"/>
        <v>2.8067145096109473E-2</v>
      </c>
      <c r="W45" s="1"/>
      <c r="X45" s="1">
        <f t="shared" si="35"/>
        <v>-39.68999999999869</v>
      </c>
      <c r="Y45" s="1"/>
      <c r="Z45" s="5">
        <f t="shared" si="36"/>
        <v>-2.3889749618088247E-3</v>
      </c>
    </row>
    <row r="46" spans="1:26" s="23" customFormat="1" hidden="1" outlineLevel="2" x14ac:dyDescent="0.25">
      <c r="A46" s="25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1825.26</v>
      </c>
      <c r="E46" s="2"/>
      <c r="F46" s="7">
        <f t="shared" si="29"/>
        <v>0</v>
      </c>
      <c r="G46" s="2"/>
      <c r="H46" s="6">
        <v>2173.85</v>
      </c>
      <c r="I46" s="2"/>
      <c r="J46" s="7">
        <f t="shared" si="30"/>
        <v>5.4942069270200684E-2</v>
      </c>
      <c r="K46" s="2"/>
      <c r="L46" s="6">
        <f t="shared" si="31"/>
        <v>-348.58999999999992</v>
      </c>
      <c r="M46" s="2"/>
      <c r="N46" s="7">
        <f t="shared" si="32"/>
        <v>-0.16035605032545941</v>
      </c>
      <c r="O46" s="10"/>
      <c r="P46" s="6">
        <v>16574.13</v>
      </c>
      <c r="Q46" s="2"/>
      <c r="R46" s="7">
        <f t="shared" si="33"/>
        <v>17.0006769855679</v>
      </c>
      <c r="S46" s="2"/>
      <c r="T46" s="6">
        <v>16613.82</v>
      </c>
      <c r="U46" s="2"/>
      <c r="V46" s="7">
        <f t="shared" si="34"/>
        <v>2.8067145096109473E-2</v>
      </c>
      <c r="W46" s="2"/>
      <c r="X46" s="6">
        <f t="shared" si="35"/>
        <v>-39.68999999999869</v>
      </c>
      <c r="Y46" s="2"/>
      <c r="Z46" s="7">
        <f t="shared" si="36"/>
        <v>-2.3889749618088247E-3</v>
      </c>
    </row>
    <row r="47" spans="1:26" s="26" customFormat="1" outlineLevel="1" collapsed="1" x14ac:dyDescent="0.25">
      <c r="A47" s="27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29"/>
        <v>0</v>
      </c>
      <c r="G47" s="1"/>
      <c r="H47" s="1">
        <f>SUM(OSRRefH22_6x_0)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2"/>
      <c r="P47" s="1">
        <f>SUM(OSRRefP22_6x_0)</f>
        <v>0</v>
      </c>
      <c r="Q47" s="1"/>
      <c r="R47" s="5">
        <f t="shared" si="33"/>
        <v>0</v>
      </c>
      <c r="S47" s="1"/>
      <c r="T47" s="1">
        <f>SUM(OSRRefT22_6x_0)</f>
        <v>236.02</v>
      </c>
      <c r="U47" s="1"/>
      <c r="V47" s="5">
        <f t="shared" si="34"/>
        <v>3.9872874423725298E-4</v>
      </c>
      <c r="W47" s="1"/>
      <c r="X47" s="1">
        <f t="shared" si="35"/>
        <v>-236.02</v>
      </c>
      <c r="Y47" s="1"/>
      <c r="Z47" s="5">
        <f t="shared" si="36"/>
        <v>-1</v>
      </c>
    </row>
    <row r="48" spans="1:26" s="23" customFormat="1" hidden="1" outlineLevel="2" x14ac:dyDescent="0.25">
      <c r="A48" s="25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0"/>
      <c r="P48" s="6"/>
      <c r="Q48" s="2"/>
      <c r="R48" s="7">
        <f t="shared" si="33"/>
        <v>0</v>
      </c>
      <c r="S48" s="2"/>
      <c r="T48" s="6">
        <v>236.02</v>
      </c>
      <c r="U48" s="2"/>
      <c r="V48" s="7">
        <f t="shared" si="34"/>
        <v>3.9872874423725298E-4</v>
      </c>
      <c r="W48" s="2"/>
      <c r="X48" s="6">
        <f t="shared" si="35"/>
        <v>-236.02</v>
      </c>
      <c r="Y48" s="2"/>
      <c r="Z48" s="7">
        <f t="shared" si="36"/>
        <v>-1</v>
      </c>
    </row>
    <row r="49" spans="1:26" s="26" customFormat="1" outlineLevel="1" collapsed="1" x14ac:dyDescent="0.25">
      <c r="A49" s="27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29"/>
        <v>0</v>
      </c>
      <c r="G49" s="1"/>
      <c r="H49" s="1">
        <f>SUM(OSRRefH22_7x_0)</f>
        <v>0</v>
      </c>
      <c r="I49" s="1"/>
      <c r="J49" s="5">
        <f t="shared" si="30"/>
        <v>0</v>
      </c>
      <c r="K49" s="1"/>
      <c r="L49" s="1">
        <f t="shared" si="31"/>
        <v>0</v>
      </c>
      <c r="M49" s="1"/>
      <c r="N49" s="5">
        <f t="shared" si="32"/>
        <v>0</v>
      </c>
      <c r="O49" s="12"/>
      <c r="P49" s="1">
        <f>SUM(OSRRefP22_7x_0)</f>
        <v>96.3</v>
      </c>
      <c r="Q49" s="1"/>
      <c r="R49" s="5">
        <f t="shared" si="33"/>
        <v>9.8778348770655749E-2</v>
      </c>
      <c r="S49" s="1"/>
      <c r="T49" s="1">
        <f>SUM(OSRRefT22_7x_0)</f>
        <v>951.28</v>
      </c>
      <c r="U49" s="1"/>
      <c r="V49" s="5">
        <f t="shared" si="34"/>
        <v>1.6070785518939666E-3</v>
      </c>
      <c r="W49" s="1"/>
      <c r="X49" s="1">
        <f t="shared" si="35"/>
        <v>-854.98</v>
      </c>
      <c r="Y49" s="1"/>
      <c r="Z49" s="5">
        <f t="shared" si="36"/>
        <v>-0.89876797578000178</v>
      </c>
    </row>
    <row r="50" spans="1:26" s="23" customFormat="1" hidden="1" outlineLevel="2" x14ac:dyDescent="0.25">
      <c r="A50" s="25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0</v>
      </c>
      <c r="M50" s="2"/>
      <c r="N50" s="7">
        <f t="shared" si="32"/>
        <v>0</v>
      </c>
      <c r="O50" s="10"/>
      <c r="P50" s="6">
        <v>96.3</v>
      </c>
      <c r="Q50" s="2"/>
      <c r="R50" s="7">
        <f t="shared" si="33"/>
        <v>9.8778348770655749E-2</v>
      </c>
      <c r="S50" s="2"/>
      <c r="T50" s="6">
        <v>951.28</v>
      </c>
      <c r="U50" s="2"/>
      <c r="V50" s="7">
        <f t="shared" si="34"/>
        <v>1.6070785518939666E-3</v>
      </c>
      <c r="W50" s="2"/>
      <c r="X50" s="6">
        <f t="shared" si="35"/>
        <v>-854.98</v>
      </c>
      <c r="Y50" s="2"/>
      <c r="Z50" s="7">
        <f t="shared" si="36"/>
        <v>-0.89876797578000178</v>
      </c>
    </row>
    <row r="51" spans="1:26" s="26" customFormat="1" outlineLevel="1" collapsed="1" x14ac:dyDescent="0.25">
      <c r="A51" s="27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29"/>
        <v>0</v>
      </c>
      <c r="G51" s="1"/>
      <c r="H51" s="1">
        <f>SUM(OSRRefH22_8x_0)</f>
        <v>399.68</v>
      </c>
      <c r="I51" s="1"/>
      <c r="J51" s="5">
        <f t="shared" si="30"/>
        <v>1.0101546217960675E-2</v>
      </c>
      <c r="K51" s="1"/>
      <c r="L51" s="1">
        <f t="shared" si="31"/>
        <v>-399.68</v>
      </c>
      <c r="M51" s="1"/>
      <c r="N51" s="5">
        <f t="shared" si="32"/>
        <v>-1</v>
      </c>
      <c r="O51" s="12"/>
      <c r="P51" s="1">
        <f>SUM(OSRRefP22_8x_0)</f>
        <v>7.28</v>
      </c>
      <c r="Q51" s="1"/>
      <c r="R51" s="5">
        <f t="shared" si="33"/>
        <v>7.467355961063073E-3</v>
      </c>
      <c r="S51" s="1"/>
      <c r="T51" s="1">
        <f>SUM(OSRRefT22_8x_0)</f>
        <v>9129.7800000000007</v>
      </c>
      <c r="U51" s="1"/>
      <c r="V51" s="5">
        <f t="shared" si="34"/>
        <v>1.5423717119576255E-2</v>
      </c>
      <c r="W51" s="1"/>
      <c r="X51" s="1">
        <f t="shared" si="35"/>
        <v>-9122.5</v>
      </c>
      <c r="Y51" s="1"/>
      <c r="Z51" s="5">
        <f t="shared" si="36"/>
        <v>-0.99920260948237516</v>
      </c>
    </row>
    <row r="52" spans="1:26" s="23" customFormat="1" hidden="1" outlineLevel="2" x14ac:dyDescent="0.25">
      <c r="A52" s="25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29"/>
        <v>0</v>
      </c>
      <c r="G52" s="2"/>
      <c r="H52" s="6">
        <v>399.68</v>
      </c>
      <c r="I52" s="2"/>
      <c r="J52" s="7">
        <f t="shared" si="30"/>
        <v>1.0101546217960675E-2</v>
      </c>
      <c r="K52" s="2"/>
      <c r="L52" s="6">
        <f t="shared" si="31"/>
        <v>-399.68</v>
      </c>
      <c r="M52" s="2"/>
      <c r="N52" s="7">
        <f t="shared" si="32"/>
        <v>-1</v>
      </c>
      <c r="O52" s="10"/>
      <c r="P52" s="6">
        <v>7.28</v>
      </c>
      <c r="Q52" s="2"/>
      <c r="R52" s="7">
        <f t="shared" si="33"/>
        <v>7.467355961063073E-3</v>
      </c>
      <c r="S52" s="2"/>
      <c r="T52" s="6">
        <v>9129.7800000000007</v>
      </c>
      <c r="U52" s="2"/>
      <c r="V52" s="7">
        <f t="shared" si="34"/>
        <v>1.5423717119576255E-2</v>
      </c>
      <c r="W52" s="2"/>
      <c r="X52" s="6">
        <f t="shared" si="35"/>
        <v>-9122.5</v>
      </c>
      <c r="Y52" s="2"/>
      <c r="Z52" s="7">
        <f t="shared" si="36"/>
        <v>-0.99920260948237516</v>
      </c>
    </row>
    <row r="53" spans="1:26" s="26" customFormat="1" outlineLevel="1" collapsed="1" x14ac:dyDescent="0.25">
      <c r="A53" s="27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129.58000000000001</v>
      </c>
      <c r="E53" s="1"/>
      <c r="F53" s="5">
        <f t="shared" si="29"/>
        <v>0</v>
      </c>
      <c r="G53" s="1"/>
      <c r="H53" s="1">
        <f>SUM(OSRRefH22_9x_0)</f>
        <v>304.56</v>
      </c>
      <c r="I53" s="1"/>
      <c r="J53" s="5">
        <f t="shared" si="30"/>
        <v>7.6974752705717148E-3</v>
      </c>
      <c r="K53" s="1"/>
      <c r="L53" s="1">
        <f t="shared" si="31"/>
        <v>-174.98</v>
      </c>
      <c r="M53" s="1"/>
      <c r="N53" s="5">
        <f t="shared" si="32"/>
        <v>-0.57453375361176773</v>
      </c>
      <c r="O53" s="12"/>
      <c r="P53" s="1">
        <f>SUM(OSRRefP22_9x_0)</f>
        <v>628.04</v>
      </c>
      <c r="Q53" s="1"/>
      <c r="R53" s="5">
        <f t="shared" si="33"/>
        <v>0.64420305464094119</v>
      </c>
      <c r="S53" s="1"/>
      <c r="T53" s="1">
        <f>SUM(OSRRefT22_9x_0)</f>
        <v>7394.18</v>
      </c>
      <c r="U53" s="1"/>
      <c r="V53" s="5">
        <f t="shared" si="34"/>
        <v>1.249161980367855E-2</v>
      </c>
      <c r="W53" s="1"/>
      <c r="X53" s="1">
        <f t="shared" si="35"/>
        <v>-6766.14</v>
      </c>
      <c r="Y53" s="1"/>
      <c r="Z53" s="5">
        <f t="shared" si="36"/>
        <v>-0.91506292787029797</v>
      </c>
    </row>
    <row r="54" spans="1:26" s="23" customFormat="1" hidden="1" outlineLevel="2" x14ac:dyDescent="0.25">
      <c r="A54" s="25"/>
      <c r="B54" s="10" t="str">
        <f>CONCATENATE("          ", "6373", " - ", "MAINTENANCE CONTRACTS")</f>
        <v xml:space="preserve">          6373 - MAINTENANCE CONTRACTS</v>
      </c>
      <c r="C54" s="10"/>
      <c r="D54" s="6">
        <v>129.58000000000001</v>
      </c>
      <c r="E54" s="2"/>
      <c r="F54" s="7">
        <f t="shared" si="29"/>
        <v>0</v>
      </c>
      <c r="G54" s="2"/>
      <c r="H54" s="6">
        <v>129.58000000000001</v>
      </c>
      <c r="I54" s="2"/>
      <c r="J54" s="7">
        <f t="shared" si="30"/>
        <v>3.27501591003639E-3</v>
      </c>
      <c r="K54" s="2"/>
      <c r="L54" s="6">
        <f t="shared" si="31"/>
        <v>0</v>
      </c>
      <c r="M54" s="2"/>
      <c r="N54" s="7">
        <f t="shared" si="32"/>
        <v>0</v>
      </c>
      <c r="O54" s="10"/>
      <c r="P54" s="6">
        <v>428.04</v>
      </c>
      <c r="Q54" s="2"/>
      <c r="R54" s="7">
        <f t="shared" si="33"/>
        <v>0.43905591285349421</v>
      </c>
      <c r="S54" s="2"/>
      <c r="T54" s="6">
        <v>369.97</v>
      </c>
      <c r="U54" s="2"/>
      <c r="V54" s="7">
        <f t="shared" si="34"/>
        <v>6.2502191977568207E-4</v>
      </c>
      <c r="W54" s="2"/>
      <c r="X54" s="6">
        <f t="shared" si="35"/>
        <v>58.069999999999993</v>
      </c>
      <c r="Y54" s="2"/>
      <c r="Z54" s="7">
        <f t="shared" si="36"/>
        <v>0.15695867232478306</v>
      </c>
    </row>
    <row r="55" spans="1:26" s="23" customFormat="1" hidden="1" outlineLevel="2" x14ac:dyDescent="0.25">
      <c r="A55" s="25"/>
      <c r="B55" s="10" t="str">
        <f>CONCATENATE("          ", "6375", " - ", "OUTSIDE REPAIRS &amp; MAINTENANCE")</f>
        <v xml:space="preserve">          6375 - OUTSIDE REPAIRS &amp; MAINTENANCE</v>
      </c>
      <c r="C55" s="10"/>
      <c r="D55" s="6"/>
      <c r="E55" s="2"/>
      <c r="F55" s="7">
        <f t="shared" si="29"/>
        <v>0</v>
      </c>
      <c r="G55" s="2"/>
      <c r="H55" s="6">
        <v>174.98</v>
      </c>
      <c r="I55" s="2"/>
      <c r="J55" s="7">
        <f t="shared" si="30"/>
        <v>4.4224593605353248E-3</v>
      </c>
      <c r="K55" s="2"/>
      <c r="L55" s="6">
        <f t="shared" si="31"/>
        <v>-174.98</v>
      </c>
      <c r="M55" s="2"/>
      <c r="N55" s="7">
        <f t="shared" si="32"/>
        <v>-1</v>
      </c>
      <c r="O55" s="10"/>
      <c r="P55" s="6">
        <v>200</v>
      </c>
      <c r="Q55" s="2"/>
      <c r="R55" s="7">
        <f t="shared" si="33"/>
        <v>0.20514714178744706</v>
      </c>
      <c r="S55" s="2"/>
      <c r="T55" s="6">
        <v>7024.21</v>
      </c>
      <c r="U55" s="2"/>
      <c r="V55" s="7">
        <f t="shared" si="34"/>
        <v>1.1866597883902867E-2</v>
      </c>
      <c r="W55" s="2"/>
      <c r="X55" s="6">
        <f t="shared" si="35"/>
        <v>-6824.21</v>
      </c>
      <c r="Y55" s="2"/>
      <c r="Z55" s="7">
        <f t="shared" si="36"/>
        <v>-0.97152704716971727</v>
      </c>
    </row>
    <row r="56" spans="1:26" s="26" customFormat="1" outlineLevel="1" collapsed="1" x14ac:dyDescent="0.25">
      <c r="A56" s="27"/>
      <c r="B56" s="12" t="str">
        <f>CONCATENATE("     ","Royalty &amp; Commissions                             ")</f>
        <v xml:space="preserve">     Royalty &amp; Commissions                             </v>
      </c>
      <c r="C56" s="12"/>
      <c r="D56" s="1">
        <f>SUM(OSRRefD22_10x_0)</f>
        <v>0</v>
      </c>
      <c r="E56" s="1"/>
      <c r="F56" s="5">
        <f t="shared" ref="F56:F69" si="37">IF(D$12=0,0,D56/D$12)</f>
        <v>0</v>
      </c>
      <c r="G56" s="1"/>
      <c r="H56" s="1">
        <f>SUM(OSRRefH22_10x_0)</f>
        <v>3165.28</v>
      </c>
      <c r="I56" s="1"/>
      <c r="J56" s="5">
        <f t="shared" ref="J56:J69" si="38">IF(H$12=0,0,H56/H$12)</f>
        <v>7.9999555176107295E-2</v>
      </c>
      <c r="K56" s="1"/>
      <c r="L56" s="1">
        <f t="shared" ref="L56:L69" si="39">+D56-H56</f>
        <v>-3165.28</v>
      </c>
      <c r="M56" s="1"/>
      <c r="N56" s="5">
        <f t="shared" ref="N56:N69" si="40">IF(H56=0,0,L56/H56)</f>
        <v>-1</v>
      </c>
      <c r="O56" s="12"/>
      <c r="P56" s="1">
        <f>SUM(OSRRefP22_10x_0)</f>
        <v>0</v>
      </c>
      <c r="Q56" s="1"/>
      <c r="R56" s="5">
        <f t="shared" ref="R56:R69" si="41">IF(P$12=0,0,P56/P$12)</f>
        <v>0</v>
      </c>
      <c r="S56" s="1"/>
      <c r="T56" s="1">
        <f>SUM(OSRRefT22_10x_0)</f>
        <v>44134.64</v>
      </c>
      <c r="U56" s="1"/>
      <c r="V56" s="5">
        <f t="shared" ref="V56:V69" si="42">IF(T$12=0,0,T56/T$12)</f>
        <v>7.4560416848416383E-2</v>
      </c>
      <c r="W56" s="1"/>
      <c r="X56" s="1">
        <f t="shared" ref="X56:X69" si="43">+P56-T56</f>
        <v>-44134.64</v>
      </c>
      <c r="Y56" s="1"/>
      <c r="Z56" s="5">
        <f t="shared" ref="Z56:Z69" si="44">IF(T56=0,0,X56/T56)</f>
        <v>-1</v>
      </c>
    </row>
    <row r="57" spans="1:26" s="23" customFormat="1" hidden="1" outlineLevel="2" x14ac:dyDescent="0.25">
      <c r="A57" s="25"/>
      <c r="B57" s="10" t="str">
        <f>CONCATENATE("          ", "6259", " - ", "ROYALTY &amp; COMMISSIONS")</f>
        <v xml:space="preserve">          6259 - ROYALTY &amp; COMMISSIONS</v>
      </c>
      <c r="C57" s="10"/>
      <c r="D57" s="6"/>
      <c r="E57" s="2"/>
      <c r="F57" s="7">
        <f t="shared" si="37"/>
        <v>0</v>
      </c>
      <c r="G57" s="2"/>
      <c r="H57" s="6">
        <v>3165.28</v>
      </c>
      <c r="I57" s="2"/>
      <c r="J57" s="7">
        <f t="shared" si="38"/>
        <v>7.9999555176107295E-2</v>
      </c>
      <c r="K57" s="2"/>
      <c r="L57" s="6">
        <f t="shared" si="39"/>
        <v>-3165.28</v>
      </c>
      <c r="M57" s="2"/>
      <c r="N57" s="7">
        <f t="shared" si="40"/>
        <v>-1</v>
      </c>
      <c r="O57" s="10"/>
      <c r="P57" s="6"/>
      <c r="Q57" s="2"/>
      <c r="R57" s="7">
        <f t="shared" si="41"/>
        <v>0</v>
      </c>
      <c r="S57" s="2"/>
      <c r="T57" s="6">
        <v>44134.64</v>
      </c>
      <c r="U57" s="2"/>
      <c r="V57" s="7">
        <f t="shared" si="42"/>
        <v>7.4560416848416383E-2</v>
      </c>
      <c r="W57" s="2"/>
      <c r="X57" s="6">
        <f t="shared" si="43"/>
        <v>-44134.64</v>
      </c>
      <c r="Y57" s="2"/>
      <c r="Z57" s="7">
        <f t="shared" si="44"/>
        <v>-1</v>
      </c>
    </row>
    <row r="58" spans="1:26" s="26" customFormat="1" outlineLevel="1" collapsed="1" x14ac:dyDescent="0.25">
      <c r="A58" s="27"/>
      <c r="B58" s="12" t="str">
        <f>CONCATENATE("     ","Services                                          ")</f>
        <v xml:space="preserve">     Services                                          </v>
      </c>
      <c r="C58" s="12"/>
      <c r="D58" s="1">
        <f>SUM(OSRRefD22_11x_0)</f>
        <v>0</v>
      </c>
      <c r="E58" s="1"/>
      <c r="F58" s="5">
        <f t="shared" si="37"/>
        <v>0</v>
      </c>
      <c r="G58" s="1"/>
      <c r="H58" s="1">
        <f>SUM(OSRRefH22_11x_0)</f>
        <v>32.5</v>
      </c>
      <c r="I58" s="1"/>
      <c r="J58" s="5">
        <f t="shared" si="38"/>
        <v>8.2140775641443631E-4</v>
      </c>
      <c r="K58" s="1"/>
      <c r="L58" s="1">
        <f t="shared" si="39"/>
        <v>-32.5</v>
      </c>
      <c r="M58" s="1"/>
      <c r="N58" s="5">
        <f t="shared" si="40"/>
        <v>-1</v>
      </c>
      <c r="O58" s="12"/>
      <c r="P58" s="1">
        <f>SUM(OSRRefP22_11x_0)</f>
        <v>0</v>
      </c>
      <c r="Q58" s="1"/>
      <c r="R58" s="5">
        <f t="shared" si="41"/>
        <v>0</v>
      </c>
      <c r="S58" s="1"/>
      <c r="T58" s="1">
        <f>SUM(OSRRefT22_11x_0)</f>
        <v>508.6</v>
      </c>
      <c r="U58" s="1"/>
      <c r="V58" s="5">
        <f t="shared" si="42"/>
        <v>8.5922141902833175E-4</v>
      </c>
      <c r="W58" s="1"/>
      <c r="X58" s="1">
        <f t="shared" si="43"/>
        <v>-508.6</v>
      </c>
      <c r="Y58" s="1"/>
      <c r="Z58" s="5">
        <f t="shared" si="44"/>
        <v>-1</v>
      </c>
    </row>
    <row r="59" spans="1:26" s="23" customFormat="1" hidden="1" outlineLevel="2" x14ac:dyDescent="0.25">
      <c r="A59" s="25"/>
      <c r="B59" s="10" t="str">
        <f>CONCATENATE("          ", "6286", " - ", "LAUNDRY EXPENSE")</f>
        <v xml:space="preserve">          6286 - LAUNDRY EXPENSE</v>
      </c>
      <c r="C59" s="10"/>
      <c r="D59" s="6"/>
      <c r="E59" s="2"/>
      <c r="F59" s="7">
        <f t="shared" si="37"/>
        <v>0</v>
      </c>
      <c r="G59" s="2"/>
      <c r="H59" s="6">
        <v>32.5</v>
      </c>
      <c r="I59" s="2"/>
      <c r="J59" s="7">
        <f t="shared" si="38"/>
        <v>8.2140775641443631E-4</v>
      </c>
      <c r="K59" s="2"/>
      <c r="L59" s="6">
        <f t="shared" si="39"/>
        <v>-32.5</v>
      </c>
      <c r="M59" s="2"/>
      <c r="N59" s="7">
        <f t="shared" si="40"/>
        <v>-1</v>
      </c>
      <c r="O59" s="10"/>
      <c r="P59" s="6"/>
      <c r="Q59" s="2"/>
      <c r="R59" s="7">
        <f t="shared" si="41"/>
        <v>0</v>
      </c>
      <c r="S59" s="2"/>
      <c r="T59" s="6">
        <v>508.6</v>
      </c>
      <c r="U59" s="2"/>
      <c r="V59" s="7">
        <f t="shared" si="42"/>
        <v>8.5922141902833175E-4</v>
      </c>
      <c r="W59" s="2"/>
      <c r="X59" s="6">
        <f t="shared" si="43"/>
        <v>-508.6</v>
      </c>
      <c r="Y59" s="2"/>
      <c r="Z59" s="7">
        <f t="shared" si="44"/>
        <v>-1</v>
      </c>
    </row>
    <row r="60" spans="1:26" s="26" customFormat="1" outlineLevel="1" collapsed="1" x14ac:dyDescent="0.25">
      <c r="A60" s="27"/>
      <c r="B60" s="12" t="str">
        <f>CONCATENATE("     ","Subscriptions &amp; Dues                              ")</f>
        <v xml:space="preserve">     Subscriptions &amp; Dues                              </v>
      </c>
      <c r="C60" s="12"/>
      <c r="D60" s="1">
        <f>SUM(OSRRefD22_12x_0)</f>
        <v>0</v>
      </c>
      <c r="E60" s="1"/>
      <c r="F60" s="5">
        <f t="shared" si="37"/>
        <v>0</v>
      </c>
      <c r="G60" s="1"/>
      <c r="H60" s="1">
        <f>SUM(OSRRefH22_12x_0)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2"/>
      <c r="P60" s="1">
        <f>SUM(OSRRefP22_12x_0)</f>
        <v>0</v>
      </c>
      <c r="Q60" s="1"/>
      <c r="R60" s="5">
        <f t="shared" si="41"/>
        <v>0</v>
      </c>
      <c r="S60" s="1"/>
      <c r="T60" s="1">
        <f>SUM(OSRRefT22_12x_0)</f>
        <v>122.72</v>
      </c>
      <c r="U60" s="1"/>
      <c r="V60" s="5">
        <f t="shared" si="42"/>
        <v>2.0732137739511771E-4</v>
      </c>
      <c r="W60" s="1"/>
      <c r="X60" s="1">
        <f t="shared" si="43"/>
        <v>-122.72</v>
      </c>
      <c r="Y60" s="1"/>
      <c r="Z60" s="5">
        <f t="shared" si="44"/>
        <v>-1</v>
      </c>
    </row>
    <row r="61" spans="1:26" s="23" customFormat="1" hidden="1" outlineLevel="2" x14ac:dyDescent="0.25">
      <c r="A61" s="25"/>
      <c r="B61" s="10" t="str">
        <f>CONCATENATE("          ", "6275", " - ", "SUBSCRIPTIONS")</f>
        <v xml:space="preserve">          6275 - SUBSCRIPTIONS</v>
      </c>
      <c r="C61" s="10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0"/>
      <c r="P61" s="6"/>
      <c r="Q61" s="2"/>
      <c r="R61" s="7">
        <f t="shared" si="41"/>
        <v>0</v>
      </c>
      <c r="S61" s="2"/>
      <c r="T61" s="6">
        <v>122.72</v>
      </c>
      <c r="U61" s="2"/>
      <c r="V61" s="7">
        <f t="shared" si="42"/>
        <v>2.0732137739511771E-4</v>
      </c>
      <c r="W61" s="2"/>
      <c r="X61" s="6">
        <f t="shared" si="43"/>
        <v>-122.72</v>
      </c>
      <c r="Y61" s="2"/>
      <c r="Z61" s="7">
        <f t="shared" si="44"/>
        <v>-1</v>
      </c>
    </row>
    <row r="62" spans="1:26" s="26" customFormat="1" outlineLevel="1" collapsed="1" x14ac:dyDescent="0.25">
      <c r="A62" s="27"/>
      <c r="B62" s="12" t="str">
        <f>CONCATENATE("     ","Supplies                                          ")</f>
        <v xml:space="preserve">     Supplies                                          </v>
      </c>
      <c r="C62" s="12"/>
      <c r="D62" s="1">
        <f>SUM(OSRRefD22_13x_0)</f>
        <v>0</v>
      </c>
      <c r="E62" s="1"/>
      <c r="F62" s="5">
        <f t="shared" si="37"/>
        <v>0</v>
      </c>
      <c r="G62" s="1"/>
      <c r="H62" s="1">
        <f>SUM(OSRRefH22_13x_0)</f>
        <v>415.04</v>
      </c>
      <c r="I62" s="1"/>
      <c r="J62" s="5">
        <f t="shared" si="38"/>
        <v>1.0489756160684543E-2</v>
      </c>
      <c r="K62" s="1"/>
      <c r="L62" s="1">
        <f t="shared" si="39"/>
        <v>-415.04</v>
      </c>
      <c r="M62" s="1"/>
      <c r="N62" s="5">
        <f t="shared" si="40"/>
        <v>-1</v>
      </c>
      <c r="O62" s="12"/>
      <c r="P62" s="1">
        <f>SUM(OSRRefP22_13x_0)</f>
        <v>0</v>
      </c>
      <c r="Q62" s="1"/>
      <c r="R62" s="5">
        <f t="shared" si="41"/>
        <v>0</v>
      </c>
      <c r="S62" s="1"/>
      <c r="T62" s="1">
        <f>SUM(OSRRefT22_13x_0)</f>
        <v>11599.199999999999</v>
      </c>
      <c r="U62" s="1"/>
      <c r="V62" s="5">
        <f t="shared" si="42"/>
        <v>1.959551923632211E-2</v>
      </c>
      <c r="W62" s="1"/>
      <c r="X62" s="1">
        <f t="shared" si="43"/>
        <v>-11599.199999999999</v>
      </c>
      <c r="Y62" s="1"/>
      <c r="Z62" s="5">
        <f t="shared" si="44"/>
        <v>-1</v>
      </c>
    </row>
    <row r="63" spans="1:26" s="23" customFormat="1" hidden="1" outlineLevel="2" x14ac:dyDescent="0.25">
      <c r="A63" s="25"/>
      <c r="B63" s="10" t="str">
        <f>CONCATENATE("          ", "6237", " - ", "JANITORIAL SUPPLIES")</f>
        <v xml:space="preserve">          6237 - JANITORIAL SUPPLIES</v>
      </c>
      <c r="C63" s="10"/>
      <c r="D63" s="6"/>
      <c r="E63" s="2"/>
      <c r="F63" s="7">
        <f t="shared" si="37"/>
        <v>0</v>
      </c>
      <c r="G63" s="2"/>
      <c r="H63" s="6"/>
      <c r="I63" s="2"/>
      <c r="J63" s="7">
        <f t="shared" si="38"/>
        <v>0</v>
      </c>
      <c r="K63" s="2"/>
      <c r="L63" s="6">
        <f t="shared" si="39"/>
        <v>0</v>
      </c>
      <c r="M63" s="2"/>
      <c r="N63" s="7">
        <f t="shared" si="40"/>
        <v>0</v>
      </c>
      <c r="O63" s="10"/>
      <c r="P63" s="6"/>
      <c r="Q63" s="2"/>
      <c r="R63" s="7">
        <f t="shared" si="41"/>
        <v>0</v>
      </c>
      <c r="S63" s="2"/>
      <c r="T63" s="6">
        <v>268.49</v>
      </c>
      <c r="U63" s="2"/>
      <c r="V63" s="7">
        <f t="shared" si="42"/>
        <v>4.5358308846818088E-4</v>
      </c>
      <c r="W63" s="2"/>
      <c r="X63" s="6">
        <f t="shared" si="43"/>
        <v>-268.49</v>
      </c>
      <c r="Y63" s="2"/>
      <c r="Z63" s="7">
        <f t="shared" si="44"/>
        <v>-1</v>
      </c>
    </row>
    <row r="64" spans="1:26" s="23" customFormat="1" hidden="1" outlineLevel="2" x14ac:dyDescent="0.25">
      <c r="A64" s="25"/>
      <c r="B64" s="10" t="str">
        <f>CONCATENATE("          ", "6239", " - ", "KITCHEN SUPPLIES")</f>
        <v xml:space="preserve">          6239 - KITCHEN SUPPLIES</v>
      </c>
      <c r="C64" s="10"/>
      <c r="D64" s="6"/>
      <c r="E64" s="2"/>
      <c r="F64" s="7">
        <f t="shared" si="37"/>
        <v>0</v>
      </c>
      <c r="G64" s="2"/>
      <c r="H64" s="6">
        <v>32.68</v>
      </c>
      <c r="I64" s="2"/>
      <c r="J64" s="7">
        <f t="shared" si="38"/>
        <v>8.2595709168073168E-4</v>
      </c>
      <c r="K64" s="2"/>
      <c r="L64" s="6">
        <f t="shared" si="39"/>
        <v>-32.68</v>
      </c>
      <c r="M64" s="2"/>
      <c r="N64" s="7">
        <f t="shared" si="40"/>
        <v>-1</v>
      </c>
      <c r="O64" s="10"/>
      <c r="P64" s="6"/>
      <c r="Q64" s="2"/>
      <c r="R64" s="7">
        <f t="shared" si="41"/>
        <v>0</v>
      </c>
      <c r="S64" s="2"/>
      <c r="T64" s="6">
        <v>2024.76</v>
      </c>
      <c r="U64" s="2"/>
      <c r="V64" s="7">
        <f t="shared" si="42"/>
        <v>3.4206000007703597E-3</v>
      </c>
      <c r="W64" s="2"/>
      <c r="X64" s="6">
        <f t="shared" si="43"/>
        <v>-2024.76</v>
      </c>
      <c r="Y64" s="2"/>
      <c r="Z64" s="7">
        <f t="shared" si="44"/>
        <v>-1</v>
      </c>
    </row>
    <row r="65" spans="1:26" s="23" customFormat="1" hidden="1" outlineLevel="2" x14ac:dyDescent="0.25">
      <c r="A65" s="25"/>
      <c r="B65" s="10" t="str">
        <f>CONCATENATE("          ", "6241", " - ", "OFFICE EXPENSE")</f>
        <v xml:space="preserve">          6241 - OFFICE EXPENSE</v>
      </c>
      <c r="C65" s="10"/>
      <c r="D65" s="6"/>
      <c r="E65" s="2"/>
      <c r="F65" s="7">
        <f t="shared" si="37"/>
        <v>0</v>
      </c>
      <c r="G65" s="2"/>
      <c r="H65" s="6"/>
      <c r="I65" s="2"/>
      <c r="J65" s="7">
        <f t="shared" si="38"/>
        <v>0</v>
      </c>
      <c r="K65" s="2"/>
      <c r="L65" s="6">
        <f t="shared" si="39"/>
        <v>0</v>
      </c>
      <c r="M65" s="2"/>
      <c r="N65" s="7">
        <f t="shared" si="40"/>
        <v>0</v>
      </c>
      <c r="O65" s="10"/>
      <c r="P65" s="6"/>
      <c r="Q65" s="2"/>
      <c r="R65" s="7">
        <f t="shared" si="41"/>
        <v>0</v>
      </c>
      <c r="S65" s="2"/>
      <c r="T65" s="6">
        <v>1499.6</v>
      </c>
      <c r="U65" s="2"/>
      <c r="V65" s="7">
        <f t="shared" si="42"/>
        <v>2.5334023593686318E-3</v>
      </c>
      <c r="W65" s="2"/>
      <c r="X65" s="6">
        <f t="shared" si="43"/>
        <v>-1499.6</v>
      </c>
      <c r="Y65" s="2"/>
      <c r="Z65" s="7">
        <f t="shared" si="44"/>
        <v>-1</v>
      </c>
    </row>
    <row r="66" spans="1:26" s="23" customFormat="1" hidden="1" outlineLevel="2" x14ac:dyDescent="0.25">
      <c r="A66" s="25"/>
      <c r="B66" s="10" t="str">
        <f>CONCATENATE("          ", "6243", " - ", "PAPER SUPPLIES")</f>
        <v xml:space="preserve">          6243 - PAPER SUPPLIES</v>
      </c>
      <c r="C66" s="10"/>
      <c r="D66" s="6"/>
      <c r="E66" s="2"/>
      <c r="F66" s="7">
        <f t="shared" si="37"/>
        <v>0</v>
      </c>
      <c r="G66" s="2"/>
      <c r="H66" s="6">
        <v>172.28</v>
      </c>
      <c r="I66" s="2"/>
      <c r="J66" s="7">
        <f t="shared" si="38"/>
        <v>4.3542193315408949E-3</v>
      </c>
      <c r="K66" s="2"/>
      <c r="L66" s="6">
        <f t="shared" si="39"/>
        <v>-172.28</v>
      </c>
      <c r="M66" s="2"/>
      <c r="N66" s="7">
        <f t="shared" si="40"/>
        <v>-1</v>
      </c>
      <c r="O66" s="10"/>
      <c r="P66" s="6"/>
      <c r="Q66" s="2"/>
      <c r="R66" s="7">
        <f t="shared" si="41"/>
        <v>0</v>
      </c>
      <c r="S66" s="2"/>
      <c r="T66" s="6">
        <v>3812.89</v>
      </c>
      <c r="U66" s="2"/>
      <c r="V66" s="7">
        <f t="shared" si="42"/>
        <v>6.4414407322039629E-3</v>
      </c>
      <c r="W66" s="2"/>
      <c r="X66" s="6">
        <f t="shared" si="43"/>
        <v>-3812.89</v>
      </c>
      <c r="Y66" s="2"/>
      <c r="Z66" s="7">
        <f t="shared" si="44"/>
        <v>-1</v>
      </c>
    </row>
    <row r="67" spans="1:26" s="23" customFormat="1" hidden="1" outlineLevel="2" x14ac:dyDescent="0.25">
      <c r="A67" s="25"/>
      <c r="B67" s="10" t="str">
        <f>CONCATENATE("          ", "6245", " - ", "PRINTING")</f>
        <v xml:space="preserve">          6245 - PRINTING</v>
      </c>
      <c r="C67" s="10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0"/>
      <c r="P67" s="6"/>
      <c r="Q67" s="2"/>
      <c r="R67" s="7">
        <f t="shared" si="41"/>
        <v>0</v>
      </c>
      <c r="S67" s="2"/>
      <c r="T67" s="6">
        <v>181.92</v>
      </c>
      <c r="U67" s="2"/>
      <c r="V67" s="7">
        <f t="shared" si="42"/>
        <v>3.0733299360919016E-4</v>
      </c>
      <c r="W67" s="2"/>
      <c r="X67" s="6">
        <f t="shared" si="43"/>
        <v>-181.92</v>
      </c>
      <c r="Y67" s="2"/>
      <c r="Z67" s="7">
        <f t="shared" si="44"/>
        <v>-1</v>
      </c>
    </row>
    <row r="68" spans="1:26" s="23" customFormat="1" hidden="1" outlineLevel="2" x14ac:dyDescent="0.25">
      <c r="A68" s="25"/>
      <c r="B68" s="10" t="str">
        <f>CONCATENATE("          ", "6247", " - ", "STORE SUPPLIES")</f>
        <v xml:space="preserve">          6247 - STORE SUPPLIES</v>
      </c>
      <c r="C68" s="10"/>
      <c r="D68" s="6"/>
      <c r="E68" s="2"/>
      <c r="F68" s="7">
        <f t="shared" si="37"/>
        <v>0</v>
      </c>
      <c r="G68" s="2"/>
      <c r="H68" s="6">
        <v>184.08</v>
      </c>
      <c r="I68" s="2"/>
      <c r="J68" s="7">
        <f t="shared" si="38"/>
        <v>4.6524535323313673E-3</v>
      </c>
      <c r="K68" s="2"/>
      <c r="L68" s="6">
        <f t="shared" si="39"/>
        <v>-184.08</v>
      </c>
      <c r="M68" s="2"/>
      <c r="N68" s="7">
        <f t="shared" si="40"/>
        <v>-1</v>
      </c>
      <c r="O68" s="10"/>
      <c r="P68" s="6"/>
      <c r="Q68" s="2"/>
      <c r="R68" s="7">
        <f t="shared" si="41"/>
        <v>0</v>
      </c>
      <c r="S68" s="2"/>
      <c r="T68" s="6">
        <v>3638.57</v>
      </c>
      <c r="U68" s="2"/>
      <c r="V68" s="7">
        <f t="shared" si="42"/>
        <v>6.1469470677033367E-3</v>
      </c>
      <c r="W68" s="2"/>
      <c r="X68" s="6">
        <f t="shared" si="43"/>
        <v>-3638.57</v>
      </c>
      <c r="Y68" s="2"/>
      <c r="Z68" s="7">
        <f t="shared" si="44"/>
        <v>-1</v>
      </c>
    </row>
    <row r="69" spans="1:26" s="23" customFormat="1" hidden="1" outlineLevel="2" x14ac:dyDescent="0.25">
      <c r="A69" s="25"/>
      <c r="B69" s="10" t="str">
        <f>CONCATENATE("          ", "6248", " - ", "UNIFORMS")</f>
        <v xml:space="preserve">          6248 - UNIFORMS</v>
      </c>
      <c r="C69" s="10"/>
      <c r="D69" s="6"/>
      <c r="E69" s="2"/>
      <c r="F69" s="7">
        <f t="shared" si="37"/>
        <v>0</v>
      </c>
      <c r="G69" s="2"/>
      <c r="H69" s="6">
        <v>26</v>
      </c>
      <c r="I69" s="2"/>
      <c r="J69" s="7">
        <f t="shared" si="38"/>
        <v>6.5712620513154907E-4</v>
      </c>
      <c r="K69" s="2"/>
      <c r="L69" s="6">
        <f t="shared" si="39"/>
        <v>-26</v>
      </c>
      <c r="M69" s="2"/>
      <c r="N69" s="7">
        <f t="shared" si="40"/>
        <v>-1</v>
      </c>
      <c r="O69" s="10"/>
      <c r="P69" s="6"/>
      <c r="Q69" s="2"/>
      <c r="R69" s="7">
        <f t="shared" si="41"/>
        <v>0</v>
      </c>
      <c r="S69" s="2"/>
      <c r="T69" s="6">
        <v>172.97</v>
      </c>
      <c r="U69" s="2"/>
      <c r="V69" s="7">
        <f t="shared" si="42"/>
        <v>2.9221299419844777E-4</v>
      </c>
      <c r="W69" s="2"/>
      <c r="X69" s="6">
        <f t="shared" si="43"/>
        <v>-172.97</v>
      </c>
      <c r="Y69" s="2"/>
      <c r="Z69" s="7">
        <f t="shared" si="44"/>
        <v>-1</v>
      </c>
    </row>
    <row r="70" spans="1:26" s="26" customFormat="1" outlineLevel="1" collapsed="1" x14ac:dyDescent="0.25">
      <c r="A70" s="27"/>
      <c r="B70" s="12" t="str">
        <f>CONCATENATE("     ","Telephone/Data Lines                              ")</f>
        <v xml:space="preserve">     Telephone/Data Lines                              </v>
      </c>
      <c r="C70" s="12"/>
      <c r="D70" s="1">
        <f>SUM(OSRRefD22_14x_0)</f>
        <v>0</v>
      </c>
      <c r="E70" s="1"/>
      <c r="F70" s="5">
        <f t="shared" ref="F70:F73" si="45">IF(D$12=0,0,D70/D$12)</f>
        <v>0</v>
      </c>
      <c r="G70" s="1"/>
      <c r="H70" s="1">
        <f>SUM(OSRRefH22_14x_0)</f>
        <v>0</v>
      </c>
      <c r="I70" s="1"/>
      <c r="J70" s="5">
        <f t="shared" ref="J70:J73" si="46">IF(H$12=0,0,H70/H$12)</f>
        <v>0</v>
      </c>
      <c r="K70" s="1"/>
      <c r="L70" s="1">
        <f t="shared" ref="L70:L73" si="47">+D70-H70</f>
        <v>0</v>
      </c>
      <c r="M70" s="1"/>
      <c r="N70" s="5">
        <f t="shared" ref="N70:N73" si="48">IF(H70=0,0,L70/H70)</f>
        <v>0</v>
      </c>
      <c r="O70" s="12"/>
      <c r="P70" s="1">
        <f>SUM(OSRRefP22_14x_0)</f>
        <v>0</v>
      </c>
      <c r="Q70" s="1"/>
      <c r="R70" s="5">
        <f t="shared" ref="R70:R73" si="49">IF(P$12=0,0,P70/P$12)</f>
        <v>0</v>
      </c>
      <c r="S70" s="1"/>
      <c r="T70" s="1">
        <f>SUM(OSRRefT22_14x_0)</f>
        <v>-45</v>
      </c>
      <c r="U70" s="1"/>
      <c r="V70" s="5">
        <f t="shared" ref="V70:V73" si="50">IF(T$12=0,0,T70/T$12)</f>
        <v>-7.6022343405967221E-5</v>
      </c>
      <c r="W70" s="1"/>
      <c r="X70" s="1">
        <f t="shared" ref="X70:X73" si="51">+P70-T70</f>
        <v>45</v>
      </c>
      <c r="Y70" s="1"/>
      <c r="Z70" s="5">
        <f t="shared" ref="Z70:Z73" si="52">IF(T70=0,0,X70/T70)</f>
        <v>-1</v>
      </c>
    </row>
    <row r="71" spans="1:26" s="23" customFormat="1" hidden="1" outlineLevel="2" x14ac:dyDescent="0.25">
      <c r="A71" s="25"/>
      <c r="B71" s="10" t="str">
        <f>CONCATENATE("          ", "6309", " - ", "TELEPHONE")</f>
        <v xml:space="preserve">          6309 - TELEPHONE</v>
      </c>
      <c r="C71" s="10"/>
      <c r="D71" s="6"/>
      <c r="E71" s="2"/>
      <c r="F71" s="7">
        <f t="shared" si="45"/>
        <v>0</v>
      </c>
      <c r="G71" s="2"/>
      <c r="H71" s="6">
        <v>0</v>
      </c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0"/>
      <c r="P71" s="6"/>
      <c r="Q71" s="2"/>
      <c r="R71" s="7">
        <f t="shared" si="49"/>
        <v>0</v>
      </c>
      <c r="S71" s="2"/>
      <c r="T71" s="6">
        <v>-45</v>
      </c>
      <c r="U71" s="2"/>
      <c r="V71" s="7">
        <f t="shared" si="50"/>
        <v>-7.6022343405967221E-5</v>
      </c>
      <c r="W71" s="2"/>
      <c r="X71" s="6">
        <f t="shared" si="51"/>
        <v>45</v>
      </c>
      <c r="Y71" s="2"/>
      <c r="Z71" s="7">
        <f t="shared" si="52"/>
        <v>-1</v>
      </c>
    </row>
    <row r="72" spans="1:26" s="26" customFormat="1" outlineLevel="1" collapsed="1" x14ac:dyDescent="0.25">
      <c r="A72" s="27"/>
      <c r="B72" s="12" t="str">
        <f>CONCATENATE("     ","Training                                          ")</f>
        <v xml:space="preserve">     Training                                          </v>
      </c>
      <c r="C72" s="12"/>
      <c r="D72" s="1">
        <f>SUM(OSRRefD22_15x_0)</f>
        <v>0</v>
      </c>
      <c r="E72" s="1"/>
      <c r="F72" s="5">
        <f t="shared" si="45"/>
        <v>0</v>
      </c>
      <c r="G72" s="1"/>
      <c r="H72" s="1">
        <f>SUM(OSRRefH22_15x_0)</f>
        <v>0</v>
      </c>
      <c r="I72" s="1"/>
      <c r="J72" s="5">
        <f t="shared" si="46"/>
        <v>0</v>
      </c>
      <c r="K72" s="1"/>
      <c r="L72" s="1">
        <f t="shared" si="47"/>
        <v>0</v>
      </c>
      <c r="M72" s="1"/>
      <c r="N72" s="5">
        <f t="shared" si="48"/>
        <v>0</v>
      </c>
      <c r="O72" s="12"/>
      <c r="P72" s="1">
        <f>SUM(OSRRefP22_15x_0)</f>
        <v>0</v>
      </c>
      <c r="Q72" s="1"/>
      <c r="R72" s="5">
        <f t="shared" si="49"/>
        <v>0</v>
      </c>
      <c r="S72" s="1"/>
      <c r="T72" s="1">
        <f>SUM(OSRRefT22_15x_0)</f>
        <v>96</v>
      </c>
      <c r="U72" s="1"/>
      <c r="V72" s="5">
        <f t="shared" si="50"/>
        <v>1.6218099926606342E-4</v>
      </c>
      <c r="W72" s="1"/>
      <c r="X72" s="1">
        <f t="shared" si="51"/>
        <v>-96</v>
      </c>
      <c r="Y72" s="1"/>
      <c r="Z72" s="5">
        <f t="shared" si="52"/>
        <v>-1</v>
      </c>
    </row>
    <row r="73" spans="1:26" s="23" customFormat="1" hidden="1" outlineLevel="2" x14ac:dyDescent="0.25">
      <c r="A73" s="25"/>
      <c r="B73" s="10" t="str">
        <f>CONCATENATE("          ", "6376", " - ", "TRAINING")</f>
        <v xml:space="preserve">          6376 - TRAINING</v>
      </c>
      <c r="C73" s="10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0"/>
      <c r="P73" s="6"/>
      <c r="Q73" s="2"/>
      <c r="R73" s="7">
        <f t="shared" si="49"/>
        <v>0</v>
      </c>
      <c r="S73" s="2"/>
      <c r="T73" s="6">
        <v>96</v>
      </c>
      <c r="U73" s="2"/>
      <c r="V73" s="7">
        <f t="shared" si="50"/>
        <v>1.6218099926606342E-4</v>
      </c>
      <c r="W73" s="2"/>
      <c r="X73" s="6">
        <f t="shared" si="51"/>
        <v>-96</v>
      </c>
      <c r="Y73" s="2"/>
      <c r="Z73" s="7">
        <f t="shared" si="52"/>
        <v>-1</v>
      </c>
    </row>
    <row r="74" spans="1:26" s="60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4" customFormat="1" x14ac:dyDescent="0.25">
      <c r="A75" s="11"/>
      <c r="B75" s="28" t="s">
        <v>292</v>
      </c>
      <c r="C75" s="11"/>
      <c r="D75" s="4">
        <f>SUM(0)</f>
        <v>0</v>
      </c>
      <c r="E75" s="4"/>
      <c r="F75" s="13">
        <f>IF(D$12=0,0,D75/D$12)</f>
        <v>0</v>
      </c>
      <c r="G75" s="4"/>
      <c r="H75" s="4">
        <f>SUM(0)</f>
        <v>0</v>
      </c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1"/>
      <c r="P75" s="4">
        <f>SUM(0)</f>
        <v>0</v>
      </c>
      <c r="Q75" s="4"/>
      <c r="R75" s="13">
        <f>IF(P$12=0,0,P75/P$12)</f>
        <v>0</v>
      </c>
      <c r="S75" s="4"/>
      <c r="T75" s="4">
        <f>SUM(0)</f>
        <v>0</v>
      </c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25">
      <c r="A76" s="9"/>
      <c r="B76" s="11"/>
      <c r="C76" s="11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1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x14ac:dyDescent="0.25">
      <c r="A77" s="11"/>
      <c r="B77" s="29" t="s">
        <v>276</v>
      </c>
      <c r="C77" s="29"/>
      <c r="D77" s="22">
        <f>+D20-D22+D75</f>
        <v>-1954.84</v>
      </c>
      <c r="E77" s="14"/>
      <c r="F77" s="20">
        <f>IF(D$12=0,0,D77/D$12)</f>
        <v>0</v>
      </c>
      <c r="G77" s="14"/>
      <c r="H77" s="22">
        <f>+H20-H22+H75</f>
        <v>-11495.850000000013</v>
      </c>
      <c r="I77" s="14"/>
      <c r="J77" s="20">
        <f>IF(H$12=0,0,H77/H$12)</f>
        <v>-0.29054708789467409</v>
      </c>
      <c r="K77" s="15"/>
      <c r="L77" s="22">
        <f>+D77-H77</f>
        <v>9541.010000000013</v>
      </c>
      <c r="M77" s="15"/>
      <c r="N77" s="20">
        <f>IF(H77=0,0,L77/H77)</f>
        <v>-0.82995254809344254</v>
      </c>
      <c r="O77" s="28"/>
      <c r="P77" s="22">
        <f>+P20-P22+P75</f>
        <v>-14747.62</v>
      </c>
      <c r="Q77" s="14"/>
      <c r="R77" s="20">
        <f>IF(P$12=0,0,P77/P$12)</f>
        <v>-15.12716045583695</v>
      </c>
      <c r="S77" s="14"/>
      <c r="T77" s="22">
        <f>+T20-T22+T75</f>
        <v>71579.22000000003</v>
      </c>
      <c r="U77" s="14"/>
      <c r="V77" s="20">
        <f>IF(T$12=0,0,T77/T$12)</f>
        <v>0.12092488985713955</v>
      </c>
      <c r="W77" s="15"/>
      <c r="X77" s="22">
        <f>+P77-T77</f>
        <v>-86326.840000000026</v>
      </c>
      <c r="Y77" s="15"/>
      <c r="Z77" s="20">
        <f>IF(T77=0,0,X77/T77)</f>
        <v>-1.2060321417305189</v>
      </c>
    </row>
    <row r="78" spans="1:26" x14ac:dyDescent="0.25">
      <c r="A78" s="9"/>
      <c r="B78" s="11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x14ac:dyDescent="0.25">
      <c r="A79" s="51"/>
      <c r="B79" s="11" t="s">
        <v>127</v>
      </c>
      <c r="C79" s="11"/>
      <c r="D79" s="4">
        <v>7.85</v>
      </c>
      <c r="E79" s="4"/>
      <c r="F79" s="13">
        <f>IF(D$12=0,0,D79/D$12)</f>
        <v>0</v>
      </c>
      <c r="G79" s="4"/>
      <c r="H79" s="4">
        <v>7129.95</v>
      </c>
      <c r="I79" s="4"/>
      <c r="J79" s="13">
        <f>IF(H$12=0,0,H79/H$12)</f>
        <v>0.18020296101068031</v>
      </c>
      <c r="K79" s="4"/>
      <c r="L79" s="4">
        <f>+D79-H79</f>
        <v>-7122.0999999999995</v>
      </c>
      <c r="M79" s="4"/>
      <c r="N79" s="13">
        <f>IF(H79=0,0,L79/H79)</f>
        <v>-0.99889901051199514</v>
      </c>
      <c r="O79" s="11"/>
      <c r="P79" s="4">
        <v>200.92</v>
      </c>
      <c r="Q79" s="4"/>
      <c r="R79" s="13">
        <f>IF(P$12=0,0,P79/P$12)</f>
        <v>0.2060908186396693</v>
      </c>
      <c r="S79" s="4"/>
      <c r="T79" s="4">
        <v>63426.87</v>
      </c>
      <c r="U79" s="4"/>
      <c r="V79" s="13">
        <f>IF(T$12=0,0,T79/T$12)</f>
        <v>0.10715242871790312</v>
      </c>
      <c r="W79" s="4"/>
      <c r="X79" s="4">
        <f>+P79-T79</f>
        <v>-63225.950000000004</v>
      </c>
      <c r="Y79" s="4"/>
      <c r="Z79" s="13">
        <f>IF(T79=0,0,X79/T79)</f>
        <v>-0.99683225736978665</v>
      </c>
    </row>
    <row r="80" spans="1:26" x14ac:dyDescent="0.25">
      <c r="A80" s="9"/>
      <c r="B80" s="11"/>
      <c r="C80" s="11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1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ht="15.75" thickBot="1" x14ac:dyDescent="0.3">
      <c r="A81" s="11"/>
      <c r="B81" s="29" t="s">
        <v>125</v>
      </c>
      <c r="C81" s="29"/>
      <c r="D81" s="30">
        <f>+D77-D79</f>
        <v>-1962.6899999999998</v>
      </c>
      <c r="E81" s="14"/>
      <c r="F81" s="36">
        <f>IF(D$12=0,0,D81/D$12)</f>
        <v>0</v>
      </c>
      <c r="G81" s="14"/>
      <c r="H81" s="30">
        <f>+H77-H79</f>
        <v>-18625.800000000014</v>
      </c>
      <c r="I81" s="14"/>
      <c r="J81" s="36">
        <f>IF(H$12=0,0,H81/H$12)</f>
        <v>-0.47075004890535443</v>
      </c>
      <c r="K81" s="15"/>
      <c r="L81" s="30">
        <f>D81-H81</f>
        <v>16663.110000000015</v>
      </c>
      <c r="M81" s="15"/>
      <c r="N81" s="36">
        <f>IF(H81=0,0,L81/H81)</f>
        <v>-0.89462519730696144</v>
      </c>
      <c r="O81" s="28"/>
      <c r="P81" s="30">
        <f>+P77-P79</f>
        <v>-14948.54</v>
      </c>
      <c r="Q81" s="14"/>
      <c r="R81" s="36">
        <f>IF(P$12=0,0,P81/P$12)</f>
        <v>-15.33325127447662</v>
      </c>
      <c r="S81" s="14"/>
      <c r="T81" s="30">
        <f>+T77-T79</f>
        <v>8152.3500000000276</v>
      </c>
      <c r="U81" s="14"/>
      <c r="V81" s="36">
        <f>IF(T$12=0,0,T81/T$12)</f>
        <v>1.3772461139236422E-2</v>
      </c>
      <c r="W81" s="15"/>
      <c r="X81" s="30">
        <f>P81-T81</f>
        <v>-23100.890000000029</v>
      </c>
      <c r="Y81" s="15"/>
      <c r="Z81" s="36">
        <f>IF(T81=0,0,X81/T81)</f>
        <v>-2.8336479665372498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ht="15.75" thickBot="1" x14ac:dyDescent="0.3">
      <c r="A84" s="11"/>
      <c r="B84" s="29" t="s">
        <v>293</v>
      </c>
      <c r="C84" s="29"/>
      <c r="D84" s="35">
        <f>SUM(D81:D83)</f>
        <v>-1962.6899999999998</v>
      </c>
      <c r="E84" s="14"/>
      <c r="F84" s="34">
        <f>IF(D$12=0,0,D84/D$12)</f>
        <v>0</v>
      </c>
      <c r="G84" s="14"/>
      <c r="H84" s="35">
        <f>SUM(H81:H83)</f>
        <v>-18625.800000000014</v>
      </c>
      <c r="I84" s="14"/>
      <c r="J84" s="34">
        <f>IF(H$12=0,0,H84/H$12)</f>
        <v>-0.47075004890535443</v>
      </c>
      <c r="K84" s="15"/>
      <c r="L84" s="35">
        <f>+D84-H84</f>
        <v>16663.110000000015</v>
      </c>
      <c r="M84" s="15"/>
      <c r="N84" s="34">
        <f>IF(H84=0,0,L84/H84)</f>
        <v>-0.89462519730696144</v>
      </c>
      <c r="O84" s="28"/>
      <c r="P84" s="35">
        <f>SUM(P81:P83)</f>
        <v>-14948.54</v>
      </c>
      <c r="Q84" s="14"/>
      <c r="R84" s="34">
        <f>IF(P$12=0,0,P84/P$12)</f>
        <v>-15.33325127447662</v>
      </c>
      <c r="S84" s="14"/>
      <c r="T84" s="35">
        <f>SUM(T81:T83)</f>
        <v>8152.3500000000276</v>
      </c>
      <c r="U84" s="14"/>
      <c r="V84" s="34">
        <f>IF(T$12=0,0,T84/T$12)</f>
        <v>1.3772461139236422E-2</v>
      </c>
      <c r="W84" s="15"/>
      <c r="X84" s="35">
        <f>+P84-T84</f>
        <v>-23100.890000000029</v>
      </c>
      <c r="Y84" s="15"/>
      <c r="Z84" s="34">
        <f>IF(T84=0,0,X84/T84)</f>
        <v>-2.8336479665372498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4">
        <v>44295.963243634258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8" t="s">
        <v>56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2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","415", " - ", "Outpost")</f>
        <v>Department 415 - Outpost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5482.18</v>
      </c>
      <c r="E12" s="4"/>
      <c r="F12" s="13"/>
      <c r="G12" s="4"/>
      <c r="H12" s="4">
        <f>SUM(OSRRefH13x_0)</f>
        <v>43920.36</v>
      </c>
      <c r="I12" s="4"/>
      <c r="J12" s="13"/>
      <c r="K12" s="4"/>
      <c r="L12" s="4">
        <f t="shared" ref="L12:L14" si="0">+D12-H12</f>
        <v>-38438.18</v>
      </c>
      <c r="M12" s="4"/>
      <c r="N12" s="13">
        <f t="shared" ref="N12:N14" si="1">IF(H12=0,0,L12/H12)</f>
        <v>-0.87517907412416474</v>
      </c>
      <c r="O12" s="11"/>
      <c r="P12" s="4">
        <f>SUM(OSRRefP13x_0)</f>
        <v>50617.880000000005</v>
      </c>
      <c r="Q12" s="4"/>
      <c r="R12" s="13"/>
      <c r="S12" s="4"/>
      <c r="T12" s="4">
        <f>SUM(OSRRefT13x_0)</f>
        <v>651784.93999999994</v>
      </c>
      <c r="U12" s="4"/>
      <c r="V12" s="13"/>
      <c r="W12" s="4"/>
      <c r="X12" s="4">
        <f t="shared" ref="X12:X14" si="2">+P12-T12</f>
        <v>-601167.05999999994</v>
      </c>
      <c r="Y12" s="4"/>
      <c r="Z12" s="13">
        <f t="shared" ref="Z12:Z14" si="3">IF(T12=0,0,X12/T12)</f>
        <v>-0.92233959870260274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--2604.58</f>
        <v>2604.58</v>
      </c>
      <c r="E13" s="2"/>
      <c r="F13" s="19"/>
      <c r="G13" s="2"/>
      <c r="H13" s="2">
        <f>--14709.97</f>
        <v>14709.97</v>
      </c>
      <c r="I13" s="2"/>
      <c r="J13" s="19"/>
      <c r="K13" s="2"/>
      <c r="L13" s="2">
        <f t="shared" si="0"/>
        <v>-12105.39</v>
      </c>
      <c r="M13" s="2"/>
      <c r="N13" s="19">
        <f t="shared" si="1"/>
        <v>-0.82293777621572306</v>
      </c>
      <c r="O13" s="10"/>
      <c r="P13" s="2">
        <f>--25569.06</f>
        <v>25569.06</v>
      </c>
      <c r="Q13" s="2"/>
      <c r="R13" s="19"/>
      <c r="S13" s="2"/>
      <c r="T13" s="2">
        <f>--203771.51</f>
        <v>203771.51</v>
      </c>
      <c r="U13" s="2"/>
      <c r="V13" s="19"/>
      <c r="W13" s="2"/>
      <c r="X13" s="2">
        <f t="shared" si="2"/>
        <v>-178202.45</v>
      </c>
      <c r="Y13" s="2"/>
      <c r="Z13" s="19">
        <f t="shared" si="3"/>
        <v>-0.87452092787652214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>--2877.6</f>
        <v>2877.6</v>
      </c>
      <c r="E14" s="2"/>
      <c r="F14" s="19"/>
      <c r="G14" s="2"/>
      <c r="H14" s="2">
        <f>--29210.39</f>
        <v>29210.39</v>
      </c>
      <c r="I14" s="2"/>
      <c r="J14" s="19"/>
      <c r="K14" s="2"/>
      <c r="L14" s="2">
        <f t="shared" si="0"/>
        <v>-26332.79</v>
      </c>
      <c r="M14" s="2"/>
      <c r="N14" s="19">
        <f t="shared" si="1"/>
        <v>-0.90148710784073749</v>
      </c>
      <c r="O14" s="10"/>
      <c r="P14" s="2">
        <f>--25048.82</f>
        <v>25048.82</v>
      </c>
      <c r="Q14" s="2"/>
      <c r="R14" s="19"/>
      <c r="S14" s="2"/>
      <c r="T14" s="2">
        <f>--448013.43</f>
        <v>448013.43</v>
      </c>
      <c r="U14" s="2"/>
      <c r="V14" s="19"/>
      <c r="W14" s="2"/>
      <c r="X14" s="2">
        <f t="shared" si="2"/>
        <v>-422964.61</v>
      </c>
      <c r="Y14" s="2"/>
      <c r="Z14" s="19">
        <f t="shared" si="3"/>
        <v>-0.94408913143518935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684.79</v>
      </c>
      <c r="E16" s="4"/>
      <c r="F16" s="13">
        <f t="shared" ref="F16:F18" si="4">IF(D$12=0,0,D16/D$12)</f>
        <v>0.12491198756698976</v>
      </c>
      <c r="G16" s="4"/>
      <c r="H16" s="4">
        <f>SUM(OSRRefH16x_0)</f>
        <v>14142.3</v>
      </c>
      <c r="I16" s="4"/>
      <c r="J16" s="13">
        <f t="shared" ref="J16:J18" si="5">IF(H$12=0,0,H16/H$12)</f>
        <v>0.32199872678639246</v>
      </c>
      <c r="K16" s="4"/>
      <c r="L16" s="4">
        <f t="shared" ref="L16:L18" si="6">+D16-H16</f>
        <v>-13457.509999999998</v>
      </c>
      <c r="M16" s="4"/>
      <c r="N16" s="13">
        <f t="shared" ref="N16:N18" si="7">IF(H16=0,0,L16/H16)</f>
        <v>-0.95157859754071117</v>
      </c>
      <c r="O16" s="11"/>
      <c r="P16" s="4">
        <f>SUM(OSRRefP16x_0)</f>
        <v>21278.14</v>
      </c>
      <c r="Q16" s="4"/>
      <c r="R16" s="13">
        <f t="shared" ref="R16:R18" si="8">IF(P$12=0,0,P16/P$12)</f>
        <v>0.42036805966587298</v>
      </c>
      <c r="S16" s="4"/>
      <c r="T16" s="4">
        <f>SUM(OSRRefT16x_0)</f>
        <v>208749.48</v>
      </c>
      <c r="U16" s="4"/>
      <c r="V16" s="13">
        <f t="shared" ref="V16:V18" si="9">IF(T$12=0,0,T16/T$12)</f>
        <v>0.320273555261955</v>
      </c>
      <c r="W16" s="4"/>
      <c r="X16" s="4">
        <f t="shared" ref="X16:X18" si="10">+P16-T16</f>
        <v>-187471.34000000003</v>
      </c>
      <c r="Y16" s="4"/>
      <c r="Z16" s="13">
        <f t="shared" ref="Z16:Z18" si="11">IF(T16=0,0,X16/T16)</f>
        <v>-0.89806853650605512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1183.79</v>
      </c>
      <c r="E17" s="2"/>
      <c r="F17" s="19">
        <f t="shared" si="4"/>
        <v>0.21593417217238395</v>
      </c>
      <c r="G17" s="2"/>
      <c r="H17" s="2">
        <v>16997.3</v>
      </c>
      <c r="I17" s="2"/>
      <c r="J17" s="19">
        <f t="shared" si="5"/>
        <v>0.38700274770061083</v>
      </c>
      <c r="K17" s="2"/>
      <c r="L17" s="2">
        <f t="shared" si="6"/>
        <v>-15813.509999999998</v>
      </c>
      <c r="M17" s="2"/>
      <c r="N17" s="19">
        <f t="shared" si="7"/>
        <v>-0.93035423273108075</v>
      </c>
      <c r="O17" s="10"/>
      <c r="P17" s="2">
        <v>16028.06</v>
      </c>
      <c r="Q17" s="2"/>
      <c r="R17" s="19">
        <f t="shared" si="8"/>
        <v>0.31664818834767472</v>
      </c>
      <c r="S17" s="2"/>
      <c r="T17" s="2">
        <v>214227.48</v>
      </c>
      <c r="U17" s="2"/>
      <c r="V17" s="19">
        <f t="shared" si="9"/>
        <v>0.32867816798590044</v>
      </c>
      <c r="W17" s="2"/>
      <c r="X17" s="2">
        <f t="shared" si="10"/>
        <v>-198199.42</v>
      </c>
      <c r="Y17" s="2"/>
      <c r="Z17" s="19">
        <f t="shared" si="11"/>
        <v>-0.92518205414170018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>
        <v>-499</v>
      </c>
      <c r="E18" s="2"/>
      <c r="F18" s="19">
        <f t="shared" si="4"/>
        <v>-9.1022184605394199E-2</v>
      </c>
      <c r="G18" s="2"/>
      <c r="H18" s="2">
        <v>-2855</v>
      </c>
      <c r="I18" s="2"/>
      <c r="J18" s="19">
        <f t="shared" si="5"/>
        <v>-6.5004020914218377E-2</v>
      </c>
      <c r="K18" s="2"/>
      <c r="L18" s="2">
        <f t="shared" si="6"/>
        <v>2356</v>
      </c>
      <c r="M18" s="2"/>
      <c r="N18" s="19">
        <f t="shared" si="7"/>
        <v>-0.8252189141856392</v>
      </c>
      <c r="O18" s="10"/>
      <c r="P18" s="2">
        <v>5250.08</v>
      </c>
      <c r="Q18" s="2"/>
      <c r="R18" s="19">
        <f t="shared" si="8"/>
        <v>0.10371987131819822</v>
      </c>
      <c r="S18" s="2"/>
      <c r="T18" s="2">
        <v>-5478</v>
      </c>
      <c r="U18" s="2"/>
      <c r="V18" s="19">
        <f t="shared" si="9"/>
        <v>-8.404612723945418E-3</v>
      </c>
      <c r="W18" s="2"/>
      <c r="X18" s="2">
        <f t="shared" si="10"/>
        <v>10728.08</v>
      </c>
      <c r="Y18" s="2"/>
      <c r="Z18" s="19">
        <f t="shared" si="11"/>
        <v>-1.9583935742971887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4797.3900000000003</v>
      </c>
      <c r="E20" s="14"/>
      <c r="F20" s="20">
        <f>IF(D$12=0,0,D20/D$12)</f>
        <v>0.87508801243301026</v>
      </c>
      <c r="G20" s="14"/>
      <c r="H20" s="22">
        <f>H12-H16</f>
        <v>29778.06</v>
      </c>
      <c r="I20" s="14"/>
      <c r="J20" s="20">
        <f>IF(H$12=0,0,H20/H$12)</f>
        <v>0.67800127321360759</v>
      </c>
      <c r="K20" s="15"/>
      <c r="L20" s="22">
        <f>+D20-H20</f>
        <v>-24980.670000000002</v>
      </c>
      <c r="M20" s="15"/>
      <c r="N20" s="20">
        <f>IF(H20=0,0,L20/H20)</f>
        <v>-0.83889514629227024</v>
      </c>
      <c r="O20" s="28"/>
      <c r="P20" s="22">
        <f>P12-P16</f>
        <v>29339.740000000005</v>
      </c>
      <c r="Q20" s="14"/>
      <c r="R20" s="20">
        <f>IF(P$12=0,0,P20/P$12)</f>
        <v>0.57963194033412702</v>
      </c>
      <c r="S20" s="14"/>
      <c r="T20" s="22">
        <f>T12-T16</f>
        <v>443035.45999999996</v>
      </c>
      <c r="U20" s="14"/>
      <c r="V20" s="20">
        <f>IF(T$12=0,0,T20/T$12)</f>
        <v>0.679726444738045</v>
      </c>
      <c r="W20" s="15"/>
      <c r="X20" s="22">
        <f>+P20-T20</f>
        <v>-413695.72</v>
      </c>
      <c r="Y20" s="15"/>
      <c r="Z20" s="20">
        <f>IF(T20=0,0,X20/T20)</f>
        <v>-0.93377563953910148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47181.179999999993</v>
      </c>
      <c r="E22" s="21"/>
      <c r="F22" s="31">
        <f t="shared" ref="F22:F31" si="12">IF(D$12=0,0,D22/D$12)</f>
        <v>8.6062807131469583</v>
      </c>
      <c r="G22" s="21"/>
      <c r="H22" s="21">
        <f>SUM(OSRRefH22x_0)</f>
        <v>75951.78</v>
      </c>
      <c r="I22" s="21"/>
      <c r="J22" s="31">
        <f t="shared" ref="J22:J31" si="13">IF(H$12=0,0,H22/H$12)</f>
        <v>1.7293068636049431</v>
      </c>
      <c r="K22" s="4"/>
      <c r="L22" s="21">
        <f t="shared" ref="L22:L31" si="14">+D22-H22</f>
        <v>-28770.600000000006</v>
      </c>
      <c r="M22" s="4"/>
      <c r="N22" s="31">
        <f t="shared" ref="N22:N31" si="15">IF(H22=0,0,L22/H22)</f>
        <v>-0.37880086549650327</v>
      </c>
      <c r="O22" s="11"/>
      <c r="P22" s="21">
        <f>SUM(OSRRefP22x_0)</f>
        <v>542280.95000000007</v>
      </c>
      <c r="Q22" s="21"/>
      <c r="R22" s="31">
        <f t="shared" ref="R22:R31" si="16">IF(P$12=0,0,P22/P$12)</f>
        <v>10.713229198852265</v>
      </c>
      <c r="S22" s="21"/>
      <c r="T22" s="21">
        <f>SUM(OSRRefT22x_0)</f>
        <v>641313.94000000018</v>
      </c>
      <c r="U22" s="21"/>
      <c r="V22" s="31">
        <f t="shared" ref="V22:V31" si="17">IF(T$12=0,0,T22/T$12)</f>
        <v>0.98393488502511306</v>
      </c>
      <c r="W22" s="4"/>
      <c r="X22" s="21">
        <f t="shared" ref="X22:X31" si="18">+P22-T22</f>
        <v>-99032.990000000107</v>
      </c>
      <c r="Y22" s="4"/>
      <c r="Z22" s="31">
        <f t="shared" ref="Z22:Z31" si="19">IF(T22=0,0,X22/T22)</f>
        <v>-0.15442201365527791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13097.210000000001</v>
      </c>
      <c r="E23" s="1"/>
      <c r="F23" s="5">
        <f t="shared" si="12"/>
        <v>2.3890514357427155</v>
      </c>
      <c r="G23" s="1"/>
      <c r="H23" s="1">
        <f>SUM(OSRRefH22_0x_0)</f>
        <v>9387.2799999999988</v>
      </c>
      <c r="I23" s="1"/>
      <c r="J23" s="5">
        <f t="shared" si="13"/>
        <v>0.2137341315052973</v>
      </c>
      <c r="K23" s="1"/>
      <c r="L23" s="1">
        <f t="shared" si="14"/>
        <v>3709.9300000000021</v>
      </c>
      <c r="M23" s="1"/>
      <c r="N23" s="5">
        <f t="shared" si="15"/>
        <v>0.39520819662351636</v>
      </c>
      <c r="O23" s="12"/>
      <c r="P23" s="1">
        <f>SUM(OSRRefP22_0x_0)</f>
        <v>120349.29000000001</v>
      </c>
      <c r="Q23" s="1"/>
      <c r="R23" s="5">
        <f t="shared" si="16"/>
        <v>2.3776043168935561</v>
      </c>
      <c r="S23" s="1"/>
      <c r="T23" s="1">
        <f>SUM(OSRRefT22_0x_0)</f>
        <v>73934.570000000007</v>
      </c>
      <c r="U23" s="1"/>
      <c r="V23" s="5">
        <f t="shared" si="17"/>
        <v>0.11343399557528901</v>
      </c>
      <c r="W23" s="1"/>
      <c r="X23" s="1">
        <f t="shared" si="18"/>
        <v>46414.720000000001</v>
      </c>
      <c r="Y23" s="1"/>
      <c r="Z23" s="5">
        <f t="shared" si="19"/>
        <v>0.62778102313978423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>
        <v>1477.09</v>
      </c>
      <c r="E24" s="2"/>
      <c r="F24" s="7">
        <f t="shared" si="12"/>
        <v>0.26943478689134609</v>
      </c>
      <c r="G24" s="2"/>
      <c r="H24" s="6">
        <v>1536.21</v>
      </c>
      <c r="I24" s="2"/>
      <c r="J24" s="7">
        <f t="shared" si="13"/>
        <v>3.4977172318259683E-2</v>
      </c>
      <c r="K24" s="2"/>
      <c r="L24" s="6">
        <f t="shared" si="14"/>
        <v>-59.120000000000118</v>
      </c>
      <c r="M24" s="2"/>
      <c r="N24" s="7">
        <f t="shared" si="15"/>
        <v>-3.8484321804961634E-2</v>
      </c>
      <c r="O24" s="10"/>
      <c r="P24" s="6">
        <v>13567.08</v>
      </c>
      <c r="Q24" s="2"/>
      <c r="R24" s="7">
        <f t="shared" si="16"/>
        <v>0.26802939988794472</v>
      </c>
      <c r="S24" s="2"/>
      <c r="T24" s="6">
        <v>12595.57</v>
      </c>
      <c r="U24" s="2"/>
      <c r="V24" s="7">
        <f t="shared" si="17"/>
        <v>1.9324733093710328E-2</v>
      </c>
      <c r="W24" s="2"/>
      <c r="X24" s="6">
        <f t="shared" si="18"/>
        <v>971.51000000000022</v>
      </c>
      <c r="Y24" s="2"/>
      <c r="Z24" s="7">
        <f t="shared" si="19"/>
        <v>7.713108656456201E-2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>
        <v>574.47</v>
      </c>
      <c r="E25" s="2"/>
      <c r="F25" s="7">
        <f t="shared" si="12"/>
        <v>0.10478860599250663</v>
      </c>
      <c r="G25" s="2"/>
      <c r="H25" s="6">
        <v>1238.6099999999999</v>
      </c>
      <c r="I25" s="2"/>
      <c r="J25" s="7">
        <f t="shared" si="13"/>
        <v>2.8201271574276709E-2</v>
      </c>
      <c r="K25" s="2"/>
      <c r="L25" s="6">
        <f t="shared" si="14"/>
        <v>-664.13999999999987</v>
      </c>
      <c r="M25" s="2"/>
      <c r="N25" s="7">
        <f t="shared" si="15"/>
        <v>-0.53619783466950854</v>
      </c>
      <c r="O25" s="10"/>
      <c r="P25" s="6">
        <v>5926.39</v>
      </c>
      <c r="Q25" s="2"/>
      <c r="R25" s="7">
        <f t="shared" si="16"/>
        <v>0.11708096032469159</v>
      </c>
      <c r="S25" s="2"/>
      <c r="T25" s="6">
        <v>7299.27</v>
      </c>
      <c r="U25" s="2"/>
      <c r="V25" s="7">
        <f t="shared" si="17"/>
        <v>1.1198893303671608E-2</v>
      </c>
      <c r="W25" s="2"/>
      <c r="X25" s="6">
        <f t="shared" si="18"/>
        <v>-1372.88</v>
      </c>
      <c r="Y25" s="2"/>
      <c r="Z25" s="7">
        <f t="shared" si="19"/>
        <v>-0.18808456188084563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>
        <v>6634.06</v>
      </c>
      <c r="E26" s="2"/>
      <c r="F26" s="7">
        <f t="shared" si="12"/>
        <v>1.210113494996516</v>
      </c>
      <c r="G26" s="2"/>
      <c r="H26" s="6">
        <v>3278.87</v>
      </c>
      <c r="I26" s="2"/>
      <c r="J26" s="7">
        <f t="shared" si="13"/>
        <v>7.4654898092820735E-2</v>
      </c>
      <c r="K26" s="2"/>
      <c r="L26" s="6">
        <f t="shared" si="14"/>
        <v>3355.1900000000005</v>
      </c>
      <c r="M26" s="2"/>
      <c r="N26" s="7">
        <f t="shared" si="15"/>
        <v>1.0232763116561501</v>
      </c>
      <c r="O26" s="10"/>
      <c r="P26" s="6">
        <v>60833.57</v>
      </c>
      <c r="Q26" s="2"/>
      <c r="R26" s="7">
        <f t="shared" si="16"/>
        <v>1.2018197917415743</v>
      </c>
      <c r="S26" s="2"/>
      <c r="T26" s="6">
        <v>28393.29</v>
      </c>
      <c r="U26" s="2"/>
      <c r="V26" s="7">
        <f t="shared" si="17"/>
        <v>4.3562359694901825E-2</v>
      </c>
      <c r="W26" s="2"/>
      <c r="X26" s="6">
        <f t="shared" si="18"/>
        <v>32440.28</v>
      </c>
      <c r="Y26" s="2"/>
      <c r="Z26" s="7">
        <f t="shared" si="19"/>
        <v>1.1425333238944835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>
        <v>49.75</v>
      </c>
      <c r="E27" s="2"/>
      <c r="F27" s="7">
        <f t="shared" si="12"/>
        <v>9.0748570824015252E-3</v>
      </c>
      <c r="G27" s="2"/>
      <c r="H27" s="6">
        <v>89.75</v>
      </c>
      <c r="I27" s="2"/>
      <c r="J27" s="7">
        <f t="shared" si="13"/>
        <v>2.043471410525779E-3</v>
      </c>
      <c r="K27" s="2"/>
      <c r="L27" s="6">
        <f t="shared" si="14"/>
        <v>-40</v>
      </c>
      <c r="M27" s="2"/>
      <c r="N27" s="7">
        <f t="shared" si="15"/>
        <v>-0.44568245125348188</v>
      </c>
      <c r="O27" s="10"/>
      <c r="P27" s="6">
        <v>522.26</v>
      </c>
      <c r="Q27" s="2"/>
      <c r="R27" s="7">
        <f t="shared" si="16"/>
        <v>1.0317698015009714E-2</v>
      </c>
      <c r="S27" s="2"/>
      <c r="T27" s="6">
        <v>594.47</v>
      </c>
      <c r="U27" s="2"/>
      <c r="V27" s="7">
        <f t="shared" si="17"/>
        <v>9.1206464512665801E-4</v>
      </c>
      <c r="W27" s="2"/>
      <c r="X27" s="6">
        <f t="shared" si="18"/>
        <v>-72.210000000000036</v>
      </c>
      <c r="Y27" s="2"/>
      <c r="Z27" s="7">
        <f t="shared" si="19"/>
        <v>-0.12146954429996473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>
        <v>1562.6</v>
      </c>
      <c r="E28" s="2"/>
      <c r="F28" s="7">
        <f t="shared" si="12"/>
        <v>0.28503259652182156</v>
      </c>
      <c r="G28" s="2"/>
      <c r="H28" s="6">
        <v>467.22</v>
      </c>
      <c r="I28" s="2"/>
      <c r="J28" s="7">
        <f t="shared" si="13"/>
        <v>1.0637890946249074E-2</v>
      </c>
      <c r="K28" s="2"/>
      <c r="L28" s="6">
        <f t="shared" si="14"/>
        <v>1095.3799999999999</v>
      </c>
      <c r="M28" s="2"/>
      <c r="N28" s="7">
        <f t="shared" si="15"/>
        <v>2.3444629938786865</v>
      </c>
      <c r="O28" s="10"/>
      <c r="P28" s="6">
        <v>14428.28</v>
      </c>
      <c r="Q28" s="2"/>
      <c r="R28" s="7">
        <f t="shared" si="16"/>
        <v>0.28504315076016618</v>
      </c>
      <c r="S28" s="2"/>
      <c r="T28" s="6">
        <v>5625.04</v>
      </c>
      <c r="U28" s="2"/>
      <c r="V28" s="7">
        <f t="shared" si="17"/>
        <v>8.6302086083793229E-3</v>
      </c>
      <c r="W28" s="2"/>
      <c r="X28" s="6">
        <f t="shared" si="18"/>
        <v>8803.2400000000016</v>
      </c>
      <c r="Y28" s="2"/>
      <c r="Z28" s="7">
        <f t="shared" si="19"/>
        <v>1.5650093154893123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>
        <v>1440.4</v>
      </c>
      <c r="E29" s="2"/>
      <c r="F29" s="7">
        <f t="shared" si="12"/>
        <v>0.26274219379881725</v>
      </c>
      <c r="G29" s="2"/>
      <c r="H29" s="6">
        <v>1066.04</v>
      </c>
      <c r="I29" s="2"/>
      <c r="J29" s="7">
        <f t="shared" si="13"/>
        <v>2.4272114345146534E-2</v>
      </c>
      <c r="K29" s="2"/>
      <c r="L29" s="6">
        <f t="shared" si="14"/>
        <v>374.36000000000013</v>
      </c>
      <c r="M29" s="2"/>
      <c r="N29" s="7">
        <f t="shared" si="15"/>
        <v>0.35116881167686026</v>
      </c>
      <c r="O29" s="10"/>
      <c r="P29" s="6">
        <v>13098.28</v>
      </c>
      <c r="Q29" s="2"/>
      <c r="R29" s="7">
        <f t="shared" si="16"/>
        <v>0.25876785041175171</v>
      </c>
      <c r="S29" s="2"/>
      <c r="T29" s="6">
        <v>8283.65</v>
      </c>
      <c r="U29" s="2"/>
      <c r="V29" s="7">
        <f t="shared" si="17"/>
        <v>1.2709176741641192E-2</v>
      </c>
      <c r="W29" s="2"/>
      <c r="X29" s="6">
        <f t="shared" si="18"/>
        <v>4814.630000000001</v>
      </c>
      <c r="Y29" s="2"/>
      <c r="Z29" s="7">
        <f t="shared" si="19"/>
        <v>0.58122083863997165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>
        <v>872.28</v>
      </c>
      <c r="E30" s="2"/>
      <c r="F30" s="7">
        <f t="shared" si="12"/>
        <v>0.15911188614748145</v>
      </c>
      <c r="G30" s="2"/>
      <c r="H30" s="6">
        <v>1469.19</v>
      </c>
      <c r="I30" s="2"/>
      <c r="J30" s="7">
        <f t="shared" si="13"/>
        <v>3.3451228541842556E-2</v>
      </c>
      <c r="K30" s="2"/>
      <c r="L30" s="6">
        <f t="shared" si="14"/>
        <v>-596.91000000000008</v>
      </c>
      <c r="M30" s="2"/>
      <c r="N30" s="7">
        <f t="shared" si="15"/>
        <v>-0.40628509586915246</v>
      </c>
      <c r="O30" s="10"/>
      <c r="P30" s="6">
        <v>8201.44</v>
      </c>
      <c r="Q30" s="2"/>
      <c r="R30" s="7">
        <f t="shared" si="16"/>
        <v>0.16202654081917298</v>
      </c>
      <c r="S30" s="2"/>
      <c r="T30" s="6">
        <v>8237.01</v>
      </c>
      <c r="U30" s="2"/>
      <c r="V30" s="7">
        <f t="shared" si="17"/>
        <v>1.2637619396361016E-2</v>
      </c>
      <c r="W30" s="2"/>
      <c r="X30" s="6">
        <f t="shared" si="18"/>
        <v>-35.569999999999709</v>
      </c>
      <c r="Y30" s="2"/>
      <c r="Z30" s="7">
        <f t="shared" si="19"/>
        <v>-4.3183145340359797E-3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>
        <v>486.56</v>
      </c>
      <c r="E31" s="2"/>
      <c r="F31" s="7">
        <f t="shared" si="12"/>
        <v>8.8753014311824849E-2</v>
      </c>
      <c r="G31" s="2"/>
      <c r="H31" s="6">
        <v>241.39</v>
      </c>
      <c r="I31" s="2"/>
      <c r="J31" s="7">
        <f t="shared" si="13"/>
        <v>5.4960842761762425E-3</v>
      </c>
      <c r="K31" s="2"/>
      <c r="L31" s="6">
        <f t="shared" si="14"/>
        <v>245.17000000000002</v>
      </c>
      <c r="M31" s="2"/>
      <c r="N31" s="7">
        <f t="shared" si="15"/>
        <v>1.0156593065164259</v>
      </c>
      <c r="O31" s="10"/>
      <c r="P31" s="6">
        <v>3771.99</v>
      </c>
      <c r="Q31" s="2"/>
      <c r="R31" s="7">
        <f t="shared" si="16"/>
        <v>7.4518924933244926E-2</v>
      </c>
      <c r="S31" s="2"/>
      <c r="T31" s="6">
        <v>2906.27</v>
      </c>
      <c r="U31" s="2"/>
      <c r="V31" s="7">
        <f t="shared" si="17"/>
        <v>4.4589400914970519E-3</v>
      </c>
      <c r="W31" s="2"/>
      <c r="X31" s="6">
        <f t="shared" si="18"/>
        <v>865.7199999999998</v>
      </c>
      <c r="Y31" s="2"/>
      <c r="Z31" s="7">
        <f t="shared" si="19"/>
        <v>0.29788010061006026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17382.68</v>
      </c>
      <c r="E32" s="1"/>
      <c r="F32" s="5">
        <f t="shared" ref="F32:F38" si="20">IF(D$12=0,0,D32/D$12)</f>
        <v>3.1707605368667209</v>
      </c>
      <c r="G32" s="1"/>
      <c r="H32" s="1">
        <f>SUM(OSRRefH22_1x_0)</f>
        <v>31070.809999999998</v>
      </c>
      <c r="I32" s="1"/>
      <c r="J32" s="5">
        <f t="shared" ref="J32:J38" si="21">IF(H$12=0,0,H32/H$12)</f>
        <v>0.70743523049446766</v>
      </c>
      <c r="K32" s="1"/>
      <c r="L32" s="1">
        <f t="shared" ref="L32:L38" si="22">+D32-H32</f>
        <v>-13688.129999999997</v>
      </c>
      <c r="M32" s="1"/>
      <c r="N32" s="5">
        <f t="shared" ref="N32:N38" si="23">IF(H32=0,0,L32/H32)</f>
        <v>-0.44054628765712894</v>
      </c>
      <c r="O32" s="12"/>
      <c r="P32" s="1">
        <f>SUM(OSRRefP22_1x_0)</f>
        <v>155530.29</v>
      </c>
      <c r="Q32" s="1"/>
      <c r="R32" s="5">
        <f t="shared" ref="R32:R38" si="24">IF(P$12=0,0,P32/P$12)</f>
        <v>3.0726354007714267</v>
      </c>
      <c r="S32" s="1"/>
      <c r="T32" s="1">
        <f>SUM(OSRRefT22_1x_0)</f>
        <v>223190.36</v>
      </c>
      <c r="U32" s="1"/>
      <c r="V32" s="5">
        <f t="shared" ref="V32:V38" si="25">IF(T$12=0,0,T32/T$12)</f>
        <v>0.3424294522668781</v>
      </c>
      <c r="W32" s="1"/>
      <c r="X32" s="1">
        <f t="shared" ref="X32:X38" si="26">+P32-T32</f>
        <v>-67660.069999999978</v>
      </c>
      <c r="Y32" s="1"/>
      <c r="Z32" s="5">
        <f t="shared" ref="Z32:Z38" si="27">IF(T32=0,0,X32/T32)</f>
        <v>-0.30314960735759366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>
        <v>14052.4</v>
      </c>
      <c r="E33" s="2"/>
      <c r="F33" s="7">
        <f t="shared" si="20"/>
        <v>2.5632868676329488</v>
      </c>
      <c r="G33" s="2"/>
      <c r="H33" s="6">
        <v>4561.96</v>
      </c>
      <c r="I33" s="2"/>
      <c r="J33" s="7">
        <f t="shared" si="21"/>
        <v>0.10386891182130566</v>
      </c>
      <c r="K33" s="2"/>
      <c r="L33" s="6">
        <f t="shared" si="22"/>
        <v>9490.4399999999987</v>
      </c>
      <c r="M33" s="2"/>
      <c r="N33" s="7">
        <f t="shared" si="23"/>
        <v>2.0803426597339736</v>
      </c>
      <c r="O33" s="10"/>
      <c r="P33" s="6">
        <v>127443.21</v>
      </c>
      <c r="Q33" s="2"/>
      <c r="R33" s="7">
        <f t="shared" si="24"/>
        <v>2.5177508421925214</v>
      </c>
      <c r="S33" s="2"/>
      <c r="T33" s="6">
        <v>45726.9</v>
      </c>
      <c r="U33" s="2"/>
      <c r="V33" s="7">
        <f t="shared" si="25"/>
        <v>7.0156423068013826E-2</v>
      </c>
      <c r="W33" s="2"/>
      <c r="X33" s="6">
        <f t="shared" si="26"/>
        <v>81716.31</v>
      </c>
      <c r="Y33" s="2"/>
      <c r="Z33" s="7">
        <f t="shared" si="27"/>
        <v>1.7870511668186559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>
        <v>2789.95</v>
      </c>
      <c r="E34" s="2"/>
      <c r="F34" s="7">
        <f t="shared" si="20"/>
        <v>0.50891251290544992</v>
      </c>
      <c r="G34" s="2"/>
      <c r="H34" s="6">
        <v>3233.79</v>
      </c>
      <c r="I34" s="2"/>
      <c r="J34" s="7">
        <f t="shared" si="21"/>
        <v>7.3628494848402878E-2</v>
      </c>
      <c r="K34" s="2"/>
      <c r="L34" s="6">
        <f t="shared" si="22"/>
        <v>-443.84000000000015</v>
      </c>
      <c r="M34" s="2"/>
      <c r="N34" s="7">
        <f t="shared" si="23"/>
        <v>-0.13725071819753298</v>
      </c>
      <c r="O34" s="10"/>
      <c r="P34" s="6">
        <v>24559.33</v>
      </c>
      <c r="Q34" s="2"/>
      <c r="R34" s="7">
        <f t="shared" si="24"/>
        <v>0.4851908060946053</v>
      </c>
      <c r="S34" s="2"/>
      <c r="T34" s="6">
        <v>29262.05</v>
      </c>
      <c r="U34" s="2"/>
      <c r="V34" s="7">
        <f t="shared" si="25"/>
        <v>4.4895253333100946E-2</v>
      </c>
      <c r="W34" s="2"/>
      <c r="X34" s="6">
        <f t="shared" si="26"/>
        <v>-4702.7199999999975</v>
      </c>
      <c r="Y34" s="2"/>
      <c r="Z34" s="7">
        <f t="shared" si="27"/>
        <v>-0.16071054488663636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>
        <v>172.33</v>
      </c>
      <c r="E35" s="2"/>
      <c r="F35" s="7">
        <f t="shared" si="20"/>
        <v>3.1434575296688541E-2</v>
      </c>
      <c r="G35" s="2"/>
      <c r="H35" s="6">
        <v>11599.64</v>
      </c>
      <c r="I35" s="2"/>
      <c r="J35" s="7">
        <f t="shared" si="21"/>
        <v>0.26410621406564061</v>
      </c>
      <c r="K35" s="2"/>
      <c r="L35" s="6">
        <f t="shared" si="22"/>
        <v>-11427.31</v>
      </c>
      <c r="M35" s="2"/>
      <c r="N35" s="7">
        <f t="shared" si="23"/>
        <v>-0.98514350445358645</v>
      </c>
      <c r="O35" s="10"/>
      <c r="P35" s="6">
        <v>2604.04</v>
      </c>
      <c r="Q35" s="2"/>
      <c r="R35" s="7">
        <f t="shared" si="24"/>
        <v>5.1445062495703096E-2</v>
      </c>
      <c r="S35" s="2"/>
      <c r="T35" s="6">
        <v>71622.42</v>
      </c>
      <c r="U35" s="2"/>
      <c r="V35" s="7">
        <f t="shared" si="25"/>
        <v>0.10988658314197933</v>
      </c>
      <c r="W35" s="2"/>
      <c r="X35" s="6">
        <f t="shared" si="26"/>
        <v>-69018.38</v>
      </c>
      <c r="Y35" s="2"/>
      <c r="Z35" s="7">
        <f t="shared" si="27"/>
        <v>-0.96364211094794072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0"/>
      <c r="P36" s="6"/>
      <c r="Q36" s="2"/>
      <c r="R36" s="7">
        <f t="shared" si="24"/>
        <v>0</v>
      </c>
      <c r="S36" s="2"/>
      <c r="T36" s="6">
        <v>200.5</v>
      </c>
      <c r="U36" s="2"/>
      <c r="V36" s="7">
        <f t="shared" si="25"/>
        <v>3.0761680378807161E-4</v>
      </c>
      <c r="W36" s="2"/>
      <c r="X36" s="6">
        <f t="shared" si="26"/>
        <v>-200.5</v>
      </c>
      <c r="Y36" s="2"/>
      <c r="Z36" s="7">
        <f t="shared" si="27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>
        <v>368</v>
      </c>
      <c r="E37" s="2"/>
      <c r="F37" s="7">
        <f t="shared" si="20"/>
        <v>6.7126581031633395E-2</v>
      </c>
      <c r="G37" s="2"/>
      <c r="H37" s="6">
        <v>10535.32</v>
      </c>
      <c r="I37" s="2"/>
      <c r="J37" s="7">
        <f t="shared" si="21"/>
        <v>0.23987326151242838</v>
      </c>
      <c r="K37" s="2"/>
      <c r="L37" s="6">
        <f t="shared" si="22"/>
        <v>-10167.32</v>
      </c>
      <c r="M37" s="2"/>
      <c r="N37" s="7">
        <f t="shared" si="23"/>
        <v>-0.96506987922531062</v>
      </c>
      <c r="O37" s="10"/>
      <c r="P37" s="6">
        <v>923.71</v>
      </c>
      <c r="Q37" s="2"/>
      <c r="R37" s="7">
        <f t="shared" si="24"/>
        <v>1.8248689988596915E-2</v>
      </c>
      <c r="S37" s="2"/>
      <c r="T37" s="6">
        <v>74675.490000000005</v>
      </c>
      <c r="U37" s="2"/>
      <c r="V37" s="7">
        <f t="shared" si="25"/>
        <v>0.11457075089829478</v>
      </c>
      <c r="W37" s="2"/>
      <c r="X37" s="6">
        <f t="shared" si="26"/>
        <v>-73751.78</v>
      </c>
      <c r="Y37" s="2"/>
      <c r="Z37" s="7">
        <f t="shared" si="27"/>
        <v>-0.98763034564620855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0"/>
        <v>0</v>
      </c>
      <c r="G38" s="2"/>
      <c r="H38" s="6">
        <v>1140.0999999999999</v>
      </c>
      <c r="I38" s="2"/>
      <c r="J38" s="7">
        <f t="shared" si="21"/>
        <v>2.5958348246690143E-2</v>
      </c>
      <c r="K38" s="2"/>
      <c r="L38" s="6">
        <f t="shared" si="22"/>
        <v>-1140.0999999999999</v>
      </c>
      <c r="M38" s="2"/>
      <c r="N38" s="7">
        <f t="shared" si="23"/>
        <v>-1</v>
      </c>
      <c r="O38" s="10"/>
      <c r="P38" s="6"/>
      <c r="Q38" s="2"/>
      <c r="R38" s="7">
        <f t="shared" si="24"/>
        <v>0</v>
      </c>
      <c r="S38" s="2"/>
      <c r="T38" s="6">
        <v>1703</v>
      </c>
      <c r="U38" s="2"/>
      <c r="V38" s="7">
        <f t="shared" si="25"/>
        <v>2.6128250217011765E-3</v>
      </c>
      <c r="W38" s="2"/>
      <c r="X38" s="6">
        <f t="shared" si="26"/>
        <v>-1703</v>
      </c>
      <c r="Y38" s="2"/>
      <c r="Z38" s="7">
        <f t="shared" si="27"/>
        <v>-1</v>
      </c>
    </row>
    <row r="39" spans="1:26" s="26" customFormat="1" outlineLevel="1" collapsed="1" x14ac:dyDescent="0.25">
      <c r="A39" s="27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155.19</v>
      </c>
      <c r="E39" s="1"/>
      <c r="F39" s="5">
        <f t="shared" ref="F39:F47" si="28">IF(D$12=0,0,D39/D$12)</f>
        <v>2.8308081821465183E-2</v>
      </c>
      <c r="G39" s="1"/>
      <c r="H39" s="1">
        <f>SUM(OSRRefH22_2x_0)</f>
        <v>817.36</v>
      </c>
      <c r="I39" s="1"/>
      <c r="J39" s="5">
        <f t="shared" ref="J39:J47" si="29">IF(H$12=0,0,H39/H$12)</f>
        <v>1.8610047822923127E-2</v>
      </c>
      <c r="K39" s="1"/>
      <c r="L39" s="1">
        <f t="shared" ref="L39:L47" si="30">+D39-H39</f>
        <v>-662.17000000000007</v>
      </c>
      <c r="M39" s="1"/>
      <c r="N39" s="5">
        <f t="shared" ref="N39:N47" si="31">IF(H39=0,0,L39/H39)</f>
        <v>-0.81013262210042092</v>
      </c>
      <c r="O39" s="12"/>
      <c r="P39" s="1">
        <f>SUM(OSRRefP22_2x_0)</f>
        <v>289.19</v>
      </c>
      <c r="Q39" s="1"/>
      <c r="R39" s="5">
        <f t="shared" ref="R39:R47" si="32">IF(P$12=0,0,P39/P$12)</f>
        <v>5.7131985772616309E-3</v>
      </c>
      <c r="S39" s="1"/>
      <c r="T39" s="1">
        <f>SUM(OSRRefT22_2x_0)</f>
        <v>6175.85</v>
      </c>
      <c r="U39" s="1"/>
      <c r="V39" s="5">
        <f t="shared" ref="V39:V47" si="33">IF(T$12=0,0,T39/T$12)</f>
        <v>9.4752879684516806E-3</v>
      </c>
      <c r="W39" s="1"/>
      <c r="X39" s="1">
        <f t="shared" ref="X39:X47" si="34">+P39-T39</f>
        <v>-5886.6600000000008</v>
      </c>
      <c r="Y39" s="1"/>
      <c r="Z39" s="5">
        <f t="shared" ref="Z39:Z47" si="35">IF(T39=0,0,X39/T39)</f>
        <v>-0.9531740570123951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>
        <v>155.19</v>
      </c>
      <c r="E40" s="2"/>
      <c r="F40" s="7">
        <f t="shared" si="28"/>
        <v>2.8308081821465183E-2</v>
      </c>
      <c r="G40" s="2"/>
      <c r="H40" s="6">
        <v>817.36</v>
      </c>
      <c r="I40" s="2"/>
      <c r="J40" s="7">
        <f t="shared" si="29"/>
        <v>1.8610047822923127E-2</v>
      </c>
      <c r="K40" s="2"/>
      <c r="L40" s="6">
        <f t="shared" si="30"/>
        <v>-662.17000000000007</v>
      </c>
      <c r="M40" s="2"/>
      <c r="N40" s="7">
        <f t="shared" si="31"/>
        <v>-0.81013262210042092</v>
      </c>
      <c r="O40" s="10"/>
      <c r="P40" s="6">
        <v>289.19</v>
      </c>
      <c r="Q40" s="2"/>
      <c r="R40" s="7">
        <f t="shared" si="32"/>
        <v>5.7131985772616309E-3</v>
      </c>
      <c r="S40" s="2"/>
      <c r="T40" s="6">
        <v>6175.85</v>
      </c>
      <c r="U40" s="2"/>
      <c r="V40" s="7">
        <f t="shared" si="33"/>
        <v>9.4752879684516806E-3</v>
      </c>
      <c r="W40" s="2"/>
      <c r="X40" s="6">
        <f t="shared" si="34"/>
        <v>-5886.6600000000008</v>
      </c>
      <c r="Y40" s="2"/>
      <c r="Z40" s="7">
        <f t="shared" si="35"/>
        <v>-0.9531740570123951</v>
      </c>
    </row>
    <row r="41" spans="1:26" s="26" customFormat="1" outlineLevel="1" collapsed="1" x14ac:dyDescent="0.25">
      <c r="A41" s="27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-0.39</v>
      </c>
      <c r="E41" s="1"/>
      <c r="F41" s="5">
        <f t="shared" si="28"/>
        <v>-7.1139583158524533E-5</v>
      </c>
      <c r="G41" s="1"/>
      <c r="H41" s="1">
        <f>SUM(OSRRefH22_3x_0)</f>
        <v>-10.68</v>
      </c>
      <c r="I41" s="1"/>
      <c r="J41" s="5">
        <f t="shared" si="29"/>
        <v>-2.4316740573164701E-4</v>
      </c>
      <c r="K41" s="1"/>
      <c r="L41" s="1">
        <f t="shared" si="30"/>
        <v>10.29</v>
      </c>
      <c r="M41" s="1"/>
      <c r="N41" s="5">
        <f t="shared" si="31"/>
        <v>-0.9634831460674157</v>
      </c>
      <c r="O41" s="12"/>
      <c r="P41" s="1">
        <f>SUM(OSRRefP22_3x_0)</f>
        <v>8.4</v>
      </c>
      <c r="Q41" s="1"/>
      <c r="R41" s="5">
        <f t="shared" si="32"/>
        <v>1.6594926535840694E-4</v>
      </c>
      <c r="S41" s="1"/>
      <c r="T41" s="1">
        <f>SUM(OSRRefT22_3x_0)</f>
        <v>-37.450000000000003</v>
      </c>
      <c r="U41" s="1"/>
      <c r="V41" s="5">
        <f t="shared" si="33"/>
        <v>-5.7457602503058765E-5</v>
      </c>
      <c r="W41" s="1"/>
      <c r="X41" s="1">
        <f t="shared" si="34"/>
        <v>45.85</v>
      </c>
      <c r="Y41" s="1"/>
      <c r="Z41" s="5">
        <f t="shared" si="35"/>
        <v>-1.2242990654205608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>
        <v>-0.39</v>
      </c>
      <c r="E42" s="2"/>
      <c r="F42" s="7">
        <f t="shared" si="28"/>
        <v>-7.1139583158524533E-5</v>
      </c>
      <c r="G42" s="2"/>
      <c r="H42" s="6">
        <v>-10.68</v>
      </c>
      <c r="I42" s="2"/>
      <c r="J42" s="7">
        <f t="shared" si="29"/>
        <v>-2.4316740573164701E-4</v>
      </c>
      <c r="K42" s="2"/>
      <c r="L42" s="6">
        <f t="shared" si="30"/>
        <v>10.29</v>
      </c>
      <c r="M42" s="2"/>
      <c r="N42" s="7">
        <f t="shared" si="31"/>
        <v>-0.9634831460674157</v>
      </c>
      <c r="O42" s="10"/>
      <c r="P42" s="6">
        <v>8.4</v>
      </c>
      <c r="Q42" s="2"/>
      <c r="R42" s="7">
        <f t="shared" si="32"/>
        <v>1.6594926535840694E-4</v>
      </c>
      <c r="S42" s="2"/>
      <c r="T42" s="6">
        <v>-37.450000000000003</v>
      </c>
      <c r="U42" s="2"/>
      <c r="V42" s="7">
        <f t="shared" si="33"/>
        <v>-5.7457602503058765E-5</v>
      </c>
      <c r="W42" s="2"/>
      <c r="X42" s="6">
        <f t="shared" si="34"/>
        <v>45.85</v>
      </c>
      <c r="Y42" s="2"/>
      <c r="Z42" s="7">
        <f t="shared" si="35"/>
        <v>-1.2242990654205608</v>
      </c>
    </row>
    <row r="43" spans="1:26" s="26" customFormat="1" outlineLevel="1" collapsed="1" x14ac:dyDescent="0.25">
      <c r="A43" s="27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156.55000000000001</v>
      </c>
      <c r="E43" s="1"/>
      <c r="F43" s="5">
        <f t="shared" si="28"/>
        <v>2.8556158316582089E-2</v>
      </c>
      <c r="G43" s="1"/>
      <c r="H43" s="1">
        <f>SUM(OSRRefH22_4x_0)</f>
        <v>2428.08</v>
      </c>
      <c r="I43" s="1"/>
      <c r="J43" s="5">
        <f t="shared" si="29"/>
        <v>5.5283699860383659E-2</v>
      </c>
      <c r="K43" s="1"/>
      <c r="L43" s="1">
        <f t="shared" si="30"/>
        <v>-2271.5299999999997</v>
      </c>
      <c r="M43" s="1"/>
      <c r="N43" s="5">
        <f t="shared" si="31"/>
        <v>-0.93552518862640432</v>
      </c>
      <c r="O43" s="12"/>
      <c r="P43" s="1">
        <f>SUM(OSRRefP22_4x_0)</f>
        <v>1477.45</v>
      </c>
      <c r="Q43" s="1"/>
      <c r="R43" s="5">
        <f t="shared" si="32"/>
        <v>2.9188302631402183E-2</v>
      </c>
      <c r="S43" s="1"/>
      <c r="T43" s="1">
        <f>SUM(OSRRefT22_4x_0)</f>
        <v>26592.34</v>
      </c>
      <c r="U43" s="1"/>
      <c r="V43" s="5">
        <f t="shared" si="33"/>
        <v>4.0799255042621885E-2</v>
      </c>
      <c r="W43" s="1"/>
      <c r="X43" s="1">
        <f t="shared" si="34"/>
        <v>-25114.89</v>
      </c>
      <c r="Y43" s="1"/>
      <c r="Z43" s="5">
        <f t="shared" si="35"/>
        <v>-0.94444076752929595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>
        <v>156.55000000000001</v>
      </c>
      <c r="E44" s="2"/>
      <c r="F44" s="7">
        <f t="shared" si="28"/>
        <v>2.8556158316582089E-2</v>
      </c>
      <c r="G44" s="2"/>
      <c r="H44" s="6">
        <v>2428.08</v>
      </c>
      <c r="I44" s="2"/>
      <c r="J44" s="7">
        <f t="shared" si="29"/>
        <v>5.5283699860383659E-2</v>
      </c>
      <c r="K44" s="2"/>
      <c r="L44" s="6">
        <f t="shared" si="30"/>
        <v>-2271.5299999999997</v>
      </c>
      <c r="M44" s="2"/>
      <c r="N44" s="7">
        <f t="shared" si="31"/>
        <v>-0.93552518862640432</v>
      </c>
      <c r="O44" s="10"/>
      <c r="P44" s="6">
        <v>1477.45</v>
      </c>
      <c r="Q44" s="2"/>
      <c r="R44" s="7">
        <f t="shared" si="32"/>
        <v>2.9188302631402183E-2</v>
      </c>
      <c r="S44" s="2"/>
      <c r="T44" s="6">
        <v>26592.34</v>
      </c>
      <c r="U44" s="2"/>
      <c r="V44" s="7">
        <f t="shared" si="33"/>
        <v>4.0799255042621885E-2</v>
      </c>
      <c r="W44" s="2"/>
      <c r="X44" s="6">
        <f t="shared" si="34"/>
        <v>-25114.89</v>
      </c>
      <c r="Y44" s="2"/>
      <c r="Z44" s="7">
        <f t="shared" si="35"/>
        <v>-0.94444076752929595</v>
      </c>
    </row>
    <row r="45" spans="1:26" s="26" customFormat="1" outlineLevel="1" collapsed="1" x14ac:dyDescent="0.25">
      <c r="A45" s="27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13902.32</v>
      </c>
      <c r="E45" s="1"/>
      <c r="F45" s="5">
        <f t="shared" si="28"/>
        <v>2.5359108967600479</v>
      </c>
      <c r="G45" s="1"/>
      <c r="H45" s="1">
        <f>SUM(OSRRefH22_5x_0)</f>
        <v>13793.679999999998</v>
      </c>
      <c r="I45" s="1"/>
      <c r="J45" s="5">
        <f t="shared" si="29"/>
        <v>0.31406117800491612</v>
      </c>
      <c r="K45" s="1"/>
      <c r="L45" s="1">
        <f t="shared" si="30"/>
        <v>108.64000000000124</v>
      </c>
      <c r="M45" s="1"/>
      <c r="N45" s="5">
        <f t="shared" si="31"/>
        <v>7.8760707802414762E-3</v>
      </c>
      <c r="O45" s="12"/>
      <c r="P45" s="1">
        <f>SUM(OSRRefP22_5x_0)</f>
        <v>125086.16</v>
      </c>
      <c r="Q45" s="1"/>
      <c r="R45" s="5">
        <f t="shared" si="32"/>
        <v>2.4711852807743031</v>
      </c>
      <c r="S45" s="1"/>
      <c r="T45" s="1">
        <f>SUM(OSRRefT22_5x_0)</f>
        <v>120870.3</v>
      </c>
      <c r="U45" s="1"/>
      <c r="V45" s="5">
        <f t="shared" si="33"/>
        <v>0.18544506413419129</v>
      </c>
      <c r="W45" s="1"/>
      <c r="X45" s="1">
        <f t="shared" si="34"/>
        <v>4215.8600000000006</v>
      </c>
      <c r="Y45" s="1"/>
      <c r="Z45" s="5">
        <f t="shared" si="35"/>
        <v>3.4879205230730799E-2</v>
      </c>
    </row>
    <row r="46" spans="1:26" s="23" customFormat="1" hidden="1" outlineLevel="2" x14ac:dyDescent="0.25">
      <c r="A46" s="25"/>
      <c r="B46" s="10" t="str">
        <f>CONCATENATE("          ", "6321", " - ", "BUILDING DEPRECIATION")</f>
        <v xml:space="preserve">          6321 - BUILDING DEPRECIATION</v>
      </c>
      <c r="C46" s="10"/>
      <c r="D46" s="6">
        <v>10597.26</v>
      </c>
      <c r="E46" s="2"/>
      <c r="F46" s="7">
        <f t="shared" si="28"/>
        <v>1.9330375872371939</v>
      </c>
      <c r="G46" s="2"/>
      <c r="H46" s="6">
        <v>10612.46</v>
      </c>
      <c r="I46" s="2"/>
      <c r="J46" s="7">
        <f t="shared" si="29"/>
        <v>0.24162962234371482</v>
      </c>
      <c r="K46" s="2"/>
      <c r="L46" s="6">
        <f t="shared" si="30"/>
        <v>-15.199999999998909</v>
      </c>
      <c r="M46" s="2"/>
      <c r="N46" s="7">
        <f t="shared" si="31"/>
        <v>-1.4322786611208815E-3</v>
      </c>
      <c r="O46" s="10"/>
      <c r="P46" s="6">
        <v>95375.34</v>
      </c>
      <c r="Q46" s="2"/>
      <c r="R46" s="7">
        <f t="shared" si="32"/>
        <v>1.8842223340843194</v>
      </c>
      <c r="S46" s="2"/>
      <c r="T46" s="6">
        <v>95512.14</v>
      </c>
      <c r="U46" s="2"/>
      <c r="V46" s="7">
        <f t="shared" si="33"/>
        <v>0.14653934777934577</v>
      </c>
      <c r="W46" s="2"/>
      <c r="X46" s="6">
        <f t="shared" si="34"/>
        <v>-136.80000000000291</v>
      </c>
      <c r="Y46" s="2"/>
      <c r="Z46" s="7">
        <f t="shared" si="35"/>
        <v>-1.4322786611210146E-3</v>
      </c>
    </row>
    <row r="47" spans="1:26" s="23" customFormat="1" hidden="1" outlineLevel="2" x14ac:dyDescent="0.25">
      <c r="A47" s="25"/>
      <c r="B47" s="10" t="str">
        <f>CONCATENATE("          ", "6322", " - ", "EQUIPMENT DEPRECIATION EXPENSE")</f>
        <v xml:space="preserve">          6322 - EQUIPMENT DEPRECIATION EXPENSE</v>
      </c>
      <c r="C47" s="10"/>
      <c r="D47" s="6">
        <v>3305.06</v>
      </c>
      <c r="E47" s="2"/>
      <c r="F47" s="7">
        <f t="shared" si="28"/>
        <v>0.60287330952285401</v>
      </c>
      <c r="G47" s="2"/>
      <c r="H47" s="6">
        <v>3181.22</v>
      </c>
      <c r="I47" s="2"/>
      <c r="J47" s="7">
        <f t="shared" si="29"/>
        <v>7.2431555661201311E-2</v>
      </c>
      <c r="K47" s="2"/>
      <c r="L47" s="6">
        <f t="shared" si="30"/>
        <v>123.84000000000015</v>
      </c>
      <c r="M47" s="2"/>
      <c r="N47" s="7">
        <f t="shared" si="31"/>
        <v>3.8928461407887589E-2</v>
      </c>
      <c r="O47" s="10"/>
      <c r="P47" s="6">
        <v>29710.82</v>
      </c>
      <c r="Q47" s="2"/>
      <c r="R47" s="7">
        <f t="shared" si="32"/>
        <v>0.58696294668998383</v>
      </c>
      <c r="S47" s="2"/>
      <c r="T47" s="6">
        <v>25358.16</v>
      </c>
      <c r="U47" s="2"/>
      <c r="V47" s="7">
        <f t="shared" si="33"/>
        <v>3.8905716354845514E-2</v>
      </c>
      <c r="W47" s="2"/>
      <c r="X47" s="6">
        <f t="shared" si="34"/>
        <v>4352.66</v>
      </c>
      <c r="Y47" s="2"/>
      <c r="Z47" s="7">
        <f t="shared" si="35"/>
        <v>0.1716473119500784</v>
      </c>
    </row>
    <row r="48" spans="1:26" s="26" customFormat="1" outlineLevel="1" collapsed="1" x14ac:dyDescent="0.25">
      <c r="A48" s="27"/>
      <c r="B48" s="12" t="str">
        <f>CONCATENATE("     ","Employees' Appreciation                           ")</f>
        <v xml:space="preserve">     Employees' Appreciation                           </v>
      </c>
      <c r="C48" s="12"/>
      <c r="D48" s="1">
        <f>SUM(OSRRefD22_6x_0)</f>
        <v>0</v>
      </c>
      <c r="E48" s="1"/>
      <c r="F48" s="5">
        <f t="shared" ref="F48:F62" si="36">IF(D$12=0,0,D48/D$12)</f>
        <v>0</v>
      </c>
      <c r="G48" s="1"/>
      <c r="H48" s="1">
        <f>SUM(OSRRefH22_6x_0)</f>
        <v>50.01</v>
      </c>
      <c r="I48" s="1"/>
      <c r="J48" s="5">
        <f t="shared" ref="J48:J62" si="37">IF(H$12=0,0,H48/H$12)</f>
        <v>1.1386518689737515E-3</v>
      </c>
      <c r="K48" s="1"/>
      <c r="L48" s="1">
        <f t="shared" ref="L48:L62" si="38">+D48-H48</f>
        <v>-50.01</v>
      </c>
      <c r="M48" s="1"/>
      <c r="N48" s="5">
        <f t="shared" ref="N48:N62" si="39">IF(H48=0,0,L48/H48)</f>
        <v>-1</v>
      </c>
      <c r="O48" s="12"/>
      <c r="P48" s="1">
        <f>SUM(OSRRefP22_6x_0)</f>
        <v>10</v>
      </c>
      <c r="Q48" s="1"/>
      <c r="R48" s="5">
        <f t="shared" ref="R48:R62" si="40">IF(P$12=0,0,P48/P$12)</f>
        <v>1.9755864923619873E-4</v>
      </c>
      <c r="S48" s="1"/>
      <c r="T48" s="1">
        <f>SUM(OSRRefT22_6x_0)</f>
        <v>146.37</v>
      </c>
      <c r="U48" s="1"/>
      <c r="V48" s="5">
        <f t="shared" ref="V48:V62" si="41">IF(T$12=0,0,T48/T$12)</f>
        <v>2.2456793800728199E-4</v>
      </c>
      <c r="W48" s="1"/>
      <c r="X48" s="1">
        <f t="shared" ref="X48:X62" si="42">+P48-T48</f>
        <v>-136.37</v>
      </c>
      <c r="Y48" s="1"/>
      <c r="Z48" s="5">
        <f t="shared" ref="Z48:Z62" si="43">IF(T48=0,0,X48/T48)</f>
        <v>-0.93167998906879823</v>
      </c>
    </row>
    <row r="49" spans="1:26" s="23" customFormat="1" hidden="1" outlineLevel="2" x14ac:dyDescent="0.25">
      <c r="A49" s="25"/>
      <c r="B49" s="10" t="str">
        <f>CONCATENATE("          ", "6277", " - ", "EMPLOYEE APPRECIATION")</f>
        <v xml:space="preserve">          6277 - EMPLOYEE APPRECIATION</v>
      </c>
      <c r="C49" s="10"/>
      <c r="D49" s="6"/>
      <c r="E49" s="2"/>
      <c r="F49" s="7">
        <f t="shared" si="36"/>
        <v>0</v>
      </c>
      <c r="G49" s="2"/>
      <c r="H49" s="6">
        <v>50.01</v>
      </c>
      <c r="I49" s="2"/>
      <c r="J49" s="7">
        <f t="shared" si="37"/>
        <v>1.1386518689737515E-3</v>
      </c>
      <c r="K49" s="2"/>
      <c r="L49" s="6">
        <f t="shared" si="38"/>
        <v>-50.01</v>
      </c>
      <c r="M49" s="2"/>
      <c r="N49" s="7">
        <f t="shared" si="39"/>
        <v>-1</v>
      </c>
      <c r="O49" s="10"/>
      <c r="P49" s="6">
        <v>10</v>
      </c>
      <c r="Q49" s="2"/>
      <c r="R49" s="7">
        <f t="shared" si="40"/>
        <v>1.9755864923619873E-4</v>
      </c>
      <c r="S49" s="2"/>
      <c r="T49" s="6">
        <v>146.37</v>
      </c>
      <c r="U49" s="2"/>
      <c r="V49" s="7">
        <f t="shared" si="41"/>
        <v>2.2456793800728199E-4</v>
      </c>
      <c r="W49" s="2"/>
      <c r="X49" s="6">
        <f t="shared" si="42"/>
        <v>-136.37</v>
      </c>
      <c r="Y49" s="2"/>
      <c r="Z49" s="7">
        <f t="shared" si="43"/>
        <v>-0.93167998906879823</v>
      </c>
    </row>
    <row r="50" spans="1:26" s="26" customFormat="1" outlineLevel="1" collapsed="1" x14ac:dyDescent="0.25">
      <c r="A50" s="27"/>
      <c r="B50" s="12" t="str">
        <f>CONCATENATE("     ","Equipment Rental                                  ")</f>
        <v xml:space="preserve">     Equipment Rental                                  </v>
      </c>
      <c r="C50" s="12"/>
      <c r="D50" s="1">
        <f>SUM(OSRRefD22_7x_0)</f>
        <v>72.540000000000006</v>
      </c>
      <c r="E50" s="1"/>
      <c r="F50" s="5">
        <f t="shared" si="36"/>
        <v>1.3231962467485562E-2</v>
      </c>
      <c r="G50" s="1"/>
      <c r="H50" s="1">
        <f>SUM(OSRRefH22_7x_0)</f>
        <v>36.270000000000003</v>
      </c>
      <c r="I50" s="1"/>
      <c r="J50" s="5">
        <f t="shared" si="37"/>
        <v>8.2581290317292489E-4</v>
      </c>
      <c r="K50" s="1"/>
      <c r="L50" s="1">
        <f t="shared" si="38"/>
        <v>36.270000000000003</v>
      </c>
      <c r="M50" s="1"/>
      <c r="N50" s="5">
        <f t="shared" si="39"/>
        <v>1</v>
      </c>
      <c r="O50" s="12"/>
      <c r="P50" s="1">
        <f>SUM(OSRRefP22_7x_0)</f>
        <v>1328.16</v>
      </c>
      <c r="Q50" s="1"/>
      <c r="R50" s="5">
        <f t="shared" si="40"/>
        <v>2.6238949556954973E-2</v>
      </c>
      <c r="S50" s="1"/>
      <c r="T50" s="1">
        <f>SUM(OSRRefT22_7x_0)</f>
        <v>974.09</v>
      </c>
      <c r="U50" s="1"/>
      <c r="V50" s="5">
        <f t="shared" si="41"/>
        <v>1.4944960219547266E-3</v>
      </c>
      <c r="W50" s="1"/>
      <c r="X50" s="1">
        <f t="shared" si="42"/>
        <v>354.07000000000005</v>
      </c>
      <c r="Y50" s="1"/>
      <c r="Z50" s="5">
        <f t="shared" si="43"/>
        <v>0.36348797339054917</v>
      </c>
    </row>
    <row r="51" spans="1:26" s="23" customFormat="1" hidden="1" outlineLevel="2" x14ac:dyDescent="0.25">
      <c r="A51" s="25"/>
      <c r="B51" s="10" t="str">
        <f>CONCATENATE("          ", "6351", " - ", "EQUIPMENT RENTAL")</f>
        <v xml:space="preserve">          6351 - EQUIPMENT RENTAL</v>
      </c>
      <c r="C51" s="10"/>
      <c r="D51" s="6">
        <v>72.540000000000006</v>
      </c>
      <c r="E51" s="2"/>
      <c r="F51" s="7">
        <f t="shared" si="36"/>
        <v>1.3231962467485562E-2</v>
      </c>
      <c r="G51" s="2"/>
      <c r="H51" s="6">
        <v>36.270000000000003</v>
      </c>
      <c r="I51" s="2"/>
      <c r="J51" s="7">
        <f t="shared" si="37"/>
        <v>8.2581290317292489E-4</v>
      </c>
      <c r="K51" s="2"/>
      <c r="L51" s="6">
        <f t="shared" si="38"/>
        <v>36.270000000000003</v>
      </c>
      <c r="M51" s="2"/>
      <c r="N51" s="7">
        <f t="shared" si="39"/>
        <v>1</v>
      </c>
      <c r="O51" s="10"/>
      <c r="P51" s="6">
        <v>1328.16</v>
      </c>
      <c r="Q51" s="2"/>
      <c r="R51" s="7">
        <f t="shared" si="40"/>
        <v>2.6238949556954973E-2</v>
      </c>
      <c r="S51" s="2"/>
      <c r="T51" s="6">
        <v>974.09</v>
      </c>
      <c r="U51" s="2"/>
      <c r="V51" s="7">
        <f t="shared" si="41"/>
        <v>1.4944960219547266E-3</v>
      </c>
      <c r="W51" s="2"/>
      <c r="X51" s="6">
        <f t="shared" si="42"/>
        <v>354.07000000000005</v>
      </c>
      <c r="Y51" s="2"/>
      <c r="Z51" s="7">
        <f t="shared" si="43"/>
        <v>0.36348797339054917</v>
      </c>
    </row>
    <row r="52" spans="1:26" s="26" customFormat="1" outlineLevel="1" collapsed="1" x14ac:dyDescent="0.25">
      <c r="A52" s="27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SUM(OSRRefD22_8x_0)</f>
        <v>0</v>
      </c>
      <c r="E52" s="1"/>
      <c r="F52" s="5">
        <f t="shared" si="36"/>
        <v>0</v>
      </c>
      <c r="G52" s="1"/>
      <c r="H52" s="1">
        <f>SUM(OSRRefH22_8x_0)</f>
        <v>10.8</v>
      </c>
      <c r="I52" s="1"/>
      <c r="J52" s="5">
        <f t="shared" si="37"/>
        <v>2.4589962377357565E-4</v>
      </c>
      <c r="K52" s="1"/>
      <c r="L52" s="1">
        <f t="shared" si="38"/>
        <v>-10.8</v>
      </c>
      <c r="M52" s="1"/>
      <c r="N52" s="5">
        <f t="shared" si="39"/>
        <v>-1</v>
      </c>
      <c r="O52" s="12"/>
      <c r="P52" s="1">
        <f>SUM(OSRRefP22_8x_0)</f>
        <v>2498.69</v>
      </c>
      <c r="Q52" s="1"/>
      <c r="R52" s="5">
        <f t="shared" si="40"/>
        <v>4.936378212599974E-2</v>
      </c>
      <c r="S52" s="1"/>
      <c r="T52" s="1">
        <f>SUM(OSRRefT22_8x_0)</f>
        <v>1937.01</v>
      </c>
      <c r="U52" s="1"/>
      <c r="V52" s="5">
        <f t="shared" si="41"/>
        <v>2.9718544893044016E-3</v>
      </c>
      <c r="W52" s="1"/>
      <c r="X52" s="1">
        <f t="shared" si="42"/>
        <v>561.68000000000006</v>
      </c>
      <c r="Y52" s="1"/>
      <c r="Z52" s="5">
        <f t="shared" si="43"/>
        <v>0.28997268986737296</v>
      </c>
    </row>
    <row r="53" spans="1:26" s="23" customFormat="1" hidden="1" outlineLevel="2" x14ac:dyDescent="0.25">
      <c r="A53" s="25"/>
      <c r="B53" s="10" t="str">
        <f>CONCATENATE("          ", "6279", " - ", "GENERAL EXPENSE")</f>
        <v xml:space="preserve">          6279 - GENERAL EXPENSE</v>
      </c>
      <c r="C53" s="10"/>
      <c r="D53" s="6"/>
      <c r="E53" s="2"/>
      <c r="F53" s="7">
        <f t="shared" si="36"/>
        <v>0</v>
      </c>
      <c r="G53" s="2"/>
      <c r="H53" s="6">
        <v>10.8</v>
      </c>
      <c r="I53" s="2"/>
      <c r="J53" s="7">
        <f t="shared" si="37"/>
        <v>2.4589962377357565E-4</v>
      </c>
      <c r="K53" s="2"/>
      <c r="L53" s="6">
        <f t="shared" si="38"/>
        <v>-10.8</v>
      </c>
      <c r="M53" s="2"/>
      <c r="N53" s="7">
        <f t="shared" si="39"/>
        <v>-1</v>
      </c>
      <c r="O53" s="10"/>
      <c r="P53" s="6">
        <v>2498.69</v>
      </c>
      <c r="Q53" s="2"/>
      <c r="R53" s="7">
        <f t="shared" si="40"/>
        <v>4.936378212599974E-2</v>
      </c>
      <c r="S53" s="2"/>
      <c r="T53" s="6">
        <v>1937.01</v>
      </c>
      <c r="U53" s="2"/>
      <c r="V53" s="7">
        <f t="shared" si="41"/>
        <v>2.9718544893044016E-3</v>
      </c>
      <c r="W53" s="2"/>
      <c r="X53" s="6">
        <f t="shared" si="42"/>
        <v>561.68000000000006</v>
      </c>
      <c r="Y53" s="2"/>
      <c r="Z53" s="7">
        <f t="shared" si="43"/>
        <v>0.28997268986737296</v>
      </c>
    </row>
    <row r="54" spans="1:26" s="26" customFormat="1" outlineLevel="1" collapsed="1" x14ac:dyDescent="0.25">
      <c r="A54" s="27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SUM(OSRRefD22_9x_0)</f>
        <v>641.28</v>
      </c>
      <c r="E54" s="1"/>
      <c r="F54" s="5">
        <f t="shared" si="36"/>
        <v>0.11697536381512463</v>
      </c>
      <c r="G54" s="1"/>
      <c r="H54" s="1">
        <f>SUM(OSRRefH22_9x_0)</f>
        <v>641.28</v>
      </c>
      <c r="I54" s="1"/>
      <c r="J54" s="5">
        <f t="shared" si="37"/>
        <v>1.4600973216066534E-2</v>
      </c>
      <c r="K54" s="1"/>
      <c r="L54" s="1">
        <f t="shared" si="38"/>
        <v>0</v>
      </c>
      <c r="M54" s="1"/>
      <c r="N54" s="5">
        <f t="shared" si="39"/>
        <v>0</v>
      </c>
      <c r="O54" s="12"/>
      <c r="P54" s="1">
        <f>SUM(OSRRefP22_9x_0)</f>
        <v>5771.52</v>
      </c>
      <c r="Q54" s="1"/>
      <c r="R54" s="5">
        <f t="shared" si="40"/>
        <v>0.11402136952397057</v>
      </c>
      <c r="S54" s="1"/>
      <c r="T54" s="1">
        <f>SUM(OSRRefT22_9x_0)</f>
        <v>5771.52</v>
      </c>
      <c r="U54" s="1"/>
      <c r="V54" s="5">
        <f t="shared" si="41"/>
        <v>8.8549453137103801E-3</v>
      </c>
      <c r="W54" s="1"/>
      <c r="X54" s="1">
        <f t="shared" si="42"/>
        <v>0</v>
      </c>
      <c r="Y54" s="1"/>
      <c r="Z54" s="5">
        <f t="shared" si="43"/>
        <v>0</v>
      </c>
    </row>
    <row r="55" spans="1:26" s="23" customFormat="1" hidden="1" outlineLevel="2" x14ac:dyDescent="0.25">
      <c r="A55" s="25"/>
      <c r="B55" s="10" t="str">
        <f>CONCATENATE("          ", "6314", " - ", "LIABILITY INSURANCE")</f>
        <v xml:space="preserve">          6314 - LIABILITY INSURANCE</v>
      </c>
      <c r="C55" s="10"/>
      <c r="D55" s="6">
        <v>641.28</v>
      </c>
      <c r="E55" s="2"/>
      <c r="F55" s="7">
        <f t="shared" si="36"/>
        <v>0.11697536381512463</v>
      </c>
      <c r="G55" s="2"/>
      <c r="H55" s="6">
        <v>641.28</v>
      </c>
      <c r="I55" s="2"/>
      <c r="J55" s="7">
        <f t="shared" si="37"/>
        <v>1.4600973216066534E-2</v>
      </c>
      <c r="K55" s="2"/>
      <c r="L55" s="6">
        <f t="shared" si="38"/>
        <v>0</v>
      </c>
      <c r="M55" s="2"/>
      <c r="N55" s="7">
        <f t="shared" si="39"/>
        <v>0</v>
      </c>
      <c r="O55" s="10"/>
      <c r="P55" s="6">
        <v>5771.52</v>
      </c>
      <c r="Q55" s="2"/>
      <c r="R55" s="7">
        <f t="shared" si="40"/>
        <v>0.11402136952397057</v>
      </c>
      <c r="S55" s="2"/>
      <c r="T55" s="6">
        <v>5771.52</v>
      </c>
      <c r="U55" s="2"/>
      <c r="V55" s="7">
        <f t="shared" si="41"/>
        <v>8.8549453137103801E-3</v>
      </c>
      <c r="W55" s="2"/>
      <c r="X55" s="6">
        <f t="shared" si="42"/>
        <v>0</v>
      </c>
      <c r="Y55" s="2"/>
      <c r="Z55" s="7">
        <f t="shared" si="43"/>
        <v>0</v>
      </c>
    </row>
    <row r="56" spans="1:26" s="26" customFormat="1" outlineLevel="1" collapsed="1" x14ac:dyDescent="0.25">
      <c r="A56" s="27"/>
      <c r="B56" s="12" t="str">
        <f>CONCATENATE("     ","Interest                                          ")</f>
        <v xml:space="preserve">     Interest                                          </v>
      </c>
      <c r="C56" s="12"/>
      <c r="D56" s="1">
        <f>SUM(OSRRefD22_10x_0)</f>
        <v>7510</v>
      </c>
      <c r="E56" s="1"/>
      <c r="F56" s="5">
        <f t="shared" si="36"/>
        <v>1.3698929987705619</v>
      </c>
      <c r="G56" s="1"/>
      <c r="H56" s="1">
        <f>SUM(OSRRefH22_10x_0)</f>
        <v>7754</v>
      </c>
      <c r="I56" s="1"/>
      <c r="J56" s="5">
        <f t="shared" si="37"/>
        <v>0.17654682247595421</v>
      </c>
      <c r="K56" s="1"/>
      <c r="L56" s="1">
        <f t="shared" si="38"/>
        <v>-244</v>
      </c>
      <c r="M56" s="1"/>
      <c r="N56" s="5">
        <f t="shared" si="39"/>
        <v>-3.1467629610523601E-2</v>
      </c>
      <c r="O56" s="12"/>
      <c r="P56" s="1">
        <f>SUM(OSRRefP22_10x_0)</f>
        <v>67103.149999999994</v>
      </c>
      <c r="Q56" s="1"/>
      <c r="R56" s="5">
        <f t="shared" si="40"/>
        <v>1.3256807673494029</v>
      </c>
      <c r="S56" s="1"/>
      <c r="T56" s="1">
        <f>SUM(OSRRefT22_10x_0)</f>
        <v>69393.05</v>
      </c>
      <c r="U56" s="1"/>
      <c r="V56" s="5">
        <f t="shared" si="41"/>
        <v>0.10646617579105158</v>
      </c>
      <c r="W56" s="1"/>
      <c r="X56" s="1">
        <f t="shared" si="42"/>
        <v>-2289.9000000000087</v>
      </c>
      <c r="Y56" s="1"/>
      <c r="Z56" s="5">
        <f t="shared" si="43"/>
        <v>-3.2998981886514699E-2</v>
      </c>
    </row>
    <row r="57" spans="1:26" s="23" customFormat="1" hidden="1" outlineLevel="2" x14ac:dyDescent="0.25">
      <c r="A57" s="25"/>
      <c r="B57" s="10" t="str">
        <f>CONCATENATE("          ", "6401", " - ", "INTEREST EXPENSE")</f>
        <v xml:space="preserve">          6401 - INTEREST EXPENSE</v>
      </c>
      <c r="C57" s="10"/>
      <c r="D57" s="6">
        <v>7510</v>
      </c>
      <c r="E57" s="2"/>
      <c r="F57" s="7">
        <f t="shared" si="36"/>
        <v>1.3698929987705619</v>
      </c>
      <c r="G57" s="2"/>
      <c r="H57" s="6">
        <v>7754</v>
      </c>
      <c r="I57" s="2"/>
      <c r="J57" s="7">
        <f t="shared" si="37"/>
        <v>0.17654682247595421</v>
      </c>
      <c r="K57" s="2"/>
      <c r="L57" s="6">
        <f t="shared" si="38"/>
        <v>-244</v>
      </c>
      <c r="M57" s="2"/>
      <c r="N57" s="7">
        <f t="shared" si="39"/>
        <v>-3.1467629610523601E-2</v>
      </c>
      <c r="O57" s="10"/>
      <c r="P57" s="6">
        <v>67103.149999999994</v>
      </c>
      <c r="Q57" s="2"/>
      <c r="R57" s="7">
        <f t="shared" si="40"/>
        <v>1.3256807673494029</v>
      </c>
      <c r="S57" s="2"/>
      <c r="T57" s="6">
        <v>69393.05</v>
      </c>
      <c r="U57" s="2"/>
      <c r="V57" s="7">
        <f t="shared" si="41"/>
        <v>0.10646617579105158</v>
      </c>
      <c r="W57" s="2"/>
      <c r="X57" s="6">
        <f t="shared" si="42"/>
        <v>-2289.9000000000087</v>
      </c>
      <c r="Y57" s="2"/>
      <c r="Z57" s="7">
        <f t="shared" si="43"/>
        <v>-3.2998981886514699E-2</v>
      </c>
    </row>
    <row r="58" spans="1:26" s="26" customFormat="1" outlineLevel="1" collapsed="1" x14ac:dyDescent="0.25">
      <c r="A58" s="27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SUM(OSRRefD22_11x_0)</f>
        <v>6886.58</v>
      </c>
      <c r="E58" s="1"/>
      <c r="F58" s="5">
        <f t="shared" si="36"/>
        <v>1.2561754630457227</v>
      </c>
      <c r="G58" s="1"/>
      <c r="H58" s="1">
        <f>SUM(OSRRefH22_11x_0)</f>
        <v>424.52</v>
      </c>
      <c r="I58" s="1"/>
      <c r="J58" s="5">
        <f t="shared" si="37"/>
        <v>9.6656766929961412E-3</v>
      </c>
      <c r="K58" s="1"/>
      <c r="L58" s="1">
        <f t="shared" si="38"/>
        <v>6462.0599999999995</v>
      </c>
      <c r="M58" s="1"/>
      <c r="N58" s="5">
        <f t="shared" si="39"/>
        <v>15.222039008762838</v>
      </c>
      <c r="O58" s="12"/>
      <c r="P58" s="1">
        <f>SUM(OSRRefP22_11x_0)</f>
        <v>22644.28</v>
      </c>
      <c r="Q58" s="1"/>
      <c r="R58" s="5">
        <f t="shared" si="40"/>
        <v>0.44735733697262697</v>
      </c>
      <c r="S58" s="1"/>
      <c r="T58" s="1">
        <f>SUM(OSRRefT22_11x_0)</f>
        <v>24011.19</v>
      </c>
      <c r="U58" s="1"/>
      <c r="V58" s="5">
        <f t="shared" si="41"/>
        <v>3.6839129790264873E-2</v>
      </c>
      <c r="W58" s="1"/>
      <c r="X58" s="1">
        <f t="shared" si="42"/>
        <v>-1366.9099999999999</v>
      </c>
      <c r="Y58" s="1"/>
      <c r="Z58" s="5">
        <f t="shared" si="43"/>
        <v>-5.6928040634387549E-2</v>
      </c>
    </row>
    <row r="59" spans="1:26" s="23" customFormat="1" hidden="1" outlineLevel="2" x14ac:dyDescent="0.25">
      <c r="A59" s="25"/>
      <c r="B59" s="10" t="str">
        <f>CONCATENATE("          ", "6371", " - ", "COMPUTER SOFTWARE MAINTENANCE")</f>
        <v xml:space="preserve">          6371 - COMPUTER SOFTWARE MAINTENANCE</v>
      </c>
      <c r="C59" s="10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0"/>
      <c r="P59" s="6"/>
      <c r="Q59" s="2"/>
      <c r="R59" s="7">
        <f t="shared" si="40"/>
        <v>0</v>
      </c>
      <c r="S59" s="2"/>
      <c r="T59" s="6">
        <v>2623.84</v>
      </c>
      <c r="U59" s="2"/>
      <c r="V59" s="7">
        <f t="shared" si="41"/>
        <v>4.0256223164653058E-3</v>
      </c>
      <c r="W59" s="2"/>
      <c r="X59" s="6">
        <f t="shared" si="42"/>
        <v>-2623.84</v>
      </c>
      <c r="Y59" s="2"/>
      <c r="Z59" s="7">
        <f t="shared" si="43"/>
        <v>-1</v>
      </c>
    </row>
    <row r="60" spans="1:26" s="23" customFormat="1" hidden="1" outlineLevel="2" x14ac:dyDescent="0.25">
      <c r="A60" s="25"/>
      <c r="B60" s="10" t="str">
        <f>CONCATENATE("          ", "6372", " - ", "COMPUTER HARDWARE MAINTENANCE")</f>
        <v xml:space="preserve">          6372 - COMPUTER HARDWARE MAINTENANCE</v>
      </c>
      <c r="C60" s="10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0"/>
      <c r="P60" s="6"/>
      <c r="Q60" s="2"/>
      <c r="R60" s="7">
        <f t="shared" si="40"/>
        <v>0</v>
      </c>
      <c r="S60" s="2"/>
      <c r="T60" s="6">
        <v>-0.01</v>
      </c>
      <c r="U60" s="2"/>
      <c r="V60" s="7">
        <f t="shared" si="41"/>
        <v>-1.5342483979454943E-8</v>
      </c>
      <c r="W60" s="2"/>
      <c r="X60" s="6">
        <f t="shared" si="42"/>
        <v>0.01</v>
      </c>
      <c r="Y60" s="2"/>
      <c r="Z60" s="7">
        <f t="shared" si="43"/>
        <v>-1</v>
      </c>
    </row>
    <row r="61" spans="1:26" s="23" customFormat="1" hidden="1" outlineLevel="2" x14ac:dyDescent="0.25">
      <c r="A61" s="25"/>
      <c r="B61" s="10" t="str">
        <f>CONCATENATE("          ", "6373", " - ", "MAINTENANCE CONTRACTS")</f>
        <v xml:space="preserve">          6373 - MAINTENANCE CONTRACTS</v>
      </c>
      <c r="C61" s="10"/>
      <c r="D61" s="6">
        <v>871.52</v>
      </c>
      <c r="E61" s="2"/>
      <c r="F61" s="7">
        <f t="shared" si="36"/>
        <v>0.15897325516491614</v>
      </c>
      <c r="G61" s="2"/>
      <c r="H61" s="6">
        <v>108.52</v>
      </c>
      <c r="I61" s="2"/>
      <c r="J61" s="7">
        <f t="shared" si="37"/>
        <v>2.4708358492507802E-3</v>
      </c>
      <c r="K61" s="2"/>
      <c r="L61" s="6">
        <f t="shared" si="38"/>
        <v>763</v>
      </c>
      <c r="M61" s="2"/>
      <c r="N61" s="7">
        <f t="shared" si="39"/>
        <v>7.0309620346479917</v>
      </c>
      <c r="O61" s="10"/>
      <c r="P61" s="6">
        <v>7467.86</v>
      </c>
      <c r="Q61" s="2"/>
      <c r="R61" s="7">
        <f t="shared" si="40"/>
        <v>0.14753403342850391</v>
      </c>
      <c r="S61" s="2"/>
      <c r="T61" s="6">
        <v>3877.26</v>
      </c>
      <c r="U61" s="2"/>
      <c r="V61" s="7">
        <f t="shared" si="41"/>
        <v>5.9486799434181475E-3</v>
      </c>
      <c r="W61" s="2"/>
      <c r="X61" s="6">
        <f t="shared" si="42"/>
        <v>3590.5999999999995</v>
      </c>
      <c r="Y61" s="2"/>
      <c r="Z61" s="7">
        <f t="shared" si="43"/>
        <v>0.92606634582153358</v>
      </c>
    </row>
    <row r="62" spans="1:26" s="23" customFormat="1" hidden="1" outlineLevel="2" x14ac:dyDescent="0.25">
      <c r="A62" s="25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6015.06</v>
      </c>
      <c r="E62" s="2"/>
      <c r="F62" s="7">
        <f t="shared" si="36"/>
        <v>1.0972022078808066</v>
      </c>
      <c r="G62" s="2"/>
      <c r="H62" s="6">
        <v>316</v>
      </c>
      <c r="I62" s="2"/>
      <c r="J62" s="7">
        <f t="shared" si="37"/>
        <v>7.194840843745361E-3</v>
      </c>
      <c r="K62" s="2"/>
      <c r="L62" s="6">
        <f t="shared" si="38"/>
        <v>5699.06</v>
      </c>
      <c r="M62" s="2"/>
      <c r="N62" s="7">
        <f t="shared" si="39"/>
        <v>18.035</v>
      </c>
      <c r="O62" s="10"/>
      <c r="P62" s="6">
        <v>15176.42</v>
      </c>
      <c r="Q62" s="2"/>
      <c r="R62" s="7">
        <f t="shared" si="40"/>
        <v>0.29982330354412312</v>
      </c>
      <c r="S62" s="2"/>
      <c r="T62" s="6">
        <v>17510.099999999999</v>
      </c>
      <c r="U62" s="2"/>
      <c r="V62" s="7">
        <f t="shared" si="41"/>
        <v>2.6864842872865398E-2</v>
      </c>
      <c r="W62" s="2"/>
      <c r="X62" s="6">
        <f t="shared" si="42"/>
        <v>-2333.6799999999985</v>
      </c>
      <c r="Y62" s="2"/>
      <c r="Z62" s="7">
        <f t="shared" si="43"/>
        <v>-0.13327622343675927</v>
      </c>
    </row>
    <row r="63" spans="1:26" s="26" customFormat="1" outlineLevel="1" collapsed="1" x14ac:dyDescent="0.25">
      <c r="A63" s="27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-2676.7</v>
      </c>
      <c r="E63" s="1"/>
      <c r="F63" s="5">
        <f t="shared" ref="F63:F68" si="44">IF(D$12=0,0,D63/D$12)</f>
        <v>-0.48825467241133996</v>
      </c>
      <c r="G63" s="1"/>
      <c r="H63" s="1">
        <f>SUM(OSRRefH22_12x_0)</f>
        <v>5143.54</v>
      </c>
      <c r="I63" s="1"/>
      <c r="J63" s="5">
        <f t="shared" ref="J63:J68" si="45">IF(H$12=0,0,H63/H$12)</f>
        <v>0.1171106065615127</v>
      </c>
      <c r="K63" s="1"/>
      <c r="L63" s="1">
        <f t="shared" ref="L63:L68" si="46">+D63-H63</f>
        <v>-7820.24</v>
      </c>
      <c r="M63" s="1"/>
      <c r="N63" s="5">
        <f t="shared" ref="N63:N68" si="47">IF(H63=0,0,L63/H63)</f>
        <v>-1.5204003468428358</v>
      </c>
      <c r="O63" s="12"/>
      <c r="P63" s="1">
        <f>SUM(OSRRefP22_12x_0)</f>
        <v>21219.43</v>
      </c>
      <c r="Q63" s="1"/>
      <c r="R63" s="5">
        <f t="shared" ref="R63:R68" si="48">IF(P$12=0,0,P63/P$12)</f>
        <v>0.41920819283620725</v>
      </c>
      <c r="S63" s="1"/>
      <c r="T63" s="1">
        <f>SUM(OSRRefT22_12x_0)</f>
        <v>42285.97</v>
      </c>
      <c r="U63" s="1"/>
      <c r="V63" s="5">
        <f t="shared" ref="V63:V68" si="49">IF(T$12=0,0,T63/T$12)</f>
        <v>6.4877181728071234E-2</v>
      </c>
      <c r="W63" s="1"/>
      <c r="X63" s="1">
        <f t="shared" ref="X63:X68" si="50">+P63-T63</f>
        <v>-21066.54</v>
      </c>
      <c r="Y63" s="1"/>
      <c r="Z63" s="5">
        <f t="shared" ref="Z63:Z68" si="51">IF(T63=0,0,X63/T63)</f>
        <v>-0.49819218998641868</v>
      </c>
    </row>
    <row r="64" spans="1:26" s="23" customFormat="1" hidden="1" outlineLevel="2" x14ac:dyDescent="0.25">
      <c r="A64" s="25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328.54</v>
      </c>
      <c r="E64" s="2"/>
      <c r="F64" s="7">
        <f t="shared" si="44"/>
        <v>5.9928714489491407E-2</v>
      </c>
      <c r="G64" s="2"/>
      <c r="H64" s="6">
        <v>328.54</v>
      </c>
      <c r="I64" s="2"/>
      <c r="J64" s="7">
        <f t="shared" si="45"/>
        <v>7.4803576291269016E-3</v>
      </c>
      <c r="K64" s="2"/>
      <c r="L64" s="6">
        <f t="shared" si="46"/>
        <v>0</v>
      </c>
      <c r="M64" s="2"/>
      <c r="N64" s="7">
        <f t="shared" si="47"/>
        <v>0</v>
      </c>
      <c r="O64" s="10"/>
      <c r="P64" s="6">
        <v>3108.73</v>
      </c>
      <c r="Q64" s="2"/>
      <c r="R64" s="7">
        <f t="shared" si="48"/>
        <v>6.1415649964004809E-2</v>
      </c>
      <c r="S64" s="2"/>
      <c r="T64" s="6">
        <v>3285.4</v>
      </c>
      <c r="U64" s="2"/>
      <c r="V64" s="7">
        <f t="shared" si="49"/>
        <v>5.0406196866101269E-3</v>
      </c>
      <c r="W64" s="2"/>
      <c r="X64" s="6">
        <f t="shared" si="50"/>
        <v>-176.67000000000007</v>
      </c>
      <c r="Y64" s="2"/>
      <c r="Z64" s="7">
        <f t="shared" si="51"/>
        <v>-5.3774274060997163E-2</v>
      </c>
    </row>
    <row r="65" spans="1:26" s="23" customFormat="1" hidden="1" outlineLevel="2" x14ac:dyDescent="0.25">
      <c r="A65" s="25"/>
      <c r="B65" s="10" t="str">
        <f>CONCATENATE("          ", "6283", " - ", "PLANT SERVICE")</f>
        <v xml:space="preserve">          6283 - PLANT SERVICE</v>
      </c>
      <c r="C65" s="10"/>
      <c r="D65" s="6"/>
      <c r="E65" s="2"/>
      <c r="F65" s="7">
        <f t="shared" si="44"/>
        <v>0</v>
      </c>
      <c r="G65" s="2"/>
      <c r="H65" s="6">
        <v>123.1</v>
      </c>
      <c r="I65" s="2"/>
      <c r="J65" s="7">
        <f t="shared" si="45"/>
        <v>2.8028003413451074E-3</v>
      </c>
      <c r="K65" s="2"/>
      <c r="L65" s="6">
        <f t="shared" si="46"/>
        <v>-123.1</v>
      </c>
      <c r="M65" s="2"/>
      <c r="N65" s="7">
        <f t="shared" si="47"/>
        <v>-1</v>
      </c>
      <c r="O65" s="10"/>
      <c r="P65" s="6"/>
      <c r="Q65" s="2"/>
      <c r="R65" s="7">
        <f t="shared" si="48"/>
        <v>0</v>
      </c>
      <c r="S65" s="2"/>
      <c r="T65" s="6">
        <v>430.85</v>
      </c>
      <c r="U65" s="2"/>
      <c r="V65" s="7">
        <f t="shared" si="49"/>
        <v>6.610309222548162E-4</v>
      </c>
      <c r="W65" s="2"/>
      <c r="X65" s="6">
        <f t="shared" si="50"/>
        <v>-430.85</v>
      </c>
      <c r="Y65" s="2"/>
      <c r="Z65" s="7">
        <f t="shared" si="51"/>
        <v>-1</v>
      </c>
    </row>
    <row r="66" spans="1:26" s="23" customFormat="1" hidden="1" outlineLevel="2" x14ac:dyDescent="0.25">
      <c r="A66" s="25"/>
      <c r="B66" s="10" t="str">
        <f>CONCATENATE("          ", "6284", " - ", "TRASH REMOVAL EXPENSE")</f>
        <v xml:space="preserve">          6284 - TRASH REMOVAL EXPENSE</v>
      </c>
      <c r="C66" s="10"/>
      <c r="D66" s="6">
        <v>-4698</v>
      </c>
      <c r="E66" s="2"/>
      <c r="F66" s="7">
        <f t="shared" si="44"/>
        <v>-0.85695836327884156</v>
      </c>
      <c r="G66" s="2"/>
      <c r="H66" s="6">
        <v>761</v>
      </c>
      <c r="I66" s="2"/>
      <c r="J66" s="7">
        <f t="shared" si="45"/>
        <v>1.7326816082563985E-2</v>
      </c>
      <c r="K66" s="2"/>
      <c r="L66" s="6">
        <f t="shared" si="46"/>
        <v>-5459</v>
      </c>
      <c r="M66" s="2"/>
      <c r="N66" s="7">
        <f t="shared" si="47"/>
        <v>-7.1734559789750332</v>
      </c>
      <c r="O66" s="10"/>
      <c r="P66" s="6">
        <v>3063</v>
      </c>
      <c r="Q66" s="2"/>
      <c r="R66" s="7">
        <f t="shared" si="48"/>
        <v>6.0512214261047671E-2</v>
      </c>
      <c r="S66" s="2"/>
      <c r="T66" s="6">
        <v>6841</v>
      </c>
      <c r="U66" s="2"/>
      <c r="V66" s="7">
        <f t="shared" si="49"/>
        <v>1.0495793290345126E-2</v>
      </c>
      <c r="W66" s="2"/>
      <c r="X66" s="6">
        <f t="shared" si="50"/>
        <v>-3778</v>
      </c>
      <c r="Y66" s="2"/>
      <c r="Z66" s="7">
        <f t="shared" si="51"/>
        <v>-0.55225844174828242</v>
      </c>
    </row>
    <row r="67" spans="1:26" s="23" customFormat="1" hidden="1" outlineLevel="2" x14ac:dyDescent="0.25">
      <c r="A67" s="25"/>
      <c r="B67" s="10" t="str">
        <f>CONCATENATE("          ", "6285", " - ", "JANITORIAL SERVICES")</f>
        <v xml:space="preserve">          6285 - JANITORIAL SERVICES</v>
      </c>
      <c r="C67" s="10"/>
      <c r="D67" s="6">
        <v>1692.76</v>
      </c>
      <c r="E67" s="2"/>
      <c r="F67" s="7">
        <f t="shared" si="44"/>
        <v>0.30877497637801021</v>
      </c>
      <c r="G67" s="2"/>
      <c r="H67" s="6">
        <v>3930.9</v>
      </c>
      <c r="I67" s="2"/>
      <c r="J67" s="7">
        <f t="shared" si="45"/>
        <v>8.9500632508476702E-2</v>
      </c>
      <c r="K67" s="2"/>
      <c r="L67" s="6">
        <f t="shared" si="46"/>
        <v>-2238.1400000000003</v>
      </c>
      <c r="M67" s="2"/>
      <c r="N67" s="7">
        <f t="shared" si="47"/>
        <v>-0.56937088198631358</v>
      </c>
      <c r="O67" s="10"/>
      <c r="P67" s="6">
        <v>14463.57</v>
      </c>
      <c r="Q67" s="2"/>
      <c r="R67" s="7">
        <f t="shared" si="48"/>
        <v>0.28574033523332071</v>
      </c>
      <c r="S67" s="2"/>
      <c r="T67" s="6">
        <v>29782.3</v>
      </c>
      <c r="U67" s="2"/>
      <c r="V67" s="7">
        <f t="shared" si="49"/>
        <v>4.569344606213209E-2</v>
      </c>
      <c r="W67" s="2"/>
      <c r="X67" s="6">
        <f t="shared" si="50"/>
        <v>-15318.73</v>
      </c>
      <c r="Y67" s="2"/>
      <c r="Z67" s="7">
        <f t="shared" si="51"/>
        <v>-0.51435684953814853</v>
      </c>
    </row>
    <row r="68" spans="1:26" s="23" customFormat="1" hidden="1" outlineLevel="2" x14ac:dyDescent="0.25">
      <c r="A68" s="25"/>
      <c r="B68" s="10" t="str">
        <f>CONCATENATE("          ", "6286", " - ", "LAUNDRY EXPENSE")</f>
        <v xml:space="preserve">          6286 - LAUNDRY EXPENSE</v>
      </c>
      <c r="C68" s="10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0"/>
      <c r="P68" s="6">
        <v>584.13</v>
      </c>
      <c r="Q68" s="2"/>
      <c r="R68" s="7">
        <f t="shared" si="48"/>
        <v>1.1539993377834077E-2</v>
      </c>
      <c r="S68" s="2"/>
      <c r="T68" s="6">
        <v>1946.42</v>
      </c>
      <c r="U68" s="2"/>
      <c r="V68" s="7">
        <f t="shared" si="49"/>
        <v>2.986291766729069E-3</v>
      </c>
      <c r="W68" s="2"/>
      <c r="X68" s="6">
        <f t="shared" si="50"/>
        <v>-1362.29</v>
      </c>
      <c r="Y68" s="2"/>
      <c r="Z68" s="7">
        <f t="shared" si="51"/>
        <v>-0.69989519219901153</v>
      </c>
    </row>
    <row r="69" spans="1:26" s="26" customFormat="1" outlineLevel="1" collapsed="1" x14ac:dyDescent="0.25">
      <c r="A69" s="27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SUM(OSRRefD22_13x_0)</f>
        <v>0</v>
      </c>
      <c r="E69" s="1"/>
      <c r="F69" s="5">
        <f t="shared" ref="F69:F71" si="52">IF(D$12=0,0,D69/D$12)</f>
        <v>0</v>
      </c>
      <c r="G69" s="1"/>
      <c r="H69" s="1">
        <f>SUM(OSRRefH22_13x_0)</f>
        <v>80.989999999999995</v>
      </c>
      <c r="I69" s="1"/>
      <c r="J69" s="5">
        <f t="shared" ref="J69:J71" si="53">IF(H$12=0,0,H69/H$12)</f>
        <v>1.8440194934649897E-3</v>
      </c>
      <c r="K69" s="1"/>
      <c r="L69" s="1">
        <f t="shared" ref="L69:L71" si="54">+D69-H69</f>
        <v>-80.989999999999995</v>
      </c>
      <c r="M69" s="1"/>
      <c r="N69" s="5">
        <f t="shared" ref="N69:N71" si="55">IF(H69=0,0,L69/H69)</f>
        <v>-1</v>
      </c>
      <c r="O69" s="12"/>
      <c r="P69" s="1">
        <f>SUM(OSRRefP22_13x_0)</f>
        <v>797.01</v>
      </c>
      <c r="Q69" s="1"/>
      <c r="R69" s="5">
        <f t="shared" ref="R69:R71" si="56">IF(P$12=0,0,P69/P$12)</f>
        <v>1.5745621902774273E-2</v>
      </c>
      <c r="S69" s="1"/>
      <c r="T69" s="1">
        <f>SUM(OSRRefT22_13x_0)</f>
        <v>2638.42</v>
      </c>
      <c r="U69" s="1"/>
      <c r="V69" s="5">
        <f t="shared" ref="V69:V71" si="57">IF(T$12=0,0,T69/T$12)</f>
        <v>4.0479916581073506E-3</v>
      </c>
      <c r="W69" s="1"/>
      <c r="X69" s="1">
        <f t="shared" ref="X69:X71" si="58">+P69-T69</f>
        <v>-1841.41</v>
      </c>
      <c r="Y69" s="1"/>
      <c r="Z69" s="5">
        <f t="shared" ref="Z69:Z71" si="59">IF(T69=0,0,X69/T69)</f>
        <v>-0.69792148331198223</v>
      </c>
    </row>
    <row r="70" spans="1:26" s="23" customFormat="1" hidden="1" outlineLevel="2" x14ac:dyDescent="0.25">
      <c r="A70" s="25"/>
      <c r="B70" s="10" t="str">
        <f>CONCATENATE("          ", "6258", " - ", "MEMBERSHIP DUES")</f>
        <v xml:space="preserve">          6258 - MEMBERSHIP DUES</v>
      </c>
      <c r="C70" s="10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0"/>
      <c r="P70" s="6"/>
      <c r="Q70" s="2"/>
      <c r="R70" s="7">
        <f t="shared" si="56"/>
        <v>0</v>
      </c>
      <c r="S70" s="2"/>
      <c r="T70" s="6">
        <v>978</v>
      </c>
      <c r="U70" s="2"/>
      <c r="V70" s="7">
        <f t="shared" si="57"/>
        <v>1.5004949331906933E-3</v>
      </c>
      <c r="W70" s="2"/>
      <c r="X70" s="6">
        <f t="shared" si="58"/>
        <v>-978</v>
      </c>
      <c r="Y70" s="2"/>
      <c r="Z70" s="7">
        <f t="shared" si="59"/>
        <v>-1</v>
      </c>
    </row>
    <row r="71" spans="1:26" s="23" customFormat="1" hidden="1" outlineLevel="2" x14ac:dyDescent="0.25">
      <c r="A71" s="25"/>
      <c r="B71" s="10" t="str">
        <f>CONCATENATE("          ", "6275", " - ", "SUBSCRIPTIONS")</f>
        <v xml:space="preserve">          6275 - SUBSCRIPTIONS</v>
      </c>
      <c r="C71" s="10"/>
      <c r="D71" s="6"/>
      <c r="E71" s="2"/>
      <c r="F71" s="7">
        <f t="shared" si="52"/>
        <v>0</v>
      </c>
      <c r="G71" s="2"/>
      <c r="H71" s="6">
        <v>80.989999999999995</v>
      </c>
      <c r="I71" s="2"/>
      <c r="J71" s="7">
        <f t="shared" si="53"/>
        <v>1.8440194934649897E-3</v>
      </c>
      <c r="K71" s="2"/>
      <c r="L71" s="6">
        <f t="shared" si="54"/>
        <v>-80.989999999999995</v>
      </c>
      <c r="M71" s="2"/>
      <c r="N71" s="7">
        <f t="shared" si="55"/>
        <v>-1</v>
      </c>
      <c r="O71" s="10"/>
      <c r="P71" s="6">
        <v>797.01</v>
      </c>
      <c r="Q71" s="2"/>
      <c r="R71" s="7">
        <f t="shared" si="56"/>
        <v>1.5745621902774273E-2</v>
      </c>
      <c r="S71" s="2"/>
      <c r="T71" s="6">
        <v>1660.42</v>
      </c>
      <c r="U71" s="2"/>
      <c r="V71" s="7">
        <f t="shared" si="57"/>
        <v>2.5474967249166577E-3</v>
      </c>
      <c r="W71" s="2"/>
      <c r="X71" s="6">
        <f t="shared" si="58"/>
        <v>-863.41000000000008</v>
      </c>
      <c r="Y71" s="2"/>
      <c r="Z71" s="7">
        <f t="shared" si="59"/>
        <v>-0.51999494103901422</v>
      </c>
    </row>
    <row r="72" spans="1:26" s="26" customFormat="1" outlineLevel="1" collapsed="1" x14ac:dyDescent="0.25">
      <c r="A72" s="27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SUM(OSRRefD22_14x_0)</f>
        <v>94.92</v>
      </c>
      <c r="E72" s="1"/>
      <c r="F72" s="5">
        <f t="shared" ref="F72:F81" si="60">IF(D$12=0,0,D72/D$12)</f>
        <v>1.7314280085659352E-2</v>
      </c>
      <c r="G72" s="1"/>
      <c r="H72" s="1">
        <f>SUM(OSRRefH22_14x_0)</f>
        <v>1810.2999999999997</v>
      </c>
      <c r="I72" s="1"/>
      <c r="J72" s="5">
        <f t="shared" ref="J72:J81" si="61">IF(H$12=0,0,H72/H$12)</f>
        <v>4.1217786010861471E-2</v>
      </c>
      <c r="K72" s="1"/>
      <c r="L72" s="1">
        <f t="shared" ref="L72:L81" si="62">+D72-H72</f>
        <v>-1715.3799999999997</v>
      </c>
      <c r="M72" s="1"/>
      <c r="N72" s="5">
        <f t="shared" ref="N72:N81" si="63">IF(H72=0,0,L72/H72)</f>
        <v>-0.9475667016516599</v>
      </c>
      <c r="O72" s="12"/>
      <c r="P72" s="1">
        <f>SUM(OSRRefP22_14x_0)</f>
        <v>7751.9299999999994</v>
      </c>
      <c r="Q72" s="1"/>
      <c r="R72" s="5">
        <f t="shared" ref="R72:R81" si="64">IF(P$12=0,0,P72/P$12)</f>
        <v>0.1531460819773566</v>
      </c>
      <c r="S72" s="1"/>
      <c r="T72" s="1">
        <f>SUM(OSRRefT22_14x_0)</f>
        <v>21774.560000000001</v>
      </c>
      <c r="U72" s="1"/>
      <c r="V72" s="5">
        <f t="shared" ref="V72:V81" si="65">IF(T$12=0,0,T72/T$12)</f>
        <v>3.3407583795968046E-2</v>
      </c>
      <c r="W72" s="1"/>
      <c r="X72" s="1">
        <f t="shared" ref="X72:X81" si="66">+P72-T72</f>
        <v>-14022.630000000001</v>
      </c>
      <c r="Y72" s="1"/>
      <c r="Z72" s="5">
        <f t="shared" ref="Z72:Z81" si="67">IF(T72=0,0,X72/T72)</f>
        <v>-0.64399142852943991</v>
      </c>
    </row>
    <row r="73" spans="1:26" s="23" customFormat="1" hidden="1" outlineLevel="2" x14ac:dyDescent="0.25">
      <c r="A73" s="25"/>
      <c r="B73" s="10" t="str">
        <f>CONCATENATE("          ", "6234", " - ", "EXPENDABLE SUPPLIES &amp; EQUIPMEN")</f>
        <v xml:space="preserve">          6234 - EXPENDABLE SUPPLIES &amp; EQUIPMEN</v>
      </c>
      <c r="C73" s="10"/>
      <c r="D73" s="6"/>
      <c r="E73" s="2"/>
      <c r="F73" s="7">
        <f t="shared" si="60"/>
        <v>0</v>
      </c>
      <c r="G73" s="2"/>
      <c r="H73" s="6">
        <v>14.32</v>
      </c>
      <c r="I73" s="2"/>
      <c r="J73" s="7">
        <f t="shared" si="61"/>
        <v>3.2604468633681507E-4</v>
      </c>
      <c r="K73" s="2"/>
      <c r="L73" s="6">
        <f t="shared" si="62"/>
        <v>-14.32</v>
      </c>
      <c r="M73" s="2"/>
      <c r="N73" s="7">
        <f t="shared" si="63"/>
        <v>-1</v>
      </c>
      <c r="O73" s="10"/>
      <c r="P73" s="6">
        <v>310.91000000000003</v>
      </c>
      <c r="Q73" s="2"/>
      <c r="R73" s="7">
        <f t="shared" si="64"/>
        <v>6.1422959634026553E-3</v>
      </c>
      <c r="S73" s="2"/>
      <c r="T73" s="6">
        <v>1090.83</v>
      </c>
      <c r="U73" s="2"/>
      <c r="V73" s="7">
        <f t="shared" si="65"/>
        <v>1.6736041799308833E-3</v>
      </c>
      <c r="W73" s="2"/>
      <c r="X73" s="6">
        <f t="shared" si="66"/>
        <v>-779.91999999999985</v>
      </c>
      <c r="Y73" s="2"/>
      <c r="Z73" s="7">
        <f t="shared" si="67"/>
        <v>-0.71497850260810569</v>
      </c>
    </row>
    <row r="74" spans="1:26" s="23" customFormat="1" hidden="1" outlineLevel="2" x14ac:dyDescent="0.25">
      <c r="A74" s="25"/>
      <c r="B74" s="10" t="str">
        <f>CONCATENATE("          ", "6235", " - ", "COVID-19 EXPENSES")</f>
        <v xml:space="preserve">          6235 - COVID-19 EXPENSES</v>
      </c>
      <c r="C74" s="10"/>
      <c r="D74" s="6"/>
      <c r="E74" s="2"/>
      <c r="F74" s="7">
        <f t="shared" si="60"/>
        <v>0</v>
      </c>
      <c r="G74" s="2"/>
      <c r="H74" s="6"/>
      <c r="I74" s="2"/>
      <c r="J74" s="7">
        <f t="shared" si="61"/>
        <v>0</v>
      </c>
      <c r="K74" s="2"/>
      <c r="L74" s="6">
        <f t="shared" si="62"/>
        <v>0</v>
      </c>
      <c r="M74" s="2"/>
      <c r="N74" s="7">
        <f t="shared" si="63"/>
        <v>0</v>
      </c>
      <c r="O74" s="10"/>
      <c r="P74" s="6">
        <v>6753.97</v>
      </c>
      <c r="Q74" s="2"/>
      <c r="R74" s="7">
        <f t="shared" si="64"/>
        <v>0.13343051901818093</v>
      </c>
      <c r="S74" s="2"/>
      <c r="T74" s="6"/>
      <c r="U74" s="2"/>
      <c r="V74" s="7">
        <f t="shared" si="65"/>
        <v>0</v>
      </c>
      <c r="W74" s="2"/>
      <c r="X74" s="6">
        <f t="shared" si="66"/>
        <v>6753.97</v>
      </c>
      <c r="Y74" s="2"/>
      <c r="Z74" s="7">
        <f t="shared" si="67"/>
        <v>0</v>
      </c>
    </row>
    <row r="75" spans="1:26" s="23" customFormat="1" hidden="1" outlineLevel="2" x14ac:dyDescent="0.25">
      <c r="A75" s="25"/>
      <c r="B75" s="10" t="str">
        <f>CONCATENATE("          ", "6237", " - ", "JANITORIAL SUPPLIES")</f>
        <v xml:space="preserve">          6237 - JANITORIAL SUPPLIES</v>
      </c>
      <c r="C75" s="10"/>
      <c r="D75" s="6"/>
      <c r="E75" s="2"/>
      <c r="F75" s="7">
        <f t="shared" si="60"/>
        <v>0</v>
      </c>
      <c r="G75" s="2"/>
      <c r="H75" s="6">
        <v>1100.3399999999999</v>
      </c>
      <c r="I75" s="2"/>
      <c r="J75" s="7">
        <f t="shared" si="61"/>
        <v>2.505307333546446E-2</v>
      </c>
      <c r="K75" s="2"/>
      <c r="L75" s="6">
        <f t="shared" si="62"/>
        <v>-1100.3399999999999</v>
      </c>
      <c r="M75" s="2"/>
      <c r="N75" s="7">
        <f t="shared" si="63"/>
        <v>-1</v>
      </c>
      <c r="O75" s="10"/>
      <c r="P75" s="6">
        <v>286.91000000000003</v>
      </c>
      <c r="Q75" s="2"/>
      <c r="R75" s="7">
        <f t="shared" si="64"/>
        <v>5.6681552052357783E-3</v>
      </c>
      <c r="S75" s="2"/>
      <c r="T75" s="6">
        <v>8948.91</v>
      </c>
      <c r="U75" s="2"/>
      <c r="V75" s="7">
        <f t="shared" si="65"/>
        <v>1.3729850830858413E-2</v>
      </c>
      <c r="W75" s="2"/>
      <c r="X75" s="6">
        <f t="shared" si="66"/>
        <v>-8662</v>
      </c>
      <c r="Y75" s="2"/>
      <c r="Z75" s="7">
        <f t="shared" si="67"/>
        <v>-0.96793911213767936</v>
      </c>
    </row>
    <row r="76" spans="1:26" s="23" customFormat="1" hidden="1" outlineLevel="2" x14ac:dyDescent="0.25">
      <c r="A76" s="25"/>
      <c r="B76" s="10" t="str">
        <f>CONCATENATE("          ", "6239", " - ", "KITCHEN SUPPLIES")</f>
        <v xml:space="preserve">          6239 - KITCHEN SUPPLIES</v>
      </c>
      <c r="C76" s="10"/>
      <c r="D76" s="6"/>
      <c r="E76" s="2"/>
      <c r="F76" s="7">
        <f t="shared" si="60"/>
        <v>0</v>
      </c>
      <c r="G76" s="2"/>
      <c r="H76" s="6">
        <v>83.11</v>
      </c>
      <c r="I76" s="2"/>
      <c r="J76" s="7">
        <f t="shared" si="61"/>
        <v>1.8922886788723954E-3</v>
      </c>
      <c r="K76" s="2"/>
      <c r="L76" s="6">
        <f t="shared" si="62"/>
        <v>-83.11</v>
      </c>
      <c r="M76" s="2"/>
      <c r="N76" s="7">
        <f t="shared" si="63"/>
        <v>-1</v>
      </c>
      <c r="O76" s="10"/>
      <c r="P76" s="6">
        <v>19.829999999999998</v>
      </c>
      <c r="Q76" s="2"/>
      <c r="R76" s="7">
        <f t="shared" si="64"/>
        <v>3.9175880143538206E-4</v>
      </c>
      <c r="S76" s="2"/>
      <c r="T76" s="6">
        <v>425.78</v>
      </c>
      <c r="U76" s="2"/>
      <c r="V76" s="7">
        <f t="shared" si="65"/>
        <v>6.5325228287723249E-4</v>
      </c>
      <c r="W76" s="2"/>
      <c r="X76" s="6">
        <f t="shared" si="66"/>
        <v>-405.95</v>
      </c>
      <c r="Y76" s="2"/>
      <c r="Z76" s="7">
        <f t="shared" si="67"/>
        <v>-0.9534266522617314</v>
      </c>
    </row>
    <row r="77" spans="1:26" s="23" customFormat="1" hidden="1" outlineLevel="2" x14ac:dyDescent="0.25">
      <c r="A77" s="25"/>
      <c r="B77" s="10" t="str">
        <f>CONCATENATE("          ", "6241", " - ", "OFFICE EXPENSE")</f>
        <v xml:space="preserve">          6241 - OFFICE EXPENSE</v>
      </c>
      <c r="C77" s="10"/>
      <c r="D77" s="6"/>
      <c r="E77" s="2"/>
      <c r="F77" s="7">
        <f t="shared" si="60"/>
        <v>0</v>
      </c>
      <c r="G77" s="2"/>
      <c r="H77" s="6">
        <v>77.08</v>
      </c>
      <c r="I77" s="2"/>
      <c r="J77" s="7">
        <f t="shared" si="61"/>
        <v>1.7549947222654822E-3</v>
      </c>
      <c r="K77" s="2"/>
      <c r="L77" s="6">
        <f t="shared" si="62"/>
        <v>-77.08</v>
      </c>
      <c r="M77" s="2"/>
      <c r="N77" s="7">
        <f t="shared" si="63"/>
        <v>-1</v>
      </c>
      <c r="O77" s="10"/>
      <c r="P77" s="6">
        <v>219.9</v>
      </c>
      <c r="Q77" s="2"/>
      <c r="R77" s="7">
        <f t="shared" si="64"/>
        <v>4.3443146967040106E-3</v>
      </c>
      <c r="S77" s="2"/>
      <c r="T77" s="6">
        <v>5703.34</v>
      </c>
      <c r="U77" s="2"/>
      <c r="V77" s="7">
        <f t="shared" si="65"/>
        <v>8.7503402579384559E-3</v>
      </c>
      <c r="W77" s="2"/>
      <c r="X77" s="6">
        <f t="shared" si="66"/>
        <v>-5483.4400000000005</v>
      </c>
      <c r="Y77" s="2"/>
      <c r="Z77" s="7">
        <f t="shared" si="67"/>
        <v>-0.9614436453025772</v>
      </c>
    </row>
    <row r="78" spans="1:26" s="23" customFormat="1" hidden="1" outlineLevel="2" x14ac:dyDescent="0.25">
      <c r="A78" s="25"/>
      <c r="B78" s="10" t="str">
        <f>CONCATENATE("          ", "6243", " - ", "PAPER SUPPLIES")</f>
        <v xml:space="preserve">          6243 - PAPER SUPPLIES</v>
      </c>
      <c r="C78" s="10"/>
      <c r="D78" s="6">
        <v>94.92</v>
      </c>
      <c r="E78" s="2"/>
      <c r="F78" s="7">
        <f t="shared" si="60"/>
        <v>1.7314280085659352E-2</v>
      </c>
      <c r="G78" s="2"/>
      <c r="H78" s="6">
        <v>505.45</v>
      </c>
      <c r="I78" s="2"/>
      <c r="J78" s="7">
        <f t="shared" si="61"/>
        <v>1.1508330077440166E-2</v>
      </c>
      <c r="K78" s="2"/>
      <c r="L78" s="6">
        <f t="shared" si="62"/>
        <v>-410.53</v>
      </c>
      <c r="M78" s="2"/>
      <c r="N78" s="7">
        <f t="shared" si="63"/>
        <v>-0.81220694430705309</v>
      </c>
      <c r="O78" s="10"/>
      <c r="P78" s="6">
        <v>160.41</v>
      </c>
      <c r="Q78" s="2"/>
      <c r="R78" s="7">
        <f t="shared" si="64"/>
        <v>3.1690382923978636E-3</v>
      </c>
      <c r="S78" s="2"/>
      <c r="T78" s="6">
        <v>5123.8</v>
      </c>
      <c r="U78" s="2"/>
      <c r="V78" s="7">
        <f t="shared" si="65"/>
        <v>7.8611819413931232E-3</v>
      </c>
      <c r="W78" s="2"/>
      <c r="X78" s="6">
        <f t="shared" si="66"/>
        <v>-4963.3900000000003</v>
      </c>
      <c r="Y78" s="2"/>
      <c r="Z78" s="7">
        <f t="shared" si="67"/>
        <v>-0.96869315742222573</v>
      </c>
    </row>
    <row r="79" spans="1:26" s="23" customFormat="1" hidden="1" outlineLevel="2" x14ac:dyDescent="0.25">
      <c r="A79" s="25"/>
      <c r="B79" s="10" t="str">
        <f>CONCATENATE("          ", "6246", " - ", "REPLACEMENTS")</f>
        <v xml:space="preserve">          6246 - REPLACEMENTS</v>
      </c>
      <c r="C79" s="10"/>
      <c r="D79" s="6"/>
      <c r="E79" s="2"/>
      <c r="F79" s="7">
        <f t="shared" si="60"/>
        <v>0</v>
      </c>
      <c r="G79" s="2"/>
      <c r="H79" s="6"/>
      <c r="I79" s="2"/>
      <c r="J79" s="7">
        <f t="shared" si="61"/>
        <v>0</v>
      </c>
      <c r="K79" s="2"/>
      <c r="L79" s="6">
        <f t="shared" si="62"/>
        <v>0</v>
      </c>
      <c r="M79" s="2"/>
      <c r="N79" s="7">
        <f t="shared" si="63"/>
        <v>0</v>
      </c>
      <c r="O79" s="10"/>
      <c r="P79" s="6"/>
      <c r="Q79" s="2"/>
      <c r="R79" s="7">
        <f t="shared" si="64"/>
        <v>0</v>
      </c>
      <c r="S79" s="2"/>
      <c r="T79" s="6">
        <v>25.87</v>
      </c>
      <c r="U79" s="2"/>
      <c r="V79" s="7">
        <f t="shared" si="65"/>
        <v>3.9691006054849937E-5</v>
      </c>
      <c r="W79" s="2"/>
      <c r="X79" s="6">
        <f t="shared" si="66"/>
        <v>-25.87</v>
      </c>
      <c r="Y79" s="2"/>
      <c r="Z79" s="7">
        <f t="shared" si="67"/>
        <v>-1</v>
      </c>
    </row>
    <row r="80" spans="1:26" s="23" customFormat="1" hidden="1" outlineLevel="2" x14ac:dyDescent="0.25">
      <c r="A80" s="25"/>
      <c r="B80" s="10" t="str">
        <f>CONCATENATE("          ", "6247", " - ", "STORE SUPPLIES")</f>
        <v xml:space="preserve">          6247 - STORE SUPPLIES</v>
      </c>
      <c r="C80" s="10"/>
      <c r="D80" s="6"/>
      <c r="E80" s="2"/>
      <c r="F80" s="7">
        <f t="shared" si="60"/>
        <v>0</v>
      </c>
      <c r="G80" s="2"/>
      <c r="H80" s="6">
        <v>30</v>
      </c>
      <c r="I80" s="2"/>
      <c r="J80" s="7">
        <f t="shared" si="61"/>
        <v>6.8305451048215448E-4</v>
      </c>
      <c r="K80" s="2"/>
      <c r="L80" s="6">
        <f t="shared" si="62"/>
        <v>-30</v>
      </c>
      <c r="M80" s="2"/>
      <c r="N80" s="7">
        <f t="shared" si="63"/>
        <v>-1</v>
      </c>
      <c r="O80" s="10"/>
      <c r="P80" s="6"/>
      <c r="Q80" s="2"/>
      <c r="R80" s="7">
        <f t="shared" si="64"/>
        <v>0</v>
      </c>
      <c r="S80" s="2"/>
      <c r="T80" s="6">
        <v>440.56</v>
      </c>
      <c r="U80" s="2"/>
      <c r="V80" s="7">
        <f t="shared" si="65"/>
        <v>6.7592847419886692E-4</v>
      </c>
      <c r="W80" s="2"/>
      <c r="X80" s="6">
        <f t="shared" si="66"/>
        <v>-440.56</v>
      </c>
      <c r="Y80" s="2"/>
      <c r="Z80" s="7">
        <f t="shared" si="67"/>
        <v>-1</v>
      </c>
    </row>
    <row r="81" spans="1:26" s="23" customFormat="1" hidden="1" outlineLevel="2" x14ac:dyDescent="0.25">
      <c r="A81" s="25"/>
      <c r="B81" s="10" t="str">
        <f>CONCATENATE("          ", "6248", " - ", "UNIFORMS")</f>
        <v xml:space="preserve">          6248 - UNIFORMS</v>
      </c>
      <c r="C81" s="10"/>
      <c r="D81" s="6"/>
      <c r="E81" s="2"/>
      <c r="F81" s="7">
        <f t="shared" si="60"/>
        <v>0</v>
      </c>
      <c r="G81" s="2"/>
      <c r="H81" s="6"/>
      <c r="I81" s="2"/>
      <c r="J81" s="7">
        <f t="shared" si="61"/>
        <v>0</v>
      </c>
      <c r="K81" s="2"/>
      <c r="L81" s="6">
        <f t="shared" si="62"/>
        <v>0</v>
      </c>
      <c r="M81" s="2"/>
      <c r="N81" s="7">
        <f t="shared" si="63"/>
        <v>0</v>
      </c>
      <c r="O81" s="10"/>
      <c r="P81" s="6"/>
      <c r="Q81" s="2"/>
      <c r="R81" s="7">
        <f t="shared" si="64"/>
        <v>0</v>
      </c>
      <c r="S81" s="2"/>
      <c r="T81" s="6">
        <v>15.47</v>
      </c>
      <c r="U81" s="2"/>
      <c r="V81" s="7">
        <f t="shared" si="65"/>
        <v>2.3734822716216798E-5</v>
      </c>
      <c r="W81" s="2"/>
      <c r="X81" s="6">
        <f t="shared" si="66"/>
        <v>-15.47</v>
      </c>
      <c r="Y81" s="2"/>
      <c r="Z81" s="7">
        <f t="shared" si="67"/>
        <v>-1</v>
      </c>
    </row>
    <row r="82" spans="1:26" s="26" customFormat="1" outlineLevel="1" collapsed="1" x14ac:dyDescent="0.25">
      <c r="A82" s="27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SUM(OSRRefD22_15x_0)</f>
        <v>82</v>
      </c>
      <c r="E82" s="1"/>
      <c r="F82" s="5">
        <f t="shared" ref="F82:F87" si="68">IF(D$12=0,0,D82/D$12)</f>
        <v>1.4957553382048747E-2</v>
      </c>
      <c r="G82" s="1"/>
      <c r="H82" s="1">
        <f>SUM(OSRRefH22_15x_0)</f>
        <v>201.54</v>
      </c>
      <c r="I82" s="1"/>
      <c r="J82" s="5">
        <f t="shared" ref="J82:J87" si="69">IF(H$12=0,0,H82/H$12)</f>
        <v>4.5887602014191139E-3</v>
      </c>
      <c r="K82" s="1"/>
      <c r="L82" s="1">
        <f t="shared" ref="L82:L87" si="70">+D82-H82</f>
        <v>-119.53999999999999</v>
      </c>
      <c r="M82" s="1"/>
      <c r="N82" s="5">
        <f t="shared" ref="N82:N87" si="71">IF(H82=0,0,L82/H82)</f>
        <v>-0.59313287684826832</v>
      </c>
      <c r="O82" s="12"/>
      <c r="P82" s="1">
        <f>SUM(OSRRefP22_15x_0)</f>
        <v>1691</v>
      </c>
      <c r="Q82" s="1"/>
      <c r="R82" s="5">
        <f t="shared" ref="R82:R87" si="72">IF(P$12=0,0,P82/P$12)</f>
        <v>3.3407167585841203E-2</v>
      </c>
      <c r="S82" s="1"/>
      <c r="T82" s="1">
        <f>SUM(OSRRefT22_15x_0)</f>
        <v>1322.79</v>
      </c>
      <c r="U82" s="1"/>
      <c r="V82" s="5">
        <f t="shared" ref="V82:V87" si="73">IF(T$12=0,0,T82/T$12)</f>
        <v>2.0294884383183203E-3</v>
      </c>
      <c r="W82" s="1"/>
      <c r="X82" s="1">
        <f t="shared" ref="X82:X87" si="74">+P82-T82</f>
        <v>368.21000000000004</v>
      </c>
      <c r="Y82" s="1"/>
      <c r="Z82" s="5">
        <f t="shared" ref="Z82:Z87" si="75">IF(T82=0,0,X82/T82)</f>
        <v>0.27835862079392804</v>
      </c>
    </row>
    <row r="83" spans="1:26" s="23" customFormat="1" hidden="1" outlineLevel="2" x14ac:dyDescent="0.25">
      <c r="A83" s="25"/>
      <c r="B83" s="10" t="str">
        <f>CONCATENATE("          ", "6309", " - ", "TELEPHONE")</f>
        <v xml:space="preserve">          6309 - TELEPHONE</v>
      </c>
      <c r="C83" s="10"/>
      <c r="D83" s="6">
        <v>82</v>
      </c>
      <c r="E83" s="2"/>
      <c r="F83" s="7">
        <f t="shared" si="68"/>
        <v>1.4957553382048747E-2</v>
      </c>
      <c r="G83" s="2"/>
      <c r="H83" s="6">
        <v>201.54</v>
      </c>
      <c r="I83" s="2"/>
      <c r="J83" s="7">
        <f t="shared" si="69"/>
        <v>4.5887602014191139E-3</v>
      </c>
      <c r="K83" s="2"/>
      <c r="L83" s="6">
        <f t="shared" si="70"/>
        <v>-119.53999999999999</v>
      </c>
      <c r="M83" s="2"/>
      <c r="N83" s="7">
        <f t="shared" si="71"/>
        <v>-0.59313287684826832</v>
      </c>
      <c r="O83" s="10"/>
      <c r="P83" s="6">
        <v>1691</v>
      </c>
      <c r="Q83" s="2"/>
      <c r="R83" s="7">
        <f t="shared" si="72"/>
        <v>3.3407167585841203E-2</v>
      </c>
      <c r="S83" s="2"/>
      <c r="T83" s="6">
        <v>1322.79</v>
      </c>
      <c r="U83" s="2"/>
      <c r="V83" s="7">
        <f t="shared" si="73"/>
        <v>2.0294884383183203E-3</v>
      </c>
      <c r="W83" s="2"/>
      <c r="X83" s="6">
        <f t="shared" si="74"/>
        <v>368.21000000000004</v>
      </c>
      <c r="Y83" s="2"/>
      <c r="Z83" s="7">
        <f t="shared" si="75"/>
        <v>0.27835862079392804</v>
      </c>
    </row>
    <row r="84" spans="1:26" s="26" customFormat="1" outlineLevel="1" collapsed="1" x14ac:dyDescent="0.25">
      <c r="A84" s="27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SUM(OSRRefD22_16x_0)</f>
        <v>0</v>
      </c>
      <c r="E84" s="1"/>
      <c r="F84" s="5">
        <f t="shared" si="68"/>
        <v>0</v>
      </c>
      <c r="G84" s="1"/>
      <c r="H84" s="1">
        <f>SUM(OSRRefH22_16x_0)</f>
        <v>0</v>
      </c>
      <c r="I84" s="1"/>
      <c r="J84" s="5">
        <f t="shared" si="69"/>
        <v>0</v>
      </c>
      <c r="K84" s="1"/>
      <c r="L84" s="1">
        <f t="shared" si="70"/>
        <v>0</v>
      </c>
      <c r="M84" s="1"/>
      <c r="N84" s="5">
        <f t="shared" si="71"/>
        <v>0</v>
      </c>
      <c r="O84" s="12"/>
      <c r="P84" s="1">
        <f>SUM(OSRRefP22_16x_0)</f>
        <v>400</v>
      </c>
      <c r="Q84" s="1"/>
      <c r="R84" s="5">
        <f t="shared" si="72"/>
        <v>7.9023459694479489E-3</v>
      </c>
      <c r="S84" s="1"/>
      <c r="T84" s="1">
        <f>SUM(OSRRefT22_16x_0)</f>
        <v>185</v>
      </c>
      <c r="U84" s="1"/>
      <c r="V84" s="5">
        <f t="shared" si="73"/>
        <v>2.8383595361991645E-4</v>
      </c>
      <c r="W84" s="1"/>
      <c r="X84" s="1">
        <f t="shared" si="74"/>
        <v>215</v>
      </c>
      <c r="Y84" s="1"/>
      <c r="Z84" s="5">
        <f t="shared" si="75"/>
        <v>1.1621621621621621</v>
      </c>
    </row>
    <row r="85" spans="1:26" s="23" customFormat="1" hidden="1" outlineLevel="2" x14ac:dyDescent="0.25">
      <c r="A85" s="25"/>
      <c r="B85" s="10" t="str">
        <f>CONCATENATE("          ", "6376", " - ", "TRAINING")</f>
        <v xml:space="preserve">          6376 - TRAINING</v>
      </c>
      <c r="C85" s="10"/>
      <c r="D85" s="6"/>
      <c r="E85" s="2"/>
      <c r="F85" s="7">
        <f t="shared" si="68"/>
        <v>0</v>
      </c>
      <c r="G85" s="2"/>
      <c r="H85" s="6"/>
      <c r="I85" s="2"/>
      <c r="J85" s="7">
        <f t="shared" si="69"/>
        <v>0</v>
      </c>
      <c r="K85" s="2"/>
      <c r="L85" s="6">
        <f t="shared" si="70"/>
        <v>0</v>
      </c>
      <c r="M85" s="2"/>
      <c r="N85" s="7">
        <f t="shared" si="71"/>
        <v>0</v>
      </c>
      <c r="O85" s="10"/>
      <c r="P85" s="6">
        <v>400</v>
      </c>
      <c r="Q85" s="2"/>
      <c r="R85" s="7">
        <f t="shared" si="72"/>
        <v>7.9023459694479489E-3</v>
      </c>
      <c r="S85" s="2"/>
      <c r="T85" s="6">
        <v>185</v>
      </c>
      <c r="U85" s="2"/>
      <c r="V85" s="7">
        <f t="shared" si="73"/>
        <v>2.8383595361991645E-4</v>
      </c>
      <c r="W85" s="2"/>
      <c r="X85" s="6">
        <f t="shared" si="74"/>
        <v>215</v>
      </c>
      <c r="Y85" s="2"/>
      <c r="Z85" s="7">
        <f t="shared" si="75"/>
        <v>1.1621621621621621</v>
      </c>
    </row>
    <row r="86" spans="1:26" s="26" customFormat="1" outlineLevel="1" collapsed="1" x14ac:dyDescent="0.25">
      <c r="A86" s="27"/>
      <c r="B86" s="12" t="str">
        <f>CONCATENATE("     ","Utilities                                         ")</f>
        <v xml:space="preserve">     Utilities                                         </v>
      </c>
      <c r="C86" s="12"/>
      <c r="D86" s="1">
        <f>SUM(OSRRefD22_17x_0)</f>
        <v>-10123</v>
      </c>
      <c r="E86" s="1"/>
      <c r="F86" s="5">
        <f t="shared" si="68"/>
        <v>-1.8465282059326764</v>
      </c>
      <c r="G86" s="1"/>
      <c r="H86" s="1">
        <f>SUM(OSRRefH22_17x_0)</f>
        <v>2312</v>
      </c>
      <c r="I86" s="1"/>
      <c r="J86" s="5">
        <f t="shared" si="69"/>
        <v>5.2640734274491376E-2</v>
      </c>
      <c r="K86" s="1"/>
      <c r="L86" s="1">
        <f t="shared" si="70"/>
        <v>-12435</v>
      </c>
      <c r="M86" s="1"/>
      <c r="N86" s="5">
        <f t="shared" si="71"/>
        <v>-5.3784602076124566</v>
      </c>
      <c r="O86" s="12"/>
      <c r="P86" s="1">
        <f>SUM(OSRRefP22_17x_0)</f>
        <v>8325</v>
      </c>
      <c r="Q86" s="1"/>
      <c r="R86" s="5">
        <f t="shared" si="72"/>
        <v>0.16446757548913543</v>
      </c>
      <c r="S86" s="1"/>
      <c r="T86" s="1">
        <f>SUM(OSRRefT22_17x_0)</f>
        <v>20148</v>
      </c>
      <c r="U86" s="1"/>
      <c r="V86" s="5">
        <f t="shared" si="73"/>
        <v>3.0912036721805817E-2</v>
      </c>
      <c r="W86" s="1"/>
      <c r="X86" s="1">
        <f t="shared" si="74"/>
        <v>-11823</v>
      </c>
      <c r="Y86" s="1"/>
      <c r="Z86" s="5">
        <f t="shared" si="75"/>
        <v>-0.58680762358546756</v>
      </c>
    </row>
    <row r="87" spans="1:26" s="23" customFormat="1" hidden="1" outlineLevel="2" x14ac:dyDescent="0.25">
      <c r="A87" s="25"/>
      <c r="B87" s="10" t="str">
        <f>CONCATENATE("          ", "6274", " - ", "UTILITIES")</f>
        <v xml:space="preserve">          6274 - UTILITIES</v>
      </c>
      <c r="C87" s="10"/>
      <c r="D87" s="6">
        <v>-10123</v>
      </c>
      <c r="E87" s="2"/>
      <c r="F87" s="7">
        <f t="shared" si="68"/>
        <v>-1.8465282059326764</v>
      </c>
      <c r="G87" s="2"/>
      <c r="H87" s="6">
        <v>2312</v>
      </c>
      <c r="I87" s="2"/>
      <c r="J87" s="7">
        <f t="shared" si="69"/>
        <v>5.2640734274491376E-2</v>
      </c>
      <c r="K87" s="2"/>
      <c r="L87" s="6">
        <f t="shared" si="70"/>
        <v>-12435</v>
      </c>
      <c r="M87" s="2"/>
      <c r="N87" s="7">
        <f t="shared" si="71"/>
        <v>-5.3784602076124566</v>
      </c>
      <c r="O87" s="10"/>
      <c r="P87" s="6">
        <v>8325</v>
      </c>
      <c r="Q87" s="2"/>
      <c r="R87" s="7">
        <f t="shared" si="72"/>
        <v>0.16446757548913543</v>
      </c>
      <c r="S87" s="2"/>
      <c r="T87" s="6">
        <v>20148</v>
      </c>
      <c r="U87" s="2"/>
      <c r="V87" s="7">
        <f t="shared" si="73"/>
        <v>3.0912036721805817E-2</v>
      </c>
      <c r="W87" s="2"/>
      <c r="X87" s="6">
        <f t="shared" si="74"/>
        <v>-11823</v>
      </c>
      <c r="Y87" s="2"/>
      <c r="Z87" s="7">
        <f t="shared" si="75"/>
        <v>-0.58680762358546756</v>
      </c>
    </row>
    <row r="88" spans="1:26" s="60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4" customFormat="1" collapsed="1" x14ac:dyDescent="0.25">
      <c r="A89" s="11"/>
      <c r="B89" s="28" t="s">
        <v>292</v>
      </c>
      <c r="C89" s="11"/>
      <c r="D89" s="4">
        <f>SUM(OSRRefD25x_0)</f>
        <v>0</v>
      </c>
      <c r="E89" s="4"/>
      <c r="F89" s="13">
        <f t="shared" ref="F89:F90" si="76">IF(D$12=0,0,D89/D$12)</f>
        <v>0</v>
      </c>
      <c r="G89" s="4"/>
      <c r="H89" s="4">
        <f>SUM(OSRRefH25x_0)</f>
        <v>0</v>
      </c>
      <c r="I89" s="4"/>
      <c r="J89" s="13">
        <f t="shared" ref="J89:J90" si="77">IF(H$12=0,0,H89/H$12)</f>
        <v>0</v>
      </c>
      <c r="K89" s="4"/>
      <c r="L89" s="4">
        <f t="shared" ref="L89:L90" si="78">+D89-H89</f>
        <v>0</v>
      </c>
      <c r="M89" s="4"/>
      <c r="N89" s="13">
        <f t="shared" ref="N89:N90" si="79">IF(H89=0,0,L89/H89)</f>
        <v>0</v>
      </c>
      <c r="O89" s="11"/>
      <c r="P89" s="4">
        <f>SUM(OSRRefP25x_0)</f>
        <v>0</v>
      </c>
      <c r="Q89" s="4"/>
      <c r="R89" s="13">
        <f t="shared" ref="R89:R90" si="80">IF(P$12=0,0,P89/P$12)</f>
        <v>0</v>
      </c>
      <c r="S89" s="4"/>
      <c r="T89" s="4">
        <f>SUM(OSRRefT25x_0)</f>
        <v>68.760000000000005</v>
      </c>
      <c r="U89" s="4"/>
      <c r="V89" s="13">
        <f t="shared" ref="V89:V90" si="81">IF(T$12=0,0,T89/T$12)</f>
        <v>1.0549491984273219E-4</v>
      </c>
      <c r="W89" s="4"/>
      <c r="X89" s="4">
        <f t="shared" ref="X89:X90" si="82">+P89-T89</f>
        <v>-68.760000000000005</v>
      </c>
      <c r="Y89" s="4"/>
      <c r="Z89" s="13">
        <f t="shared" ref="Z89:Z90" si="83">IF(T89=0,0,X89/T89)</f>
        <v>-1</v>
      </c>
    </row>
    <row r="90" spans="1:26" s="23" customFormat="1" hidden="1" outlineLevel="1" x14ac:dyDescent="0.25">
      <c r="A90" s="44"/>
      <c r="B90" s="10" t="str">
        <f>CONCATENATE("          ", "9150", " - ", "MISC. INCOME")</f>
        <v xml:space="preserve">          9150 - MISC. INCOME</v>
      </c>
      <c r="C90" s="10"/>
      <c r="D90" s="2">
        <f>0</f>
        <v>0</v>
      </c>
      <c r="E90" s="2"/>
      <c r="F90" s="19">
        <f t="shared" si="76"/>
        <v>0</v>
      </c>
      <c r="G90" s="2"/>
      <c r="H90" s="2">
        <f>0</f>
        <v>0</v>
      </c>
      <c r="I90" s="2"/>
      <c r="J90" s="19">
        <f t="shared" si="77"/>
        <v>0</v>
      </c>
      <c r="K90" s="2"/>
      <c r="L90" s="2">
        <f t="shared" si="78"/>
        <v>0</v>
      </c>
      <c r="M90" s="2"/>
      <c r="N90" s="19">
        <f t="shared" si="79"/>
        <v>0</v>
      </c>
      <c r="O90" s="10"/>
      <c r="P90" s="2">
        <f>0</f>
        <v>0</v>
      </c>
      <c r="Q90" s="2"/>
      <c r="R90" s="19">
        <f t="shared" si="80"/>
        <v>0</v>
      </c>
      <c r="S90" s="2"/>
      <c r="T90" s="2">
        <f>--68.76</f>
        <v>68.760000000000005</v>
      </c>
      <c r="U90" s="2"/>
      <c r="V90" s="19">
        <f t="shared" si="81"/>
        <v>1.0549491984273219E-4</v>
      </c>
      <c r="W90" s="2"/>
      <c r="X90" s="2">
        <f t="shared" si="82"/>
        <v>-68.760000000000005</v>
      </c>
      <c r="Y90" s="2"/>
      <c r="Z90" s="19">
        <f t="shared" si="83"/>
        <v>-1</v>
      </c>
    </row>
    <row r="91" spans="1:26" x14ac:dyDescent="0.25">
      <c r="A91" s="9"/>
      <c r="B91" s="11"/>
      <c r="C91" s="11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1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x14ac:dyDescent="0.25">
      <c r="A92" s="11"/>
      <c r="B92" s="29" t="s">
        <v>276</v>
      </c>
      <c r="C92" s="29"/>
      <c r="D92" s="22">
        <f>+D20-D22+D89</f>
        <v>-42383.789999999994</v>
      </c>
      <c r="E92" s="14"/>
      <c r="F92" s="20">
        <f>IF(D$12=0,0,D92/D$12)</f>
        <v>-7.7311927007139483</v>
      </c>
      <c r="G92" s="14"/>
      <c r="H92" s="22">
        <f>+H20-H22+H89</f>
        <v>-46173.72</v>
      </c>
      <c r="I92" s="14"/>
      <c r="J92" s="20">
        <f>IF(H$12=0,0,H92/H$12)</f>
        <v>-1.0513055903913355</v>
      </c>
      <c r="K92" s="15"/>
      <c r="L92" s="22">
        <f>+D92-H92</f>
        <v>3789.9300000000076</v>
      </c>
      <c r="M92" s="15"/>
      <c r="N92" s="20">
        <f>IF(H92=0,0,L92/H92)</f>
        <v>-8.2079806435349095E-2</v>
      </c>
      <c r="O92" s="28"/>
      <c r="P92" s="22">
        <f>+P20-P22+P89</f>
        <v>-512941.21000000008</v>
      </c>
      <c r="Q92" s="14"/>
      <c r="R92" s="20">
        <f>IF(P$12=0,0,P92/P$12)</f>
        <v>-10.133597258518137</v>
      </c>
      <c r="S92" s="14"/>
      <c r="T92" s="22">
        <f>+T20-T22+T89</f>
        <v>-198209.7200000002</v>
      </c>
      <c r="U92" s="14"/>
      <c r="V92" s="20">
        <f>IF(T$12=0,0,T92/T$12)</f>
        <v>-0.30410294536722532</v>
      </c>
      <c r="W92" s="15"/>
      <c r="X92" s="22">
        <f>+P92-T92</f>
        <v>-314731.48999999987</v>
      </c>
      <c r="Y92" s="15"/>
      <c r="Z92" s="20">
        <f>IF(T92=0,0,X92/T92)</f>
        <v>1.587871119539443</v>
      </c>
    </row>
    <row r="93" spans="1:26" x14ac:dyDescent="0.25">
      <c r="A93" s="9"/>
      <c r="B93" s="11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x14ac:dyDescent="0.25">
      <c r="A94" s="51"/>
      <c r="B94" s="11" t="s">
        <v>127</v>
      </c>
      <c r="C94" s="11"/>
      <c r="D94" s="4">
        <v>1493.44</v>
      </c>
      <c r="E94" s="4"/>
      <c r="F94" s="13">
        <f>IF(D$12=0,0,D94/D$12)</f>
        <v>0.2724171771083766</v>
      </c>
      <c r="G94" s="4"/>
      <c r="H94" s="4">
        <v>7886.92</v>
      </c>
      <c r="I94" s="4"/>
      <c r="J94" s="13">
        <f>IF(H$12=0,0,H94/H$12)</f>
        <v>0.1795732093270638</v>
      </c>
      <c r="K94" s="4"/>
      <c r="L94" s="4">
        <f>+D94-H94</f>
        <v>-6393.48</v>
      </c>
      <c r="M94" s="4"/>
      <c r="N94" s="13">
        <f>IF(H94=0,0,L94/H94)</f>
        <v>-0.81064344509643804</v>
      </c>
      <c r="O94" s="11"/>
      <c r="P94" s="4">
        <v>10431.92</v>
      </c>
      <c r="Q94" s="4"/>
      <c r="R94" s="13">
        <f>IF(P$12=0,0,P94/P$12)</f>
        <v>0.20609160241400862</v>
      </c>
      <c r="S94" s="4"/>
      <c r="T94" s="4">
        <v>69840.34</v>
      </c>
      <c r="U94" s="4"/>
      <c r="V94" s="13">
        <f>IF(T$12=0,0,T94/T$12)</f>
        <v>0.10715242975696862</v>
      </c>
      <c r="W94" s="4"/>
      <c r="X94" s="4">
        <f>+P94-T94</f>
        <v>-59408.42</v>
      </c>
      <c r="Y94" s="4"/>
      <c r="Z94" s="13">
        <f>IF(T94=0,0,X94/T94)</f>
        <v>-0.85063188409449331</v>
      </c>
    </row>
    <row r="95" spans="1:26" x14ac:dyDescent="0.25">
      <c r="A95" s="9"/>
      <c r="B95" s="11"/>
      <c r="C95" s="11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1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4" customFormat="1" ht="15.75" thickBot="1" x14ac:dyDescent="0.3">
      <c r="A96" s="11"/>
      <c r="B96" s="29" t="s">
        <v>125</v>
      </c>
      <c r="C96" s="29"/>
      <c r="D96" s="30">
        <f>+D92-D94</f>
        <v>-43877.229999999996</v>
      </c>
      <c r="E96" s="14"/>
      <c r="F96" s="36">
        <f>IF(D$12=0,0,D96/D$12)</f>
        <v>-8.0036098778223241</v>
      </c>
      <c r="G96" s="14"/>
      <c r="H96" s="30">
        <f>+H92-H94</f>
        <v>-54060.639999999999</v>
      </c>
      <c r="I96" s="14"/>
      <c r="J96" s="36">
        <f>IF(H$12=0,0,H96/H$12)</f>
        <v>-1.2308787997183994</v>
      </c>
      <c r="K96" s="15"/>
      <c r="L96" s="30">
        <f>D96-H96</f>
        <v>10183.410000000003</v>
      </c>
      <c r="M96" s="15"/>
      <c r="N96" s="36">
        <f>IF(H96=0,0,L96/H96)</f>
        <v>-0.18837013398287558</v>
      </c>
      <c r="O96" s="28"/>
      <c r="P96" s="30">
        <f>+P92-P94</f>
        <v>-523373.13000000006</v>
      </c>
      <c r="Q96" s="14"/>
      <c r="R96" s="36">
        <f>IF(P$12=0,0,P96/P$12)</f>
        <v>-10.339688860932146</v>
      </c>
      <c r="S96" s="14"/>
      <c r="T96" s="30">
        <f>+T92-T94</f>
        <v>-268050.06000000017</v>
      </c>
      <c r="U96" s="14"/>
      <c r="V96" s="36">
        <f>IF(T$12=0,0,T96/T$12)</f>
        <v>-0.41125537512419386</v>
      </c>
      <c r="W96" s="15"/>
      <c r="X96" s="30">
        <f>P96-T96</f>
        <v>-255323.06999999989</v>
      </c>
      <c r="Y96" s="15"/>
      <c r="Z96" s="36">
        <f>IF(T96=0,0,X96/T96)</f>
        <v>0.95252010016337896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ht="15.75" thickBot="1" x14ac:dyDescent="0.3">
      <c r="A99" s="11"/>
      <c r="B99" s="29" t="s">
        <v>293</v>
      </c>
      <c r="C99" s="29"/>
      <c r="D99" s="35">
        <f>SUM(D96:D98)</f>
        <v>-43877.229999999996</v>
      </c>
      <c r="E99" s="14"/>
      <c r="F99" s="34">
        <f>IF(D$12=0,0,D99/D$12)</f>
        <v>-8.0036098778223241</v>
      </c>
      <c r="G99" s="14"/>
      <c r="H99" s="35">
        <f>SUM(H96:H98)</f>
        <v>-54060.639999999999</v>
      </c>
      <c r="I99" s="14"/>
      <c r="J99" s="34">
        <f>IF(H$12=0,0,H99/H$12)</f>
        <v>-1.2308787997183994</v>
      </c>
      <c r="K99" s="15"/>
      <c r="L99" s="35">
        <f>+D99-H99</f>
        <v>10183.410000000003</v>
      </c>
      <c r="M99" s="15"/>
      <c r="N99" s="34">
        <f>IF(H99=0,0,L99/H99)</f>
        <v>-0.18837013398287558</v>
      </c>
      <c r="O99" s="28"/>
      <c r="P99" s="35">
        <f>SUM(P96:P98)</f>
        <v>-523373.13000000006</v>
      </c>
      <c r="Q99" s="14"/>
      <c r="R99" s="34">
        <f>IF(P$12=0,0,P99/P$12)</f>
        <v>-10.339688860932146</v>
      </c>
      <c r="S99" s="14"/>
      <c r="T99" s="35">
        <f>SUM(T96:T98)</f>
        <v>-268050.06000000017</v>
      </c>
      <c r="U99" s="14"/>
      <c r="V99" s="34">
        <f>IF(T$12=0,0,T99/T$12)</f>
        <v>-0.41125537512419386</v>
      </c>
      <c r="W99" s="15"/>
      <c r="X99" s="35">
        <f>+P99-T99</f>
        <v>-255323.06999999989</v>
      </c>
      <c r="Y99" s="15"/>
      <c r="Z99" s="34">
        <f>IF(T99=0,0,X99/T99)</f>
        <v>0.95252010016337896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4">
        <v>44295.963243634258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8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62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","418", " - ", "Nugget")</f>
        <v>Department 418 - Nugget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68100.97</v>
      </c>
      <c r="I12" s="4"/>
      <c r="J12" s="13"/>
      <c r="K12" s="4"/>
      <c r="L12" s="4">
        <f t="shared" ref="L12:L14" si="0">+D12-H12</f>
        <v>-68100.97</v>
      </c>
      <c r="M12" s="4"/>
      <c r="N12" s="13">
        <f t="shared" ref="N12:N14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1068795.77</v>
      </c>
      <c r="U12" s="4"/>
      <c r="V12" s="13"/>
      <c r="W12" s="4"/>
      <c r="X12" s="4">
        <f t="shared" ref="X12:X14" si="2">+P12-T12</f>
        <v>-1068795.77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"4055", " - ", "TAXABLE SALES-FOOD")</f>
        <v xml:space="preserve">          4055 - TAXABLE SALES-FOOD</v>
      </c>
      <c r="C13" s="10"/>
      <c r="D13" s="2">
        <f t="shared" ref="D13:D14" si="4">0</f>
        <v>0</v>
      </c>
      <c r="E13" s="2"/>
      <c r="F13" s="19"/>
      <c r="G13" s="2"/>
      <c r="H13" s="2">
        <f>--24162.83</f>
        <v>24162.83</v>
      </c>
      <c r="I13" s="2"/>
      <c r="J13" s="19"/>
      <c r="K13" s="2"/>
      <c r="L13" s="2">
        <f t="shared" si="0"/>
        <v>-24162.83</v>
      </c>
      <c r="M13" s="2"/>
      <c r="N13" s="19">
        <f t="shared" si="1"/>
        <v>-1</v>
      </c>
      <c r="O13" s="10"/>
      <c r="P13" s="2">
        <f t="shared" ref="P13:P14" si="5">0</f>
        <v>0</v>
      </c>
      <c r="Q13" s="2"/>
      <c r="R13" s="19"/>
      <c r="S13" s="2"/>
      <c r="T13" s="2">
        <f>--381406.04</f>
        <v>381406.04</v>
      </c>
      <c r="U13" s="2"/>
      <c r="V13" s="19"/>
      <c r="W13" s="2"/>
      <c r="X13" s="2">
        <f t="shared" si="2"/>
        <v>-381406.04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"4155", " - ", "NON-TAXABLE SALES-FOOD")</f>
        <v xml:space="preserve">          4155 - NON-TAXABLE SALES-FOOD</v>
      </c>
      <c r="C14" s="10"/>
      <c r="D14" s="2">
        <f t="shared" si="4"/>
        <v>0</v>
      </c>
      <c r="E14" s="2"/>
      <c r="F14" s="19"/>
      <c r="G14" s="2"/>
      <c r="H14" s="2">
        <f>--43938.14</f>
        <v>43938.14</v>
      </c>
      <c r="I14" s="2"/>
      <c r="J14" s="19"/>
      <c r="K14" s="2"/>
      <c r="L14" s="2">
        <f t="shared" si="0"/>
        <v>-43938.14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--687389.73</f>
        <v>687389.73</v>
      </c>
      <c r="U14" s="2"/>
      <c r="V14" s="19"/>
      <c r="W14" s="2"/>
      <c r="X14" s="2">
        <f t="shared" si="2"/>
        <v>-687389.73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-301.68</v>
      </c>
      <c r="E16" s="4"/>
      <c r="F16" s="13">
        <f t="shared" ref="F16:F18" si="6">IF(D$12=0,0,D16/D$12)</f>
        <v>0</v>
      </c>
      <c r="G16" s="4"/>
      <c r="H16" s="4">
        <f>SUM(OSRRefH16x_0)</f>
        <v>20974.880000000001</v>
      </c>
      <c r="I16" s="4"/>
      <c r="J16" s="13">
        <f t="shared" ref="J16:J18" si="7">IF(H$12=0,0,H16/H$12)</f>
        <v>0.30799678771095335</v>
      </c>
      <c r="K16" s="4"/>
      <c r="L16" s="4">
        <f t="shared" ref="L16:L18" si="8">+D16-H16</f>
        <v>-21276.560000000001</v>
      </c>
      <c r="M16" s="4"/>
      <c r="N16" s="13">
        <f t="shared" ref="N16:N18" si="9">IF(H16=0,0,L16/H16)</f>
        <v>-1.0143829189964377</v>
      </c>
      <c r="O16" s="11"/>
      <c r="P16" s="4">
        <f>SUM(OSRRefP16x_0)</f>
        <v>-301.68</v>
      </c>
      <c r="Q16" s="4"/>
      <c r="R16" s="13">
        <f t="shared" ref="R16:R18" si="10">IF(P$12=0,0,P16/P$12)</f>
        <v>0</v>
      </c>
      <c r="S16" s="4"/>
      <c r="T16" s="4">
        <f>SUM(OSRRefT16x_0)</f>
        <v>353871.07</v>
      </c>
      <c r="U16" s="4"/>
      <c r="V16" s="13">
        <f t="shared" ref="V16:V18" si="11">IF(T$12=0,0,T16/T$12)</f>
        <v>0.33109325460747285</v>
      </c>
      <c r="W16" s="4"/>
      <c r="X16" s="4">
        <f t="shared" ref="X16:X18" si="12">+P16-T16</f>
        <v>-354172.75</v>
      </c>
      <c r="Y16" s="4"/>
      <c r="Z16" s="13">
        <f t="shared" ref="Z16:Z18" si="13">IF(T16=0,0,X16/T16)</f>
        <v>-1.000852513883093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-301.68</v>
      </c>
      <c r="E17" s="2"/>
      <c r="F17" s="19">
        <f t="shared" si="6"/>
        <v>0</v>
      </c>
      <c r="G17" s="2"/>
      <c r="H17" s="2">
        <v>22525.88</v>
      </c>
      <c r="I17" s="2"/>
      <c r="J17" s="19">
        <f t="shared" si="7"/>
        <v>0.33077179370572846</v>
      </c>
      <c r="K17" s="2"/>
      <c r="L17" s="2">
        <f t="shared" si="8"/>
        <v>-22827.56</v>
      </c>
      <c r="M17" s="2"/>
      <c r="N17" s="19">
        <f t="shared" si="9"/>
        <v>-1.0133925955389977</v>
      </c>
      <c r="O17" s="10"/>
      <c r="P17" s="2">
        <v>-301.68</v>
      </c>
      <c r="Q17" s="2"/>
      <c r="R17" s="19">
        <f t="shared" si="10"/>
        <v>0</v>
      </c>
      <c r="S17" s="2"/>
      <c r="T17" s="2">
        <v>360936.4</v>
      </c>
      <c r="U17" s="2"/>
      <c r="V17" s="19">
        <f t="shared" si="11"/>
        <v>0.3377038065934711</v>
      </c>
      <c r="W17" s="2"/>
      <c r="X17" s="2">
        <f t="shared" si="12"/>
        <v>-361238.08</v>
      </c>
      <c r="Y17" s="2"/>
      <c r="Z17" s="19">
        <f t="shared" si="13"/>
        <v>-1.0008358259239023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-1551</v>
      </c>
      <c r="I18" s="2"/>
      <c r="J18" s="19">
        <f t="shared" si="7"/>
        <v>-2.277500599477511E-2</v>
      </c>
      <c r="K18" s="2"/>
      <c r="L18" s="2">
        <f t="shared" si="8"/>
        <v>1551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-7065.33</v>
      </c>
      <c r="U18" s="2"/>
      <c r="V18" s="19">
        <f t="shared" si="11"/>
        <v>-6.6105519859982233E-3</v>
      </c>
      <c r="W18" s="2"/>
      <c r="X18" s="2">
        <f t="shared" si="12"/>
        <v>7065.33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301.68</v>
      </c>
      <c r="E20" s="14"/>
      <c r="F20" s="20">
        <f>IF(D$12=0,0,D20/D$12)</f>
        <v>0</v>
      </c>
      <c r="G20" s="14"/>
      <c r="H20" s="22">
        <f>H12-H16</f>
        <v>47126.09</v>
      </c>
      <c r="I20" s="14"/>
      <c r="J20" s="20">
        <f>IF(H$12=0,0,H20/H$12)</f>
        <v>0.6920032122890466</v>
      </c>
      <c r="K20" s="15"/>
      <c r="L20" s="22">
        <f>+D20-H20</f>
        <v>-46824.409999999996</v>
      </c>
      <c r="M20" s="15"/>
      <c r="N20" s="20">
        <f>IF(H20=0,0,L20/H20)</f>
        <v>-0.99359845045493911</v>
      </c>
      <c r="O20" s="28"/>
      <c r="P20" s="22">
        <f>P12-P16</f>
        <v>301.68</v>
      </c>
      <c r="Q20" s="14"/>
      <c r="R20" s="20">
        <f>IF(P$12=0,0,P20/P$12)</f>
        <v>0</v>
      </c>
      <c r="S20" s="14"/>
      <c r="T20" s="22">
        <f>T12-T16</f>
        <v>714924.7</v>
      </c>
      <c r="U20" s="14"/>
      <c r="V20" s="20">
        <f>IF(T$12=0,0,T20/T$12)</f>
        <v>0.66890674539252704</v>
      </c>
      <c r="W20" s="15"/>
      <c r="X20" s="22">
        <f>+P20-T20</f>
        <v>-714623.0199999999</v>
      </c>
      <c r="Y20" s="15"/>
      <c r="Z20" s="20">
        <f>IF(T20=0,0,X20/T20)</f>
        <v>-0.99957802548995711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6944.03</v>
      </c>
      <c r="E22" s="21"/>
      <c r="F22" s="31">
        <f t="shared" ref="F22:F31" si="14">IF(D$12=0,0,D22/D$12)</f>
        <v>0</v>
      </c>
      <c r="G22" s="21"/>
      <c r="H22" s="21">
        <f>SUM(OSRRefH22x_0)</f>
        <v>72771.97</v>
      </c>
      <c r="I22" s="21"/>
      <c r="J22" s="31">
        <f t="shared" ref="J22:J31" si="15">IF(H$12=0,0,H22/H$12)</f>
        <v>1.0685893314001254</v>
      </c>
      <c r="K22" s="4"/>
      <c r="L22" s="21">
        <f t="shared" ref="L22:L31" si="16">+D22-H22</f>
        <v>-65827.94</v>
      </c>
      <c r="M22" s="4"/>
      <c r="N22" s="31">
        <f t="shared" ref="N22:N31" si="17">IF(H22=0,0,L22/H22)</f>
        <v>-0.90457823252551772</v>
      </c>
      <c r="O22" s="11"/>
      <c r="P22" s="21">
        <f>SUM(OSRRefP22x_0)</f>
        <v>74401.01999999999</v>
      </c>
      <c r="Q22" s="21"/>
      <c r="R22" s="31">
        <f t="shared" ref="R22:R31" si="18">IF(P$12=0,0,P22/P$12)</f>
        <v>0</v>
      </c>
      <c r="S22" s="21"/>
      <c r="T22" s="21">
        <f>SUM(OSRRefT22x_0)</f>
        <v>572831.09999999986</v>
      </c>
      <c r="U22" s="21"/>
      <c r="V22" s="31">
        <f t="shared" ref="V22:V31" si="19">IF(T$12=0,0,T22/T$12)</f>
        <v>0.53595936293797253</v>
      </c>
      <c r="W22" s="4"/>
      <c r="X22" s="21">
        <f t="shared" ref="X22:X31" si="20">+P22-T22</f>
        <v>-498430.07999999984</v>
      </c>
      <c r="Y22" s="4"/>
      <c r="Z22" s="31">
        <f t="shared" ref="Z22:Z31" si="21">IF(T22=0,0,X22/T22)</f>
        <v>-0.87011700307472828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13440.539999999999</v>
      </c>
      <c r="I23" s="1"/>
      <c r="J23" s="5">
        <f t="shared" si="15"/>
        <v>0.19736194653321382</v>
      </c>
      <c r="K23" s="1"/>
      <c r="L23" s="1">
        <f t="shared" si="16"/>
        <v>-13440.539999999999</v>
      </c>
      <c r="M23" s="1"/>
      <c r="N23" s="5">
        <f t="shared" si="17"/>
        <v>-1</v>
      </c>
      <c r="O23" s="12"/>
      <c r="P23" s="1">
        <f>SUM(OSRRefP22_0x_0)</f>
        <v>6086.32</v>
      </c>
      <c r="Q23" s="1"/>
      <c r="R23" s="5">
        <f t="shared" si="18"/>
        <v>0</v>
      </c>
      <c r="S23" s="1"/>
      <c r="T23" s="1">
        <f>SUM(OSRRefT22_0x_0)</f>
        <v>85958.88</v>
      </c>
      <c r="U23" s="1"/>
      <c r="V23" s="5">
        <f t="shared" si="19"/>
        <v>8.042591710481789E-2</v>
      </c>
      <c r="W23" s="1"/>
      <c r="X23" s="1">
        <f t="shared" si="20"/>
        <v>-79872.56</v>
      </c>
      <c r="Y23" s="1"/>
      <c r="Z23" s="5">
        <f t="shared" si="21"/>
        <v>-0.92919498253118227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3224.32</v>
      </c>
      <c r="I24" s="2"/>
      <c r="J24" s="7">
        <f t="shared" si="15"/>
        <v>4.7346168490698448E-2</v>
      </c>
      <c r="K24" s="2"/>
      <c r="L24" s="6">
        <f t="shared" si="16"/>
        <v>-3224.32</v>
      </c>
      <c r="M24" s="2"/>
      <c r="N24" s="7">
        <f t="shared" si="17"/>
        <v>-1</v>
      </c>
      <c r="O24" s="10"/>
      <c r="P24" s="6">
        <v>237.51</v>
      </c>
      <c r="Q24" s="2"/>
      <c r="R24" s="7">
        <f t="shared" si="18"/>
        <v>0</v>
      </c>
      <c r="S24" s="2"/>
      <c r="T24" s="6">
        <v>17922.62</v>
      </c>
      <c r="U24" s="2"/>
      <c r="V24" s="7">
        <f t="shared" si="19"/>
        <v>1.6768984779945376E-2</v>
      </c>
      <c r="W24" s="2"/>
      <c r="X24" s="6">
        <f t="shared" si="20"/>
        <v>-17685.11</v>
      </c>
      <c r="Y24" s="2"/>
      <c r="Z24" s="7">
        <f t="shared" si="21"/>
        <v>-0.98674803125882271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>
        <v>2190.9299999999998</v>
      </c>
      <c r="I25" s="2"/>
      <c r="J25" s="7">
        <f t="shared" si="15"/>
        <v>3.2171788448828259E-2</v>
      </c>
      <c r="K25" s="2"/>
      <c r="L25" s="6">
        <f t="shared" si="16"/>
        <v>-2190.9299999999998</v>
      </c>
      <c r="M25" s="2"/>
      <c r="N25" s="7">
        <f t="shared" si="17"/>
        <v>-1</v>
      </c>
      <c r="O25" s="10"/>
      <c r="P25" s="6"/>
      <c r="Q25" s="2"/>
      <c r="R25" s="7">
        <f t="shared" si="18"/>
        <v>0</v>
      </c>
      <c r="S25" s="2"/>
      <c r="T25" s="6">
        <v>10474.969999999999</v>
      </c>
      <c r="U25" s="2"/>
      <c r="V25" s="7">
        <f t="shared" si="19"/>
        <v>9.8007217973925913E-3</v>
      </c>
      <c r="W25" s="2"/>
      <c r="X25" s="6">
        <f t="shared" si="20"/>
        <v>-10474.969999999999</v>
      </c>
      <c r="Y25" s="2"/>
      <c r="Z25" s="7">
        <f t="shared" si="21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>
        <v>5413.82</v>
      </c>
      <c r="I26" s="2"/>
      <c r="J26" s="7">
        <f t="shared" si="15"/>
        <v>7.9496958707049245E-2</v>
      </c>
      <c r="K26" s="2"/>
      <c r="L26" s="6">
        <f t="shared" si="16"/>
        <v>-5413.82</v>
      </c>
      <c r="M26" s="2"/>
      <c r="N26" s="7">
        <f t="shared" si="17"/>
        <v>-1</v>
      </c>
      <c r="O26" s="10"/>
      <c r="P26" s="6">
        <v>4780.67</v>
      </c>
      <c r="Q26" s="2"/>
      <c r="R26" s="7">
        <f t="shared" si="18"/>
        <v>0</v>
      </c>
      <c r="S26" s="2"/>
      <c r="T26" s="6">
        <v>36669.760000000002</v>
      </c>
      <c r="U26" s="2"/>
      <c r="V26" s="7">
        <f t="shared" si="19"/>
        <v>3.4309417223835008E-2</v>
      </c>
      <c r="W26" s="2"/>
      <c r="X26" s="6">
        <f t="shared" si="20"/>
        <v>-31889.090000000004</v>
      </c>
      <c r="Y26" s="2"/>
      <c r="Z26" s="7">
        <f t="shared" si="21"/>
        <v>-0.86962908947317907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146.81</v>
      </c>
      <c r="I27" s="2"/>
      <c r="J27" s="7">
        <f t="shared" si="15"/>
        <v>2.1557695874229103E-3</v>
      </c>
      <c r="K27" s="2"/>
      <c r="L27" s="6">
        <f t="shared" si="16"/>
        <v>-146.81</v>
      </c>
      <c r="M27" s="2"/>
      <c r="N27" s="7">
        <f t="shared" si="17"/>
        <v>-1</v>
      </c>
      <c r="O27" s="10"/>
      <c r="P27" s="6"/>
      <c r="Q27" s="2"/>
      <c r="R27" s="7">
        <f t="shared" si="18"/>
        <v>0</v>
      </c>
      <c r="S27" s="2"/>
      <c r="T27" s="6">
        <v>839.2</v>
      </c>
      <c r="U27" s="2"/>
      <c r="V27" s="7">
        <f t="shared" si="19"/>
        <v>7.8518274824384833E-4</v>
      </c>
      <c r="W27" s="2"/>
      <c r="X27" s="6">
        <f t="shared" si="20"/>
        <v>-839.2</v>
      </c>
      <c r="Y27" s="2"/>
      <c r="Z27" s="7">
        <f t="shared" si="21"/>
        <v>-1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>
        <v>639.83000000000004</v>
      </c>
      <c r="I28" s="2"/>
      <c r="J28" s="7">
        <f t="shared" si="15"/>
        <v>9.3953140461875955E-3</v>
      </c>
      <c r="K28" s="2"/>
      <c r="L28" s="6">
        <f t="shared" si="16"/>
        <v>-639.83000000000004</v>
      </c>
      <c r="M28" s="2"/>
      <c r="N28" s="7">
        <f t="shared" si="17"/>
        <v>-1</v>
      </c>
      <c r="O28" s="10"/>
      <c r="P28" s="6">
        <v>678.15</v>
      </c>
      <c r="Q28" s="2"/>
      <c r="R28" s="7">
        <f t="shared" si="18"/>
        <v>0</v>
      </c>
      <c r="S28" s="2"/>
      <c r="T28" s="6">
        <v>5129.7700000000004</v>
      </c>
      <c r="U28" s="2"/>
      <c r="V28" s="7">
        <f t="shared" si="19"/>
        <v>4.7995792498317993E-3</v>
      </c>
      <c r="W28" s="2"/>
      <c r="X28" s="6">
        <f t="shared" si="20"/>
        <v>-4451.6200000000008</v>
      </c>
      <c r="Y28" s="2"/>
      <c r="Z28" s="7">
        <f t="shared" si="21"/>
        <v>-0.86780109049723486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>
        <v>701.69</v>
      </c>
      <c r="I29" s="2"/>
      <c r="J29" s="7">
        <f t="shared" si="15"/>
        <v>1.0303671151820598E-2</v>
      </c>
      <c r="K29" s="2"/>
      <c r="L29" s="6">
        <f t="shared" si="16"/>
        <v>-701.69</v>
      </c>
      <c r="M29" s="2"/>
      <c r="N29" s="7">
        <f t="shared" si="17"/>
        <v>-1</v>
      </c>
      <c r="O29" s="10"/>
      <c r="P29" s="6">
        <v>248.21</v>
      </c>
      <c r="Q29" s="2"/>
      <c r="R29" s="7">
        <f t="shared" si="18"/>
        <v>0</v>
      </c>
      <c r="S29" s="2"/>
      <c r="T29" s="6">
        <v>5418.12</v>
      </c>
      <c r="U29" s="2"/>
      <c r="V29" s="7">
        <f t="shared" si="19"/>
        <v>5.0693688654849375E-3</v>
      </c>
      <c r="W29" s="2"/>
      <c r="X29" s="6">
        <f t="shared" si="20"/>
        <v>-5169.91</v>
      </c>
      <c r="Y29" s="2"/>
      <c r="Z29" s="7">
        <f t="shared" si="21"/>
        <v>-0.95418890685329971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>
        <v>745.33</v>
      </c>
      <c r="I30" s="2"/>
      <c r="J30" s="7">
        <f t="shared" si="15"/>
        <v>1.0944484344349281E-2</v>
      </c>
      <c r="K30" s="2"/>
      <c r="L30" s="6">
        <f t="shared" si="16"/>
        <v>-745.33</v>
      </c>
      <c r="M30" s="2"/>
      <c r="N30" s="7">
        <f t="shared" si="17"/>
        <v>-1</v>
      </c>
      <c r="O30" s="10"/>
      <c r="P30" s="6">
        <v>141.78</v>
      </c>
      <c r="Q30" s="2"/>
      <c r="R30" s="7">
        <f t="shared" si="18"/>
        <v>0</v>
      </c>
      <c r="S30" s="2"/>
      <c r="T30" s="6">
        <v>5606.67</v>
      </c>
      <c r="U30" s="2"/>
      <c r="V30" s="7">
        <f t="shared" si="19"/>
        <v>5.2457823630795248E-3</v>
      </c>
      <c r="W30" s="2"/>
      <c r="X30" s="6">
        <f t="shared" si="20"/>
        <v>-5464.89</v>
      </c>
      <c r="Y30" s="2"/>
      <c r="Z30" s="7">
        <f t="shared" si="21"/>
        <v>-0.97471226235894037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>
        <v>377.81</v>
      </c>
      <c r="I31" s="2"/>
      <c r="J31" s="7">
        <f t="shared" si="15"/>
        <v>5.547791756857501E-3</v>
      </c>
      <c r="K31" s="2"/>
      <c r="L31" s="6">
        <f t="shared" si="16"/>
        <v>-377.81</v>
      </c>
      <c r="M31" s="2"/>
      <c r="N31" s="7">
        <f t="shared" si="17"/>
        <v>-1</v>
      </c>
      <c r="O31" s="10"/>
      <c r="P31" s="6"/>
      <c r="Q31" s="2"/>
      <c r="R31" s="7">
        <f t="shared" si="18"/>
        <v>0</v>
      </c>
      <c r="S31" s="2"/>
      <c r="T31" s="6">
        <v>3897.77</v>
      </c>
      <c r="U31" s="2"/>
      <c r="V31" s="7">
        <f t="shared" si="19"/>
        <v>3.6468800770047957E-3</v>
      </c>
      <c r="W31" s="2"/>
      <c r="X31" s="6">
        <f t="shared" si="20"/>
        <v>-3897.77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44530.289999999994</v>
      </c>
      <c r="I32" s="1"/>
      <c r="J32" s="5">
        <f t="shared" ref="J32:J38" si="23">IF(H$12=0,0,H32/H$12)</f>
        <v>0.65388628091494139</v>
      </c>
      <c r="K32" s="1"/>
      <c r="L32" s="1">
        <f t="shared" ref="L32:L38" si="24">+D32-H32</f>
        <v>-44530.289999999994</v>
      </c>
      <c r="M32" s="1"/>
      <c r="N32" s="5">
        <f t="shared" ref="N32:N38" si="25">IF(H32=0,0,L32/H32)</f>
        <v>-1</v>
      </c>
      <c r="O32" s="12"/>
      <c r="P32" s="1">
        <f>SUM(OSRRefP22_1x_0)</f>
        <v>2151.69</v>
      </c>
      <c r="Q32" s="1"/>
      <c r="R32" s="5">
        <f t="shared" ref="R32:R38" si="26">IF(P$12=0,0,P32/P$12)</f>
        <v>0</v>
      </c>
      <c r="S32" s="1"/>
      <c r="T32" s="1">
        <f>SUM(OSRRefT22_1x_0)</f>
        <v>311733.17000000004</v>
      </c>
      <c r="U32" s="1"/>
      <c r="V32" s="5">
        <f t="shared" ref="V32:V38" si="27">IF(T$12=0,0,T32/T$12)</f>
        <v>0.2916676681832302</v>
      </c>
      <c r="W32" s="1"/>
      <c r="X32" s="1">
        <f t="shared" ref="X32:X38" si="28">+P32-T32</f>
        <v>-309581.48000000004</v>
      </c>
      <c r="Y32" s="1"/>
      <c r="Z32" s="5">
        <f t="shared" ref="Z32:Z38" si="29">IF(T32=0,0,X32/T32)</f>
        <v>-0.99309765463842037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>
        <v>15696</v>
      </c>
      <c r="I33" s="2"/>
      <c r="J33" s="7">
        <f t="shared" si="23"/>
        <v>0.23048129857768546</v>
      </c>
      <c r="K33" s="2"/>
      <c r="L33" s="6">
        <f t="shared" si="24"/>
        <v>-15696</v>
      </c>
      <c r="M33" s="2"/>
      <c r="N33" s="7">
        <f t="shared" si="25"/>
        <v>-1</v>
      </c>
      <c r="O33" s="10"/>
      <c r="P33" s="6">
        <v>2151.69</v>
      </c>
      <c r="Q33" s="2"/>
      <c r="R33" s="7">
        <f t="shared" si="26"/>
        <v>0</v>
      </c>
      <c r="S33" s="2"/>
      <c r="T33" s="6">
        <v>80298</v>
      </c>
      <c r="U33" s="2"/>
      <c r="V33" s="7">
        <f t="shared" si="27"/>
        <v>7.5129414106869075E-2</v>
      </c>
      <c r="W33" s="2"/>
      <c r="X33" s="6">
        <f t="shared" si="28"/>
        <v>-78146.31</v>
      </c>
      <c r="Y33" s="2"/>
      <c r="Z33" s="7">
        <f t="shared" si="29"/>
        <v>-0.97320369125009343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2"/>
        <v>0</v>
      </c>
      <c r="G34" s="2"/>
      <c r="H34" s="6">
        <v>4866.4399999999996</v>
      </c>
      <c r="I34" s="2"/>
      <c r="J34" s="7">
        <f t="shared" si="23"/>
        <v>7.1459187732568263E-2</v>
      </c>
      <c r="K34" s="2"/>
      <c r="L34" s="6">
        <f t="shared" si="24"/>
        <v>-4866.4399999999996</v>
      </c>
      <c r="M34" s="2"/>
      <c r="N34" s="7">
        <f t="shared" si="25"/>
        <v>-1</v>
      </c>
      <c r="O34" s="10"/>
      <c r="P34" s="6"/>
      <c r="Q34" s="2"/>
      <c r="R34" s="7">
        <f t="shared" si="26"/>
        <v>0</v>
      </c>
      <c r="S34" s="2"/>
      <c r="T34" s="6">
        <v>36355.360000000001</v>
      </c>
      <c r="U34" s="2"/>
      <c r="V34" s="7">
        <f t="shared" si="27"/>
        <v>3.4015254382977207E-2</v>
      </c>
      <c r="W34" s="2"/>
      <c r="X34" s="6">
        <f t="shared" si="28"/>
        <v>-36355.360000000001</v>
      </c>
      <c r="Y34" s="2"/>
      <c r="Z34" s="7">
        <f t="shared" si="29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2"/>
        <v>0</v>
      </c>
      <c r="G35" s="2"/>
      <c r="H35" s="6">
        <v>14078.97</v>
      </c>
      <c r="I35" s="2"/>
      <c r="J35" s="7">
        <f t="shared" si="23"/>
        <v>0.20673670286928364</v>
      </c>
      <c r="K35" s="2"/>
      <c r="L35" s="6">
        <f t="shared" si="24"/>
        <v>-14078.97</v>
      </c>
      <c r="M35" s="2"/>
      <c r="N35" s="7">
        <f t="shared" si="25"/>
        <v>-1</v>
      </c>
      <c r="O35" s="10"/>
      <c r="P35" s="6"/>
      <c r="Q35" s="2"/>
      <c r="R35" s="7">
        <f t="shared" si="26"/>
        <v>0</v>
      </c>
      <c r="S35" s="2"/>
      <c r="T35" s="6">
        <v>91629.97</v>
      </c>
      <c r="U35" s="2"/>
      <c r="V35" s="7">
        <f t="shared" si="27"/>
        <v>8.5731972910034995E-2</v>
      </c>
      <c r="W35" s="2"/>
      <c r="X35" s="6">
        <f t="shared" si="28"/>
        <v>-91629.97</v>
      </c>
      <c r="Y35" s="2"/>
      <c r="Z35" s="7">
        <f t="shared" si="29"/>
        <v>-1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0"/>
      <c r="P36" s="6"/>
      <c r="Q36" s="2"/>
      <c r="R36" s="7">
        <f t="shared" si="26"/>
        <v>0</v>
      </c>
      <c r="S36" s="2"/>
      <c r="T36" s="6">
        <v>7215.01</v>
      </c>
      <c r="U36" s="2"/>
      <c r="V36" s="7">
        <f t="shared" si="27"/>
        <v>6.7505974504371404E-3</v>
      </c>
      <c r="W36" s="2"/>
      <c r="X36" s="6">
        <f t="shared" si="28"/>
        <v>-7215.01</v>
      </c>
      <c r="Y36" s="2"/>
      <c r="Z36" s="7">
        <f t="shared" si="29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2"/>
        <v>0</v>
      </c>
      <c r="G37" s="2"/>
      <c r="H37" s="6">
        <v>9888.8799999999992</v>
      </c>
      <c r="I37" s="2"/>
      <c r="J37" s="7">
        <f t="shared" si="23"/>
        <v>0.14520909173540406</v>
      </c>
      <c r="K37" s="2"/>
      <c r="L37" s="6">
        <f t="shared" si="24"/>
        <v>-9888.8799999999992</v>
      </c>
      <c r="M37" s="2"/>
      <c r="N37" s="7">
        <f t="shared" si="25"/>
        <v>-1</v>
      </c>
      <c r="O37" s="10"/>
      <c r="P37" s="6"/>
      <c r="Q37" s="2"/>
      <c r="R37" s="7">
        <f t="shared" si="26"/>
        <v>0</v>
      </c>
      <c r="S37" s="2"/>
      <c r="T37" s="6">
        <v>94404.83</v>
      </c>
      <c r="U37" s="2"/>
      <c r="V37" s="7">
        <f t="shared" si="27"/>
        <v>8.8328221957689815E-2</v>
      </c>
      <c r="W37" s="2"/>
      <c r="X37" s="6">
        <f t="shared" si="28"/>
        <v>-94404.83</v>
      </c>
      <c r="Y37" s="2"/>
      <c r="Z37" s="7">
        <f t="shared" si="29"/>
        <v>-1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/>
      <c r="Q38" s="2"/>
      <c r="R38" s="7">
        <f t="shared" si="26"/>
        <v>0</v>
      </c>
      <c r="S38" s="2"/>
      <c r="T38" s="6">
        <v>1830</v>
      </c>
      <c r="U38" s="2"/>
      <c r="V38" s="7">
        <f t="shared" si="27"/>
        <v>1.7122073752219285E-3</v>
      </c>
      <c r="W38" s="2"/>
      <c r="X38" s="6">
        <f t="shared" si="28"/>
        <v>-1830</v>
      </c>
      <c r="Y38" s="2"/>
      <c r="Z38" s="7">
        <f t="shared" si="29"/>
        <v>-1</v>
      </c>
    </row>
    <row r="39" spans="1:26" s="26" customFormat="1" outlineLevel="1" collapsed="1" x14ac:dyDescent="0.25">
      <c r="A39" s="27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47" si="30">IF(D$12=0,0,D39/D$12)</f>
        <v>0</v>
      </c>
      <c r="G39" s="1"/>
      <c r="H39" s="1">
        <f>SUM(OSRRefH22_2x_0)</f>
        <v>81.010000000000005</v>
      </c>
      <c r="I39" s="1"/>
      <c r="J39" s="5">
        <f t="shared" ref="J39:J47" si="31">IF(H$12=0,0,H39/H$12)</f>
        <v>1.1895572118869966E-3</v>
      </c>
      <c r="K39" s="1"/>
      <c r="L39" s="1">
        <f t="shared" ref="L39:L47" si="32">+D39-H39</f>
        <v>-81.010000000000005</v>
      </c>
      <c r="M39" s="1"/>
      <c r="N39" s="5">
        <f t="shared" ref="N39:N47" si="33">IF(H39=0,0,L39/H39)</f>
        <v>-1</v>
      </c>
      <c r="O39" s="12"/>
      <c r="P39" s="1">
        <f>SUM(OSRRefP22_2x_0)</f>
        <v>0</v>
      </c>
      <c r="Q39" s="1"/>
      <c r="R39" s="5">
        <f t="shared" ref="R39:R47" si="34">IF(P$12=0,0,P39/P$12)</f>
        <v>0</v>
      </c>
      <c r="S39" s="1"/>
      <c r="T39" s="1">
        <f>SUM(OSRRefT22_2x_0)</f>
        <v>4363.6499999999996</v>
      </c>
      <c r="U39" s="1"/>
      <c r="V39" s="5">
        <f t="shared" ref="V39:V47" si="35">IF(T$12=0,0,T39/T$12)</f>
        <v>4.0827725207033703E-3</v>
      </c>
      <c r="W39" s="1"/>
      <c r="X39" s="1">
        <f t="shared" ref="X39:X47" si="36">+P39-T39</f>
        <v>-4363.6499999999996</v>
      </c>
      <c r="Y39" s="1"/>
      <c r="Z39" s="5">
        <f t="shared" ref="Z39:Z47" si="37">IF(T39=0,0,X39/T39)</f>
        <v>-1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0"/>
        <v>0</v>
      </c>
      <c r="G40" s="2"/>
      <c r="H40" s="6">
        <v>81.010000000000005</v>
      </c>
      <c r="I40" s="2"/>
      <c r="J40" s="7">
        <f t="shared" si="31"/>
        <v>1.1895572118869966E-3</v>
      </c>
      <c r="K40" s="2"/>
      <c r="L40" s="6">
        <f t="shared" si="32"/>
        <v>-81.010000000000005</v>
      </c>
      <c r="M40" s="2"/>
      <c r="N40" s="7">
        <f t="shared" si="33"/>
        <v>-1</v>
      </c>
      <c r="O40" s="10"/>
      <c r="P40" s="6"/>
      <c r="Q40" s="2"/>
      <c r="R40" s="7">
        <f t="shared" si="34"/>
        <v>0</v>
      </c>
      <c r="S40" s="2"/>
      <c r="T40" s="6">
        <v>4363.6499999999996</v>
      </c>
      <c r="U40" s="2"/>
      <c r="V40" s="7">
        <f t="shared" si="35"/>
        <v>4.0827725207033703E-3</v>
      </c>
      <c r="W40" s="2"/>
      <c r="X40" s="6">
        <f t="shared" si="36"/>
        <v>-4363.6499999999996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-4.97</v>
      </c>
      <c r="I41" s="1"/>
      <c r="J41" s="5">
        <f t="shared" si="31"/>
        <v>-7.2979870918138165E-5</v>
      </c>
      <c r="K41" s="1"/>
      <c r="L41" s="1">
        <f t="shared" si="32"/>
        <v>4.97</v>
      </c>
      <c r="M41" s="1"/>
      <c r="N41" s="5">
        <f t="shared" si="33"/>
        <v>-1</v>
      </c>
      <c r="O41" s="12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-326.89</v>
      </c>
      <c r="U41" s="1"/>
      <c r="V41" s="5">
        <f t="shared" si="35"/>
        <v>-3.0584889010180119E-4</v>
      </c>
      <c r="W41" s="1"/>
      <c r="X41" s="1">
        <f t="shared" si="36"/>
        <v>326.89</v>
      </c>
      <c r="Y41" s="1"/>
      <c r="Z41" s="5">
        <f t="shared" si="37"/>
        <v>-1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0"/>
        <v>0</v>
      </c>
      <c r="G42" s="2"/>
      <c r="H42" s="6">
        <v>-4.97</v>
      </c>
      <c r="I42" s="2"/>
      <c r="J42" s="7">
        <f t="shared" si="31"/>
        <v>-7.2979870918138165E-5</v>
      </c>
      <c r="K42" s="2"/>
      <c r="L42" s="6">
        <f t="shared" si="32"/>
        <v>4.97</v>
      </c>
      <c r="M42" s="2"/>
      <c r="N42" s="7">
        <f t="shared" si="33"/>
        <v>-1</v>
      </c>
      <c r="O42" s="10"/>
      <c r="P42" s="6"/>
      <c r="Q42" s="2"/>
      <c r="R42" s="7">
        <f t="shared" si="34"/>
        <v>0</v>
      </c>
      <c r="S42" s="2"/>
      <c r="T42" s="6">
        <v>-326.89</v>
      </c>
      <c r="U42" s="2"/>
      <c r="V42" s="7">
        <f t="shared" si="35"/>
        <v>-3.0584889010180119E-4</v>
      </c>
      <c r="W42" s="2"/>
      <c r="X42" s="6">
        <f t="shared" si="36"/>
        <v>326.89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3485.76</v>
      </c>
      <c r="I43" s="1"/>
      <c r="J43" s="5">
        <f t="shared" si="31"/>
        <v>5.1185174014408315E-2</v>
      </c>
      <c r="K43" s="1"/>
      <c r="L43" s="1">
        <f t="shared" si="32"/>
        <v>-3485.76</v>
      </c>
      <c r="M43" s="1"/>
      <c r="N43" s="5">
        <f t="shared" si="33"/>
        <v>-1</v>
      </c>
      <c r="O43" s="12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41983.19</v>
      </c>
      <c r="U43" s="1"/>
      <c r="V43" s="5">
        <f t="shared" si="35"/>
        <v>3.9280834728603019E-2</v>
      </c>
      <c r="W43" s="1"/>
      <c r="X43" s="1">
        <f t="shared" si="36"/>
        <v>-41983.19</v>
      </c>
      <c r="Y43" s="1"/>
      <c r="Z43" s="5">
        <f t="shared" si="37"/>
        <v>-1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0"/>
        <v>0</v>
      </c>
      <c r="G44" s="2"/>
      <c r="H44" s="6">
        <v>3485.76</v>
      </c>
      <c r="I44" s="2"/>
      <c r="J44" s="7">
        <f t="shared" si="31"/>
        <v>5.1185174014408315E-2</v>
      </c>
      <c r="K44" s="2"/>
      <c r="L44" s="6">
        <f t="shared" si="32"/>
        <v>-3485.76</v>
      </c>
      <c r="M44" s="2"/>
      <c r="N44" s="7">
        <f t="shared" si="33"/>
        <v>-1</v>
      </c>
      <c r="O44" s="10"/>
      <c r="P44" s="6"/>
      <c r="Q44" s="2"/>
      <c r="R44" s="7">
        <f t="shared" si="34"/>
        <v>0</v>
      </c>
      <c r="S44" s="2"/>
      <c r="T44" s="6">
        <v>41983.19</v>
      </c>
      <c r="U44" s="2"/>
      <c r="V44" s="7">
        <f t="shared" si="35"/>
        <v>3.9280834728603019E-2</v>
      </c>
      <c r="W44" s="2"/>
      <c r="X44" s="6">
        <f t="shared" si="36"/>
        <v>-41983.19</v>
      </c>
      <c r="Y44" s="2"/>
      <c r="Z44" s="7">
        <f t="shared" si="37"/>
        <v>-1</v>
      </c>
    </row>
    <row r="45" spans="1:26" s="26" customFormat="1" outlineLevel="1" collapsed="1" x14ac:dyDescent="0.25">
      <c r="A45" s="27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6745.17</v>
      </c>
      <c r="E45" s="1"/>
      <c r="F45" s="5">
        <f t="shared" si="30"/>
        <v>0</v>
      </c>
      <c r="G45" s="1"/>
      <c r="H45" s="1">
        <f>SUM(OSRRefH22_5x_0)</f>
        <v>8471.56</v>
      </c>
      <c r="I45" s="1"/>
      <c r="J45" s="5">
        <f t="shared" si="31"/>
        <v>0.12439705337530434</v>
      </c>
      <c r="K45" s="1"/>
      <c r="L45" s="1">
        <f t="shared" si="32"/>
        <v>-1726.3899999999994</v>
      </c>
      <c r="M45" s="1"/>
      <c r="N45" s="5">
        <f t="shared" si="33"/>
        <v>-0.20378655170948437</v>
      </c>
      <c r="O45" s="12"/>
      <c r="P45" s="1">
        <f>SUM(OSRRefP22_5x_0)</f>
        <v>62003.68</v>
      </c>
      <c r="Q45" s="1"/>
      <c r="R45" s="5">
        <f t="shared" si="34"/>
        <v>0</v>
      </c>
      <c r="S45" s="1"/>
      <c r="T45" s="1">
        <f>SUM(OSRRefT22_5x_0)</f>
        <v>74579.319999999992</v>
      </c>
      <c r="U45" s="1"/>
      <c r="V45" s="5">
        <f t="shared" si="35"/>
        <v>6.977883155357173E-2</v>
      </c>
      <c r="W45" s="1"/>
      <c r="X45" s="1">
        <f t="shared" si="36"/>
        <v>-12575.639999999992</v>
      </c>
      <c r="Y45" s="1"/>
      <c r="Z45" s="5">
        <f t="shared" si="37"/>
        <v>-0.16862100646667191</v>
      </c>
    </row>
    <row r="46" spans="1:26" s="23" customFormat="1" hidden="1" outlineLevel="2" x14ac:dyDescent="0.25">
      <c r="A46" s="25"/>
      <c r="B46" s="10" t="str">
        <f>CONCATENATE("          ", "6321", " - ", "BUILDING DEPRECIATION")</f>
        <v xml:space="preserve">          6321 - BUILDING DEPRECIATION</v>
      </c>
      <c r="C46" s="10"/>
      <c r="D46" s="6">
        <v>6537.05</v>
      </c>
      <c r="E46" s="2"/>
      <c r="F46" s="7">
        <f t="shared" si="30"/>
        <v>0</v>
      </c>
      <c r="G46" s="2"/>
      <c r="H46" s="6">
        <v>6537.05</v>
      </c>
      <c r="I46" s="2"/>
      <c r="J46" s="7">
        <f t="shared" si="31"/>
        <v>9.5990556375335032E-2</v>
      </c>
      <c r="K46" s="2"/>
      <c r="L46" s="6">
        <f t="shared" si="32"/>
        <v>0</v>
      </c>
      <c r="M46" s="2"/>
      <c r="N46" s="7">
        <f t="shared" si="33"/>
        <v>0</v>
      </c>
      <c r="O46" s="10"/>
      <c r="P46" s="6">
        <v>58833.45</v>
      </c>
      <c r="Q46" s="2"/>
      <c r="R46" s="7">
        <f t="shared" si="34"/>
        <v>0</v>
      </c>
      <c r="S46" s="2"/>
      <c r="T46" s="6">
        <v>58833.45</v>
      </c>
      <c r="U46" s="2"/>
      <c r="V46" s="7">
        <f t="shared" si="35"/>
        <v>5.504648469931725E-2</v>
      </c>
      <c r="W46" s="2"/>
      <c r="X46" s="6">
        <f t="shared" si="36"/>
        <v>0</v>
      </c>
      <c r="Y46" s="2"/>
      <c r="Z46" s="7">
        <f t="shared" si="37"/>
        <v>0</v>
      </c>
    </row>
    <row r="47" spans="1:26" s="23" customFormat="1" hidden="1" outlineLevel="2" x14ac:dyDescent="0.25">
      <c r="A47" s="25"/>
      <c r="B47" s="10" t="str">
        <f>CONCATENATE("          ", "6322", " - ", "EQUIPMENT DEPRECIATION EXPENSE")</f>
        <v xml:space="preserve">          6322 - EQUIPMENT DEPRECIATION EXPENSE</v>
      </c>
      <c r="C47" s="10"/>
      <c r="D47" s="6">
        <v>208.12</v>
      </c>
      <c r="E47" s="2"/>
      <c r="F47" s="7">
        <f t="shared" si="30"/>
        <v>0</v>
      </c>
      <c r="G47" s="2"/>
      <c r="H47" s="6">
        <v>1934.51</v>
      </c>
      <c r="I47" s="2"/>
      <c r="J47" s="7">
        <f t="shared" si="31"/>
        <v>2.8406496999969309E-2</v>
      </c>
      <c r="K47" s="2"/>
      <c r="L47" s="6">
        <f t="shared" si="32"/>
        <v>-1726.3899999999999</v>
      </c>
      <c r="M47" s="2"/>
      <c r="N47" s="7">
        <f t="shared" si="33"/>
        <v>-0.89241720125509816</v>
      </c>
      <c r="O47" s="10"/>
      <c r="P47" s="6">
        <v>3170.23</v>
      </c>
      <c r="Q47" s="2"/>
      <c r="R47" s="7">
        <f t="shared" si="34"/>
        <v>0</v>
      </c>
      <c r="S47" s="2"/>
      <c r="T47" s="6">
        <v>15745.87</v>
      </c>
      <c r="U47" s="2"/>
      <c r="V47" s="7">
        <f t="shared" si="35"/>
        <v>1.4732346854254485E-2</v>
      </c>
      <c r="W47" s="2"/>
      <c r="X47" s="6">
        <f t="shared" si="36"/>
        <v>-12575.640000000001</v>
      </c>
      <c r="Y47" s="2"/>
      <c r="Z47" s="7">
        <f t="shared" si="37"/>
        <v>-0.79866276045718654</v>
      </c>
    </row>
    <row r="48" spans="1:26" s="26" customFormat="1" outlineLevel="1" collapsed="1" x14ac:dyDescent="0.25">
      <c r="A48" s="27"/>
      <c r="B48" s="12" t="str">
        <f>CONCATENATE("     ","Discounts and Markdowns                           ")</f>
        <v xml:space="preserve">     Discounts and Markdowns                           </v>
      </c>
      <c r="C48" s="12"/>
      <c r="D48" s="1">
        <f>SUM(OSRRefD22_6x_0)</f>
        <v>0</v>
      </c>
      <c r="E48" s="1"/>
      <c r="F48" s="5">
        <f t="shared" ref="F48:F58" si="38">IF(D$12=0,0,D48/D$12)</f>
        <v>0</v>
      </c>
      <c r="G48" s="1"/>
      <c r="H48" s="1">
        <f>SUM(OSRRefH22_6x_0)</f>
        <v>0</v>
      </c>
      <c r="I48" s="1"/>
      <c r="J48" s="5">
        <f t="shared" ref="J48:J58" si="39">IF(H$12=0,0,H48/H$12)</f>
        <v>0</v>
      </c>
      <c r="K48" s="1"/>
      <c r="L48" s="1">
        <f t="shared" ref="L48:L58" si="40">+D48-H48</f>
        <v>0</v>
      </c>
      <c r="M48" s="1"/>
      <c r="N48" s="5">
        <f t="shared" ref="N48:N58" si="41">IF(H48=0,0,L48/H48)</f>
        <v>0</v>
      </c>
      <c r="O48" s="12"/>
      <c r="P48" s="1">
        <f>SUM(OSRRefP22_6x_0)</f>
        <v>0</v>
      </c>
      <c r="Q48" s="1"/>
      <c r="R48" s="5">
        <f t="shared" ref="R48:R58" si="42">IF(P$12=0,0,P48/P$12)</f>
        <v>0</v>
      </c>
      <c r="S48" s="1"/>
      <c r="T48" s="1">
        <f>SUM(OSRRefT22_6x_0)</f>
        <v>0.09</v>
      </c>
      <c r="U48" s="1"/>
      <c r="V48" s="5">
        <f t="shared" ref="V48:V58" si="43">IF(T$12=0,0,T48/T$12)</f>
        <v>8.4206920092881724E-8</v>
      </c>
      <c r="W48" s="1"/>
      <c r="X48" s="1">
        <f t="shared" ref="X48:X58" si="44">+P48-T48</f>
        <v>-0.09</v>
      </c>
      <c r="Y48" s="1"/>
      <c r="Z48" s="5">
        <f t="shared" ref="Z48:Z58" si="45">IF(T48=0,0,X48/T48)</f>
        <v>-1</v>
      </c>
    </row>
    <row r="49" spans="1:26" s="23" customFormat="1" hidden="1" outlineLevel="2" x14ac:dyDescent="0.25">
      <c r="A49" s="25"/>
      <c r="B49" s="10" t="str">
        <f>CONCATENATE("          ", "6382", " - ", "DISCOUNTS/MARK DOWNS")</f>
        <v xml:space="preserve">          6382 - DISCOUNTS/MARK DOWNS</v>
      </c>
      <c r="C49" s="10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0"/>
      <c r="P49" s="6"/>
      <c r="Q49" s="2"/>
      <c r="R49" s="7">
        <f t="shared" si="42"/>
        <v>0</v>
      </c>
      <c r="S49" s="2"/>
      <c r="T49" s="6">
        <v>0.09</v>
      </c>
      <c r="U49" s="2"/>
      <c r="V49" s="7">
        <f t="shared" si="43"/>
        <v>8.4206920092881724E-8</v>
      </c>
      <c r="W49" s="2"/>
      <c r="X49" s="6">
        <f t="shared" si="44"/>
        <v>-0.09</v>
      </c>
      <c r="Y49" s="2"/>
      <c r="Z49" s="7">
        <f t="shared" si="45"/>
        <v>-1</v>
      </c>
    </row>
    <row r="50" spans="1:26" s="26" customFormat="1" outlineLevel="1" collapsed="1" x14ac:dyDescent="0.25">
      <c r="A50" s="27"/>
      <c r="B50" s="12" t="str">
        <f>CONCATENATE("     ","Donations                                         ")</f>
        <v xml:space="preserve">     Donations                                         </v>
      </c>
      <c r="C50" s="12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0</v>
      </c>
      <c r="I50" s="1"/>
      <c r="J50" s="5">
        <f t="shared" si="39"/>
        <v>0</v>
      </c>
      <c r="K50" s="1"/>
      <c r="L50" s="1">
        <f t="shared" si="40"/>
        <v>0</v>
      </c>
      <c r="M50" s="1"/>
      <c r="N50" s="5">
        <f t="shared" si="41"/>
        <v>0</v>
      </c>
      <c r="O50" s="12"/>
      <c r="P50" s="1">
        <f>SUM(OSRRefP22_7x_0)</f>
        <v>0</v>
      </c>
      <c r="Q50" s="1"/>
      <c r="R50" s="5">
        <f t="shared" si="42"/>
        <v>0</v>
      </c>
      <c r="S50" s="1"/>
      <c r="T50" s="1">
        <f>SUM(OSRRefT22_7x_0)</f>
        <v>73</v>
      </c>
      <c r="U50" s="1"/>
      <c r="V50" s="5">
        <f t="shared" si="43"/>
        <v>6.8301168519781851E-5</v>
      </c>
      <c r="W50" s="1"/>
      <c r="X50" s="1">
        <f t="shared" si="44"/>
        <v>-73</v>
      </c>
      <c r="Y50" s="1"/>
      <c r="Z50" s="5">
        <f t="shared" si="45"/>
        <v>-1</v>
      </c>
    </row>
    <row r="51" spans="1:26" s="23" customFormat="1" hidden="1" outlineLevel="2" x14ac:dyDescent="0.25">
      <c r="A51" s="25"/>
      <c r="B51" s="10" t="str">
        <f>CONCATENATE("          ", "6399", " - ", "DONATION-ON CAMPUS")</f>
        <v xml:space="preserve">          6399 - DONATION-ON CAMPUS</v>
      </c>
      <c r="C51" s="10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0"/>
      <c r="P51" s="6"/>
      <c r="Q51" s="2"/>
      <c r="R51" s="7">
        <f t="shared" si="42"/>
        <v>0</v>
      </c>
      <c r="S51" s="2"/>
      <c r="T51" s="6">
        <v>73</v>
      </c>
      <c r="U51" s="2"/>
      <c r="V51" s="7">
        <f t="shared" si="43"/>
        <v>6.8301168519781851E-5</v>
      </c>
      <c r="W51" s="2"/>
      <c r="X51" s="6">
        <f t="shared" si="44"/>
        <v>-73</v>
      </c>
      <c r="Y51" s="2"/>
      <c r="Z51" s="7">
        <f t="shared" si="45"/>
        <v>-1</v>
      </c>
    </row>
    <row r="52" spans="1:26" s="26" customFormat="1" outlineLevel="1" collapsed="1" x14ac:dyDescent="0.25">
      <c r="A52" s="27"/>
      <c r="B52" s="12" t="str">
        <f>CONCATENATE("     ","Employees' Appreciation                           ")</f>
        <v xml:space="preserve">     Employees' Appreciation                           </v>
      </c>
      <c r="C52" s="12"/>
      <c r="D52" s="1">
        <f>SUM(OSRRefD22_8x_0)</f>
        <v>0</v>
      </c>
      <c r="E52" s="1"/>
      <c r="F52" s="5">
        <f t="shared" si="38"/>
        <v>0</v>
      </c>
      <c r="G52" s="1"/>
      <c r="H52" s="1">
        <f>SUM(OSRRefH22_8x_0)</f>
        <v>0</v>
      </c>
      <c r="I52" s="1"/>
      <c r="J52" s="5">
        <f t="shared" si="39"/>
        <v>0</v>
      </c>
      <c r="K52" s="1"/>
      <c r="L52" s="1">
        <f t="shared" si="40"/>
        <v>0</v>
      </c>
      <c r="M52" s="1"/>
      <c r="N52" s="5">
        <f t="shared" si="41"/>
        <v>0</v>
      </c>
      <c r="O52" s="12"/>
      <c r="P52" s="1">
        <f>SUM(OSRRefP22_8x_0)</f>
        <v>0</v>
      </c>
      <c r="Q52" s="1"/>
      <c r="R52" s="5">
        <f t="shared" si="42"/>
        <v>0</v>
      </c>
      <c r="S52" s="1"/>
      <c r="T52" s="1">
        <f>SUM(OSRRefT22_8x_0)</f>
        <v>8.25</v>
      </c>
      <c r="U52" s="1"/>
      <c r="V52" s="5">
        <f t="shared" si="43"/>
        <v>7.7189676751808245E-6</v>
      </c>
      <c r="W52" s="1"/>
      <c r="X52" s="1">
        <f t="shared" si="44"/>
        <v>-8.25</v>
      </c>
      <c r="Y52" s="1"/>
      <c r="Z52" s="5">
        <f t="shared" si="45"/>
        <v>-1</v>
      </c>
    </row>
    <row r="53" spans="1:26" s="23" customFormat="1" hidden="1" outlineLevel="2" x14ac:dyDescent="0.25">
      <c r="A53" s="25"/>
      <c r="B53" s="10" t="str">
        <f>CONCATENATE("          ", "6277", " - ", "EMPLOYEE APPRECIATION")</f>
        <v xml:space="preserve">          6277 - EMPLOYEE APPRECIATION</v>
      </c>
      <c r="C53" s="10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0"/>
      <c r="P53" s="6"/>
      <c r="Q53" s="2"/>
      <c r="R53" s="7">
        <f t="shared" si="42"/>
        <v>0</v>
      </c>
      <c r="S53" s="2"/>
      <c r="T53" s="6">
        <v>8.25</v>
      </c>
      <c r="U53" s="2"/>
      <c r="V53" s="7">
        <f t="shared" si="43"/>
        <v>7.7189676751808245E-6</v>
      </c>
      <c r="W53" s="2"/>
      <c r="X53" s="6">
        <f t="shared" si="44"/>
        <v>-8.25</v>
      </c>
      <c r="Y53" s="2"/>
      <c r="Z53" s="7">
        <f t="shared" si="45"/>
        <v>-1</v>
      </c>
    </row>
    <row r="54" spans="1:26" s="26" customFormat="1" outlineLevel="1" collapsed="1" x14ac:dyDescent="0.25">
      <c r="A54" s="27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SUM(OSRRefD22_9x_0)</f>
        <v>0</v>
      </c>
      <c r="E54" s="1"/>
      <c r="F54" s="5">
        <f t="shared" si="38"/>
        <v>0</v>
      </c>
      <c r="G54" s="1"/>
      <c r="H54" s="1">
        <f>SUM(OSRRefH22_9x_0)</f>
        <v>755.95</v>
      </c>
      <c r="I54" s="1"/>
      <c r="J54" s="5">
        <f t="shared" si="39"/>
        <v>1.1100429259671338E-2</v>
      </c>
      <c r="K54" s="1"/>
      <c r="L54" s="1">
        <f t="shared" si="40"/>
        <v>-755.95</v>
      </c>
      <c r="M54" s="1"/>
      <c r="N54" s="5">
        <f t="shared" si="41"/>
        <v>-1</v>
      </c>
      <c r="O54" s="12"/>
      <c r="P54" s="1">
        <f>SUM(OSRRefP22_9x_0)</f>
        <v>263.72000000000003</v>
      </c>
      <c r="Q54" s="1"/>
      <c r="R54" s="5">
        <f t="shared" si="42"/>
        <v>0</v>
      </c>
      <c r="S54" s="1"/>
      <c r="T54" s="1">
        <f>SUM(OSRRefT22_9x_0)</f>
        <v>6323.7</v>
      </c>
      <c r="U54" s="1"/>
      <c r="V54" s="5">
        <f t="shared" si="43"/>
        <v>5.9166588954595129E-3</v>
      </c>
      <c r="W54" s="1"/>
      <c r="X54" s="1">
        <f t="shared" si="44"/>
        <v>-6059.98</v>
      </c>
      <c r="Y54" s="1"/>
      <c r="Z54" s="5">
        <f t="shared" si="45"/>
        <v>-0.958296566883312</v>
      </c>
    </row>
    <row r="55" spans="1:26" s="23" customFormat="1" hidden="1" outlineLevel="2" x14ac:dyDescent="0.25">
      <c r="A55" s="25"/>
      <c r="B55" s="10" t="str">
        <f>CONCATENATE("          ", "6351", " - ", "EQUIPMENT RENTAL")</f>
        <v xml:space="preserve">          6351 - EQUIPMENT RENTAL</v>
      </c>
      <c r="C55" s="10"/>
      <c r="D55" s="6"/>
      <c r="E55" s="2"/>
      <c r="F55" s="7">
        <f t="shared" si="38"/>
        <v>0</v>
      </c>
      <c r="G55" s="2"/>
      <c r="H55" s="6">
        <v>755.95</v>
      </c>
      <c r="I55" s="2"/>
      <c r="J55" s="7">
        <f t="shared" si="39"/>
        <v>1.1100429259671338E-2</v>
      </c>
      <c r="K55" s="2"/>
      <c r="L55" s="6">
        <f t="shared" si="40"/>
        <v>-755.95</v>
      </c>
      <c r="M55" s="2"/>
      <c r="N55" s="7">
        <f t="shared" si="41"/>
        <v>-1</v>
      </c>
      <c r="O55" s="10"/>
      <c r="P55" s="6">
        <v>263.72000000000003</v>
      </c>
      <c r="Q55" s="2"/>
      <c r="R55" s="7">
        <f t="shared" si="42"/>
        <v>0</v>
      </c>
      <c r="S55" s="2"/>
      <c r="T55" s="6">
        <v>6323.7</v>
      </c>
      <c r="U55" s="2"/>
      <c r="V55" s="7">
        <f t="shared" si="43"/>
        <v>5.9166588954595129E-3</v>
      </c>
      <c r="W55" s="2"/>
      <c r="X55" s="6">
        <f t="shared" si="44"/>
        <v>-6059.98</v>
      </c>
      <c r="Y55" s="2"/>
      <c r="Z55" s="7">
        <f t="shared" si="45"/>
        <v>-0.958296566883312</v>
      </c>
    </row>
    <row r="56" spans="1:26" s="26" customFormat="1" outlineLevel="1" collapsed="1" x14ac:dyDescent="0.25">
      <c r="A56" s="27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SUM(OSRRefD22_10x_0)</f>
        <v>0</v>
      </c>
      <c r="E56" s="1"/>
      <c r="F56" s="5">
        <f t="shared" si="38"/>
        <v>0</v>
      </c>
      <c r="G56" s="1"/>
      <c r="H56" s="1">
        <f>SUM(OSRRefH22_10x_0)</f>
        <v>52.8</v>
      </c>
      <c r="I56" s="1"/>
      <c r="J56" s="5">
        <f t="shared" si="39"/>
        <v>7.7531935301362073E-4</v>
      </c>
      <c r="K56" s="1"/>
      <c r="L56" s="1">
        <f t="shared" si="40"/>
        <v>-52.8</v>
      </c>
      <c r="M56" s="1"/>
      <c r="N56" s="5">
        <f t="shared" si="41"/>
        <v>-1</v>
      </c>
      <c r="O56" s="12"/>
      <c r="P56" s="1">
        <f>SUM(OSRRefP22_10x_0)</f>
        <v>2969.55</v>
      </c>
      <c r="Q56" s="1"/>
      <c r="R56" s="5">
        <f t="shared" si="42"/>
        <v>0</v>
      </c>
      <c r="S56" s="1"/>
      <c r="T56" s="1">
        <f>SUM(OSRRefT22_10x_0)</f>
        <v>13442.380000000001</v>
      </c>
      <c r="U56" s="1"/>
      <c r="V56" s="5">
        <f t="shared" si="43"/>
        <v>1.2577126872423907E-2</v>
      </c>
      <c r="W56" s="1"/>
      <c r="X56" s="1">
        <f t="shared" si="44"/>
        <v>-10472.830000000002</v>
      </c>
      <c r="Y56" s="1"/>
      <c r="Z56" s="5">
        <f t="shared" si="45"/>
        <v>-0.77909045868365578</v>
      </c>
    </row>
    <row r="57" spans="1:26" s="23" customFormat="1" hidden="1" outlineLevel="2" x14ac:dyDescent="0.25">
      <c r="A57" s="25"/>
      <c r="B57" s="10" t="str">
        <f>CONCATENATE("          ", "6269", " - ", "ENTERTAINMENT")</f>
        <v xml:space="preserve">          6269 - ENTERTAINMENT</v>
      </c>
      <c r="C57" s="10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0"/>
      <c r="P57" s="6"/>
      <c r="Q57" s="2"/>
      <c r="R57" s="7">
        <f t="shared" si="42"/>
        <v>0</v>
      </c>
      <c r="S57" s="2"/>
      <c r="T57" s="6">
        <v>10050</v>
      </c>
      <c r="U57" s="2"/>
      <c r="V57" s="7">
        <f t="shared" si="43"/>
        <v>9.4031060770384603E-3</v>
      </c>
      <c r="W57" s="2"/>
      <c r="X57" s="6">
        <f t="shared" si="44"/>
        <v>-10050</v>
      </c>
      <c r="Y57" s="2"/>
      <c r="Z57" s="7">
        <f t="shared" si="45"/>
        <v>-1</v>
      </c>
    </row>
    <row r="58" spans="1:26" s="23" customFormat="1" hidden="1" outlineLevel="2" x14ac:dyDescent="0.25">
      <c r="A58" s="25"/>
      <c r="B58" s="10" t="str">
        <f>CONCATENATE("          ", "6279", " - ", "GENERAL EXPENSE")</f>
        <v xml:space="preserve">          6279 - GENERAL EXPENSE</v>
      </c>
      <c r="C58" s="10"/>
      <c r="D58" s="6"/>
      <c r="E58" s="2"/>
      <c r="F58" s="7">
        <f t="shared" si="38"/>
        <v>0</v>
      </c>
      <c r="G58" s="2"/>
      <c r="H58" s="6">
        <v>52.8</v>
      </c>
      <c r="I58" s="2"/>
      <c r="J58" s="7">
        <f t="shared" si="39"/>
        <v>7.7531935301362073E-4</v>
      </c>
      <c r="K58" s="2"/>
      <c r="L58" s="6">
        <f t="shared" si="40"/>
        <v>-52.8</v>
      </c>
      <c r="M58" s="2"/>
      <c r="N58" s="7">
        <f t="shared" si="41"/>
        <v>-1</v>
      </c>
      <c r="O58" s="10"/>
      <c r="P58" s="6">
        <v>2969.55</v>
      </c>
      <c r="Q58" s="2"/>
      <c r="R58" s="7">
        <f t="shared" si="42"/>
        <v>0</v>
      </c>
      <c r="S58" s="2"/>
      <c r="T58" s="6">
        <v>3392.38</v>
      </c>
      <c r="U58" s="2"/>
      <c r="V58" s="7">
        <f t="shared" si="43"/>
        <v>3.1740207953854459E-3</v>
      </c>
      <c r="W58" s="2"/>
      <c r="X58" s="6">
        <f t="shared" si="44"/>
        <v>-422.82999999999993</v>
      </c>
      <c r="Y58" s="2"/>
      <c r="Z58" s="7">
        <f t="shared" si="45"/>
        <v>-0.12464110742310705</v>
      </c>
    </row>
    <row r="59" spans="1:26" s="26" customFormat="1" outlineLevel="1" collapsed="1" x14ac:dyDescent="0.25">
      <c r="A59" s="27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198.86</v>
      </c>
      <c r="E59" s="1"/>
      <c r="F59" s="5">
        <f t="shared" ref="F59:F62" si="46">IF(D$12=0,0,D59/D$12)</f>
        <v>0</v>
      </c>
      <c r="G59" s="1"/>
      <c r="H59" s="1">
        <f>SUM(OSRRefH22_11x_0)</f>
        <v>198.87</v>
      </c>
      <c r="I59" s="1"/>
      <c r="J59" s="5">
        <f t="shared" ref="J59:J62" si="47">IF(H$12=0,0,H59/H$12)</f>
        <v>2.9202227222314163E-3</v>
      </c>
      <c r="K59" s="1"/>
      <c r="L59" s="1">
        <f t="shared" ref="L59:L62" si="48">+D59-H59</f>
        <v>-9.9999999999909051E-3</v>
      </c>
      <c r="M59" s="1"/>
      <c r="N59" s="5">
        <f t="shared" ref="N59:N62" si="49">IF(H59=0,0,L59/H59)</f>
        <v>-5.0284105194302333E-5</v>
      </c>
      <c r="O59" s="12"/>
      <c r="P59" s="1">
        <f>SUM(OSRRefP22_11x_0)</f>
        <v>675.19</v>
      </c>
      <c r="Q59" s="1"/>
      <c r="R59" s="5">
        <f t="shared" ref="R59:R62" si="50">IF(P$12=0,0,P59/P$12)</f>
        <v>0</v>
      </c>
      <c r="S59" s="1"/>
      <c r="T59" s="1">
        <f>SUM(OSRRefT22_11x_0)</f>
        <v>17856.98</v>
      </c>
      <c r="U59" s="1"/>
      <c r="V59" s="5">
        <f t="shared" ref="V59:V62" si="51">IF(T$12=0,0,T59/T$12)</f>
        <v>1.6707569866224303E-2</v>
      </c>
      <c r="W59" s="1"/>
      <c r="X59" s="1">
        <f t="shared" ref="X59:X62" si="52">+P59-T59</f>
        <v>-17181.79</v>
      </c>
      <c r="Y59" s="1"/>
      <c r="Z59" s="5">
        <f t="shared" ref="Z59:Z62" si="53">IF(T59=0,0,X59/T59)</f>
        <v>-0.96218901516381838</v>
      </c>
    </row>
    <row r="60" spans="1:26" s="23" customFormat="1" hidden="1" outlineLevel="2" x14ac:dyDescent="0.25">
      <c r="A60" s="25"/>
      <c r="B60" s="10" t="str">
        <f>CONCATENATE("          ", "6371", " - ", "COMPUTER SOFTWARE MAINTENANCE")</f>
        <v xml:space="preserve">          6371 - COMPUTER SOFTWARE MAINTENANCE</v>
      </c>
      <c r="C60" s="10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0"/>
      <c r="P60" s="6"/>
      <c r="Q60" s="2"/>
      <c r="R60" s="7">
        <f t="shared" si="50"/>
        <v>0</v>
      </c>
      <c r="S60" s="2"/>
      <c r="T60" s="6">
        <v>2623.85</v>
      </c>
      <c r="U60" s="2"/>
      <c r="V60" s="7">
        <f t="shared" si="51"/>
        <v>2.454959192063419E-3</v>
      </c>
      <c r="W60" s="2"/>
      <c r="X60" s="6">
        <f t="shared" si="52"/>
        <v>-2623.85</v>
      </c>
      <c r="Y60" s="2"/>
      <c r="Z60" s="7">
        <f t="shared" si="53"/>
        <v>-1</v>
      </c>
    </row>
    <row r="61" spans="1:26" s="23" customFormat="1" hidden="1" outlineLevel="2" x14ac:dyDescent="0.25">
      <c r="A61" s="25"/>
      <c r="B61" s="10" t="str">
        <f>CONCATENATE("          ", "6373", " - ", "MAINTENANCE CONTRACTS")</f>
        <v xml:space="preserve">          6373 - MAINTENANCE CONTRACTS</v>
      </c>
      <c r="C61" s="10"/>
      <c r="D61" s="6">
        <v>198.86</v>
      </c>
      <c r="E61" s="2"/>
      <c r="F61" s="7">
        <f t="shared" si="46"/>
        <v>0</v>
      </c>
      <c r="G61" s="2"/>
      <c r="H61" s="6">
        <v>198.87</v>
      </c>
      <c r="I61" s="2"/>
      <c r="J61" s="7">
        <f t="shared" si="47"/>
        <v>2.9202227222314163E-3</v>
      </c>
      <c r="K61" s="2"/>
      <c r="L61" s="6">
        <f t="shared" si="48"/>
        <v>-9.9999999999909051E-3</v>
      </c>
      <c r="M61" s="2"/>
      <c r="N61" s="7">
        <f t="shared" si="49"/>
        <v>-5.0284105194302333E-5</v>
      </c>
      <c r="O61" s="10"/>
      <c r="P61" s="6">
        <v>675.19</v>
      </c>
      <c r="Q61" s="2"/>
      <c r="R61" s="7">
        <f t="shared" si="50"/>
        <v>0</v>
      </c>
      <c r="S61" s="2"/>
      <c r="T61" s="6">
        <v>1443.95</v>
      </c>
      <c r="U61" s="2"/>
      <c r="V61" s="7">
        <f t="shared" si="51"/>
        <v>1.3510064696457397E-3</v>
      </c>
      <c r="W61" s="2"/>
      <c r="X61" s="6">
        <f t="shared" si="52"/>
        <v>-768.76</v>
      </c>
      <c r="Y61" s="2"/>
      <c r="Z61" s="7">
        <f t="shared" si="53"/>
        <v>-0.53240070639565085</v>
      </c>
    </row>
    <row r="62" spans="1:26" s="23" customFormat="1" hidden="1" outlineLevel="2" x14ac:dyDescent="0.25">
      <c r="A62" s="25"/>
      <c r="B62" s="10" t="str">
        <f>CONCATENATE("          ", "6375", " - ", "OUTSIDE REPAIRS &amp; MAINTENANCE")</f>
        <v xml:space="preserve">          6375 - OUTSIDE REPAIRS &amp; MAINTENANCE</v>
      </c>
      <c r="C62" s="10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0"/>
      <c r="P62" s="6"/>
      <c r="Q62" s="2"/>
      <c r="R62" s="7">
        <f t="shared" si="50"/>
        <v>0</v>
      </c>
      <c r="S62" s="2"/>
      <c r="T62" s="6">
        <v>13789.18</v>
      </c>
      <c r="U62" s="2"/>
      <c r="V62" s="7">
        <f t="shared" si="51"/>
        <v>1.2901604204515143E-2</v>
      </c>
      <c r="W62" s="2"/>
      <c r="X62" s="6">
        <f t="shared" si="52"/>
        <v>-13789.18</v>
      </c>
      <c r="Y62" s="2"/>
      <c r="Z62" s="7">
        <f t="shared" si="53"/>
        <v>-1</v>
      </c>
    </row>
    <row r="63" spans="1:26" s="26" customFormat="1" outlineLevel="1" collapsed="1" x14ac:dyDescent="0.25">
      <c r="A63" s="27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0</v>
      </c>
      <c r="E63" s="1"/>
      <c r="F63" s="5">
        <f t="shared" ref="F63:F66" si="54">IF(D$12=0,0,D63/D$12)</f>
        <v>0</v>
      </c>
      <c r="G63" s="1"/>
      <c r="H63" s="1">
        <f>SUM(OSRRefH22_12x_0)</f>
        <v>783.9</v>
      </c>
      <c r="I63" s="1"/>
      <c r="J63" s="5">
        <f t="shared" ref="J63:J66" si="55">IF(H$12=0,0,H63/H$12)</f>
        <v>1.1510849258094268E-2</v>
      </c>
      <c r="K63" s="1"/>
      <c r="L63" s="1">
        <f t="shared" ref="L63:L66" si="56">+D63-H63</f>
        <v>-783.9</v>
      </c>
      <c r="M63" s="1"/>
      <c r="N63" s="5">
        <f t="shared" ref="N63:N66" si="57">IF(H63=0,0,L63/H63)</f>
        <v>-1</v>
      </c>
      <c r="O63" s="12"/>
      <c r="P63" s="1">
        <f>SUM(OSRRefP22_12x_0)</f>
        <v>0</v>
      </c>
      <c r="Q63" s="1"/>
      <c r="R63" s="5">
        <f t="shared" ref="R63:R66" si="58">IF(P$12=0,0,P63/P$12)</f>
        <v>0</v>
      </c>
      <c r="S63" s="1"/>
      <c r="T63" s="1">
        <f>SUM(OSRRefT22_12x_0)</f>
        <v>3771.8999999999996</v>
      </c>
      <c r="U63" s="1"/>
      <c r="V63" s="5">
        <f t="shared" ref="V63:V66" si="59">IF(T$12=0,0,T63/T$12)</f>
        <v>3.5291120210926728E-3</v>
      </c>
      <c r="W63" s="1"/>
      <c r="X63" s="1">
        <f t="shared" ref="X63:X66" si="60">+P63-T63</f>
        <v>-3771.8999999999996</v>
      </c>
      <c r="Y63" s="1"/>
      <c r="Z63" s="5">
        <f t="shared" ref="Z63:Z66" si="61">IF(T63=0,0,X63/T63)</f>
        <v>-1</v>
      </c>
    </row>
    <row r="64" spans="1:26" s="23" customFormat="1" hidden="1" outlineLevel="2" x14ac:dyDescent="0.25">
      <c r="A64" s="25"/>
      <c r="B64" s="10" t="str">
        <f>CONCATENATE("          ", "6283", " - ", "PLANT SERVICE")</f>
        <v xml:space="preserve">          6283 - PLANT SERVICE</v>
      </c>
      <c r="C64" s="10"/>
      <c r="D64" s="6"/>
      <c r="E64" s="2"/>
      <c r="F64" s="7">
        <f t="shared" si="54"/>
        <v>0</v>
      </c>
      <c r="G64" s="2"/>
      <c r="H64" s="6">
        <v>79.5</v>
      </c>
      <c r="I64" s="2"/>
      <c r="J64" s="7">
        <f t="shared" si="55"/>
        <v>1.1673842531170996E-3</v>
      </c>
      <c r="K64" s="2"/>
      <c r="L64" s="6">
        <f t="shared" si="56"/>
        <v>-79.5</v>
      </c>
      <c r="M64" s="2"/>
      <c r="N64" s="7">
        <f t="shared" si="57"/>
        <v>-1</v>
      </c>
      <c r="O64" s="10"/>
      <c r="P64" s="6"/>
      <c r="Q64" s="2"/>
      <c r="R64" s="7">
        <f t="shared" si="58"/>
        <v>0</v>
      </c>
      <c r="S64" s="2"/>
      <c r="T64" s="6">
        <v>278.25</v>
      </c>
      <c r="U64" s="2"/>
      <c r="V64" s="7">
        <f t="shared" si="59"/>
        <v>2.6033972795382602E-4</v>
      </c>
      <c r="W64" s="2"/>
      <c r="X64" s="6">
        <f t="shared" si="60"/>
        <v>-278.25</v>
      </c>
      <c r="Y64" s="2"/>
      <c r="Z64" s="7">
        <f t="shared" si="61"/>
        <v>-1</v>
      </c>
    </row>
    <row r="65" spans="1:26" s="23" customFormat="1" hidden="1" outlineLevel="2" x14ac:dyDescent="0.25">
      <c r="A65" s="25"/>
      <c r="B65" s="10" t="str">
        <f>CONCATENATE("          ", "6285", " - ", "JANITORIAL SERVICES")</f>
        <v xml:space="preserve">          6285 - JANITORIAL SERVICES</v>
      </c>
      <c r="C65" s="10"/>
      <c r="D65" s="6"/>
      <c r="E65" s="2"/>
      <c r="F65" s="7">
        <f t="shared" si="54"/>
        <v>0</v>
      </c>
      <c r="G65" s="2"/>
      <c r="H65" s="6">
        <v>612.6</v>
      </c>
      <c r="I65" s="2"/>
      <c r="J65" s="7">
        <f t="shared" si="55"/>
        <v>8.9954665843966688E-3</v>
      </c>
      <c r="K65" s="2"/>
      <c r="L65" s="6">
        <f t="shared" si="56"/>
        <v>-612.6</v>
      </c>
      <c r="M65" s="2"/>
      <c r="N65" s="7">
        <f t="shared" si="57"/>
        <v>-1</v>
      </c>
      <c r="O65" s="10"/>
      <c r="P65" s="6"/>
      <c r="Q65" s="2"/>
      <c r="R65" s="7">
        <f t="shared" si="58"/>
        <v>0</v>
      </c>
      <c r="S65" s="2"/>
      <c r="T65" s="6">
        <v>1876.6</v>
      </c>
      <c r="U65" s="2"/>
      <c r="V65" s="7">
        <f t="shared" si="59"/>
        <v>1.7558078471811315E-3</v>
      </c>
      <c r="W65" s="2"/>
      <c r="X65" s="6">
        <f t="shared" si="60"/>
        <v>-1876.6</v>
      </c>
      <c r="Y65" s="2"/>
      <c r="Z65" s="7">
        <f t="shared" si="61"/>
        <v>-1</v>
      </c>
    </row>
    <row r="66" spans="1:26" s="23" customFormat="1" hidden="1" outlineLevel="2" x14ac:dyDescent="0.25">
      <c r="A66" s="25"/>
      <c r="B66" s="10" t="str">
        <f>CONCATENATE("          ", "6286", " - ", "LAUNDRY EXPENSE")</f>
        <v xml:space="preserve">          6286 - LAUNDRY EXPENSE</v>
      </c>
      <c r="C66" s="10"/>
      <c r="D66" s="6"/>
      <c r="E66" s="2"/>
      <c r="F66" s="7">
        <f t="shared" si="54"/>
        <v>0</v>
      </c>
      <c r="G66" s="2"/>
      <c r="H66" s="6">
        <v>91.8</v>
      </c>
      <c r="I66" s="2"/>
      <c r="J66" s="7">
        <f t="shared" si="55"/>
        <v>1.3479984205804997E-3</v>
      </c>
      <c r="K66" s="2"/>
      <c r="L66" s="6">
        <f t="shared" si="56"/>
        <v>-91.8</v>
      </c>
      <c r="M66" s="2"/>
      <c r="N66" s="7">
        <f t="shared" si="57"/>
        <v>-1</v>
      </c>
      <c r="O66" s="10"/>
      <c r="P66" s="6"/>
      <c r="Q66" s="2"/>
      <c r="R66" s="7">
        <f t="shared" si="58"/>
        <v>0</v>
      </c>
      <c r="S66" s="2"/>
      <c r="T66" s="6">
        <v>1617.05</v>
      </c>
      <c r="U66" s="2"/>
      <c r="V66" s="7">
        <f t="shared" si="59"/>
        <v>1.5129644459577155E-3</v>
      </c>
      <c r="W66" s="2"/>
      <c r="X66" s="6">
        <f t="shared" si="60"/>
        <v>-1617.05</v>
      </c>
      <c r="Y66" s="2"/>
      <c r="Z66" s="7">
        <f t="shared" si="61"/>
        <v>-1</v>
      </c>
    </row>
    <row r="67" spans="1:26" s="26" customFormat="1" outlineLevel="1" collapsed="1" x14ac:dyDescent="0.25">
      <c r="A67" s="27"/>
      <c r="B67" s="12" t="str">
        <f>CONCATENATE("     ","Subscriptions &amp; Dues                              ")</f>
        <v xml:space="preserve">     Subscriptions &amp; Dues                              </v>
      </c>
      <c r="C67" s="12"/>
      <c r="D67" s="1">
        <f>SUM(OSRRefD22_13x_0)</f>
        <v>0</v>
      </c>
      <c r="E67" s="1"/>
      <c r="F67" s="5">
        <f t="shared" ref="F67:F69" si="62">IF(D$12=0,0,D67/D$12)</f>
        <v>0</v>
      </c>
      <c r="G67" s="1"/>
      <c r="H67" s="1">
        <f>SUM(OSRRefH22_13x_0)</f>
        <v>81</v>
      </c>
      <c r="I67" s="1"/>
      <c r="J67" s="5">
        <f t="shared" ref="J67:J69" si="63">IF(H$12=0,0,H67/H$12)</f>
        <v>1.1894103711004411E-3</v>
      </c>
      <c r="K67" s="1"/>
      <c r="L67" s="1">
        <f t="shared" ref="L67:L69" si="64">+D67-H67</f>
        <v>-81</v>
      </c>
      <c r="M67" s="1"/>
      <c r="N67" s="5">
        <f t="shared" ref="N67:N69" si="65">IF(H67=0,0,L67/H67)</f>
        <v>-1</v>
      </c>
      <c r="O67" s="12"/>
      <c r="P67" s="1">
        <f>SUM(OSRRefP22_13x_0)</f>
        <v>0</v>
      </c>
      <c r="Q67" s="1"/>
      <c r="R67" s="5">
        <f t="shared" ref="R67:R69" si="66">IF(P$12=0,0,P67/P$12)</f>
        <v>0</v>
      </c>
      <c r="S67" s="1"/>
      <c r="T67" s="1">
        <f>SUM(OSRRefT22_13x_0)</f>
        <v>2638.44</v>
      </c>
      <c r="U67" s="1"/>
      <c r="V67" s="5">
        <f t="shared" ref="V67:V69" si="67">IF(T$12=0,0,T67/T$12)</f>
        <v>2.4686100694429206E-3</v>
      </c>
      <c r="W67" s="1"/>
      <c r="X67" s="1">
        <f t="shared" ref="X67:X69" si="68">+P67-T67</f>
        <v>-2638.44</v>
      </c>
      <c r="Y67" s="1"/>
      <c r="Z67" s="5">
        <f t="shared" ref="Z67:Z69" si="69">IF(T67=0,0,X67/T67)</f>
        <v>-1</v>
      </c>
    </row>
    <row r="68" spans="1:26" s="23" customFormat="1" hidden="1" outlineLevel="2" x14ac:dyDescent="0.25">
      <c r="A68" s="25"/>
      <c r="B68" s="10" t="str">
        <f>CONCATENATE("          ", "6258", " - ", "MEMBERSHIP DUES")</f>
        <v xml:space="preserve">          6258 - MEMBERSHIP DUES</v>
      </c>
      <c r="C68" s="10"/>
      <c r="D68" s="6"/>
      <c r="E68" s="2"/>
      <c r="F68" s="7">
        <f t="shared" si="62"/>
        <v>0</v>
      </c>
      <c r="G68" s="2"/>
      <c r="H68" s="6"/>
      <c r="I68" s="2"/>
      <c r="J68" s="7">
        <f t="shared" si="63"/>
        <v>0</v>
      </c>
      <c r="K68" s="2"/>
      <c r="L68" s="6">
        <f t="shared" si="64"/>
        <v>0</v>
      </c>
      <c r="M68" s="2"/>
      <c r="N68" s="7">
        <f t="shared" si="65"/>
        <v>0</v>
      </c>
      <c r="O68" s="10"/>
      <c r="P68" s="6"/>
      <c r="Q68" s="2"/>
      <c r="R68" s="7">
        <f t="shared" si="66"/>
        <v>0</v>
      </c>
      <c r="S68" s="2"/>
      <c r="T68" s="6">
        <v>978</v>
      </c>
      <c r="U68" s="2"/>
      <c r="V68" s="7">
        <f t="shared" si="67"/>
        <v>9.1504853167598146E-4</v>
      </c>
      <c r="W68" s="2"/>
      <c r="X68" s="6">
        <f t="shared" si="68"/>
        <v>-978</v>
      </c>
      <c r="Y68" s="2"/>
      <c r="Z68" s="7">
        <f t="shared" si="69"/>
        <v>-1</v>
      </c>
    </row>
    <row r="69" spans="1:26" s="23" customFormat="1" hidden="1" outlineLevel="2" x14ac:dyDescent="0.25">
      <c r="A69" s="25"/>
      <c r="B69" s="10" t="str">
        <f>CONCATENATE("          ", "6275", " - ", "SUBSCRIPTIONS")</f>
        <v xml:space="preserve">          6275 - SUBSCRIPTIONS</v>
      </c>
      <c r="C69" s="10"/>
      <c r="D69" s="6"/>
      <c r="E69" s="2"/>
      <c r="F69" s="7">
        <f t="shared" si="62"/>
        <v>0</v>
      </c>
      <c r="G69" s="2"/>
      <c r="H69" s="6">
        <v>81</v>
      </c>
      <c r="I69" s="2"/>
      <c r="J69" s="7">
        <f t="shared" si="63"/>
        <v>1.1894103711004411E-3</v>
      </c>
      <c r="K69" s="2"/>
      <c r="L69" s="6">
        <f t="shared" si="64"/>
        <v>-81</v>
      </c>
      <c r="M69" s="2"/>
      <c r="N69" s="7">
        <f t="shared" si="65"/>
        <v>-1</v>
      </c>
      <c r="O69" s="10"/>
      <c r="P69" s="6"/>
      <c r="Q69" s="2"/>
      <c r="R69" s="7">
        <f t="shared" si="66"/>
        <v>0</v>
      </c>
      <c r="S69" s="2"/>
      <c r="T69" s="6">
        <v>1660.44</v>
      </c>
      <c r="U69" s="2"/>
      <c r="V69" s="7">
        <f t="shared" si="67"/>
        <v>1.5535615377669394E-3</v>
      </c>
      <c r="W69" s="2"/>
      <c r="X69" s="6">
        <f t="shared" si="68"/>
        <v>-1660.44</v>
      </c>
      <c r="Y69" s="2"/>
      <c r="Z69" s="7">
        <f t="shared" si="69"/>
        <v>-1</v>
      </c>
    </row>
    <row r="70" spans="1:26" s="26" customFormat="1" outlineLevel="1" collapsed="1" x14ac:dyDescent="0.25">
      <c r="A70" s="27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SUM(OSRRefD22_14x_0)</f>
        <v>0</v>
      </c>
      <c r="E70" s="1"/>
      <c r="F70" s="5">
        <f t="shared" ref="F70:F78" si="70">IF(D$12=0,0,D70/D$12)</f>
        <v>0</v>
      </c>
      <c r="G70" s="1"/>
      <c r="H70" s="1">
        <f>SUM(OSRRefH22_14x_0)</f>
        <v>709.67000000000007</v>
      </c>
      <c r="I70" s="1"/>
      <c r="J70" s="5">
        <f t="shared" ref="J70:J78" si="71">IF(H$12=0,0,H70/H$12)</f>
        <v>1.0420850099491976E-2</v>
      </c>
      <c r="K70" s="1"/>
      <c r="L70" s="1">
        <f t="shared" ref="L70:L78" si="72">+D70-H70</f>
        <v>-709.67000000000007</v>
      </c>
      <c r="M70" s="1"/>
      <c r="N70" s="5">
        <f t="shared" ref="N70:N78" si="73">IF(H70=0,0,L70/H70)</f>
        <v>-1</v>
      </c>
      <c r="O70" s="12"/>
      <c r="P70" s="1">
        <f>SUM(OSRRefP22_14x_0)</f>
        <v>0</v>
      </c>
      <c r="Q70" s="1"/>
      <c r="R70" s="5">
        <f t="shared" ref="R70:R78" si="74">IF(P$12=0,0,P70/P$12)</f>
        <v>0</v>
      </c>
      <c r="S70" s="1"/>
      <c r="T70" s="1">
        <f>SUM(OSRRefT22_14x_0)</f>
        <v>8790.9</v>
      </c>
      <c r="U70" s="1"/>
      <c r="V70" s="5">
        <f t="shared" ref="V70:V78" si="75">IF(T$12=0,0,T70/T$12)</f>
        <v>8.2250512649390435E-3</v>
      </c>
      <c r="W70" s="1"/>
      <c r="X70" s="1">
        <f t="shared" ref="X70:X78" si="76">+P70-T70</f>
        <v>-8790.9</v>
      </c>
      <c r="Y70" s="1"/>
      <c r="Z70" s="5">
        <f t="shared" ref="Z70:Z78" si="77">IF(T70=0,0,X70/T70)</f>
        <v>-1</v>
      </c>
    </row>
    <row r="71" spans="1:26" s="23" customFormat="1" hidden="1" outlineLevel="2" x14ac:dyDescent="0.25">
      <c r="A71" s="25"/>
      <c r="B71" s="10" t="str">
        <f>CONCATENATE("          ", "6234", " - ", "EXPENDABLE SUPPLIES &amp; EQUIPMEN")</f>
        <v xml:space="preserve">          6234 - EXPENDABLE SUPPLIES &amp; EQUIPMEN</v>
      </c>
      <c r="C71" s="10"/>
      <c r="D71" s="6"/>
      <c r="E71" s="2"/>
      <c r="F71" s="7">
        <f t="shared" si="70"/>
        <v>0</v>
      </c>
      <c r="G71" s="2"/>
      <c r="H71" s="6">
        <v>333.92</v>
      </c>
      <c r="I71" s="2"/>
      <c r="J71" s="7">
        <f t="shared" si="71"/>
        <v>4.9033075446649295E-3</v>
      </c>
      <c r="K71" s="2"/>
      <c r="L71" s="6">
        <f t="shared" si="72"/>
        <v>-333.92</v>
      </c>
      <c r="M71" s="2"/>
      <c r="N71" s="7">
        <f t="shared" si="73"/>
        <v>-1</v>
      </c>
      <c r="O71" s="10"/>
      <c r="P71" s="6"/>
      <c r="Q71" s="2"/>
      <c r="R71" s="7">
        <f t="shared" si="74"/>
        <v>0</v>
      </c>
      <c r="S71" s="2"/>
      <c r="T71" s="6">
        <v>333.92</v>
      </c>
      <c r="U71" s="2"/>
      <c r="V71" s="7">
        <f t="shared" si="75"/>
        <v>3.1242638619350077E-4</v>
      </c>
      <c r="W71" s="2"/>
      <c r="X71" s="6">
        <f t="shared" si="76"/>
        <v>-333.92</v>
      </c>
      <c r="Y71" s="2"/>
      <c r="Z71" s="7">
        <f t="shared" si="77"/>
        <v>-1</v>
      </c>
    </row>
    <row r="72" spans="1:26" s="23" customFormat="1" hidden="1" outlineLevel="2" x14ac:dyDescent="0.25">
      <c r="A72" s="25"/>
      <c r="B72" s="10" t="str">
        <f>CONCATENATE("          ", "6237", " - ", "JANITORIAL SUPPLIES")</f>
        <v xml:space="preserve">          6237 - JANITORIAL SUPPLIES</v>
      </c>
      <c r="C72" s="10"/>
      <c r="D72" s="6"/>
      <c r="E72" s="2"/>
      <c r="F72" s="7">
        <f t="shared" si="70"/>
        <v>0</v>
      </c>
      <c r="G72" s="2"/>
      <c r="H72" s="6"/>
      <c r="I72" s="2"/>
      <c r="J72" s="7">
        <f t="shared" si="71"/>
        <v>0</v>
      </c>
      <c r="K72" s="2"/>
      <c r="L72" s="6">
        <f t="shared" si="72"/>
        <v>0</v>
      </c>
      <c r="M72" s="2"/>
      <c r="N72" s="7">
        <f t="shared" si="73"/>
        <v>0</v>
      </c>
      <c r="O72" s="10"/>
      <c r="P72" s="6"/>
      <c r="Q72" s="2"/>
      <c r="R72" s="7">
        <f t="shared" si="74"/>
        <v>0</v>
      </c>
      <c r="S72" s="2"/>
      <c r="T72" s="6">
        <v>17.62</v>
      </c>
      <c r="U72" s="2"/>
      <c r="V72" s="7">
        <f t="shared" si="75"/>
        <v>1.6485843689295292E-5</v>
      </c>
      <c r="W72" s="2"/>
      <c r="X72" s="6">
        <f t="shared" si="76"/>
        <v>-17.62</v>
      </c>
      <c r="Y72" s="2"/>
      <c r="Z72" s="7">
        <f t="shared" si="77"/>
        <v>-1</v>
      </c>
    </row>
    <row r="73" spans="1:26" s="23" customFormat="1" hidden="1" outlineLevel="2" x14ac:dyDescent="0.25">
      <c r="A73" s="25"/>
      <c r="B73" s="10" t="str">
        <f>CONCATENATE("          ", "6239", " - ", "KITCHEN SUPPLIES")</f>
        <v xml:space="preserve">          6239 - KITCHEN SUPPLIES</v>
      </c>
      <c r="C73" s="10"/>
      <c r="D73" s="6"/>
      <c r="E73" s="2"/>
      <c r="F73" s="7">
        <f t="shared" si="70"/>
        <v>0</v>
      </c>
      <c r="G73" s="2"/>
      <c r="H73" s="6"/>
      <c r="I73" s="2"/>
      <c r="J73" s="7">
        <f t="shared" si="71"/>
        <v>0</v>
      </c>
      <c r="K73" s="2"/>
      <c r="L73" s="6">
        <f t="shared" si="72"/>
        <v>0</v>
      </c>
      <c r="M73" s="2"/>
      <c r="N73" s="7">
        <f t="shared" si="73"/>
        <v>0</v>
      </c>
      <c r="O73" s="10"/>
      <c r="P73" s="6"/>
      <c r="Q73" s="2"/>
      <c r="R73" s="7">
        <f t="shared" si="74"/>
        <v>0</v>
      </c>
      <c r="S73" s="2"/>
      <c r="T73" s="6">
        <v>788.08</v>
      </c>
      <c r="U73" s="2"/>
      <c r="V73" s="7">
        <f t="shared" si="75"/>
        <v>7.3735321763109148E-4</v>
      </c>
      <c r="W73" s="2"/>
      <c r="X73" s="6">
        <f t="shared" si="76"/>
        <v>-788.08</v>
      </c>
      <c r="Y73" s="2"/>
      <c r="Z73" s="7">
        <f t="shared" si="77"/>
        <v>-1</v>
      </c>
    </row>
    <row r="74" spans="1:26" s="23" customFormat="1" hidden="1" outlineLevel="2" x14ac:dyDescent="0.25">
      <c r="A74" s="25"/>
      <c r="B74" s="10" t="str">
        <f>CONCATENATE("          ", "6241", " - ", "OFFICE EXPENSE")</f>
        <v xml:space="preserve">          6241 - OFFICE EXPENSE</v>
      </c>
      <c r="C74" s="10"/>
      <c r="D74" s="6"/>
      <c r="E74" s="2"/>
      <c r="F74" s="7">
        <f t="shared" si="70"/>
        <v>0</v>
      </c>
      <c r="G74" s="2"/>
      <c r="H74" s="6">
        <v>53.28</v>
      </c>
      <c r="I74" s="2"/>
      <c r="J74" s="7">
        <f t="shared" si="71"/>
        <v>7.823677107682901E-4</v>
      </c>
      <c r="K74" s="2"/>
      <c r="L74" s="6">
        <f t="shared" si="72"/>
        <v>-53.28</v>
      </c>
      <c r="M74" s="2"/>
      <c r="N74" s="7">
        <f t="shared" si="73"/>
        <v>-1</v>
      </c>
      <c r="O74" s="10"/>
      <c r="P74" s="6"/>
      <c r="Q74" s="2"/>
      <c r="R74" s="7">
        <f t="shared" si="74"/>
        <v>0</v>
      </c>
      <c r="S74" s="2"/>
      <c r="T74" s="6">
        <v>1698.1</v>
      </c>
      <c r="U74" s="2"/>
      <c r="V74" s="7">
        <f t="shared" si="75"/>
        <v>1.5887974556635829E-3</v>
      </c>
      <c r="W74" s="2"/>
      <c r="X74" s="6">
        <f t="shared" si="76"/>
        <v>-1698.1</v>
      </c>
      <c r="Y74" s="2"/>
      <c r="Z74" s="7">
        <f t="shared" si="77"/>
        <v>-1</v>
      </c>
    </row>
    <row r="75" spans="1:26" s="23" customFormat="1" hidden="1" outlineLevel="2" x14ac:dyDescent="0.25">
      <c r="A75" s="25"/>
      <c r="B75" s="10" t="str">
        <f>CONCATENATE("          ", "6243", " - ", "PAPER SUPPLIES")</f>
        <v xml:space="preserve">          6243 - PAPER SUPPLIES</v>
      </c>
      <c r="C75" s="10"/>
      <c r="D75" s="6"/>
      <c r="E75" s="2"/>
      <c r="F75" s="7">
        <f t="shared" si="70"/>
        <v>0</v>
      </c>
      <c r="G75" s="2"/>
      <c r="H75" s="6">
        <v>190.94</v>
      </c>
      <c r="I75" s="2"/>
      <c r="J75" s="7">
        <f t="shared" si="71"/>
        <v>2.8037779784928171E-3</v>
      </c>
      <c r="K75" s="2"/>
      <c r="L75" s="6">
        <f t="shared" si="72"/>
        <v>-190.94</v>
      </c>
      <c r="M75" s="2"/>
      <c r="N75" s="7">
        <f t="shared" si="73"/>
        <v>-1</v>
      </c>
      <c r="O75" s="10"/>
      <c r="P75" s="6"/>
      <c r="Q75" s="2"/>
      <c r="R75" s="7">
        <f t="shared" si="74"/>
        <v>0</v>
      </c>
      <c r="S75" s="2"/>
      <c r="T75" s="6">
        <v>3574.75</v>
      </c>
      <c r="U75" s="2"/>
      <c r="V75" s="7">
        <f t="shared" si="75"/>
        <v>3.3446520844669886E-3</v>
      </c>
      <c r="W75" s="2"/>
      <c r="X75" s="6">
        <f t="shared" si="76"/>
        <v>-3574.75</v>
      </c>
      <c r="Y75" s="2"/>
      <c r="Z75" s="7">
        <f t="shared" si="77"/>
        <v>-1</v>
      </c>
    </row>
    <row r="76" spans="1:26" s="23" customFormat="1" hidden="1" outlineLevel="2" x14ac:dyDescent="0.25">
      <c r="A76" s="25"/>
      <c r="B76" s="10" t="str">
        <f>CONCATENATE("          ", "6245", " - ", "PRINTING")</f>
        <v xml:space="preserve">          6245 - PRINTING</v>
      </c>
      <c r="C76" s="10"/>
      <c r="D76" s="6"/>
      <c r="E76" s="2"/>
      <c r="F76" s="7">
        <f t="shared" si="70"/>
        <v>0</v>
      </c>
      <c r="G76" s="2"/>
      <c r="H76" s="6"/>
      <c r="I76" s="2"/>
      <c r="J76" s="7">
        <f t="shared" si="71"/>
        <v>0</v>
      </c>
      <c r="K76" s="2"/>
      <c r="L76" s="6">
        <f t="shared" si="72"/>
        <v>0</v>
      </c>
      <c r="M76" s="2"/>
      <c r="N76" s="7">
        <f t="shared" si="73"/>
        <v>0</v>
      </c>
      <c r="O76" s="10"/>
      <c r="P76" s="6"/>
      <c r="Q76" s="2"/>
      <c r="R76" s="7">
        <f t="shared" si="74"/>
        <v>0</v>
      </c>
      <c r="S76" s="2"/>
      <c r="T76" s="6">
        <v>22.05</v>
      </c>
      <c r="U76" s="2"/>
      <c r="V76" s="7">
        <f t="shared" si="75"/>
        <v>2.0630695422756023E-5</v>
      </c>
      <c r="W76" s="2"/>
      <c r="X76" s="6">
        <f t="shared" si="76"/>
        <v>-22.05</v>
      </c>
      <c r="Y76" s="2"/>
      <c r="Z76" s="7">
        <f t="shared" si="77"/>
        <v>-1</v>
      </c>
    </row>
    <row r="77" spans="1:26" s="23" customFormat="1" hidden="1" outlineLevel="2" x14ac:dyDescent="0.25">
      <c r="A77" s="25"/>
      <c r="B77" s="10" t="str">
        <f>CONCATENATE("          ", "6247", " - ", "STORE SUPPLIES")</f>
        <v xml:space="preserve">          6247 - STORE SUPPLIES</v>
      </c>
      <c r="C77" s="10"/>
      <c r="D77" s="6"/>
      <c r="E77" s="2"/>
      <c r="F77" s="7">
        <f t="shared" si="70"/>
        <v>0</v>
      </c>
      <c r="G77" s="2"/>
      <c r="H77" s="6">
        <v>90</v>
      </c>
      <c r="I77" s="2"/>
      <c r="J77" s="7">
        <f t="shared" si="71"/>
        <v>1.32156707900049E-3</v>
      </c>
      <c r="K77" s="2"/>
      <c r="L77" s="6">
        <f t="shared" si="72"/>
        <v>-90</v>
      </c>
      <c r="M77" s="2"/>
      <c r="N77" s="7">
        <f t="shared" si="73"/>
        <v>-1</v>
      </c>
      <c r="O77" s="10"/>
      <c r="P77" s="6"/>
      <c r="Q77" s="2"/>
      <c r="R77" s="7">
        <f t="shared" si="74"/>
        <v>0</v>
      </c>
      <c r="S77" s="2"/>
      <c r="T77" s="6">
        <v>1534.61</v>
      </c>
      <c r="U77" s="2"/>
      <c r="V77" s="7">
        <f t="shared" si="75"/>
        <v>1.4358309071526357E-3</v>
      </c>
      <c r="W77" s="2"/>
      <c r="X77" s="6">
        <f t="shared" si="76"/>
        <v>-1534.61</v>
      </c>
      <c r="Y77" s="2"/>
      <c r="Z77" s="7">
        <f t="shared" si="77"/>
        <v>-1</v>
      </c>
    </row>
    <row r="78" spans="1:26" s="23" customFormat="1" hidden="1" outlineLevel="2" x14ac:dyDescent="0.25">
      <c r="A78" s="25"/>
      <c r="B78" s="10" t="str">
        <f>CONCATENATE("          ", "6248", " - ", "UNIFORMS")</f>
        <v xml:space="preserve">          6248 - UNIFORMS</v>
      </c>
      <c r="C78" s="10"/>
      <c r="D78" s="6"/>
      <c r="E78" s="2"/>
      <c r="F78" s="7">
        <f t="shared" si="70"/>
        <v>0</v>
      </c>
      <c r="G78" s="2"/>
      <c r="H78" s="6">
        <v>41.53</v>
      </c>
      <c r="I78" s="2"/>
      <c r="J78" s="7">
        <f t="shared" si="71"/>
        <v>6.0982978656544829E-4</v>
      </c>
      <c r="K78" s="2"/>
      <c r="L78" s="6">
        <f t="shared" si="72"/>
        <v>-41.53</v>
      </c>
      <c r="M78" s="2"/>
      <c r="N78" s="7">
        <f t="shared" si="73"/>
        <v>-1</v>
      </c>
      <c r="O78" s="10"/>
      <c r="P78" s="6"/>
      <c r="Q78" s="2"/>
      <c r="R78" s="7">
        <f t="shared" si="74"/>
        <v>0</v>
      </c>
      <c r="S78" s="2"/>
      <c r="T78" s="6">
        <v>821.77</v>
      </c>
      <c r="U78" s="2"/>
      <c r="V78" s="7">
        <f t="shared" si="75"/>
        <v>7.6887467471919351E-4</v>
      </c>
      <c r="W78" s="2"/>
      <c r="X78" s="6">
        <f t="shared" si="76"/>
        <v>-821.77</v>
      </c>
      <c r="Y78" s="2"/>
      <c r="Z78" s="7">
        <f t="shared" si="77"/>
        <v>-1</v>
      </c>
    </row>
    <row r="79" spans="1:26" s="26" customFormat="1" outlineLevel="1" collapsed="1" x14ac:dyDescent="0.25">
      <c r="A79" s="27"/>
      <c r="B79" s="12" t="str">
        <f>CONCATENATE("     ","Telephone/Data Lines                              ")</f>
        <v xml:space="preserve">     Telephone/Data Lines                              </v>
      </c>
      <c r="C79" s="12"/>
      <c r="D79" s="1">
        <f>SUM(OSRRefD22_15x_0)</f>
        <v>0</v>
      </c>
      <c r="E79" s="1"/>
      <c r="F79" s="5">
        <f t="shared" ref="F79:F82" si="78">IF(D$12=0,0,D79/D$12)</f>
        <v>0</v>
      </c>
      <c r="G79" s="1"/>
      <c r="H79" s="1">
        <f>SUM(OSRRefH22_15x_0)</f>
        <v>185.59</v>
      </c>
      <c r="I79" s="1"/>
      <c r="J79" s="5">
        <f t="shared" ref="J79:J82" si="79">IF(H$12=0,0,H79/H$12)</f>
        <v>2.7252181576855662E-3</v>
      </c>
      <c r="K79" s="1"/>
      <c r="L79" s="1">
        <f t="shared" ref="L79:L82" si="80">+D79-H79</f>
        <v>-185.59</v>
      </c>
      <c r="M79" s="1"/>
      <c r="N79" s="5">
        <f t="shared" ref="N79:N82" si="81">IF(H79=0,0,L79/H79)</f>
        <v>-1</v>
      </c>
      <c r="O79" s="12"/>
      <c r="P79" s="1">
        <f>SUM(OSRRefP22_15x_0)</f>
        <v>250.87</v>
      </c>
      <c r="Q79" s="1"/>
      <c r="R79" s="5">
        <f t="shared" ref="R79:R82" si="82">IF(P$12=0,0,P79/P$12)</f>
        <v>0</v>
      </c>
      <c r="S79" s="1"/>
      <c r="T79" s="1">
        <f>SUM(OSRRefT22_15x_0)</f>
        <v>1354.19</v>
      </c>
      <c r="U79" s="1"/>
      <c r="V79" s="5">
        <f t="shared" ref="V79:V82" si="83">IF(T$12=0,0,T79/T$12)</f>
        <v>1.2670241013397724E-3</v>
      </c>
      <c r="W79" s="1"/>
      <c r="X79" s="1">
        <f t="shared" ref="X79:X82" si="84">+P79-T79</f>
        <v>-1103.3200000000002</v>
      </c>
      <c r="Y79" s="1"/>
      <c r="Z79" s="5">
        <f t="shared" ref="Z79:Z82" si="85">IF(T79=0,0,X79/T79)</f>
        <v>-0.81474534592634718</v>
      </c>
    </row>
    <row r="80" spans="1:26" s="23" customFormat="1" hidden="1" outlineLevel="2" x14ac:dyDescent="0.25">
      <c r="A80" s="25"/>
      <c r="B80" s="10" t="str">
        <f>CONCATENATE("          ", "6309", " - ", "TELEPHONE")</f>
        <v xml:space="preserve">          6309 - TELEPHONE</v>
      </c>
      <c r="C80" s="10"/>
      <c r="D80" s="6"/>
      <c r="E80" s="2"/>
      <c r="F80" s="7">
        <f t="shared" si="78"/>
        <v>0</v>
      </c>
      <c r="G80" s="2"/>
      <c r="H80" s="6">
        <v>185.59</v>
      </c>
      <c r="I80" s="2"/>
      <c r="J80" s="7">
        <f t="shared" si="79"/>
        <v>2.7252181576855662E-3</v>
      </c>
      <c r="K80" s="2"/>
      <c r="L80" s="6">
        <f t="shared" si="80"/>
        <v>-185.59</v>
      </c>
      <c r="M80" s="2"/>
      <c r="N80" s="7">
        <f t="shared" si="81"/>
        <v>-1</v>
      </c>
      <c r="O80" s="10"/>
      <c r="P80" s="6">
        <v>250.87</v>
      </c>
      <c r="Q80" s="2"/>
      <c r="R80" s="7">
        <f t="shared" si="82"/>
        <v>0</v>
      </c>
      <c r="S80" s="2"/>
      <c r="T80" s="6">
        <v>1354.19</v>
      </c>
      <c r="U80" s="2"/>
      <c r="V80" s="7">
        <f t="shared" si="83"/>
        <v>1.2670241013397724E-3</v>
      </c>
      <c r="W80" s="2"/>
      <c r="X80" s="6">
        <f t="shared" si="84"/>
        <v>-1103.3200000000002</v>
      </c>
      <c r="Y80" s="2"/>
      <c r="Z80" s="7">
        <f t="shared" si="85"/>
        <v>-0.81474534592634718</v>
      </c>
    </row>
    <row r="81" spans="1:26" s="26" customFormat="1" outlineLevel="1" collapsed="1" x14ac:dyDescent="0.25">
      <c r="A81" s="27"/>
      <c r="B81" s="12" t="str">
        <f>CONCATENATE("     ","Training                                          ")</f>
        <v xml:space="preserve">     Training                                          </v>
      </c>
      <c r="C81" s="12"/>
      <c r="D81" s="1">
        <f>SUM(OSRRefD22_16x_0)</f>
        <v>0</v>
      </c>
      <c r="E81" s="1"/>
      <c r="F81" s="5">
        <f t="shared" si="78"/>
        <v>0</v>
      </c>
      <c r="G81" s="1"/>
      <c r="H81" s="1">
        <f>SUM(OSRRefH22_16x_0)</f>
        <v>0</v>
      </c>
      <c r="I81" s="1"/>
      <c r="J81" s="5">
        <f t="shared" si="79"/>
        <v>0</v>
      </c>
      <c r="K81" s="1"/>
      <c r="L81" s="1">
        <f t="shared" si="80"/>
        <v>0</v>
      </c>
      <c r="M81" s="1"/>
      <c r="N81" s="5">
        <f t="shared" si="81"/>
        <v>0</v>
      </c>
      <c r="O81" s="12"/>
      <c r="P81" s="1">
        <f>SUM(OSRRefP22_16x_0)</f>
        <v>0</v>
      </c>
      <c r="Q81" s="1"/>
      <c r="R81" s="5">
        <f t="shared" si="82"/>
        <v>0</v>
      </c>
      <c r="S81" s="1"/>
      <c r="T81" s="1">
        <f>SUM(OSRRefT22_16x_0)</f>
        <v>279.95</v>
      </c>
      <c r="U81" s="1"/>
      <c r="V81" s="5">
        <f t="shared" si="83"/>
        <v>2.6193030311113597E-4</v>
      </c>
      <c r="W81" s="1"/>
      <c r="X81" s="1">
        <f t="shared" si="84"/>
        <v>-279.95</v>
      </c>
      <c r="Y81" s="1"/>
      <c r="Z81" s="5">
        <f t="shared" si="85"/>
        <v>-1</v>
      </c>
    </row>
    <row r="82" spans="1:26" s="23" customFormat="1" hidden="1" outlineLevel="2" x14ac:dyDescent="0.25">
      <c r="A82" s="25"/>
      <c r="B82" s="10" t="str">
        <f>CONCATENATE("          ", "6376", " - ", "TRAINING")</f>
        <v xml:space="preserve">          6376 - TRAINING</v>
      </c>
      <c r="C82" s="10"/>
      <c r="D82" s="6"/>
      <c r="E82" s="2"/>
      <c r="F82" s="7">
        <f t="shared" si="78"/>
        <v>0</v>
      </c>
      <c r="G82" s="2"/>
      <c r="H82" s="6"/>
      <c r="I82" s="2"/>
      <c r="J82" s="7">
        <f t="shared" si="79"/>
        <v>0</v>
      </c>
      <c r="K82" s="2"/>
      <c r="L82" s="6">
        <f t="shared" si="80"/>
        <v>0</v>
      </c>
      <c r="M82" s="2"/>
      <c r="N82" s="7">
        <f t="shared" si="81"/>
        <v>0</v>
      </c>
      <c r="O82" s="10"/>
      <c r="P82" s="6"/>
      <c r="Q82" s="2"/>
      <c r="R82" s="7">
        <f t="shared" si="82"/>
        <v>0</v>
      </c>
      <c r="S82" s="2"/>
      <c r="T82" s="6">
        <v>279.95</v>
      </c>
      <c r="U82" s="2"/>
      <c r="V82" s="7">
        <f t="shared" si="83"/>
        <v>2.6193030311113597E-4</v>
      </c>
      <c r="W82" s="2"/>
      <c r="X82" s="6">
        <f t="shared" si="84"/>
        <v>-279.95</v>
      </c>
      <c r="Y82" s="2"/>
      <c r="Z82" s="7">
        <f t="shared" si="85"/>
        <v>-1</v>
      </c>
    </row>
    <row r="83" spans="1:26" s="60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4" customFormat="1" collapsed="1" x14ac:dyDescent="0.25">
      <c r="A84" s="11"/>
      <c r="B84" s="28" t="s">
        <v>292</v>
      </c>
      <c r="C84" s="11"/>
      <c r="D84" s="4">
        <f>SUM(OSRRefD25x_0)</f>
        <v>0</v>
      </c>
      <c r="E84" s="4"/>
      <c r="F84" s="13">
        <f t="shared" ref="F84:F85" si="86">IF(D$12=0,0,D84/D$12)</f>
        <v>0</v>
      </c>
      <c r="G84" s="4"/>
      <c r="H84" s="4">
        <f>SUM(OSRRefH25x_0)</f>
        <v>0</v>
      </c>
      <c r="I84" s="4"/>
      <c r="J84" s="13">
        <f t="shared" ref="J84:J85" si="87">IF(H$12=0,0,H84/H$12)</f>
        <v>0</v>
      </c>
      <c r="K84" s="4"/>
      <c r="L84" s="4">
        <f t="shared" ref="L84:L85" si="88">+D84-H84</f>
        <v>0</v>
      </c>
      <c r="M84" s="4"/>
      <c r="N84" s="13">
        <f t="shared" ref="N84:N85" si="89">IF(H84=0,0,L84/H84)</f>
        <v>0</v>
      </c>
      <c r="O84" s="11"/>
      <c r="P84" s="4">
        <f>SUM(OSRRefP25x_0)</f>
        <v>111.42</v>
      </c>
      <c r="Q84" s="4"/>
      <c r="R84" s="13">
        <f t="shared" ref="R84:R85" si="90">IF(P$12=0,0,P84/P$12)</f>
        <v>0</v>
      </c>
      <c r="S84" s="4"/>
      <c r="T84" s="4">
        <f>SUM(OSRRefT25x_0)</f>
        <v>0</v>
      </c>
      <c r="U84" s="4"/>
      <c r="V84" s="13">
        <f t="shared" ref="V84:V85" si="91">IF(T$12=0,0,T84/T$12)</f>
        <v>0</v>
      </c>
      <c r="W84" s="4"/>
      <c r="X84" s="4">
        <f t="shared" ref="X84:X85" si="92">+P84-T84</f>
        <v>111.42</v>
      </c>
      <c r="Y84" s="4"/>
      <c r="Z84" s="13">
        <f t="shared" ref="Z84:Z85" si="93">IF(T84=0,0,X84/T84)</f>
        <v>0</v>
      </c>
    </row>
    <row r="85" spans="1:26" s="23" customFormat="1" hidden="1" outlineLevel="1" x14ac:dyDescent="0.25">
      <c r="A85" s="44"/>
      <c r="B85" s="10" t="str">
        <f>CONCATENATE("          ", "9150", " - ", "MISC. INCOME")</f>
        <v xml:space="preserve">          9150 - MISC. INCOME</v>
      </c>
      <c r="C85" s="10"/>
      <c r="D85" s="2">
        <f>0</f>
        <v>0</v>
      </c>
      <c r="E85" s="2"/>
      <c r="F85" s="19">
        <f t="shared" si="86"/>
        <v>0</v>
      </c>
      <c r="G85" s="2"/>
      <c r="H85" s="2">
        <f>0</f>
        <v>0</v>
      </c>
      <c r="I85" s="2"/>
      <c r="J85" s="19">
        <f t="shared" si="87"/>
        <v>0</v>
      </c>
      <c r="K85" s="2"/>
      <c r="L85" s="2">
        <f t="shared" si="88"/>
        <v>0</v>
      </c>
      <c r="M85" s="2"/>
      <c r="N85" s="19">
        <f t="shared" si="89"/>
        <v>0</v>
      </c>
      <c r="O85" s="10"/>
      <c r="P85" s="2">
        <f>--111.42</f>
        <v>111.42</v>
      </c>
      <c r="Q85" s="2"/>
      <c r="R85" s="19">
        <f t="shared" si="90"/>
        <v>0</v>
      </c>
      <c r="S85" s="2"/>
      <c r="T85" s="2">
        <f>0</f>
        <v>0</v>
      </c>
      <c r="U85" s="2"/>
      <c r="V85" s="19">
        <f t="shared" si="91"/>
        <v>0</v>
      </c>
      <c r="W85" s="2"/>
      <c r="X85" s="2">
        <f t="shared" si="92"/>
        <v>111.42</v>
      </c>
      <c r="Y85" s="2"/>
      <c r="Z85" s="19">
        <f t="shared" si="93"/>
        <v>0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x14ac:dyDescent="0.25">
      <c r="A87" s="11"/>
      <c r="B87" s="29" t="s">
        <v>276</v>
      </c>
      <c r="C87" s="29"/>
      <c r="D87" s="22">
        <f>+D20-D22+D84</f>
        <v>-6642.3499999999995</v>
      </c>
      <c r="E87" s="14"/>
      <c r="F87" s="20">
        <f>IF(D$12=0,0,D87/D$12)</f>
        <v>0</v>
      </c>
      <c r="G87" s="14"/>
      <c r="H87" s="22">
        <f>+H20-H22+H84</f>
        <v>-25645.880000000005</v>
      </c>
      <c r="I87" s="14"/>
      <c r="J87" s="20">
        <f>IF(H$12=0,0,H87/H$12)</f>
        <v>-0.37658611911107881</v>
      </c>
      <c r="K87" s="15"/>
      <c r="L87" s="22">
        <f>+D87-H87</f>
        <v>19003.530000000006</v>
      </c>
      <c r="M87" s="15"/>
      <c r="N87" s="20">
        <f>IF(H87=0,0,L87/H87)</f>
        <v>-0.74099738437519014</v>
      </c>
      <c r="O87" s="28"/>
      <c r="P87" s="22">
        <f>+P20-P22+P84</f>
        <v>-73987.92</v>
      </c>
      <c r="Q87" s="14"/>
      <c r="R87" s="20">
        <f>IF(P$12=0,0,P87/P$12)</f>
        <v>0</v>
      </c>
      <c r="S87" s="14"/>
      <c r="T87" s="22">
        <f>+T20-T22+T84</f>
        <v>142093.60000000009</v>
      </c>
      <c r="U87" s="14"/>
      <c r="V87" s="20">
        <f>IF(T$12=0,0,T87/T$12)</f>
        <v>0.13294738245455454</v>
      </c>
      <c r="W87" s="15"/>
      <c r="X87" s="22">
        <f>+P87-T87</f>
        <v>-216081.52000000008</v>
      </c>
      <c r="Y87" s="15"/>
      <c r="Z87" s="20">
        <f>IF(T87=0,0,X87/T87)</f>
        <v>-1.5206984691780625</v>
      </c>
    </row>
    <row r="88" spans="1:26" x14ac:dyDescent="0.25">
      <c r="A88" s="9"/>
      <c r="B88" s="11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x14ac:dyDescent="0.25">
      <c r="A89" s="51"/>
      <c r="B89" s="11" t="s">
        <v>127</v>
      </c>
      <c r="C89" s="11"/>
      <c r="D89" s="4"/>
      <c r="E89" s="4"/>
      <c r="F89" s="13">
        <f>IF(D$12=0,0,D89/D$12)</f>
        <v>0</v>
      </c>
      <c r="G89" s="4"/>
      <c r="H89" s="4">
        <v>12533.47</v>
      </c>
      <c r="I89" s="4"/>
      <c r="J89" s="13">
        <f>IF(H$12=0,0,H89/H$12)</f>
        <v>0.1840424593071141</v>
      </c>
      <c r="K89" s="4"/>
      <c r="L89" s="4">
        <f>+D89-H89</f>
        <v>-12533.47</v>
      </c>
      <c r="M89" s="4"/>
      <c r="N89" s="13">
        <f>IF(H89=0,0,L89/H89)</f>
        <v>-1</v>
      </c>
      <c r="O89" s="11"/>
      <c r="P89" s="4"/>
      <c r="Q89" s="4"/>
      <c r="R89" s="13">
        <f>IF(P$12=0,0,P89/P$12)</f>
        <v>0</v>
      </c>
      <c r="S89" s="4"/>
      <c r="T89" s="4">
        <v>114524.06</v>
      </c>
      <c r="U89" s="4"/>
      <c r="V89" s="13">
        <f>IF(T$12=0,0,T89/T$12)</f>
        <v>0.10715242632369325</v>
      </c>
      <c r="W89" s="4"/>
      <c r="X89" s="4">
        <f>+P89-T89</f>
        <v>-114524.06</v>
      </c>
      <c r="Y89" s="4"/>
      <c r="Z89" s="13">
        <f>IF(T89=0,0,X89/T89)</f>
        <v>-1</v>
      </c>
    </row>
    <row r="90" spans="1:26" x14ac:dyDescent="0.25">
      <c r="A90" s="9"/>
      <c r="B90" s="11"/>
      <c r="C90" s="11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1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ht="15.75" thickBot="1" x14ac:dyDescent="0.3">
      <c r="A91" s="11"/>
      <c r="B91" s="29" t="s">
        <v>125</v>
      </c>
      <c r="C91" s="29"/>
      <c r="D91" s="30">
        <f>+D87-D89</f>
        <v>-6642.3499999999995</v>
      </c>
      <c r="E91" s="14"/>
      <c r="F91" s="36">
        <f>IF(D$12=0,0,D91/D$12)</f>
        <v>0</v>
      </c>
      <c r="G91" s="14"/>
      <c r="H91" s="30">
        <f>+H87-H89</f>
        <v>-38179.350000000006</v>
      </c>
      <c r="I91" s="14"/>
      <c r="J91" s="36">
        <f>IF(H$12=0,0,H91/H$12)</f>
        <v>-0.56062857841819291</v>
      </c>
      <c r="K91" s="15"/>
      <c r="L91" s="30">
        <f>D91-H91</f>
        <v>31537.000000000007</v>
      </c>
      <c r="M91" s="15"/>
      <c r="N91" s="36">
        <f>IF(H91=0,0,L91/H91)</f>
        <v>-0.82602244406989644</v>
      </c>
      <c r="O91" s="28"/>
      <c r="P91" s="30">
        <f>+P87-P89</f>
        <v>-73987.92</v>
      </c>
      <c r="Q91" s="14"/>
      <c r="R91" s="36">
        <f>IF(P$12=0,0,P91/P$12)</f>
        <v>0</v>
      </c>
      <c r="S91" s="14"/>
      <c r="T91" s="30">
        <f>+T87-T89</f>
        <v>27569.540000000095</v>
      </c>
      <c r="U91" s="14"/>
      <c r="V91" s="36">
        <f>IF(T$12=0,0,T91/T$12)</f>
        <v>2.5794956130861274E-2</v>
      </c>
      <c r="W91" s="15"/>
      <c r="X91" s="30">
        <f>P91-T91</f>
        <v>-101557.46000000009</v>
      </c>
      <c r="Y91" s="15"/>
      <c r="Z91" s="36">
        <f>IF(T91=0,0,X91/T91)</f>
        <v>-3.6836835144873561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ht="15.75" thickBot="1" x14ac:dyDescent="0.3">
      <c r="A94" s="11"/>
      <c r="B94" s="29" t="s">
        <v>293</v>
      </c>
      <c r="C94" s="29"/>
      <c r="D94" s="35">
        <f>SUM(D91:D93)</f>
        <v>-6642.3499999999995</v>
      </c>
      <c r="E94" s="14"/>
      <c r="F94" s="34">
        <f>IF(D$12=0,0,D94/D$12)</f>
        <v>0</v>
      </c>
      <c r="G94" s="14"/>
      <c r="H94" s="35">
        <f>SUM(H91:H93)</f>
        <v>-38179.350000000006</v>
      </c>
      <c r="I94" s="14"/>
      <c r="J94" s="34">
        <f>IF(H$12=0,0,H94/H$12)</f>
        <v>-0.56062857841819291</v>
      </c>
      <c r="K94" s="15"/>
      <c r="L94" s="35">
        <f>+D94-H94</f>
        <v>31537.000000000007</v>
      </c>
      <c r="M94" s="15"/>
      <c r="N94" s="34">
        <f>IF(H94=0,0,L94/H94)</f>
        <v>-0.82602244406989644</v>
      </c>
      <c r="O94" s="28"/>
      <c r="P94" s="35">
        <f>SUM(P91:P93)</f>
        <v>-73987.92</v>
      </c>
      <c r="Q94" s="14"/>
      <c r="R94" s="34">
        <f>IF(P$12=0,0,P94/P$12)</f>
        <v>0</v>
      </c>
      <c r="S94" s="14"/>
      <c r="T94" s="35">
        <f>SUM(T91:T93)</f>
        <v>27569.540000000095</v>
      </c>
      <c r="U94" s="14"/>
      <c r="V94" s="34">
        <f>IF(T$12=0,0,T94/T$12)</f>
        <v>2.5794956130861274E-2</v>
      </c>
      <c r="W94" s="15"/>
      <c r="X94" s="35">
        <f>+P94-T94</f>
        <v>-101557.46000000009</v>
      </c>
      <c r="Y94" s="15"/>
      <c r="Z94" s="34">
        <f>IF(T94=0,0,X94/T94)</f>
        <v>-3.6836835144873561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4">
        <v>44295.963243634258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8" t="s">
        <v>56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2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","420", " - ", "Catering")</f>
        <v>Department 420 - Catering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51782.31</v>
      </c>
      <c r="E12" s="4"/>
      <c r="F12" s="13"/>
      <c r="G12" s="4"/>
      <c r="H12" s="4">
        <f>SUM(OSRRefH13x_0)</f>
        <v>30035.629999999997</v>
      </c>
      <c r="I12" s="4"/>
      <c r="J12" s="13"/>
      <c r="K12" s="4"/>
      <c r="L12" s="4">
        <f t="shared" ref="L12:L14" si="0">+D12-H12</f>
        <v>21746.68</v>
      </c>
      <c r="M12" s="4"/>
      <c r="N12" s="13">
        <f t="shared" ref="N12:N14" si="1">IF(H12=0,0,L12/H12)</f>
        <v>0.72402942771634893</v>
      </c>
      <c r="O12" s="11"/>
      <c r="P12" s="4">
        <f>SUM(OSRRefP13x_0)</f>
        <v>331940.11</v>
      </c>
      <c r="Q12" s="4"/>
      <c r="R12" s="13"/>
      <c r="S12" s="4"/>
      <c r="T12" s="4">
        <f>SUM(OSRRefT13x_0)</f>
        <v>211082.08000000002</v>
      </c>
      <c r="U12" s="4"/>
      <c r="V12" s="13"/>
      <c r="W12" s="4"/>
      <c r="X12" s="4">
        <f t="shared" ref="X12:X14" si="2">+P12-T12</f>
        <v>120858.02999999997</v>
      </c>
      <c r="Y12" s="4"/>
      <c r="Z12" s="13">
        <f t="shared" ref="Z12:Z14" si="3">IF(T12=0,0,X12/T12)</f>
        <v>0.57256414187315174</v>
      </c>
    </row>
    <row r="13" spans="1:26" s="23" customFormat="1" hidden="1" outlineLevel="1" x14ac:dyDescent="0.25">
      <c r="A13" s="44"/>
      <c r="B13" s="10" t="str">
        <f>CONCATENATE("          ", "4052", " - ", "TAXABLE SALES-FOOD")</f>
        <v xml:space="preserve">          4052 - TAXABLE SALES-FOOD</v>
      </c>
      <c r="C13" s="10"/>
      <c r="D13" s="2">
        <f>--51782.31</f>
        <v>51782.31</v>
      </c>
      <c r="E13" s="2"/>
      <c r="F13" s="19"/>
      <c r="G13" s="2"/>
      <c r="H13" s="2">
        <f>--29813.76</f>
        <v>29813.759999999998</v>
      </c>
      <c r="I13" s="2"/>
      <c r="J13" s="19"/>
      <c r="K13" s="2"/>
      <c r="L13" s="2">
        <f t="shared" si="0"/>
        <v>21968.55</v>
      </c>
      <c r="M13" s="2"/>
      <c r="N13" s="19">
        <f t="shared" si="1"/>
        <v>0.73685942329984544</v>
      </c>
      <c r="O13" s="10"/>
      <c r="P13" s="2">
        <f>--331940.11</f>
        <v>331940.11</v>
      </c>
      <c r="Q13" s="2"/>
      <c r="R13" s="19"/>
      <c r="S13" s="2"/>
      <c r="T13" s="2">
        <f>--210141.41</f>
        <v>210141.41</v>
      </c>
      <c r="U13" s="2"/>
      <c r="V13" s="19"/>
      <c r="W13" s="2"/>
      <c r="X13" s="2">
        <f t="shared" si="2"/>
        <v>121798.69999999998</v>
      </c>
      <c r="Y13" s="2"/>
      <c r="Z13" s="19">
        <f t="shared" si="3"/>
        <v>0.57960351555650069</v>
      </c>
    </row>
    <row r="14" spans="1:26" s="23" customFormat="1" hidden="1" outlineLevel="1" x14ac:dyDescent="0.25">
      <c r="A14" s="44"/>
      <c r="B14" s="10" t="str">
        <f>CONCATENATE("          ", "4152", " - ", "NON-TAXABLE SALES-FOOD")</f>
        <v xml:space="preserve">          4152 - NON-TAXABLE SALES-FOOD</v>
      </c>
      <c r="C14" s="10"/>
      <c r="D14" s="2">
        <f>0</f>
        <v>0</v>
      </c>
      <c r="E14" s="2"/>
      <c r="F14" s="19"/>
      <c r="G14" s="2"/>
      <c r="H14" s="2">
        <f>--221.87</f>
        <v>221.87</v>
      </c>
      <c r="I14" s="2"/>
      <c r="J14" s="19"/>
      <c r="K14" s="2"/>
      <c r="L14" s="2">
        <f t="shared" si="0"/>
        <v>-221.87</v>
      </c>
      <c r="M14" s="2"/>
      <c r="N14" s="19">
        <f t="shared" si="1"/>
        <v>-1</v>
      </c>
      <c r="O14" s="10"/>
      <c r="P14" s="2">
        <f>0</f>
        <v>0</v>
      </c>
      <c r="Q14" s="2"/>
      <c r="R14" s="19"/>
      <c r="S14" s="2"/>
      <c r="T14" s="2">
        <f>--940.67</f>
        <v>940.67</v>
      </c>
      <c r="U14" s="2"/>
      <c r="V14" s="19"/>
      <c r="W14" s="2"/>
      <c r="X14" s="2">
        <f t="shared" si="2"/>
        <v>-940.67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4">IF(D$12=0,0,D16/D$12)</f>
        <v>0</v>
      </c>
      <c r="G16" s="4"/>
      <c r="H16" s="4">
        <f>SUM(OSRRefH16x_0)</f>
        <v>9461.31</v>
      </c>
      <c r="I16" s="4"/>
      <c r="J16" s="13">
        <f t="shared" ref="J16:J18" si="5">IF(H$12=0,0,H16/H$12)</f>
        <v>0.31500288157764628</v>
      </c>
      <c r="K16" s="4"/>
      <c r="L16" s="4">
        <f t="shared" ref="L16:L18" si="6">+D16-H16</f>
        <v>-9461.31</v>
      </c>
      <c r="M16" s="4"/>
      <c r="N16" s="13">
        <f t="shared" ref="N16:N18" si="7">IF(H16=0,0,L16/H16)</f>
        <v>-1</v>
      </c>
      <c r="O16" s="11"/>
      <c r="P16" s="4">
        <f>SUM(OSRRefP16x_0)</f>
        <v>0</v>
      </c>
      <c r="Q16" s="4"/>
      <c r="R16" s="13">
        <f t="shared" ref="R16:R18" si="8">IF(P$12=0,0,P16/P$12)</f>
        <v>0</v>
      </c>
      <c r="S16" s="4"/>
      <c r="T16" s="4">
        <f>SUM(OSRRefT16x_0)</f>
        <v>9795.24</v>
      </c>
      <c r="U16" s="4"/>
      <c r="V16" s="13">
        <f t="shared" ref="V16:V18" si="9">IF(T$12=0,0,T16/T$12)</f>
        <v>4.6404886667783446E-2</v>
      </c>
      <c r="W16" s="4"/>
      <c r="X16" s="4">
        <f t="shared" ref="X16:X18" si="10">+P16-T16</f>
        <v>-9795.24</v>
      </c>
      <c r="Y16" s="4"/>
      <c r="Z16" s="13">
        <f t="shared" ref="Z16:Z18" si="11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4"/>
        <v>0</v>
      </c>
      <c r="G17" s="2"/>
      <c r="H17" s="2">
        <v>39.31</v>
      </c>
      <c r="I17" s="2"/>
      <c r="J17" s="19">
        <f t="shared" si="5"/>
        <v>1.3087789402120083E-3</v>
      </c>
      <c r="K17" s="2"/>
      <c r="L17" s="2">
        <f t="shared" si="6"/>
        <v>-39.31</v>
      </c>
      <c r="M17" s="2"/>
      <c r="N17" s="19">
        <f t="shared" si="7"/>
        <v>-1</v>
      </c>
      <c r="O17" s="10"/>
      <c r="P17" s="2"/>
      <c r="Q17" s="2"/>
      <c r="R17" s="19">
        <f t="shared" si="8"/>
        <v>0</v>
      </c>
      <c r="S17" s="2"/>
      <c r="T17" s="2">
        <v>373.24</v>
      </c>
      <c r="U17" s="2"/>
      <c r="V17" s="19">
        <f t="shared" si="9"/>
        <v>1.7682221058272687E-3</v>
      </c>
      <c r="W17" s="2"/>
      <c r="X17" s="2">
        <f t="shared" si="10"/>
        <v>-373.24</v>
      </c>
      <c r="Y17" s="2"/>
      <c r="Z17" s="19">
        <f t="shared" si="11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4"/>
        <v>0</v>
      </c>
      <c r="G18" s="2"/>
      <c r="H18" s="2">
        <v>9422</v>
      </c>
      <c r="I18" s="2"/>
      <c r="J18" s="19">
        <f t="shared" si="5"/>
        <v>0.3136941026374343</v>
      </c>
      <c r="K18" s="2"/>
      <c r="L18" s="2">
        <f t="shared" si="6"/>
        <v>-9422</v>
      </c>
      <c r="M18" s="2"/>
      <c r="N18" s="19">
        <f t="shared" si="7"/>
        <v>-1</v>
      </c>
      <c r="O18" s="10"/>
      <c r="P18" s="2"/>
      <c r="Q18" s="2"/>
      <c r="R18" s="19">
        <f t="shared" si="8"/>
        <v>0</v>
      </c>
      <c r="S18" s="2"/>
      <c r="T18" s="2">
        <v>9422</v>
      </c>
      <c r="U18" s="2"/>
      <c r="V18" s="19">
        <f t="shared" si="9"/>
        <v>4.4636664561956182E-2</v>
      </c>
      <c r="W18" s="2"/>
      <c r="X18" s="2">
        <f t="shared" si="10"/>
        <v>-9422</v>
      </c>
      <c r="Y18" s="2"/>
      <c r="Z18" s="19">
        <f t="shared" si="11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51782.31</v>
      </c>
      <c r="E20" s="14"/>
      <c r="F20" s="20">
        <f>IF(D$12=0,0,D20/D$12)</f>
        <v>1</v>
      </c>
      <c r="G20" s="14"/>
      <c r="H20" s="22">
        <f>H12-H16</f>
        <v>20574.32</v>
      </c>
      <c r="I20" s="14"/>
      <c r="J20" s="20">
        <f>IF(H$12=0,0,H20/H$12)</f>
        <v>0.68499711842235378</v>
      </c>
      <c r="K20" s="15"/>
      <c r="L20" s="22">
        <f>+D20-H20</f>
        <v>31207.989999999998</v>
      </c>
      <c r="M20" s="15"/>
      <c r="N20" s="20">
        <f>IF(H20=0,0,L20/H20)</f>
        <v>1.5168418688928722</v>
      </c>
      <c r="O20" s="28"/>
      <c r="P20" s="22">
        <f>P12-P16</f>
        <v>331940.11</v>
      </c>
      <c r="Q20" s="14"/>
      <c r="R20" s="20">
        <f>IF(P$12=0,0,P20/P$12)</f>
        <v>1</v>
      </c>
      <c r="S20" s="14"/>
      <c r="T20" s="22">
        <f>T12-T16</f>
        <v>201286.84000000003</v>
      </c>
      <c r="U20" s="14"/>
      <c r="V20" s="20">
        <f>IF(T$12=0,0,T20/T$12)</f>
        <v>0.95359511333221658</v>
      </c>
      <c r="W20" s="15"/>
      <c r="X20" s="22">
        <f>+P20-T20</f>
        <v>130653.26999999996</v>
      </c>
      <c r="Y20" s="15"/>
      <c r="Z20" s="20">
        <f>IF(T20=0,0,X20/T20)</f>
        <v>0.64908997528104639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341.22</v>
      </c>
      <c r="E22" s="21"/>
      <c r="F22" s="31">
        <f t="shared" ref="F22:F31" si="12">IF(D$12=0,0,D22/D$12)</f>
        <v>6.5895090427599704E-3</v>
      </c>
      <c r="G22" s="21"/>
      <c r="H22" s="21">
        <f>SUM(OSRRefH22x_0)</f>
        <v>46112.069999999992</v>
      </c>
      <c r="I22" s="21"/>
      <c r="J22" s="31">
        <f t="shared" ref="J22:J31" si="13">IF(H$12=0,0,H22/H$12)</f>
        <v>1.5352456399283116</v>
      </c>
      <c r="K22" s="4"/>
      <c r="L22" s="21">
        <f t="shared" ref="L22:L31" si="14">+D22-H22</f>
        <v>-45770.849999999991</v>
      </c>
      <c r="M22" s="4"/>
      <c r="N22" s="31">
        <f t="shared" ref="N22:N31" si="15">IF(H22=0,0,L22/H22)</f>
        <v>-0.99260020207290622</v>
      </c>
      <c r="O22" s="11"/>
      <c r="P22" s="21">
        <f>SUM(OSRRefP22x_0)</f>
        <v>349.08000000000004</v>
      </c>
      <c r="Q22" s="21"/>
      <c r="R22" s="31">
        <f t="shared" ref="R22:R31" si="16">IF(P$12=0,0,P22/P$12)</f>
        <v>1.051635489305586E-3</v>
      </c>
      <c r="S22" s="21"/>
      <c r="T22" s="21">
        <f>SUM(OSRRefT22x_0)</f>
        <v>229416.58999999997</v>
      </c>
      <c r="U22" s="21"/>
      <c r="V22" s="31">
        <f t="shared" ref="V22:V31" si="17">IF(T$12=0,0,T22/T$12)</f>
        <v>1.0868596235170696</v>
      </c>
      <c r="W22" s="4"/>
      <c r="X22" s="21">
        <f t="shared" ref="X22:X31" si="18">+P22-T22</f>
        <v>-229067.50999999998</v>
      </c>
      <c r="Y22" s="4"/>
      <c r="Z22" s="31">
        <f t="shared" ref="Z22:Z31" si="19">IF(T22=0,0,X22/T22)</f>
        <v>-0.99847840123506326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2"/>
        <v>0</v>
      </c>
      <c r="G23" s="1"/>
      <c r="H23" s="1">
        <f>SUM(OSRRefH22_0x_0)</f>
        <v>15929.92</v>
      </c>
      <c r="I23" s="1"/>
      <c r="J23" s="5">
        <f t="shared" si="13"/>
        <v>0.53036743361134764</v>
      </c>
      <c r="K23" s="1"/>
      <c r="L23" s="1">
        <f t="shared" si="14"/>
        <v>-15929.92</v>
      </c>
      <c r="M23" s="1"/>
      <c r="N23" s="5">
        <f t="shared" si="15"/>
        <v>-1</v>
      </c>
      <c r="O23" s="12"/>
      <c r="P23" s="1">
        <f>SUM(OSRRefP22_0x_0)</f>
        <v>7.86</v>
      </c>
      <c r="Q23" s="1"/>
      <c r="R23" s="5">
        <f t="shared" si="16"/>
        <v>2.3678970281717388E-5</v>
      </c>
      <c r="S23" s="1"/>
      <c r="T23" s="1">
        <f>SUM(OSRRefT22_0x_0)</f>
        <v>64105.670000000006</v>
      </c>
      <c r="U23" s="1"/>
      <c r="V23" s="5">
        <f t="shared" si="17"/>
        <v>0.30370020041492862</v>
      </c>
      <c r="W23" s="1"/>
      <c r="X23" s="1">
        <f t="shared" si="18"/>
        <v>-64097.810000000005</v>
      </c>
      <c r="Y23" s="1"/>
      <c r="Z23" s="5">
        <f t="shared" si="19"/>
        <v>-0.99987738994070263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2"/>
        <v>0</v>
      </c>
      <c r="G24" s="2"/>
      <c r="H24" s="6">
        <v>4432.04</v>
      </c>
      <c r="I24" s="2"/>
      <c r="J24" s="7">
        <f t="shared" si="13"/>
        <v>0.14755941526780028</v>
      </c>
      <c r="K24" s="2"/>
      <c r="L24" s="6">
        <f t="shared" si="14"/>
        <v>-4432.04</v>
      </c>
      <c r="M24" s="2"/>
      <c r="N24" s="7">
        <f t="shared" si="15"/>
        <v>-1</v>
      </c>
      <c r="O24" s="10"/>
      <c r="P24" s="6">
        <v>7.86</v>
      </c>
      <c r="Q24" s="2"/>
      <c r="R24" s="7">
        <f t="shared" si="16"/>
        <v>2.3678970281717388E-5</v>
      </c>
      <c r="S24" s="2"/>
      <c r="T24" s="6">
        <v>14309.01</v>
      </c>
      <c r="U24" s="2"/>
      <c r="V24" s="7">
        <f t="shared" si="17"/>
        <v>6.7788843088906453E-2</v>
      </c>
      <c r="W24" s="2"/>
      <c r="X24" s="6">
        <f t="shared" si="18"/>
        <v>-14301.15</v>
      </c>
      <c r="Y24" s="2"/>
      <c r="Z24" s="7">
        <f t="shared" si="19"/>
        <v>-0.99945069575043977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2"/>
        <v>0</v>
      </c>
      <c r="G25" s="2"/>
      <c r="H25" s="6">
        <v>2172.0100000000002</v>
      </c>
      <c r="I25" s="2"/>
      <c r="J25" s="7">
        <f t="shared" si="13"/>
        <v>7.23144478740749E-2</v>
      </c>
      <c r="K25" s="2"/>
      <c r="L25" s="6">
        <f t="shared" si="14"/>
        <v>-2172.0100000000002</v>
      </c>
      <c r="M25" s="2"/>
      <c r="N25" s="7">
        <f t="shared" si="15"/>
        <v>-1</v>
      </c>
      <c r="O25" s="10"/>
      <c r="P25" s="6"/>
      <c r="Q25" s="2"/>
      <c r="R25" s="7">
        <f t="shared" si="16"/>
        <v>0</v>
      </c>
      <c r="S25" s="2"/>
      <c r="T25" s="6">
        <v>8030.89</v>
      </c>
      <c r="U25" s="2"/>
      <c r="V25" s="7">
        <f t="shared" si="17"/>
        <v>3.8046289860323525E-2</v>
      </c>
      <c r="W25" s="2"/>
      <c r="X25" s="6">
        <f t="shared" si="18"/>
        <v>-8030.89</v>
      </c>
      <c r="Y25" s="2"/>
      <c r="Z25" s="7">
        <f t="shared" si="19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2"/>
        <v>0</v>
      </c>
      <c r="G26" s="2"/>
      <c r="H26" s="6">
        <v>6412.74</v>
      </c>
      <c r="I26" s="2"/>
      <c r="J26" s="7">
        <f t="shared" si="13"/>
        <v>0.2135044279077882</v>
      </c>
      <c r="K26" s="2"/>
      <c r="L26" s="6">
        <f t="shared" si="14"/>
        <v>-6412.74</v>
      </c>
      <c r="M26" s="2"/>
      <c r="N26" s="7">
        <f t="shared" si="15"/>
        <v>-1</v>
      </c>
      <c r="O26" s="10"/>
      <c r="P26" s="6"/>
      <c r="Q26" s="2"/>
      <c r="R26" s="7">
        <f t="shared" si="16"/>
        <v>0</v>
      </c>
      <c r="S26" s="2"/>
      <c r="T26" s="6">
        <v>19739.060000000001</v>
      </c>
      <c r="U26" s="2"/>
      <c r="V26" s="7">
        <f t="shared" si="17"/>
        <v>9.3513670132490637E-2</v>
      </c>
      <c r="W26" s="2"/>
      <c r="X26" s="6">
        <f t="shared" si="18"/>
        <v>-19739.060000000001</v>
      </c>
      <c r="Y26" s="2"/>
      <c r="Z26" s="7">
        <f t="shared" si="19"/>
        <v>-1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2"/>
        <v>0</v>
      </c>
      <c r="G27" s="2"/>
      <c r="H27" s="6">
        <v>145.55000000000001</v>
      </c>
      <c r="I27" s="2"/>
      <c r="J27" s="7">
        <f t="shared" si="13"/>
        <v>4.8459113392993599E-3</v>
      </c>
      <c r="K27" s="2"/>
      <c r="L27" s="6">
        <f t="shared" si="14"/>
        <v>-145.55000000000001</v>
      </c>
      <c r="M27" s="2"/>
      <c r="N27" s="7">
        <f t="shared" si="15"/>
        <v>-1</v>
      </c>
      <c r="O27" s="10"/>
      <c r="P27" s="6"/>
      <c r="Q27" s="2"/>
      <c r="R27" s="7">
        <f t="shared" si="16"/>
        <v>0</v>
      </c>
      <c r="S27" s="2"/>
      <c r="T27" s="6">
        <v>538.16</v>
      </c>
      <c r="U27" s="2"/>
      <c r="V27" s="7">
        <f t="shared" si="17"/>
        <v>2.5495295479369918E-3</v>
      </c>
      <c r="W27" s="2"/>
      <c r="X27" s="6">
        <f t="shared" si="18"/>
        <v>-538.16</v>
      </c>
      <c r="Y27" s="2"/>
      <c r="Z27" s="7">
        <f t="shared" si="19"/>
        <v>-1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2"/>
        <v>0</v>
      </c>
      <c r="G28" s="2"/>
      <c r="H28" s="6">
        <v>1175.97</v>
      </c>
      <c r="I28" s="2"/>
      <c r="J28" s="7">
        <f t="shared" si="13"/>
        <v>3.9152499880974703E-2</v>
      </c>
      <c r="K28" s="2"/>
      <c r="L28" s="6">
        <f t="shared" si="14"/>
        <v>-1175.97</v>
      </c>
      <c r="M28" s="2"/>
      <c r="N28" s="7">
        <f t="shared" si="15"/>
        <v>-1</v>
      </c>
      <c r="O28" s="10"/>
      <c r="P28" s="6"/>
      <c r="Q28" s="2"/>
      <c r="R28" s="7">
        <f t="shared" si="16"/>
        <v>0</v>
      </c>
      <c r="S28" s="2"/>
      <c r="T28" s="6">
        <v>8512.89</v>
      </c>
      <c r="U28" s="2"/>
      <c r="V28" s="7">
        <f t="shared" si="17"/>
        <v>4.0329761768502559E-2</v>
      </c>
      <c r="W28" s="2"/>
      <c r="X28" s="6">
        <f t="shared" si="18"/>
        <v>-8512.89</v>
      </c>
      <c r="Y28" s="2"/>
      <c r="Z28" s="7">
        <f t="shared" si="19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2"/>
        <v>0</v>
      </c>
      <c r="G29" s="2"/>
      <c r="H29" s="6">
        <v>831.54</v>
      </c>
      <c r="I29" s="2"/>
      <c r="J29" s="7">
        <f t="shared" si="13"/>
        <v>2.7685119306636818E-2</v>
      </c>
      <c r="K29" s="2"/>
      <c r="L29" s="6">
        <f t="shared" si="14"/>
        <v>-831.54</v>
      </c>
      <c r="M29" s="2"/>
      <c r="N29" s="7">
        <f t="shared" si="15"/>
        <v>-1</v>
      </c>
      <c r="O29" s="10"/>
      <c r="P29" s="6"/>
      <c r="Q29" s="2"/>
      <c r="R29" s="7">
        <f t="shared" si="16"/>
        <v>0</v>
      </c>
      <c r="S29" s="2"/>
      <c r="T29" s="6">
        <v>6534.07</v>
      </c>
      <c r="U29" s="2"/>
      <c r="V29" s="7">
        <f t="shared" si="17"/>
        <v>3.0955114711774676E-2</v>
      </c>
      <c r="W29" s="2"/>
      <c r="X29" s="6">
        <f t="shared" si="18"/>
        <v>-6534.07</v>
      </c>
      <c r="Y29" s="2"/>
      <c r="Z29" s="7">
        <f t="shared" si="19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2"/>
        <v>0</v>
      </c>
      <c r="G30" s="2"/>
      <c r="H30" s="6">
        <v>645.04</v>
      </c>
      <c r="I30" s="2"/>
      <c r="J30" s="7">
        <f t="shared" si="13"/>
        <v>2.1475827209217854E-2</v>
      </c>
      <c r="K30" s="2"/>
      <c r="L30" s="6">
        <f t="shared" si="14"/>
        <v>-645.04</v>
      </c>
      <c r="M30" s="2"/>
      <c r="N30" s="7">
        <f t="shared" si="15"/>
        <v>-1</v>
      </c>
      <c r="O30" s="10"/>
      <c r="P30" s="6"/>
      <c r="Q30" s="2"/>
      <c r="R30" s="7">
        <f t="shared" si="16"/>
        <v>0</v>
      </c>
      <c r="S30" s="2"/>
      <c r="T30" s="6">
        <v>5338.41</v>
      </c>
      <c r="U30" s="2"/>
      <c r="V30" s="7">
        <f t="shared" si="17"/>
        <v>2.5290683131415036E-2</v>
      </c>
      <c r="W30" s="2"/>
      <c r="X30" s="6">
        <f t="shared" si="18"/>
        <v>-5338.41</v>
      </c>
      <c r="Y30" s="2"/>
      <c r="Z30" s="7">
        <f t="shared" si="19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2"/>
        <v>0</v>
      </c>
      <c r="G31" s="2"/>
      <c r="H31" s="6">
        <v>115.03</v>
      </c>
      <c r="I31" s="2"/>
      <c r="J31" s="7">
        <f t="shared" si="13"/>
        <v>3.8297848255555156E-3</v>
      </c>
      <c r="K31" s="2"/>
      <c r="L31" s="6">
        <f t="shared" si="14"/>
        <v>-115.03</v>
      </c>
      <c r="M31" s="2"/>
      <c r="N31" s="7">
        <f t="shared" si="15"/>
        <v>-1</v>
      </c>
      <c r="O31" s="10"/>
      <c r="P31" s="6"/>
      <c r="Q31" s="2"/>
      <c r="R31" s="7">
        <f t="shared" si="16"/>
        <v>0</v>
      </c>
      <c r="S31" s="2"/>
      <c r="T31" s="6">
        <v>1103.18</v>
      </c>
      <c r="U31" s="2"/>
      <c r="V31" s="7">
        <f t="shared" si="17"/>
        <v>5.2263081735787328E-3</v>
      </c>
      <c r="W31" s="2"/>
      <c r="X31" s="6">
        <f t="shared" si="18"/>
        <v>-1103.18</v>
      </c>
      <c r="Y31" s="2"/>
      <c r="Z31" s="7">
        <f t="shared" si="19"/>
        <v>-1</v>
      </c>
    </row>
    <row r="32" spans="1:26" s="26" customFormat="1" outlineLevel="1" collapsed="1" x14ac:dyDescent="0.25">
      <c r="A32" s="27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0">IF(D$12=0,0,D32/D$12)</f>
        <v>0</v>
      </c>
      <c r="G32" s="1"/>
      <c r="H32" s="1">
        <f>SUM(OSRRefH22_1x_0)</f>
        <v>29887.7</v>
      </c>
      <c r="I32" s="1"/>
      <c r="J32" s="5">
        <f t="shared" ref="J32:J36" si="21">IF(H$12=0,0,H32/H$12)</f>
        <v>0.99507484943715196</v>
      </c>
      <c r="K32" s="1"/>
      <c r="L32" s="1">
        <f t="shared" ref="L32:L36" si="22">+D32-H32</f>
        <v>-29887.7</v>
      </c>
      <c r="M32" s="1"/>
      <c r="N32" s="5">
        <f t="shared" ref="N32:N36" si="23">IF(H32=0,0,L32/H32)</f>
        <v>-1</v>
      </c>
      <c r="O32" s="12"/>
      <c r="P32" s="1">
        <f>SUM(OSRRefP22_1x_0)</f>
        <v>0</v>
      </c>
      <c r="Q32" s="1"/>
      <c r="R32" s="5">
        <f t="shared" ref="R32:R36" si="24">IF(P$12=0,0,P32/P$12)</f>
        <v>0</v>
      </c>
      <c r="S32" s="1"/>
      <c r="T32" s="1">
        <f>SUM(OSRRefT22_1x_0)</f>
        <v>160569.98000000001</v>
      </c>
      <c r="U32" s="1"/>
      <c r="V32" s="5">
        <f t="shared" ref="V32:V36" si="25">IF(T$12=0,0,T32/T$12)</f>
        <v>0.76069925026321517</v>
      </c>
      <c r="W32" s="1"/>
      <c r="X32" s="1">
        <f t="shared" ref="X32:X36" si="26">+P32-T32</f>
        <v>-160569.98000000001</v>
      </c>
      <c r="Y32" s="1"/>
      <c r="Z32" s="5">
        <f t="shared" ref="Z32:Z36" si="27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0"/>
        <v>0</v>
      </c>
      <c r="G33" s="2"/>
      <c r="H33" s="6">
        <v>19894.18</v>
      </c>
      <c r="I33" s="2"/>
      <c r="J33" s="7">
        <f t="shared" si="21"/>
        <v>0.66235267913474771</v>
      </c>
      <c r="K33" s="2"/>
      <c r="L33" s="6">
        <f t="shared" si="22"/>
        <v>-19894.18</v>
      </c>
      <c r="M33" s="2"/>
      <c r="N33" s="7">
        <f t="shared" si="23"/>
        <v>-1</v>
      </c>
      <c r="O33" s="10"/>
      <c r="P33" s="6"/>
      <c r="Q33" s="2"/>
      <c r="R33" s="7">
        <f t="shared" si="24"/>
        <v>0</v>
      </c>
      <c r="S33" s="2"/>
      <c r="T33" s="6">
        <v>113004.92</v>
      </c>
      <c r="U33" s="2"/>
      <c r="V33" s="7">
        <f t="shared" si="25"/>
        <v>0.53536008362244669</v>
      </c>
      <c r="W33" s="2"/>
      <c r="X33" s="6">
        <f t="shared" si="26"/>
        <v>-113004.92</v>
      </c>
      <c r="Y33" s="2"/>
      <c r="Z33" s="7">
        <f t="shared" si="27"/>
        <v>-1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0"/>
        <v>0</v>
      </c>
      <c r="G34" s="2"/>
      <c r="H34" s="6">
        <v>4438.0200000000004</v>
      </c>
      <c r="I34" s="2"/>
      <c r="J34" s="7">
        <f t="shared" si="21"/>
        <v>0.14775851214041461</v>
      </c>
      <c r="K34" s="2"/>
      <c r="L34" s="6">
        <f t="shared" si="22"/>
        <v>-4438.0200000000004</v>
      </c>
      <c r="M34" s="2"/>
      <c r="N34" s="7">
        <f t="shared" si="23"/>
        <v>-1</v>
      </c>
      <c r="O34" s="10"/>
      <c r="P34" s="6"/>
      <c r="Q34" s="2"/>
      <c r="R34" s="7">
        <f t="shared" si="24"/>
        <v>0</v>
      </c>
      <c r="S34" s="2"/>
      <c r="T34" s="6">
        <v>18036.650000000001</v>
      </c>
      <c r="U34" s="2"/>
      <c r="V34" s="7">
        <f t="shared" si="25"/>
        <v>8.5448513677712487E-2</v>
      </c>
      <c r="W34" s="2"/>
      <c r="X34" s="6">
        <f t="shared" si="26"/>
        <v>-18036.650000000001</v>
      </c>
      <c r="Y34" s="2"/>
      <c r="Z34" s="7">
        <f t="shared" si="27"/>
        <v>-1</v>
      </c>
    </row>
    <row r="35" spans="1:26" s="23" customFormat="1" hidden="1" outlineLevel="2" x14ac:dyDescent="0.25">
      <c r="A35" s="25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20"/>
        <v>0</v>
      </c>
      <c r="G35" s="2"/>
      <c r="H35" s="6">
        <v>5555.5</v>
      </c>
      <c r="I35" s="2"/>
      <c r="J35" s="7">
        <f t="shared" si="21"/>
        <v>0.18496365816198962</v>
      </c>
      <c r="K35" s="2"/>
      <c r="L35" s="6">
        <f t="shared" si="22"/>
        <v>-5555.5</v>
      </c>
      <c r="M35" s="2"/>
      <c r="N35" s="7">
        <f t="shared" si="23"/>
        <v>-1</v>
      </c>
      <c r="O35" s="10"/>
      <c r="P35" s="6"/>
      <c r="Q35" s="2"/>
      <c r="R35" s="7">
        <f t="shared" si="24"/>
        <v>0</v>
      </c>
      <c r="S35" s="2"/>
      <c r="T35" s="6">
        <v>25720.959999999999</v>
      </c>
      <c r="U35" s="2"/>
      <c r="V35" s="7">
        <f t="shared" si="25"/>
        <v>0.12185288301119639</v>
      </c>
      <c r="W35" s="2"/>
      <c r="X35" s="6">
        <f t="shared" si="26"/>
        <v>-25720.959999999999</v>
      </c>
      <c r="Y35" s="2"/>
      <c r="Z35" s="7">
        <f t="shared" si="27"/>
        <v>-1</v>
      </c>
    </row>
    <row r="36" spans="1:26" s="23" customFormat="1" hidden="1" outlineLevel="2" x14ac:dyDescent="0.25">
      <c r="A36" s="25"/>
      <c r="B36" s="10" t="str">
        <f>CONCATENATE("          ", "6008", " - ", "STUDENT HOURLY-FICA EXEMPT")</f>
        <v xml:space="preserve">          6008 - STUDENT HOURLY-FICA EXEMPT</v>
      </c>
      <c r="C36" s="10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0"/>
      <c r="P36" s="6"/>
      <c r="Q36" s="2"/>
      <c r="R36" s="7">
        <f t="shared" si="24"/>
        <v>0</v>
      </c>
      <c r="S36" s="2"/>
      <c r="T36" s="6">
        <v>3807.45</v>
      </c>
      <c r="U36" s="2"/>
      <c r="V36" s="7">
        <f t="shared" si="25"/>
        <v>1.8037769951859482E-2</v>
      </c>
      <c r="W36" s="2"/>
      <c r="X36" s="6">
        <f t="shared" si="26"/>
        <v>-3807.45</v>
      </c>
      <c r="Y36" s="2"/>
      <c r="Z36" s="7">
        <f t="shared" si="27"/>
        <v>-1</v>
      </c>
    </row>
    <row r="37" spans="1:26" s="26" customFormat="1" outlineLevel="1" collapsed="1" x14ac:dyDescent="0.25">
      <c r="A37" s="27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7" si="28">IF(D$12=0,0,D37/D$12)</f>
        <v>0</v>
      </c>
      <c r="G37" s="1"/>
      <c r="H37" s="1">
        <f>SUM(OSRRefH22_2x_0)</f>
        <v>0</v>
      </c>
      <c r="I37" s="1"/>
      <c r="J37" s="5">
        <f t="shared" ref="J37:J47" si="29">IF(H$12=0,0,H37/H$12)</f>
        <v>0</v>
      </c>
      <c r="K37" s="1"/>
      <c r="L37" s="1">
        <f t="shared" ref="L37:L47" si="30">+D37-H37</f>
        <v>0</v>
      </c>
      <c r="M37" s="1"/>
      <c r="N37" s="5">
        <f t="shared" ref="N37:N47" si="31">IF(H37=0,0,L37/H37)</f>
        <v>0</v>
      </c>
      <c r="O37" s="12"/>
      <c r="P37" s="1">
        <f>SUM(OSRRefP22_2x_0)</f>
        <v>0</v>
      </c>
      <c r="Q37" s="1"/>
      <c r="R37" s="5">
        <f t="shared" ref="R37:R47" si="32">IF(P$12=0,0,P37/P$12)</f>
        <v>0</v>
      </c>
      <c r="S37" s="1"/>
      <c r="T37" s="1">
        <f>SUM(OSRRefT22_2x_0)</f>
        <v>500</v>
      </c>
      <c r="U37" s="1"/>
      <c r="V37" s="5">
        <f t="shared" ref="V37:V47" si="33">IF(T$12=0,0,T37/T$12)</f>
        <v>2.3687467927168424E-3</v>
      </c>
      <c r="W37" s="1"/>
      <c r="X37" s="1">
        <f t="shared" ref="X37:X47" si="34">+P37-T37</f>
        <v>-500</v>
      </c>
      <c r="Y37" s="1"/>
      <c r="Z37" s="5">
        <f t="shared" ref="Z37:Z47" si="35">IF(T37=0,0,X37/T37)</f>
        <v>-1</v>
      </c>
    </row>
    <row r="38" spans="1:26" s="23" customFormat="1" hidden="1" outlineLevel="2" x14ac:dyDescent="0.25">
      <c r="A38" s="25"/>
      <c r="B38" s="10" t="str">
        <f>CONCATENATE("          ", "6362", " - ", "ADVERTISING EXPENSE")</f>
        <v xml:space="preserve">          6362 - ADVERTISING EXPENSE</v>
      </c>
      <c r="C38" s="10"/>
      <c r="D38" s="6"/>
      <c r="E38" s="2"/>
      <c r="F38" s="7">
        <f t="shared" si="28"/>
        <v>0</v>
      </c>
      <c r="G38" s="2"/>
      <c r="H38" s="6"/>
      <c r="I38" s="2"/>
      <c r="J38" s="7">
        <f t="shared" si="29"/>
        <v>0</v>
      </c>
      <c r="K38" s="2"/>
      <c r="L38" s="6">
        <f t="shared" si="30"/>
        <v>0</v>
      </c>
      <c r="M38" s="2"/>
      <c r="N38" s="7">
        <f t="shared" si="31"/>
        <v>0</v>
      </c>
      <c r="O38" s="10"/>
      <c r="P38" s="6"/>
      <c r="Q38" s="2"/>
      <c r="R38" s="7">
        <f t="shared" si="32"/>
        <v>0</v>
      </c>
      <c r="S38" s="2"/>
      <c r="T38" s="6">
        <v>500</v>
      </c>
      <c r="U38" s="2"/>
      <c r="V38" s="7">
        <f t="shared" si="33"/>
        <v>2.3687467927168424E-3</v>
      </c>
      <c r="W38" s="2"/>
      <c r="X38" s="6">
        <f t="shared" si="34"/>
        <v>-500</v>
      </c>
      <c r="Y38" s="2"/>
      <c r="Z38" s="7">
        <f t="shared" si="35"/>
        <v>-1</v>
      </c>
    </row>
    <row r="39" spans="1:26" s="26" customFormat="1" outlineLevel="1" collapsed="1" x14ac:dyDescent="0.25">
      <c r="A39" s="27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28"/>
        <v>0</v>
      </c>
      <c r="G39" s="1"/>
      <c r="H39" s="1">
        <f>SUM(OSRRefH22_3x_0)</f>
        <v>-1.98</v>
      </c>
      <c r="I39" s="1"/>
      <c r="J39" s="5">
        <f t="shared" si="29"/>
        <v>-6.5921706986002965E-5</v>
      </c>
      <c r="K39" s="1"/>
      <c r="L39" s="1">
        <f t="shared" si="30"/>
        <v>1.98</v>
      </c>
      <c r="M39" s="1"/>
      <c r="N39" s="5">
        <f t="shared" si="31"/>
        <v>-1</v>
      </c>
      <c r="O39" s="12"/>
      <c r="P39" s="1">
        <f>SUM(OSRRefP22_3x_0)</f>
        <v>0</v>
      </c>
      <c r="Q39" s="1"/>
      <c r="R39" s="5">
        <f t="shared" si="32"/>
        <v>0</v>
      </c>
      <c r="S39" s="1"/>
      <c r="T39" s="1">
        <f>SUM(OSRRefT22_3x_0)</f>
        <v>-1.98</v>
      </c>
      <c r="U39" s="1"/>
      <c r="V39" s="5">
        <f t="shared" si="33"/>
        <v>-9.3802372991586962E-6</v>
      </c>
      <c r="W39" s="1"/>
      <c r="X39" s="1">
        <f t="shared" si="34"/>
        <v>1.98</v>
      </c>
      <c r="Y39" s="1"/>
      <c r="Z39" s="5">
        <f t="shared" si="35"/>
        <v>-1</v>
      </c>
    </row>
    <row r="40" spans="1:26" s="23" customFormat="1" hidden="1" outlineLevel="2" x14ac:dyDescent="0.25">
      <c r="A40" s="25"/>
      <c r="B40" s="10" t="str">
        <f>CONCATENATE("          ", "6272", " - ", "CASH (OVER/SHORT)")</f>
        <v xml:space="preserve">          6272 - CASH (OVER/SHORT)</v>
      </c>
      <c r="C40" s="10"/>
      <c r="D40" s="6"/>
      <c r="E40" s="2"/>
      <c r="F40" s="7">
        <f t="shared" si="28"/>
        <v>0</v>
      </c>
      <c r="G40" s="2"/>
      <c r="H40" s="6">
        <v>-1.98</v>
      </c>
      <c r="I40" s="2"/>
      <c r="J40" s="7">
        <f t="shared" si="29"/>
        <v>-6.5921706986002965E-5</v>
      </c>
      <c r="K40" s="2"/>
      <c r="L40" s="6">
        <f t="shared" si="30"/>
        <v>1.98</v>
      </c>
      <c r="M40" s="2"/>
      <c r="N40" s="7">
        <f t="shared" si="31"/>
        <v>-1</v>
      </c>
      <c r="O40" s="10"/>
      <c r="P40" s="6"/>
      <c r="Q40" s="2"/>
      <c r="R40" s="7">
        <f t="shared" si="32"/>
        <v>0</v>
      </c>
      <c r="S40" s="2"/>
      <c r="T40" s="6">
        <v>-1.98</v>
      </c>
      <c r="U40" s="2"/>
      <c r="V40" s="7">
        <f t="shared" si="33"/>
        <v>-9.3802372991586962E-6</v>
      </c>
      <c r="W40" s="2"/>
      <c r="X40" s="6">
        <f t="shared" si="34"/>
        <v>1.98</v>
      </c>
      <c r="Y40" s="2"/>
      <c r="Z40" s="7">
        <f t="shared" si="35"/>
        <v>-1</v>
      </c>
    </row>
    <row r="41" spans="1:26" s="26" customFormat="1" outlineLevel="1" collapsed="1" x14ac:dyDescent="0.25">
      <c r="A41" s="27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28"/>
        <v>0</v>
      </c>
      <c r="G41" s="1"/>
      <c r="H41" s="1">
        <f>SUM(OSRRefH22_4x_0)</f>
        <v>296.43</v>
      </c>
      <c r="I41" s="1"/>
      <c r="J41" s="5">
        <f t="shared" si="29"/>
        <v>9.8692785867984141E-3</v>
      </c>
      <c r="K41" s="1"/>
      <c r="L41" s="1">
        <f t="shared" si="30"/>
        <v>-296.43</v>
      </c>
      <c r="M41" s="1"/>
      <c r="N41" s="5">
        <f t="shared" si="31"/>
        <v>-1</v>
      </c>
      <c r="O41" s="12"/>
      <c r="P41" s="1">
        <f>SUM(OSRRefP22_4x_0)</f>
        <v>0</v>
      </c>
      <c r="Q41" s="1"/>
      <c r="R41" s="5">
        <f t="shared" si="32"/>
        <v>0</v>
      </c>
      <c r="S41" s="1"/>
      <c r="T41" s="1">
        <f>SUM(OSRRefT22_4x_0)</f>
        <v>685.09</v>
      </c>
      <c r="U41" s="1"/>
      <c r="V41" s="5">
        <f t="shared" si="33"/>
        <v>3.2456094804447634E-3</v>
      </c>
      <c r="W41" s="1"/>
      <c r="X41" s="1">
        <f t="shared" si="34"/>
        <v>-685.09</v>
      </c>
      <c r="Y41" s="1"/>
      <c r="Z41" s="5">
        <f t="shared" si="35"/>
        <v>-1</v>
      </c>
    </row>
    <row r="42" spans="1:26" s="23" customFormat="1" hidden="1" outlineLevel="2" x14ac:dyDescent="0.25">
      <c r="A42" s="25"/>
      <c r="B42" s="10" t="str">
        <f>CONCATENATE("          ", "6381", " - ", "BANK/CREDIT CARD FEES")</f>
        <v xml:space="preserve">          6381 - BANK/CREDIT CARD FEES</v>
      </c>
      <c r="C42" s="10"/>
      <c r="D42" s="6"/>
      <c r="E42" s="2"/>
      <c r="F42" s="7">
        <f t="shared" si="28"/>
        <v>0</v>
      </c>
      <c r="G42" s="2"/>
      <c r="H42" s="6">
        <v>296.43</v>
      </c>
      <c r="I42" s="2"/>
      <c r="J42" s="7">
        <f t="shared" si="29"/>
        <v>9.8692785867984141E-3</v>
      </c>
      <c r="K42" s="2"/>
      <c r="L42" s="6">
        <f t="shared" si="30"/>
        <v>-296.43</v>
      </c>
      <c r="M42" s="2"/>
      <c r="N42" s="7">
        <f t="shared" si="31"/>
        <v>-1</v>
      </c>
      <c r="O42" s="10"/>
      <c r="P42" s="6"/>
      <c r="Q42" s="2"/>
      <c r="R42" s="7">
        <f t="shared" si="32"/>
        <v>0</v>
      </c>
      <c r="S42" s="2"/>
      <c r="T42" s="6">
        <v>685.09</v>
      </c>
      <c r="U42" s="2"/>
      <c r="V42" s="7">
        <f t="shared" si="33"/>
        <v>3.2456094804447634E-3</v>
      </c>
      <c r="W42" s="2"/>
      <c r="X42" s="6">
        <f t="shared" si="34"/>
        <v>-685.09</v>
      </c>
      <c r="Y42" s="2"/>
      <c r="Z42" s="7">
        <f t="shared" si="35"/>
        <v>-1</v>
      </c>
    </row>
    <row r="43" spans="1:26" s="26" customFormat="1" outlineLevel="1" collapsed="1" x14ac:dyDescent="0.25">
      <c r="A43" s="27"/>
      <c r="B43" s="12" t="str">
        <f>CONCATENATE("     ","Repair and Maintenance                            ")</f>
        <v xml:space="preserve">     Repair and Maintenance                            </v>
      </c>
      <c r="C43" s="12"/>
      <c r="D43" s="1">
        <f>SUM(OSRRefD22_5x_0)</f>
        <v>341.22</v>
      </c>
      <c r="E43" s="1"/>
      <c r="F43" s="5">
        <f t="shared" si="28"/>
        <v>6.5895090427599704E-3</v>
      </c>
      <c r="G43" s="1"/>
      <c r="H43" s="1">
        <f>SUM(OSRRefH22_5x_0)</f>
        <v>0</v>
      </c>
      <c r="I43" s="1"/>
      <c r="J43" s="5">
        <f t="shared" si="29"/>
        <v>0</v>
      </c>
      <c r="K43" s="1"/>
      <c r="L43" s="1">
        <f t="shared" si="30"/>
        <v>341.22</v>
      </c>
      <c r="M43" s="1"/>
      <c r="N43" s="5">
        <f t="shared" si="31"/>
        <v>0</v>
      </c>
      <c r="O43" s="12"/>
      <c r="P43" s="1">
        <f>SUM(OSRRefP22_5x_0)</f>
        <v>341.22</v>
      </c>
      <c r="Q43" s="1"/>
      <c r="R43" s="5">
        <f t="shared" si="32"/>
        <v>1.0279565190238686E-3</v>
      </c>
      <c r="S43" s="1"/>
      <c r="T43" s="1">
        <f>SUM(OSRRefT22_5x_0)</f>
        <v>1151.21</v>
      </c>
      <c r="U43" s="1"/>
      <c r="V43" s="5">
        <f t="shared" si="33"/>
        <v>5.4538499904871127E-3</v>
      </c>
      <c r="W43" s="1"/>
      <c r="X43" s="1">
        <f t="shared" si="34"/>
        <v>-809.99</v>
      </c>
      <c r="Y43" s="1"/>
      <c r="Z43" s="5">
        <f t="shared" si="35"/>
        <v>-0.70359882210891145</v>
      </c>
    </row>
    <row r="44" spans="1:26" s="23" customFormat="1" hidden="1" outlineLevel="2" x14ac:dyDescent="0.25">
      <c r="A44" s="25"/>
      <c r="B44" s="10" t="str">
        <f>CONCATENATE("          ", "6375", " - ", "OUTSIDE REPAIRS &amp; MAINTENANCE")</f>
        <v xml:space="preserve">          6375 - OUTSIDE REPAIRS &amp; MAINTENANCE</v>
      </c>
      <c r="C44" s="10"/>
      <c r="D44" s="6">
        <v>341.22</v>
      </c>
      <c r="E44" s="2"/>
      <c r="F44" s="7">
        <f t="shared" si="28"/>
        <v>6.5895090427599704E-3</v>
      </c>
      <c r="G44" s="2"/>
      <c r="H44" s="6"/>
      <c r="I44" s="2"/>
      <c r="J44" s="7">
        <f t="shared" si="29"/>
        <v>0</v>
      </c>
      <c r="K44" s="2"/>
      <c r="L44" s="6">
        <f t="shared" si="30"/>
        <v>341.22</v>
      </c>
      <c r="M44" s="2"/>
      <c r="N44" s="7">
        <f t="shared" si="31"/>
        <v>0</v>
      </c>
      <c r="O44" s="10"/>
      <c r="P44" s="6">
        <v>341.22</v>
      </c>
      <c r="Q44" s="2"/>
      <c r="R44" s="7">
        <f t="shared" si="32"/>
        <v>1.0279565190238686E-3</v>
      </c>
      <c r="S44" s="2"/>
      <c r="T44" s="6">
        <v>1151.21</v>
      </c>
      <c r="U44" s="2"/>
      <c r="V44" s="7">
        <f t="shared" si="33"/>
        <v>5.4538499904871127E-3</v>
      </c>
      <c r="W44" s="2"/>
      <c r="X44" s="6">
        <f t="shared" si="34"/>
        <v>-809.99</v>
      </c>
      <c r="Y44" s="2"/>
      <c r="Z44" s="7">
        <f t="shared" si="35"/>
        <v>-0.70359882210891145</v>
      </c>
    </row>
    <row r="45" spans="1:26" s="26" customFormat="1" outlineLevel="1" collapsed="1" x14ac:dyDescent="0.25">
      <c r="A45" s="27"/>
      <c r="B45" s="12" t="str">
        <f>CONCATENATE("     ","Supplies                                          ")</f>
        <v xml:space="preserve">     Supplies                                          </v>
      </c>
      <c r="C45" s="12"/>
      <c r="D45" s="1">
        <f>SUM(OSRRefD22_6x_0)</f>
        <v>0</v>
      </c>
      <c r="E45" s="1"/>
      <c r="F45" s="5">
        <f t="shared" si="28"/>
        <v>0</v>
      </c>
      <c r="G45" s="1"/>
      <c r="H45" s="1">
        <f>SUM(OSRRefH22_6x_0)</f>
        <v>0</v>
      </c>
      <c r="I45" s="1"/>
      <c r="J45" s="5">
        <f t="shared" si="29"/>
        <v>0</v>
      </c>
      <c r="K45" s="1"/>
      <c r="L45" s="1">
        <f t="shared" si="30"/>
        <v>0</v>
      </c>
      <c r="M45" s="1"/>
      <c r="N45" s="5">
        <f t="shared" si="31"/>
        <v>0</v>
      </c>
      <c r="O45" s="12"/>
      <c r="P45" s="1">
        <f>SUM(OSRRefP22_6x_0)</f>
        <v>0</v>
      </c>
      <c r="Q45" s="1"/>
      <c r="R45" s="5">
        <f t="shared" si="32"/>
        <v>0</v>
      </c>
      <c r="S45" s="1"/>
      <c r="T45" s="1">
        <f>SUM(OSRRefT22_6x_0)</f>
        <v>1137.47</v>
      </c>
      <c r="U45" s="1"/>
      <c r="V45" s="5">
        <f t="shared" si="33"/>
        <v>5.388756828623254E-3</v>
      </c>
      <c r="W45" s="1"/>
      <c r="X45" s="1">
        <f t="shared" si="34"/>
        <v>-1137.47</v>
      </c>
      <c r="Y45" s="1"/>
      <c r="Z45" s="5">
        <f t="shared" si="35"/>
        <v>-1</v>
      </c>
    </row>
    <row r="46" spans="1:26" s="23" customFormat="1" hidden="1" outlineLevel="2" x14ac:dyDescent="0.25">
      <c r="A46" s="25"/>
      <c r="B46" s="10" t="str">
        <f>CONCATENATE("          ", "6241", " - ", "OFFICE EXPENSE")</f>
        <v xml:space="preserve">          6241 - OFFICE EXPENSE</v>
      </c>
      <c r="C46" s="10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0"/>
      <c r="P46" s="6"/>
      <c r="Q46" s="2"/>
      <c r="R46" s="7">
        <f t="shared" si="32"/>
        <v>0</v>
      </c>
      <c r="S46" s="2"/>
      <c r="T46" s="6">
        <v>914.08</v>
      </c>
      <c r="U46" s="2"/>
      <c r="V46" s="7">
        <f t="shared" si="33"/>
        <v>4.330448136573223E-3</v>
      </c>
      <c r="W46" s="2"/>
      <c r="X46" s="6">
        <f t="shared" si="34"/>
        <v>-914.08</v>
      </c>
      <c r="Y46" s="2"/>
      <c r="Z46" s="7">
        <f t="shared" si="35"/>
        <v>-1</v>
      </c>
    </row>
    <row r="47" spans="1:26" s="23" customFormat="1" hidden="1" outlineLevel="2" x14ac:dyDescent="0.25">
      <c r="A47" s="25"/>
      <c r="B47" s="10" t="str">
        <f>CONCATENATE("          ", "6247", " - ", "STORE SUPPLIES")</f>
        <v xml:space="preserve">          6247 - STORE SUPPLIES</v>
      </c>
      <c r="C47" s="10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0"/>
      <c r="P47" s="6"/>
      <c r="Q47" s="2"/>
      <c r="R47" s="7">
        <f t="shared" si="32"/>
        <v>0</v>
      </c>
      <c r="S47" s="2"/>
      <c r="T47" s="6">
        <v>223.39</v>
      </c>
      <c r="U47" s="2"/>
      <c r="V47" s="7">
        <f t="shared" si="33"/>
        <v>1.0583086920500308E-3</v>
      </c>
      <c r="W47" s="2"/>
      <c r="X47" s="6">
        <f t="shared" si="34"/>
        <v>-223.39</v>
      </c>
      <c r="Y47" s="2"/>
      <c r="Z47" s="7">
        <f t="shared" si="35"/>
        <v>-1</v>
      </c>
    </row>
    <row r="48" spans="1:26" s="26" customFormat="1" outlineLevel="1" collapsed="1" x14ac:dyDescent="0.25">
      <c r="A48" s="27"/>
      <c r="B48" s="12" t="str">
        <f>CONCATENATE("     ","Travel                                            ")</f>
        <v xml:space="preserve">     Travel                                            </v>
      </c>
      <c r="C48" s="12"/>
      <c r="D48" s="1">
        <f>SUM(OSRRefD22_7x_0)</f>
        <v>0</v>
      </c>
      <c r="E48" s="1"/>
      <c r="F48" s="5">
        <f t="shared" ref="F48:F49" si="36">IF(D$12=0,0,D48/D$12)</f>
        <v>0</v>
      </c>
      <c r="G48" s="1"/>
      <c r="H48" s="1">
        <f>SUM(OSRRefH22_7x_0)</f>
        <v>0</v>
      </c>
      <c r="I48" s="1"/>
      <c r="J48" s="5">
        <f t="shared" ref="J48:J49" si="37">IF(H$12=0,0,H48/H$12)</f>
        <v>0</v>
      </c>
      <c r="K48" s="1"/>
      <c r="L48" s="1">
        <f t="shared" ref="L48:L49" si="38">+D48-H48</f>
        <v>0</v>
      </c>
      <c r="M48" s="1"/>
      <c r="N48" s="5">
        <f t="shared" ref="N48:N49" si="39">IF(H48=0,0,L48/H48)</f>
        <v>0</v>
      </c>
      <c r="O48" s="12"/>
      <c r="P48" s="1">
        <f>SUM(OSRRefP22_7x_0)</f>
        <v>0</v>
      </c>
      <c r="Q48" s="1"/>
      <c r="R48" s="5">
        <f t="shared" ref="R48:R49" si="40">IF(P$12=0,0,P48/P$12)</f>
        <v>0</v>
      </c>
      <c r="S48" s="1"/>
      <c r="T48" s="1">
        <f>SUM(OSRRefT22_7x_0)</f>
        <v>1269.1500000000001</v>
      </c>
      <c r="U48" s="1"/>
      <c r="V48" s="5">
        <f t="shared" ref="V48:V49" si="41">IF(T$12=0,0,T48/T$12)</f>
        <v>6.0125899839531616E-3</v>
      </c>
      <c r="W48" s="1"/>
      <c r="X48" s="1">
        <f t="shared" ref="X48:X49" si="42">+P48-T48</f>
        <v>-1269.1500000000001</v>
      </c>
      <c r="Y48" s="1"/>
      <c r="Z48" s="5">
        <f t="shared" ref="Z48:Z49" si="43">IF(T48=0,0,X48/T48)</f>
        <v>-1</v>
      </c>
    </row>
    <row r="49" spans="1:26" s="23" customFormat="1" hidden="1" outlineLevel="2" x14ac:dyDescent="0.25">
      <c r="A49" s="25"/>
      <c r="B49" s="10" t="str">
        <f>CONCATENATE("          ", "6292", " - ", "TRAVEL/CONFERENCE")</f>
        <v xml:space="preserve">          6292 - TRAVEL/CONFERENCE</v>
      </c>
      <c r="C49" s="10"/>
      <c r="D49" s="6"/>
      <c r="E49" s="2"/>
      <c r="F49" s="7">
        <f t="shared" si="36"/>
        <v>0</v>
      </c>
      <c r="G49" s="2"/>
      <c r="H49" s="6"/>
      <c r="I49" s="2"/>
      <c r="J49" s="7">
        <f t="shared" si="37"/>
        <v>0</v>
      </c>
      <c r="K49" s="2"/>
      <c r="L49" s="6">
        <f t="shared" si="38"/>
        <v>0</v>
      </c>
      <c r="M49" s="2"/>
      <c r="N49" s="7">
        <f t="shared" si="39"/>
        <v>0</v>
      </c>
      <c r="O49" s="10"/>
      <c r="P49" s="6"/>
      <c r="Q49" s="2"/>
      <c r="R49" s="7">
        <f t="shared" si="40"/>
        <v>0</v>
      </c>
      <c r="S49" s="2"/>
      <c r="T49" s="6">
        <v>1269.1500000000001</v>
      </c>
      <c r="U49" s="2"/>
      <c r="V49" s="7">
        <f t="shared" si="41"/>
        <v>6.0125899839531616E-3</v>
      </c>
      <c r="W49" s="2"/>
      <c r="X49" s="6">
        <f t="shared" si="42"/>
        <v>-1269.1500000000001</v>
      </c>
      <c r="Y49" s="2"/>
      <c r="Z49" s="7">
        <f t="shared" si="43"/>
        <v>-1</v>
      </c>
    </row>
    <row r="50" spans="1:26" s="60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4" customFormat="1" x14ac:dyDescent="0.25">
      <c r="A51" s="11"/>
      <c r="B51" s="28" t="s">
        <v>292</v>
      </c>
      <c r="C51" s="11"/>
      <c r="D51" s="4">
        <f>SUM(0)</f>
        <v>0</v>
      </c>
      <c r="E51" s="4"/>
      <c r="F51" s="13">
        <f>IF(D$12=0,0,D51/D$12)</f>
        <v>0</v>
      </c>
      <c r="G51" s="4"/>
      <c r="H51" s="4">
        <f>SUM(0)</f>
        <v>0</v>
      </c>
      <c r="I51" s="4"/>
      <c r="J51" s="13">
        <f>IF(H$12=0,0,H51/H$12)</f>
        <v>0</v>
      </c>
      <c r="K51" s="4"/>
      <c r="L51" s="4">
        <f>+D51-H51</f>
        <v>0</v>
      </c>
      <c r="M51" s="4"/>
      <c r="N51" s="13">
        <f>IF(H51=0,0,L51/H51)</f>
        <v>0</v>
      </c>
      <c r="O51" s="11"/>
      <c r="P51" s="4">
        <f>SUM(0)</f>
        <v>0</v>
      </c>
      <c r="Q51" s="4"/>
      <c r="R51" s="13">
        <f>IF(P$12=0,0,P51/P$12)</f>
        <v>0</v>
      </c>
      <c r="S51" s="4"/>
      <c r="T51" s="4">
        <f>SUM(0)</f>
        <v>0</v>
      </c>
      <c r="U51" s="4"/>
      <c r="V51" s="13">
        <f>IF(T$12=0,0,T51/T$12)</f>
        <v>0</v>
      </c>
      <c r="W51" s="4"/>
      <c r="X51" s="4">
        <f>+P51-T51</f>
        <v>0</v>
      </c>
      <c r="Y51" s="4"/>
      <c r="Z51" s="13">
        <f>IF(T51=0,0,X51/T51)</f>
        <v>0</v>
      </c>
    </row>
    <row r="52" spans="1:26" x14ac:dyDescent="0.25">
      <c r="A52" s="9"/>
      <c r="B52" s="11"/>
      <c r="C52" s="11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1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11"/>
      <c r="B53" s="29" t="s">
        <v>276</v>
      </c>
      <c r="C53" s="29"/>
      <c r="D53" s="22">
        <f>+D20-D22+D51</f>
        <v>51441.09</v>
      </c>
      <c r="E53" s="14"/>
      <c r="F53" s="20">
        <f>IF(D$12=0,0,D53/D$12)</f>
        <v>0.99341049095723999</v>
      </c>
      <c r="G53" s="14"/>
      <c r="H53" s="22">
        <f>+H20-H22+H51</f>
        <v>-25537.749999999993</v>
      </c>
      <c r="I53" s="14"/>
      <c r="J53" s="20">
        <f>IF(H$12=0,0,H53/H$12)</f>
        <v>-0.85024852150595798</v>
      </c>
      <c r="K53" s="15"/>
      <c r="L53" s="22">
        <f>+D53-H53</f>
        <v>76978.84</v>
      </c>
      <c r="M53" s="15"/>
      <c r="N53" s="20">
        <f>IF(H53=0,0,L53/H53)</f>
        <v>-3.0143156699396001</v>
      </c>
      <c r="O53" s="28"/>
      <c r="P53" s="22">
        <f>+P20-P22+P51</f>
        <v>331591.02999999997</v>
      </c>
      <c r="Q53" s="14"/>
      <c r="R53" s="20">
        <f>IF(P$12=0,0,P53/P$12)</f>
        <v>0.99894836451069435</v>
      </c>
      <c r="S53" s="14"/>
      <c r="T53" s="22">
        <f>+T20-T22+T51</f>
        <v>-28129.749999999942</v>
      </c>
      <c r="U53" s="14"/>
      <c r="V53" s="20">
        <f>IF(T$12=0,0,T53/T$12)</f>
        <v>-0.13326451018485291</v>
      </c>
      <c r="W53" s="15"/>
      <c r="X53" s="22">
        <f>+P53-T53</f>
        <v>359720.77999999991</v>
      </c>
      <c r="Y53" s="15"/>
      <c r="Z53" s="20">
        <f>IF(T53=0,0,X53/T53)</f>
        <v>-12.787912441454356</v>
      </c>
    </row>
    <row r="54" spans="1:26" x14ac:dyDescent="0.25">
      <c r="A54" s="9"/>
      <c r="B54" s="11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x14ac:dyDescent="0.25">
      <c r="A55" s="51"/>
      <c r="B55" s="11" t="s">
        <v>127</v>
      </c>
      <c r="C55" s="11"/>
      <c r="D55" s="4">
        <v>12928.77</v>
      </c>
      <c r="E55" s="4"/>
      <c r="F55" s="13">
        <f>IF(D$12=0,0,D55/D$12)</f>
        <v>0.24967542004209548</v>
      </c>
      <c r="G55" s="4"/>
      <c r="H55" s="4">
        <v>4165.75</v>
      </c>
      <c r="I55" s="4"/>
      <c r="J55" s="13">
        <f>IF(H$12=0,0,H55/H$12)</f>
        <v>0.13869361155401103</v>
      </c>
      <c r="K55" s="4"/>
      <c r="L55" s="4">
        <f>+D55-H55</f>
        <v>8763.02</v>
      </c>
      <c r="M55" s="4"/>
      <c r="N55" s="13">
        <f>IF(H55=0,0,L55/H55)</f>
        <v>2.1035875892696394</v>
      </c>
      <c r="O55" s="11"/>
      <c r="P55" s="4">
        <v>68410.039999999994</v>
      </c>
      <c r="Q55" s="4"/>
      <c r="R55" s="13">
        <f>IF(P$12=0,0,P55/P$12)</f>
        <v>0.20609151452049587</v>
      </c>
      <c r="S55" s="4"/>
      <c r="T55" s="4">
        <v>22617.96</v>
      </c>
      <c r="U55" s="4"/>
      <c r="V55" s="13">
        <f>IF(T$12=0,0,T55/T$12)</f>
        <v>0.10715244041559567</v>
      </c>
      <c r="W55" s="4"/>
      <c r="X55" s="4">
        <f>+P55-T55</f>
        <v>45792.079999999994</v>
      </c>
      <c r="Y55" s="4"/>
      <c r="Z55" s="13">
        <f>IF(T55=0,0,X55/T55)</f>
        <v>2.0245893086732845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ht="15.75" thickBot="1" x14ac:dyDescent="0.3">
      <c r="A57" s="11"/>
      <c r="B57" s="29" t="s">
        <v>125</v>
      </c>
      <c r="C57" s="29"/>
      <c r="D57" s="30">
        <f>+D53-D55</f>
        <v>38512.319999999992</v>
      </c>
      <c r="E57" s="14"/>
      <c r="F57" s="36">
        <f>IF(D$12=0,0,D57/D$12)</f>
        <v>0.74373507091514446</v>
      </c>
      <c r="G57" s="14"/>
      <c r="H57" s="30">
        <f>+H53-H55</f>
        <v>-29703.499999999993</v>
      </c>
      <c r="I57" s="14"/>
      <c r="J57" s="36">
        <f>IF(H$12=0,0,H57/H$12)</f>
        <v>-0.98894213305996892</v>
      </c>
      <c r="K57" s="15"/>
      <c r="L57" s="30">
        <f>D57-H57</f>
        <v>68215.819999999978</v>
      </c>
      <c r="M57" s="15"/>
      <c r="N57" s="36">
        <f>IF(H57=0,0,L57/H57)</f>
        <v>-2.2965583180433282</v>
      </c>
      <c r="O57" s="28"/>
      <c r="P57" s="30">
        <f>+P53-P55</f>
        <v>263180.99</v>
      </c>
      <c r="Q57" s="14"/>
      <c r="R57" s="36">
        <f>IF(P$12=0,0,P57/P$12)</f>
        <v>0.79285684999019856</v>
      </c>
      <c r="S57" s="14"/>
      <c r="T57" s="30">
        <f>+T53-T55</f>
        <v>-50747.709999999941</v>
      </c>
      <c r="U57" s="14"/>
      <c r="V57" s="36">
        <f>IF(T$12=0,0,T57/T$12)</f>
        <v>-0.2404169506004486</v>
      </c>
      <c r="W57" s="15"/>
      <c r="X57" s="30">
        <f>P57-T57</f>
        <v>313928.69999999995</v>
      </c>
      <c r="Y57" s="15"/>
      <c r="Z57" s="36">
        <f>IF(T57=0,0,X57/T57)</f>
        <v>-6.1860663269337737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4" customFormat="1" ht="15.75" thickBot="1" x14ac:dyDescent="0.3">
      <c r="A60" s="11"/>
      <c r="B60" s="29" t="s">
        <v>293</v>
      </c>
      <c r="C60" s="29"/>
      <c r="D60" s="35">
        <f>SUM(D57:D59)</f>
        <v>38512.319999999992</v>
      </c>
      <c r="E60" s="14"/>
      <c r="F60" s="34">
        <f>IF(D$12=0,0,D60/D$12)</f>
        <v>0.74373507091514446</v>
      </c>
      <c r="G60" s="14"/>
      <c r="H60" s="35">
        <f>SUM(H57:H59)</f>
        <v>-29703.499999999993</v>
      </c>
      <c r="I60" s="14"/>
      <c r="J60" s="34">
        <f>IF(H$12=0,0,H60/H$12)</f>
        <v>-0.98894213305996892</v>
      </c>
      <c r="K60" s="15"/>
      <c r="L60" s="35">
        <f>+D60-H60</f>
        <v>68215.819999999978</v>
      </c>
      <c r="M60" s="15"/>
      <c r="N60" s="34">
        <f>IF(H60=0,0,L60/H60)</f>
        <v>-2.2965583180433282</v>
      </c>
      <c r="O60" s="28"/>
      <c r="P60" s="35">
        <f>SUM(P57:P59)</f>
        <v>263180.99</v>
      </c>
      <c r="Q60" s="14"/>
      <c r="R60" s="34">
        <f>IF(P$12=0,0,P60/P$12)</f>
        <v>0.79285684999019856</v>
      </c>
      <c r="S60" s="14"/>
      <c r="T60" s="35">
        <f>SUM(T57:T59)</f>
        <v>-50747.709999999941</v>
      </c>
      <c r="U60" s="14"/>
      <c r="V60" s="34">
        <f>IF(T$12=0,0,T60/T$12)</f>
        <v>-0.2404169506004486</v>
      </c>
      <c r="W60" s="15"/>
      <c r="X60" s="35">
        <f>+P60-T60</f>
        <v>313928.69999999995</v>
      </c>
      <c r="Y60" s="15"/>
      <c r="Z60" s="34">
        <f>IF(T60=0,0,X60/T60)</f>
        <v>-6.1860663269337737</v>
      </c>
    </row>
    <row r="61" spans="1:26" ht="15.75" thickTop="1" x14ac:dyDescent="0.25">
      <c r="A61" s="9"/>
      <c r="C61" s="9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54">
        <v>44295.963243634258</v>
      </c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A63" s="9"/>
      <c r="B63" s="58" t="s">
        <v>56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62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4:24" x14ac:dyDescent="0.25"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","423", " - ", "Contract Revenue")</f>
        <v>Department 423 - Contract Revenue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collapsed="1" x14ac:dyDescent="0.25">
      <c r="A14" s="11"/>
      <c r="B14" s="28" t="s">
        <v>256</v>
      </c>
      <c r="C14" s="11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76.099999999999994</v>
      </c>
      <c r="I14" s="4"/>
      <c r="J14" s="13">
        <f t="shared" ref="J14:J15" si="1">IF(H$12=0,0,H14/H$12)</f>
        <v>0</v>
      </c>
      <c r="K14" s="4"/>
      <c r="L14" s="4">
        <f t="shared" ref="L14:L15" si="2">+D14-H14</f>
        <v>-76.099999999999994</v>
      </c>
      <c r="M14" s="4"/>
      <c r="N14" s="13">
        <f t="shared" ref="N14:N15" si="3">IF(H14=0,0,L14/H14)</f>
        <v>-1</v>
      </c>
      <c r="O14" s="11"/>
      <c r="P14" s="4">
        <f>SUM(OSRRefP16x_0)</f>
        <v>0</v>
      </c>
      <c r="Q14" s="4"/>
      <c r="R14" s="13">
        <f t="shared" ref="R14:R15" si="4">IF(P$12=0,0,P14/P$12)</f>
        <v>0</v>
      </c>
      <c r="S14" s="4"/>
      <c r="T14" s="4">
        <f>SUM(OSRRefT16x_0)</f>
        <v>-729.38</v>
      </c>
      <c r="U14" s="4"/>
      <c r="V14" s="13">
        <f t="shared" ref="V14:V15" si="5">IF(T$12=0,0,T14/T$12)</f>
        <v>0</v>
      </c>
      <c r="W14" s="4"/>
      <c r="X14" s="4">
        <f t="shared" ref="X14:X15" si="6">+P14-T14</f>
        <v>729.38</v>
      </c>
      <c r="Y14" s="4"/>
      <c r="Z14" s="13">
        <f t="shared" ref="Z14:Z15" si="7">IF(T14=0,0,X14/T14)</f>
        <v>-1</v>
      </c>
    </row>
    <row r="15" spans="1:26" s="23" customFormat="1" hidden="1" outlineLevel="1" x14ac:dyDescent="0.25">
      <c r="A15" s="44"/>
      <c r="B15" s="10" t="str">
        <f>CONCATENATE("          ", "5053", " - ", "PURCHASES @ COST-FOOD")</f>
        <v xml:space="preserve">          5053 - PURCHASES @ COST-FOOD</v>
      </c>
      <c r="C15" s="10"/>
      <c r="D15" s="2"/>
      <c r="E15" s="2"/>
      <c r="F15" s="19">
        <f t="shared" si="0"/>
        <v>0</v>
      </c>
      <c r="G15" s="2"/>
      <c r="H15" s="2">
        <v>76.099999999999994</v>
      </c>
      <c r="I15" s="2"/>
      <c r="J15" s="19">
        <f t="shared" si="1"/>
        <v>0</v>
      </c>
      <c r="K15" s="2"/>
      <c r="L15" s="2">
        <f t="shared" si="2"/>
        <v>-76.099999999999994</v>
      </c>
      <c r="M15" s="2"/>
      <c r="N15" s="19">
        <f t="shared" si="3"/>
        <v>-1</v>
      </c>
      <c r="O15" s="10"/>
      <c r="P15" s="2"/>
      <c r="Q15" s="2"/>
      <c r="R15" s="19">
        <f t="shared" si="4"/>
        <v>0</v>
      </c>
      <c r="S15" s="2"/>
      <c r="T15" s="2">
        <v>-729.38</v>
      </c>
      <c r="U15" s="2"/>
      <c r="V15" s="19">
        <f t="shared" si="5"/>
        <v>0</v>
      </c>
      <c r="W15" s="2"/>
      <c r="X15" s="2">
        <f t="shared" si="6"/>
        <v>729.38</v>
      </c>
      <c r="Y15" s="2"/>
      <c r="Z15" s="19">
        <f t="shared" si="7"/>
        <v>-1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9" t="s">
        <v>107</v>
      </c>
      <c r="C17" s="29"/>
      <c r="D17" s="22">
        <f>D12-D14</f>
        <v>0</v>
      </c>
      <c r="E17" s="14"/>
      <c r="F17" s="20">
        <f>IF(D$12=0,0,D17/D$12)</f>
        <v>0</v>
      </c>
      <c r="G17" s="14"/>
      <c r="H17" s="22">
        <f>H12-H14</f>
        <v>-76.099999999999994</v>
      </c>
      <c r="I17" s="14"/>
      <c r="J17" s="20">
        <f>IF(H$12=0,0,H17/H$12)</f>
        <v>0</v>
      </c>
      <c r="K17" s="15"/>
      <c r="L17" s="22">
        <f>+D17-H17</f>
        <v>76.099999999999994</v>
      </c>
      <c r="M17" s="15"/>
      <c r="N17" s="20">
        <f>IF(H17=0,0,L17/H17)</f>
        <v>-1</v>
      </c>
      <c r="O17" s="28"/>
      <c r="P17" s="22">
        <f>P12-P14</f>
        <v>0</v>
      </c>
      <c r="Q17" s="14"/>
      <c r="R17" s="20">
        <f>IF(P$12=0,0,P17/P$12)</f>
        <v>0</v>
      </c>
      <c r="S17" s="14"/>
      <c r="T17" s="22">
        <f>T12-T14</f>
        <v>729.38</v>
      </c>
      <c r="U17" s="14"/>
      <c r="V17" s="20">
        <f>IF(T$12=0,0,T17/T$12)</f>
        <v>0</v>
      </c>
      <c r="W17" s="15"/>
      <c r="X17" s="22">
        <f>+P17-T17</f>
        <v>-729.38</v>
      </c>
      <c r="Y17" s="15"/>
      <c r="Z17" s="20">
        <f>IF(T17=0,0,X17/T17)</f>
        <v>-1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8" t="s">
        <v>294</v>
      </c>
      <c r="C19" s="11"/>
      <c r="D19" s="21">
        <f>SUM(OSRRefD22x_0)</f>
        <v>186</v>
      </c>
      <c r="E19" s="21"/>
      <c r="F19" s="31">
        <f t="shared" ref="F19:F28" si="8">IF(D$12=0,0,D19/D$12)</f>
        <v>0</v>
      </c>
      <c r="G19" s="21"/>
      <c r="H19" s="21">
        <f>SUM(OSRRefH22x_0)</f>
        <v>31141.81</v>
      </c>
      <c r="I19" s="21"/>
      <c r="J19" s="31">
        <f t="shared" ref="J19:J28" si="9">IF(H$12=0,0,H19/H$12)</f>
        <v>0</v>
      </c>
      <c r="K19" s="4"/>
      <c r="L19" s="21">
        <f t="shared" ref="L19:L28" si="10">+D19-H19</f>
        <v>-30955.81</v>
      </c>
      <c r="M19" s="4"/>
      <c r="N19" s="31">
        <f t="shared" ref="N19:N28" si="11">IF(H19=0,0,L19/H19)</f>
        <v>-0.99402732211133527</v>
      </c>
      <c r="O19" s="11"/>
      <c r="P19" s="21">
        <f>SUM(OSRRefP22x_0)</f>
        <v>3288.7400000000002</v>
      </c>
      <c r="Q19" s="21"/>
      <c r="R19" s="31">
        <f t="shared" ref="R19:R28" si="12">IF(P$12=0,0,P19/P$12)</f>
        <v>0</v>
      </c>
      <c r="S19" s="21"/>
      <c r="T19" s="21">
        <f>SUM(OSRRefT22x_0)</f>
        <v>118263.43</v>
      </c>
      <c r="U19" s="21"/>
      <c r="V19" s="31">
        <f t="shared" ref="V19:V28" si="13">IF(T$12=0,0,T19/T$12)</f>
        <v>0</v>
      </c>
      <c r="W19" s="4"/>
      <c r="X19" s="21">
        <f t="shared" ref="X19:X28" si="14">+P19-T19</f>
        <v>-114974.68999999999</v>
      </c>
      <c r="Y19" s="4"/>
      <c r="Z19" s="31">
        <f t="shared" ref="Z19:Z28" si="15">IF(T19=0,0,X19/T19)</f>
        <v>-0.97219140354714884</v>
      </c>
    </row>
    <row r="20" spans="1:26" s="26" customFormat="1" outlineLevel="1" collapsed="1" x14ac:dyDescent="0.25">
      <c r="A20" s="27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18703.560000000001</v>
      </c>
      <c r="I20" s="1"/>
      <c r="J20" s="5">
        <f t="shared" si="9"/>
        <v>0</v>
      </c>
      <c r="K20" s="1"/>
      <c r="L20" s="1">
        <f t="shared" si="10"/>
        <v>-18703.560000000001</v>
      </c>
      <c r="M20" s="1"/>
      <c r="N20" s="5">
        <f t="shared" si="11"/>
        <v>-1</v>
      </c>
      <c r="O20" s="12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52018.929999999993</v>
      </c>
      <c r="U20" s="1"/>
      <c r="V20" s="5">
        <f t="shared" si="13"/>
        <v>0</v>
      </c>
      <c r="W20" s="1"/>
      <c r="X20" s="1">
        <f t="shared" si="14"/>
        <v>-49540.19999999999</v>
      </c>
      <c r="Y20" s="1"/>
      <c r="Z20" s="5">
        <f t="shared" si="15"/>
        <v>-0.95234946201315551</v>
      </c>
    </row>
    <row r="21" spans="1:26" s="23" customFormat="1" hidden="1" outlineLevel="2" x14ac:dyDescent="0.25">
      <c r="A21" s="25"/>
      <c r="B21" s="10" t="str">
        <f>CONCATENATE("          ", "6111", " - ", "F.I.C.A.")</f>
        <v xml:space="preserve">          6111 - F.I.C.A.</v>
      </c>
      <c r="C21" s="10"/>
      <c r="D21" s="6"/>
      <c r="E21" s="2"/>
      <c r="F21" s="7">
        <f t="shared" si="8"/>
        <v>0</v>
      </c>
      <c r="G21" s="2"/>
      <c r="H21" s="6">
        <v>846.8</v>
      </c>
      <c r="I21" s="2"/>
      <c r="J21" s="7">
        <f t="shared" si="9"/>
        <v>0</v>
      </c>
      <c r="K21" s="2"/>
      <c r="L21" s="6">
        <f t="shared" si="10"/>
        <v>-846.8</v>
      </c>
      <c r="M21" s="2"/>
      <c r="N21" s="7">
        <f t="shared" si="11"/>
        <v>-1</v>
      </c>
      <c r="O21" s="10"/>
      <c r="P21" s="6"/>
      <c r="Q21" s="2"/>
      <c r="R21" s="7">
        <f t="shared" si="12"/>
        <v>0</v>
      </c>
      <c r="S21" s="2"/>
      <c r="T21" s="6">
        <v>5405.95</v>
      </c>
      <c r="U21" s="2"/>
      <c r="V21" s="7">
        <f t="shared" si="13"/>
        <v>0</v>
      </c>
      <c r="W21" s="2"/>
      <c r="X21" s="6">
        <f t="shared" si="14"/>
        <v>-5405.95</v>
      </c>
      <c r="Y21" s="2"/>
      <c r="Z21" s="7">
        <f t="shared" si="15"/>
        <v>-1</v>
      </c>
    </row>
    <row r="22" spans="1:26" s="23" customFormat="1" hidden="1" outlineLevel="2" x14ac:dyDescent="0.25">
      <c r="A22" s="25"/>
      <c r="B22" s="10" t="str">
        <f>CONCATENATE("          ", "6112", " - ", "COMPENSATION INSURANCE")</f>
        <v xml:space="preserve">          6112 - COMPENSATION INSURANCE</v>
      </c>
      <c r="C22" s="10"/>
      <c r="D22" s="6"/>
      <c r="E22" s="2"/>
      <c r="F22" s="7">
        <f t="shared" si="8"/>
        <v>0</v>
      </c>
      <c r="G22" s="2"/>
      <c r="H22" s="6">
        <v>37.64</v>
      </c>
      <c r="I22" s="2"/>
      <c r="J22" s="7">
        <f t="shared" si="9"/>
        <v>0</v>
      </c>
      <c r="K22" s="2"/>
      <c r="L22" s="6">
        <f t="shared" si="10"/>
        <v>-37.64</v>
      </c>
      <c r="M22" s="2"/>
      <c r="N22" s="7">
        <f t="shared" si="11"/>
        <v>-1</v>
      </c>
      <c r="O22" s="10"/>
      <c r="P22" s="6"/>
      <c r="Q22" s="2"/>
      <c r="R22" s="7">
        <f t="shared" si="12"/>
        <v>0</v>
      </c>
      <c r="S22" s="2"/>
      <c r="T22" s="6">
        <v>196.96</v>
      </c>
      <c r="U22" s="2"/>
      <c r="V22" s="7">
        <f t="shared" si="13"/>
        <v>0</v>
      </c>
      <c r="W22" s="2"/>
      <c r="X22" s="6">
        <f t="shared" si="14"/>
        <v>-196.96</v>
      </c>
      <c r="Y22" s="2"/>
      <c r="Z22" s="7">
        <f t="shared" si="15"/>
        <v>-1</v>
      </c>
    </row>
    <row r="23" spans="1:26" s="23" customFormat="1" hidden="1" outlineLevel="2" x14ac:dyDescent="0.25">
      <c r="A23" s="25"/>
      <c r="B23" s="10" t="str">
        <f>CONCATENATE("          ", "6113", " - ", "GROUP INSURANCE")</f>
        <v xml:space="preserve">          6113 - GROUP INSURANCE</v>
      </c>
      <c r="C23" s="10"/>
      <c r="D23" s="6"/>
      <c r="E23" s="2"/>
      <c r="F23" s="7">
        <f t="shared" si="8"/>
        <v>0</v>
      </c>
      <c r="G23" s="2"/>
      <c r="H23" s="6">
        <v>1016.65</v>
      </c>
      <c r="I23" s="2"/>
      <c r="J23" s="7">
        <f t="shared" si="9"/>
        <v>0</v>
      </c>
      <c r="K23" s="2"/>
      <c r="L23" s="6">
        <f t="shared" si="10"/>
        <v>-1016.65</v>
      </c>
      <c r="M23" s="2"/>
      <c r="N23" s="7">
        <f t="shared" si="11"/>
        <v>-1</v>
      </c>
      <c r="O23" s="10"/>
      <c r="P23" s="6">
        <v>1868.2</v>
      </c>
      <c r="Q23" s="2"/>
      <c r="R23" s="7">
        <f t="shared" si="12"/>
        <v>0</v>
      </c>
      <c r="S23" s="2"/>
      <c r="T23" s="6">
        <v>9118.5300000000007</v>
      </c>
      <c r="U23" s="2"/>
      <c r="V23" s="7">
        <f t="shared" si="13"/>
        <v>0</v>
      </c>
      <c r="W23" s="2"/>
      <c r="X23" s="6">
        <f t="shared" si="14"/>
        <v>-7250.3300000000008</v>
      </c>
      <c r="Y23" s="2"/>
      <c r="Z23" s="7">
        <f t="shared" si="15"/>
        <v>-0.79512048542912073</v>
      </c>
    </row>
    <row r="24" spans="1:26" s="23" customFormat="1" hidden="1" outlineLevel="2" x14ac:dyDescent="0.25">
      <c r="A24" s="25"/>
      <c r="B24" s="10" t="str">
        <f>CONCATENATE("          ", "6114", " - ", "STATE UNEMPLOYMENT INSURANCE")</f>
        <v xml:space="preserve">          6114 - STATE UNEMPLOYMENT INSURANCE</v>
      </c>
      <c r="C24" s="10"/>
      <c r="D24" s="6"/>
      <c r="E24" s="2"/>
      <c r="F24" s="7">
        <f t="shared" si="8"/>
        <v>0</v>
      </c>
      <c r="G24" s="2"/>
      <c r="H24" s="6">
        <v>28.78</v>
      </c>
      <c r="I24" s="2"/>
      <c r="J24" s="7">
        <f t="shared" si="9"/>
        <v>0</v>
      </c>
      <c r="K24" s="2"/>
      <c r="L24" s="6">
        <f t="shared" si="10"/>
        <v>-28.78</v>
      </c>
      <c r="M24" s="2"/>
      <c r="N24" s="7">
        <f t="shared" si="11"/>
        <v>-1</v>
      </c>
      <c r="O24" s="10"/>
      <c r="P24" s="6"/>
      <c r="Q24" s="2"/>
      <c r="R24" s="7">
        <f t="shared" si="12"/>
        <v>0</v>
      </c>
      <c r="S24" s="2"/>
      <c r="T24" s="6">
        <v>163.09</v>
      </c>
      <c r="U24" s="2"/>
      <c r="V24" s="7">
        <f t="shared" si="13"/>
        <v>0</v>
      </c>
      <c r="W24" s="2"/>
      <c r="X24" s="6">
        <f t="shared" si="14"/>
        <v>-163.09</v>
      </c>
      <c r="Y24" s="2"/>
      <c r="Z24" s="7">
        <f t="shared" si="15"/>
        <v>-1</v>
      </c>
    </row>
    <row r="25" spans="1:26" s="23" customFormat="1" hidden="1" outlineLevel="2" x14ac:dyDescent="0.25">
      <c r="A25" s="25"/>
      <c r="B25" s="10" t="str">
        <f>CONCATENATE("          ", "6115", " - ", "P.E.R.S.")</f>
        <v xml:space="preserve">          6115 - P.E.R.S.</v>
      </c>
      <c r="C25" s="10"/>
      <c r="D25" s="6"/>
      <c r="E25" s="2"/>
      <c r="F25" s="7">
        <f t="shared" si="8"/>
        <v>0</v>
      </c>
      <c r="G25" s="2"/>
      <c r="H25" s="6">
        <v>1131.3900000000001</v>
      </c>
      <c r="I25" s="2"/>
      <c r="J25" s="7">
        <f t="shared" si="9"/>
        <v>0</v>
      </c>
      <c r="K25" s="2"/>
      <c r="L25" s="6">
        <f t="shared" si="10"/>
        <v>-1131.3900000000001</v>
      </c>
      <c r="M25" s="2"/>
      <c r="N25" s="7">
        <f t="shared" si="11"/>
        <v>-1</v>
      </c>
      <c r="O25" s="10"/>
      <c r="P25" s="6">
        <v>610.53</v>
      </c>
      <c r="Q25" s="2"/>
      <c r="R25" s="7">
        <f t="shared" si="12"/>
        <v>0</v>
      </c>
      <c r="S25" s="2"/>
      <c r="T25" s="6">
        <v>6412</v>
      </c>
      <c r="U25" s="2"/>
      <c r="V25" s="7">
        <f t="shared" si="13"/>
        <v>0</v>
      </c>
      <c r="W25" s="2"/>
      <c r="X25" s="6">
        <f t="shared" si="14"/>
        <v>-5801.47</v>
      </c>
      <c r="Y25" s="2"/>
      <c r="Z25" s="7">
        <f t="shared" si="15"/>
        <v>-0.90478321896444169</v>
      </c>
    </row>
    <row r="26" spans="1:26" s="23" customFormat="1" hidden="1" outlineLevel="2" x14ac:dyDescent="0.25">
      <c r="A26" s="25"/>
      <c r="B26" s="10" t="str">
        <f>CONCATENATE("          ", "6118", " - ", "VACATION")</f>
        <v xml:space="preserve">          6118 - VACATION</v>
      </c>
      <c r="C26" s="10"/>
      <c r="D26" s="6"/>
      <c r="E26" s="2"/>
      <c r="F26" s="7">
        <f t="shared" si="8"/>
        <v>0</v>
      </c>
      <c r="G26" s="2"/>
      <c r="H26" s="6">
        <v>3373.31</v>
      </c>
      <c r="I26" s="2"/>
      <c r="J26" s="7">
        <f t="shared" si="9"/>
        <v>0</v>
      </c>
      <c r="K26" s="2"/>
      <c r="L26" s="6">
        <f t="shared" si="10"/>
        <v>-3373.31</v>
      </c>
      <c r="M26" s="2"/>
      <c r="N26" s="7">
        <f t="shared" si="11"/>
        <v>-1</v>
      </c>
      <c r="O26" s="10"/>
      <c r="P26" s="6"/>
      <c r="Q26" s="2"/>
      <c r="R26" s="7">
        <f t="shared" si="12"/>
        <v>0</v>
      </c>
      <c r="S26" s="2"/>
      <c r="T26" s="6">
        <v>8686.68</v>
      </c>
      <c r="U26" s="2"/>
      <c r="V26" s="7">
        <f t="shared" si="13"/>
        <v>0</v>
      </c>
      <c r="W26" s="2"/>
      <c r="X26" s="6">
        <f t="shared" si="14"/>
        <v>-8686.68</v>
      </c>
      <c r="Y26" s="2"/>
      <c r="Z26" s="7">
        <f t="shared" si="15"/>
        <v>-1</v>
      </c>
    </row>
    <row r="27" spans="1:26" s="23" customFormat="1" hidden="1" outlineLevel="2" x14ac:dyDescent="0.25">
      <c r="A27" s="25"/>
      <c r="B27" s="10" t="str">
        <f>CONCATENATE("          ", "6119", " - ", "SICK LEAVE")</f>
        <v xml:space="preserve">          6119 - SICK LEAVE</v>
      </c>
      <c r="C27" s="10"/>
      <c r="D27" s="6"/>
      <c r="E27" s="2"/>
      <c r="F27" s="7">
        <f t="shared" si="8"/>
        <v>0</v>
      </c>
      <c r="G27" s="2"/>
      <c r="H27" s="6">
        <v>12169.51</v>
      </c>
      <c r="I27" s="2"/>
      <c r="J27" s="7">
        <f t="shared" si="9"/>
        <v>0</v>
      </c>
      <c r="K27" s="2"/>
      <c r="L27" s="6">
        <f t="shared" si="10"/>
        <v>-12169.51</v>
      </c>
      <c r="M27" s="2"/>
      <c r="N27" s="7">
        <f t="shared" si="11"/>
        <v>-1</v>
      </c>
      <c r="O27" s="10"/>
      <c r="P27" s="6"/>
      <c r="Q27" s="2"/>
      <c r="R27" s="7">
        <f t="shared" si="12"/>
        <v>0</v>
      </c>
      <c r="S27" s="2"/>
      <c r="T27" s="6">
        <v>20753.63</v>
      </c>
      <c r="U27" s="2"/>
      <c r="V27" s="7">
        <f t="shared" si="13"/>
        <v>0</v>
      </c>
      <c r="W27" s="2"/>
      <c r="X27" s="6">
        <f t="shared" si="14"/>
        <v>-20753.63</v>
      </c>
      <c r="Y27" s="2"/>
      <c r="Z27" s="7">
        <f t="shared" si="15"/>
        <v>-1</v>
      </c>
    </row>
    <row r="28" spans="1:26" s="23" customFormat="1" hidden="1" outlineLevel="2" x14ac:dyDescent="0.25">
      <c r="A28" s="25"/>
      <c r="B28" s="10" t="str">
        <f>CONCATENATE("          ", "6156", " - ", "EMPLOYEE MEALS")</f>
        <v xml:space="preserve">          6156 - EMPLOYEE MEALS</v>
      </c>
      <c r="C28" s="10"/>
      <c r="D28" s="6"/>
      <c r="E28" s="2"/>
      <c r="F28" s="7">
        <f t="shared" si="8"/>
        <v>0</v>
      </c>
      <c r="G28" s="2"/>
      <c r="H28" s="6">
        <v>99.48</v>
      </c>
      <c r="I28" s="2"/>
      <c r="J28" s="7">
        <f t="shared" si="9"/>
        <v>0</v>
      </c>
      <c r="K28" s="2"/>
      <c r="L28" s="6">
        <f t="shared" si="10"/>
        <v>-99.48</v>
      </c>
      <c r="M28" s="2"/>
      <c r="N28" s="7">
        <f t="shared" si="11"/>
        <v>-1</v>
      </c>
      <c r="O28" s="10"/>
      <c r="P28" s="6"/>
      <c r="Q28" s="2"/>
      <c r="R28" s="7">
        <f t="shared" si="12"/>
        <v>0</v>
      </c>
      <c r="S28" s="2"/>
      <c r="T28" s="6">
        <v>1282.0899999999999</v>
      </c>
      <c r="U28" s="2"/>
      <c r="V28" s="7">
        <f t="shared" si="13"/>
        <v>0</v>
      </c>
      <c r="W28" s="2"/>
      <c r="X28" s="6">
        <f t="shared" si="14"/>
        <v>-1282.0899999999999</v>
      </c>
      <c r="Y28" s="2"/>
      <c r="Z28" s="7">
        <f t="shared" si="15"/>
        <v>-1</v>
      </c>
    </row>
    <row r="29" spans="1:26" s="26" customFormat="1" outlineLevel="1" collapsed="1" x14ac:dyDescent="0.25">
      <c r="A29" s="27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0</v>
      </c>
      <c r="E29" s="1"/>
      <c r="F29" s="5">
        <f t="shared" ref="F29:F31" si="16">IF(D$12=0,0,D29/D$12)</f>
        <v>0</v>
      </c>
      <c r="G29" s="1"/>
      <c r="H29" s="1">
        <f>SUM(OSRRefH22_1x_0)</f>
        <v>11069.28</v>
      </c>
      <c r="I29" s="1"/>
      <c r="J29" s="5">
        <f t="shared" ref="J29:J31" si="17">IF(H$12=0,0,H29/H$12)</f>
        <v>0</v>
      </c>
      <c r="K29" s="1"/>
      <c r="L29" s="1">
        <f t="shared" ref="L29:L31" si="18">+D29-H29</f>
        <v>-11069.28</v>
      </c>
      <c r="M29" s="1"/>
      <c r="N29" s="5">
        <f t="shared" ref="N29:N31" si="19">IF(H29=0,0,L29/H29)</f>
        <v>-1</v>
      </c>
      <c r="O29" s="12"/>
      <c r="P29" s="1">
        <f>SUM(OSRRefP22_1x_0)</f>
        <v>0</v>
      </c>
      <c r="Q29" s="1"/>
      <c r="R29" s="5">
        <f t="shared" ref="R29:R31" si="20">IF(P$12=0,0,P29/P$12)</f>
        <v>0</v>
      </c>
      <c r="S29" s="1"/>
      <c r="T29" s="1">
        <f>SUM(OSRRefT22_1x_0)</f>
        <v>51023.66</v>
      </c>
      <c r="U29" s="1"/>
      <c r="V29" s="5">
        <f t="shared" ref="V29:V31" si="21">IF(T$12=0,0,T29/T$12)</f>
        <v>0</v>
      </c>
      <c r="W29" s="1"/>
      <c r="X29" s="1">
        <f t="shared" ref="X29:X31" si="22">+P29-T29</f>
        <v>-51023.66</v>
      </c>
      <c r="Y29" s="1"/>
      <c r="Z29" s="5">
        <f t="shared" ref="Z29:Z31" si="23">IF(T29=0,0,X29/T29)</f>
        <v>-1</v>
      </c>
    </row>
    <row r="30" spans="1:26" s="23" customFormat="1" hidden="1" outlineLevel="2" x14ac:dyDescent="0.25">
      <c r="A30" s="25"/>
      <c r="B30" s="10" t="str">
        <f>CONCATENATE("          ", "6001", " - ", "ADMINISTRATIVE SALARIES")</f>
        <v xml:space="preserve">          6001 - ADMINISTRATIVE SALARIES</v>
      </c>
      <c r="C30" s="10"/>
      <c r="D30" s="6"/>
      <c r="E30" s="2"/>
      <c r="F30" s="7">
        <f t="shared" si="16"/>
        <v>0</v>
      </c>
      <c r="G30" s="2"/>
      <c r="H30" s="6">
        <v>8302.2800000000007</v>
      </c>
      <c r="I30" s="2"/>
      <c r="J30" s="7">
        <f t="shared" si="17"/>
        <v>0</v>
      </c>
      <c r="K30" s="2"/>
      <c r="L30" s="6">
        <f t="shared" si="18"/>
        <v>-8302.2800000000007</v>
      </c>
      <c r="M30" s="2"/>
      <c r="N30" s="7">
        <f t="shared" si="19"/>
        <v>-1</v>
      </c>
      <c r="O30" s="10"/>
      <c r="P30" s="6"/>
      <c r="Q30" s="2"/>
      <c r="R30" s="7">
        <f t="shared" si="20"/>
        <v>0</v>
      </c>
      <c r="S30" s="2"/>
      <c r="T30" s="6">
        <v>48256.66</v>
      </c>
      <c r="U30" s="2"/>
      <c r="V30" s="7">
        <f t="shared" si="21"/>
        <v>0</v>
      </c>
      <c r="W30" s="2"/>
      <c r="X30" s="6">
        <f t="shared" si="22"/>
        <v>-48256.66</v>
      </c>
      <c r="Y30" s="2"/>
      <c r="Z30" s="7">
        <f t="shared" si="23"/>
        <v>-1</v>
      </c>
    </row>
    <row r="31" spans="1:26" s="23" customFormat="1" hidden="1" outlineLevel="2" x14ac:dyDescent="0.25">
      <c r="A31" s="25"/>
      <c r="B31" s="10" t="str">
        <f>CONCATENATE("          ", "6002", " - ", "STAFF SALARIES")</f>
        <v xml:space="preserve">          6002 - STAFF SALARIES</v>
      </c>
      <c r="C31" s="10"/>
      <c r="D31" s="6"/>
      <c r="E31" s="2"/>
      <c r="F31" s="7">
        <f t="shared" si="16"/>
        <v>0</v>
      </c>
      <c r="G31" s="2"/>
      <c r="H31" s="6">
        <v>2767</v>
      </c>
      <c r="I31" s="2"/>
      <c r="J31" s="7">
        <f t="shared" si="17"/>
        <v>0</v>
      </c>
      <c r="K31" s="2"/>
      <c r="L31" s="6">
        <f t="shared" si="18"/>
        <v>-2767</v>
      </c>
      <c r="M31" s="2"/>
      <c r="N31" s="7">
        <f t="shared" si="19"/>
        <v>-1</v>
      </c>
      <c r="O31" s="10"/>
      <c r="P31" s="6"/>
      <c r="Q31" s="2"/>
      <c r="R31" s="7">
        <f t="shared" si="20"/>
        <v>0</v>
      </c>
      <c r="S31" s="2"/>
      <c r="T31" s="6">
        <v>2767</v>
      </c>
      <c r="U31" s="2"/>
      <c r="V31" s="7">
        <f t="shared" si="21"/>
        <v>0</v>
      </c>
      <c r="W31" s="2"/>
      <c r="X31" s="6">
        <f t="shared" si="22"/>
        <v>-2767</v>
      </c>
      <c r="Y31" s="2"/>
      <c r="Z31" s="7">
        <f t="shared" si="23"/>
        <v>-1</v>
      </c>
    </row>
    <row r="32" spans="1:26" s="26" customFormat="1" outlineLevel="1" collapsed="1" x14ac:dyDescent="0.25">
      <c r="A32" s="27"/>
      <c r="B32" s="12" t="str">
        <f>CONCATENATE("     ","General                                           ")</f>
        <v xml:space="preserve">     General                                           </v>
      </c>
      <c r="C32" s="12"/>
      <c r="D32" s="1">
        <f>SUM(OSRRefD22_2x_0)</f>
        <v>0</v>
      </c>
      <c r="E32" s="1"/>
      <c r="F32" s="5">
        <f t="shared" ref="F32:F41" si="24">IF(D$12=0,0,D32/D$12)</f>
        <v>0</v>
      </c>
      <c r="G32" s="1"/>
      <c r="H32" s="1">
        <f>SUM(OSRRefH22_2x_0)</f>
        <v>0</v>
      </c>
      <c r="I32" s="1"/>
      <c r="J32" s="5">
        <f t="shared" ref="J32:J41" si="25">IF(H$12=0,0,H32/H$12)</f>
        <v>0</v>
      </c>
      <c r="K32" s="1"/>
      <c r="L32" s="1">
        <f t="shared" ref="L32:L41" si="26">+D32-H32</f>
        <v>0</v>
      </c>
      <c r="M32" s="1"/>
      <c r="N32" s="5">
        <f t="shared" ref="N32:N41" si="27">IF(H32=0,0,L32/H32)</f>
        <v>0</v>
      </c>
      <c r="O32" s="12"/>
      <c r="P32" s="1">
        <f>SUM(OSRRefP22_2x_0)</f>
        <v>0</v>
      </c>
      <c r="Q32" s="1"/>
      <c r="R32" s="5">
        <f t="shared" ref="R32:R41" si="28">IF(P$12=0,0,P32/P$12)</f>
        <v>0</v>
      </c>
      <c r="S32" s="1"/>
      <c r="T32" s="1">
        <f>SUM(OSRRefT22_2x_0)</f>
        <v>2443.65</v>
      </c>
      <c r="U32" s="1"/>
      <c r="V32" s="5">
        <f t="shared" ref="V32:V41" si="29">IF(T$12=0,0,T32/T$12)</f>
        <v>0</v>
      </c>
      <c r="W32" s="1"/>
      <c r="X32" s="1">
        <f t="shared" ref="X32:X41" si="30">+P32-T32</f>
        <v>-2443.65</v>
      </c>
      <c r="Y32" s="1"/>
      <c r="Z32" s="5">
        <f t="shared" ref="Z32:Z41" si="31">IF(T32=0,0,X32/T32)</f>
        <v>-1</v>
      </c>
    </row>
    <row r="33" spans="1:26" s="23" customFormat="1" hidden="1" outlineLevel="2" x14ac:dyDescent="0.25">
      <c r="A33" s="25"/>
      <c r="B33" s="10" t="str">
        <f>CONCATENATE("          ", "6279", " - ", "GENERAL EXPENSE")</f>
        <v xml:space="preserve">          6279 - GENERAL EXPENSE</v>
      </c>
      <c r="C33" s="10"/>
      <c r="D33" s="6"/>
      <c r="E33" s="2"/>
      <c r="F33" s="7">
        <f t="shared" si="24"/>
        <v>0</v>
      </c>
      <c r="G33" s="2"/>
      <c r="H33" s="6"/>
      <c r="I33" s="2"/>
      <c r="J33" s="7">
        <f t="shared" si="25"/>
        <v>0</v>
      </c>
      <c r="K33" s="2"/>
      <c r="L33" s="6">
        <f t="shared" si="26"/>
        <v>0</v>
      </c>
      <c r="M33" s="2"/>
      <c r="N33" s="7">
        <f t="shared" si="27"/>
        <v>0</v>
      </c>
      <c r="O33" s="10"/>
      <c r="P33" s="6"/>
      <c r="Q33" s="2"/>
      <c r="R33" s="7">
        <f t="shared" si="28"/>
        <v>0</v>
      </c>
      <c r="S33" s="2"/>
      <c r="T33" s="6">
        <v>2443.65</v>
      </c>
      <c r="U33" s="2"/>
      <c r="V33" s="7">
        <f t="shared" si="29"/>
        <v>0</v>
      </c>
      <c r="W33" s="2"/>
      <c r="X33" s="6">
        <f t="shared" si="30"/>
        <v>-2443.65</v>
      </c>
      <c r="Y33" s="2"/>
      <c r="Z33" s="7">
        <f t="shared" si="31"/>
        <v>-1</v>
      </c>
    </row>
    <row r="34" spans="1:26" s="26" customFormat="1" outlineLevel="1" collapsed="1" x14ac:dyDescent="0.25">
      <c r="A34" s="27"/>
      <c r="B34" s="12" t="str">
        <f>CONCATENATE("     ","Royalty &amp; Commissions                             ")</f>
        <v xml:space="preserve">     Royalty &amp; Commissions                             </v>
      </c>
      <c r="C34" s="12"/>
      <c r="D34" s="1">
        <f>SUM(OSRRefD22_3x_0)</f>
        <v>0</v>
      </c>
      <c r="E34" s="1"/>
      <c r="F34" s="5">
        <f t="shared" si="24"/>
        <v>0</v>
      </c>
      <c r="G34" s="1"/>
      <c r="H34" s="1">
        <f>SUM(OSRRefH22_3x_0)</f>
        <v>0</v>
      </c>
      <c r="I34" s="1"/>
      <c r="J34" s="5">
        <f t="shared" si="25"/>
        <v>0</v>
      </c>
      <c r="K34" s="1"/>
      <c r="L34" s="1">
        <f t="shared" si="26"/>
        <v>0</v>
      </c>
      <c r="M34" s="1"/>
      <c r="N34" s="5">
        <f t="shared" si="27"/>
        <v>0</v>
      </c>
      <c r="O34" s="12"/>
      <c r="P34" s="1">
        <f>SUM(OSRRefP22_3x_0)</f>
        <v>0</v>
      </c>
      <c r="Q34" s="1"/>
      <c r="R34" s="5">
        <f t="shared" si="28"/>
        <v>0</v>
      </c>
      <c r="S34" s="1"/>
      <c r="T34" s="1">
        <f>SUM(OSRRefT22_3x_0)</f>
        <v>10393.31</v>
      </c>
      <c r="U34" s="1"/>
      <c r="V34" s="5">
        <f t="shared" si="29"/>
        <v>0</v>
      </c>
      <c r="W34" s="1"/>
      <c r="X34" s="1">
        <f t="shared" si="30"/>
        <v>-10393.31</v>
      </c>
      <c r="Y34" s="1"/>
      <c r="Z34" s="5">
        <f t="shared" si="31"/>
        <v>-1</v>
      </c>
    </row>
    <row r="35" spans="1:26" s="23" customFormat="1" hidden="1" outlineLevel="2" x14ac:dyDescent="0.25">
      <c r="A35" s="25"/>
      <c r="B35" s="10" t="str">
        <f>CONCATENATE("          ", "6254", " - ", "ROYALTY &amp; COMMISSIONS")</f>
        <v xml:space="preserve">          6254 - ROYALTY &amp; COMMISSIONS</v>
      </c>
      <c r="C35" s="10"/>
      <c r="D35" s="6"/>
      <c r="E35" s="2"/>
      <c r="F35" s="7">
        <f t="shared" si="24"/>
        <v>0</v>
      </c>
      <c r="G35" s="2"/>
      <c r="H35" s="6"/>
      <c r="I35" s="2"/>
      <c r="J35" s="7">
        <f t="shared" si="25"/>
        <v>0</v>
      </c>
      <c r="K35" s="2"/>
      <c r="L35" s="6">
        <f t="shared" si="26"/>
        <v>0</v>
      </c>
      <c r="M35" s="2"/>
      <c r="N35" s="7">
        <f t="shared" si="27"/>
        <v>0</v>
      </c>
      <c r="O35" s="10"/>
      <c r="P35" s="6"/>
      <c r="Q35" s="2"/>
      <c r="R35" s="7">
        <f t="shared" si="28"/>
        <v>0</v>
      </c>
      <c r="S35" s="2"/>
      <c r="T35" s="6">
        <v>10393.31</v>
      </c>
      <c r="U35" s="2"/>
      <c r="V35" s="7">
        <f t="shared" si="29"/>
        <v>0</v>
      </c>
      <c r="W35" s="2"/>
      <c r="X35" s="6">
        <f t="shared" si="30"/>
        <v>-10393.31</v>
      </c>
      <c r="Y35" s="2"/>
      <c r="Z35" s="7">
        <f t="shared" si="31"/>
        <v>-1</v>
      </c>
    </row>
    <row r="36" spans="1:26" s="26" customFormat="1" outlineLevel="1" collapsed="1" x14ac:dyDescent="0.25">
      <c r="A36" s="27"/>
      <c r="B36" s="12" t="str">
        <f>CONCATENATE("     ","Supplies                                          ")</f>
        <v xml:space="preserve">     Supplies                                          </v>
      </c>
      <c r="C36" s="12"/>
      <c r="D36" s="1">
        <f>SUM(OSRRefD22_4x_0)</f>
        <v>0</v>
      </c>
      <c r="E36" s="1"/>
      <c r="F36" s="5">
        <f t="shared" si="24"/>
        <v>0</v>
      </c>
      <c r="G36" s="1"/>
      <c r="H36" s="1">
        <f>SUM(OSRRefH22_4x_0)</f>
        <v>67.69</v>
      </c>
      <c r="I36" s="1"/>
      <c r="J36" s="5">
        <f t="shared" si="25"/>
        <v>0</v>
      </c>
      <c r="K36" s="1"/>
      <c r="L36" s="1">
        <f t="shared" si="26"/>
        <v>-67.69</v>
      </c>
      <c r="M36" s="1"/>
      <c r="N36" s="5">
        <f t="shared" si="27"/>
        <v>-1</v>
      </c>
      <c r="O36" s="12"/>
      <c r="P36" s="1">
        <f>SUM(OSRRefP22_4x_0)</f>
        <v>-2.99</v>
      </c>
      <c r="Q36" s="1"/>
      <c r="R36" s="5">
        <f t="shared" si="28"/>
        <v>0</v>
      </c>
      <c r="S36" s="1"/>
      <c r="T36" s="1">
        <f>SUM(OSRRefT22_4x_0)</f>
        <v>140.55000000000001</v>
      </c>
      <c r="U36" s="1"/>
      <c r="V36" s="5">
        <f t="shared" si="29"/>
        <v>0</v>
      </c>
      <c r="W36" s="1"/>
      <c r="X36" s="1">
        <f t="shared" si="30"/>
        <v>-143.54000000000002</v>
      </c>
      <c r="Y36" s="1"/>
      <c r="Z36" s="5">
        <f t="shared" si="31"/>
        <v>-1.0212735681252223</v>
      </c>
    </row>
    <row r="37" spans="1:26" s="23" customFormat="1" hidden="1" outlineLevel="2" x14ac:dyDescent="0.25">
      <c r="A37" s="25"/>
      <c r="B37" s="10" t="str">
        <f>CONCATENATE("          ", "6241", " - ", "OFFICE EXPENSE")</f>
        <v xml:space="preserve">          6241 - OFFICE EXPENSE</v>
      </c>
      <c r="C37" s="10"/>
      <c r="D37" s="6"/>
      <c r="E37" s="2"/>
      <c r="F37" s="7">
        <f t="shared" si="24"/>
        <v>0</v>
      </c>
      <c r="G37" s="2"/>
      <c r="H37" s="6">
        <v>67.69</v>
      </c>
      <c r="I37" s="2"/>
      <c r="J37" s="7">
        <f t="shared" si="25"/>
        <v>0</v>
      </c>
      <c r="K37" s="2"/>
      <c r="L37" s="6">
        <f t="shared" si="26"/>
        <v>-67.69</v>
      </c>
      <c r="M37" s="2"/>
      <c r="N37" s="7">
        <f t="shared" si="27"/>
        <v>-1</v>
      </c>
      <c r="O37" s="10"/>
      <c r="P37" s="6">
        <v>-2.99</v>
      </c>
      <c r="Q37" s="2"/>
      <c r="R37" s="7">
        <f t="shared" si="28"/>
        <v>0</v>
      </c>
      <c r="S37" s="2"/>
      <c r="T37" s="6">
        <v>140.55000000000001</v>
      </c>
      <c r="U37" s="2"/>
      <c r="V37" s="7">
        <f t="shared" si="29"/>
        <v>0</v>
      </c>
      <c r="W37" s="2"/>
      <c r="X37" s="6">
        <f t="shared" si="30"/>
        <v>-143.54000000000002</v>
      </c>
      <c r="Y37" s="2"/>
      <c r="Z37" s="7">
        <f t="shared" si="31"/>
        <v>-1.0212735681252223</v>
      </c>
    </row>
    <row r="38" spans="1:26" s="26" customFormat="1" outlineLevel="1" collapsed="1" x14ac:dyDescent="0.25">
      <c r="A38" s="27"/>
      <c r="B38" s="12" t="str">
        <f>CONCATENATE("     ","Telephone/Data Lines                              ")</f>
        <v xml:space="preserve">     Telephone/Data Lines                              </v>
      </c>
      <c r="C38" s="12"/>
      <c r="D38" s="1">
        <f>SUM(OSRRefD22_5x_0)</f>
        <v>186</v>
      </c>
      <c r="E38" s="1"/>
      <c r="F38" s="5">
        <f t="shared" si="24"/>
        <v>0</v>
      </c>
      <c r="G38" s="1"/>
      <c r="H38" s="1">
        <f>SUM(OSRRefH22_5x_0)</f>
        <v>88.55</v>
      </c>
      <c r="I38" s="1"/>
      <c r="J38" s="5">
        <f t="shared" si="25"/>
        <v>0</v>
      </c>
      <c r="K38" s="1"/>
      <c r="L38" s="1">
        <f t="shared" si="26"/>
        <v>97.45</v>
      </c>
      <c r="M38" s="1"/>
      <c r="N38" s="5">
        <f t="shared" si="27"/>
        <v>1.1005081874647094</v>
      </c>
      <c r="O38" s="12"/>
      <c r="P38" s="1">
        <f>SUM(OSRRefP22_5x_0)</f>
        <v>813</v>
      </c>
      <c r="Q38" s="1"/>
      <c r="R38" s="5">
        <f t="shared" si="28"/>
        <v>0</v>
      </c>
      <c r="S38" s="1"/>
      <c r="T38" s="1">
        <f>SUM(OSRRefT22_5x_0)</f>
        <v>1030.5999999999999</v>
      </c>
      <c r="U38" s="1"/>
      <c r="V38" s="5">
        <f t="shared" si="29"/>
        <v>0</v>
      </c>
      <c r="W38" s="1"/>
      <c r="X38" s="1">
        <f t="shared" si="30"/>
        <v>-217.59999999999991</v>
      </c>
      <c r="Y38" s="1"/>
      <c r="Z38" s="5">
        <f t="shared" si="31"/>
        <v>-0.21113914224723454</v>
      </c>
    </row>
    <row r="39" spans="1:26" s="23" customFormat="1" hidden="1" outlineLevel="2" x14ac:dyDescent="0.25">
      <c r="A39" s="25"/>
      <c r="B39" s="10" t="str">
        <f>CONCATENATE("          ", "6309", " - ", "TELEPHONE")</f>
        <v xml:space="preserve">          6309 - TELEPHONE</v>
      </c>
      <c r="C39" s="10"/>
      <c r="D39" s="6">
        <v>186</v>
      </c>
      <c r="E39" s="2"/>
      <c r="F39" s="7">
        <f t="shared" si="24"/>
        <v>0</v>
      </c>
      <c r="G39" s="2"/>
      <c r="H39" s="6">
        <v>88.55</v>
      </c>
      <c r="I39" s="2"/>
      <c r="J39" s="7">
        <f t="shared" si="25"/>
        <v>0</v>
      </c>
      <c r="K39" s="2"/>
      <c r="L39" s="6">
        <f t="shared" si="26"/>
        <v>97.45</v>
      </c>
      <c r="M39" s="2"/>
      <c r="N39" s="7">
        <f t="shared" si="27"/>
        <v>1.1005081874647094</v>
      </c>
      <c r="O39" s="10"/>
      <c r="P39" s="6">
        <v>813</v>
      </c>
      <c r="Q39" s="2"/>
      <c r="R39" s="7">
        <f t="shared" si="28"/>
        <v>0</v>
      </c>
      <c r="S39" s="2"/>
      <c r="T39" s="6">
        <v>1030.5999999999999</v>
      </c>
      <c r="U39" s="2"/>
      <c r="V39" s="7">
        <f t="shared" si="29"/>
        <v>0</v>
      </c>
      <c r="W39" s="2"/>
      <c r="X39" s="6">
        <f t="shared" si="30"/>
        <v>-217.59999999999991</v>
      </c>
      <c r="Y39" s="2"/>
      <c r="Z39" s="7">
        <f t="shared" si="31"/>
        <v>-0.21113914224723454</v>
      </c>
    </row>
    <row r="40" spans="1:26" s="26" customFormat="1" outlineLevel="1" collapsed="1" x14ac:dyDescent="0.25">
      <c r="A40" s="27"/>
      <c r="B40" s="12" t="str">
        <f>CONCATENATE("     ","Travel                                            ")</f>
        <v xml:space="preserve">     Travel                                            </v>
      </c>
      <c r="C40" s="12"/>
      <c r="D40" s="1">
        <f>SUM(OSRRefD22_6x_0)</f>
        <v>0</v>
      </c>
      <c r="E40" s="1"/>
      <c r="F40" s="5">
        <f t="shared" si="24"/>
        <v>0</v>
      </c>
      <c r="G40" s="1"/>
      <c r="H40" s="1">
        <f>SUM(OSRRefH22_6x_0)</f>
        <v>1212.73</v>
      </c>
      <c r="I40" s="1"/>
      <c r="J40" s="5">
        <f t="shared" si="25"/>
        <v>0</v>
      </c>
      <c r="K40" s="1"/>
      <c r="L40" s="1">
        <f t="shared" si="26"/>
        <v>-1212.73</v>
      </c>
      <c r="M40" s="1"/>
      <c r="N40" s="5">
        <f t="shared" si="27"/>
        <v>-1</v>
      </c>
      <c r="O40" s="12"/>
      <c r="P40" s="1">
        <f>SUM(OSRRefP22_6x_0)</f>
        <v>0</v>
      </c>
      <c r="Q40" s="1"/>
      <c r="R40" s="5">
        <f t="shared" si="28"/>
        <v>0</v>
      </c>
      <c r="S40" s="1"/>
      <c r="T40" s="1">
        <f>SUM(OSRRefT22_6x_0)</f>
        <v>1212.73</v>
      </c>
      <c r="U40" s="1"/>
      <c r="V40" s="5">
        <f t="shared" si="29"/>
        <v>0</v>
      </c>
      <c r="W40" s="1"/>
      <c r="X40" s="1">
        <f t="shared" si="30"/>
        <v>-1212.73</v>
      </c>
      <c r="Y40" s="1"/>
      <c r="Z40" s="5">
        <f t="shared" si="31"/>
        <v>-1</v>
      </c>
    </row>
    <row r="41" spans="1:26" s="23" customFormat="1" hidden="1" outlineLevel="2" x14ac:dyDescent="0.25">
      <c r="A41" s="25"/>
      <c r="B41" s="10" t="str">
        <f>CONCATENATE("          ", "6292", " - ", "TRAVEL/CONFERENCE")</f>
        <v xml:space="preserve">          6292 - TRAVEL/CONFERENCE</v>
      </c>
      <c r="C41" s="10"/>
      <c r="D41" s="6"/>
      <c r="E41" s="2"/>
      <c r="F41" s="7">
        <f t="shared" si="24"/>
        <v>0</v>
      </c>
      <c r="G41" s="2"/>
      <c r="H41" s="6">
        <v>1212.73</v>
      </c>
      <c r="I41" s="2"/>
      <c r="J41" s="7">
        <f t="shared" si="25"/>
        <v>0</v>
      </c>
      <c r="K41" s="2"/>
      <c r="L41" s="6">
        <f t="shared" si="26"/>
        <v>-1212.73</v>
      </c>
      <c r="M41" s="2"/>
      <c r="N41" s="7">
        <f t="shared" si="27"/>
        <v>-1</v>
      </c>
      <c r="O41" s="10"/>
      <c r="P41" s="6"/>
      <c r="Q41" s="2"/>
      <c r="R41" s="7">
        <f t="shared" si="28"/>
        <v>0</v>
      </c>
      <c r="S41" s="2"/>
      <c r="T41" s="6">
        <v>1212.73</v>
      </c>
      <c r="U41" s="2"/>
      <c r="V41" s="7">
        <f t="shared" si="29"/>
        <v>0</v>
      </c>
      <c r="W41" s="2"/>
      <c r="X41" s="6">
        <f t="shared" si="30"/>
        <v>-1212.73</v>
      </c>
      <c r="Y41" s="2"/>
      <c r="Z41" s="7">
        <f t="shared" si="31"/>
        <v>-1</v>
      </c>
    </row>
    <row r="42" spans="1:26" s="60" customFormat="1" x14ac:dyDescent="0.2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4" customFormat="1" collapsed="1" x14ac:dyDescent="0.25">
      <c r="A43" s="11"/>
      <c r="B43" s="28" t="s">
        <v>292</v>
      </c>
      <c r="C43" s="11"/>
      <c r="D43" s="4">
        <f>SUM(OSRRefD25x_0)</f>
        <v>0</v>
      </c>
      <c r="E43" s="4"/>
      <c r="F43" s="13">
        <f t="shared" ref="F43:F44" si="32">IF(D$12=0,0,D43/D$12)</f>
        <v>0</v>
      </c>
      <c r="G43" s="4"/>
      <c r="H43" s="4">
        <f>SUM(OSRRefH25x_0)</f>
        <v>22450.79</v>
      </c>
      <c r="I43" s="4"/>
      <c r="J43" s="13">
        <f t="shared" ref="J43:J44" si="33">IF(H$12=0,0,H43/H$12)</f>
        <v>0</v>
      </c>
      <c r="K43" s="4"/>
      <c r="L43" s="4">
        <f t="shared" ref="L43:L44" si="34">+D43-H43</f>
        <v>-22450.79</v>
      </c>
      <c r="M43" s="4"/>
      <c r="N43" s="13">
        <f t="shared" ref="N43:N44" si="35">IF(H43=0,0,L43/H43)</f>
        <v>-1</v>
      </c>
      <c r="O43" s="11"/>
      <c r="P43" s="4">
        <f>SUM(OSRRefP25x_0)</f>
        <v>0</v>
      </c>
      <c r="Q43" s="4"/>
      <c r="R43" s="13">
        <f t="shared" ref="R43:R44" si="36">IF(P$12=0,0,P43/P$12)</f>
        <v>0</v>
      </c>
      <c r="S43" s="4"/>
      <c r="T43" s="4">
        <f>SUM(OSRRefT25x_0)</f>
        <v>142783.59</v>
      </c>
      <c r="U43" s="4"/>
      <c r="V43" s="13">
        <f t="shared" ref="V43:V44" si="37">IF(T$12=0,0,T43/T$12)</f>
        <v>0</v>
      </c>
      <c r="W43" s="4"/>
      <c r="X43" s="4">
        <f t="shared" ref="X43:X44" si="38">+P43-T43</f>
        <v>-142783.59</v>
      </c>
      <c r="Y43" s="4"/>
      <c r="Z43" s="13">
        <f t="shared" ref="Z43:Z44" si="39">IF(T43=0,0,X43/T43)</f>
        <v>-1</v>
      </c>
    </row>
    <row r="44" spans="1:26" s="23" customFormat="1" hidden="1" outlineLevel="1" x14ac:dyDescent="0.25">
      <c r="A44" s="44"/>
      <c r="B44" s="10" t="str">
        <f>CONCATENATE("          ", "9150", " - ", "MISC. INCOME")</f>
        <v xml:space="preserve">          9150 - MISC. INCOME</v>
      </c>
      <c r="C44" s="10"/>
      <c r="D44" s="2">
        <f>0</f>
        <v>0</v>
      </c>
      <c r="E44" s="2"/>
      <c r="F44" s="19">
        <f t="shared" si="32"/>
        <v>0</v>
      </c>
      <c r="G44" s="2"/>
      <c r="H44" s="2">
        <f>--22450.79</f>
        <v>22450.79</v>
      </c>
      <c r="I44" s="2"/>
      <c r="J44" s="19">
        <f t="shared" si="33"/>
        <v>0</v>
      </c>
      <c r="K44" s="2"/>
      <c r="L44" s="2">
        <f t="shared" si="34"/>
        <v>-22450.79</v>
      </c>
      <c r="M44" s="2"/>
      <c r="N44" s="19">
        <f t="shared" si="35"/>
        <v>-1</v>
      </c>
      <c r="O44" s="10"/>
      <c r="P44" s="2">
        <f>0</f>
        <v>0</v>
      </c>
      <c r="Q44" s="2"/>
      <c r="R44" s="19">
        <f t="shared" si="36"/>
        <v>0</v>
      </c>
      <c r="S44" s="2"/>
      <c r="T44" s="2">
        <f>--142783.59</f>
        <v>142783.59</v>
      </c>
      <c r="U44" s="2"/>
      <c r="V44" s="19">
        <f t="shared" si="37"/>
        <v>0</v>
      </c>
      <c r="W44" s="2"/>
      <c r="X44" s="2">
        <f t="shared" si="38"/>
        <v>-142783.59</v>
      </c>
      <c r="Y44" s="2"/>
      <c r="Z44" s="19">
        <f t="shared" si="39"/>
        <v>-1</v>
      </c>
    </row>
    <row r="45" spans="1:26" x14ac:dyDescent="0.25">
      <c r="A45" s="9"/>
      <c r="B45" s="11"/>
      <c r="C45" s="11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1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4" customFormat="1" x14ac:dyDescent="0.25">
      <c r="A46" s="11"/>
      <c r="B46" s="29" t="s">
        <v>276</v>
      </c>
      <c r="C46" s="29"/>
      <c r="D46" s="22">
        <f>+D17-D19+D43</f>
        <v>-186</v>
      </c>
      <c r="E46" s="14"/>
      <c r="F46" s="20">
        <f>IF(D$12=0,0,D46/D$12)</f>
        <v>0</v>
      </c>
      <c r="G46" s="14"/>
      <c r="H46" s="22">
        <f>+H17-H19+H43</f>
        <v>-8767.119999999999</v>
      </c>
      <c r="I46" s="14"/>
      <c r="J46" s="20">
        <f>IF(H$12=0,0,H46/H$12)</f>
        <v>0</v>
      </c>
      <c r="K46" s="15"/>
      <c r="L46" s="22">
        <f>+D46-H46</f>
        <v>8581.119999999999</v>
      </c>
      <c r="M46" s="15"/>
      <c r="N46" s="20">
        <f>IF(H46=0,0,L46/H46)</f>
        <v>-0.97878436704413763</v>
      </c>
      <c r="O46" s="28"/>
      <c r="P46" s="22">
        <f>+P17-P19+P43</f>
        <v>-3288.7400000000002</v>
      </c>
      <c r="Q46" s="14"/>
      <c r="R46" s="20">
        <f>IF(P$12=0,0,P46/P$12)</f>
        <v>0</v>
      </c>
      <c r="S46" s="14"/>
      <c r="T46" s="22">
        <f>+T17-T19+T43</f>
        <v>25249.540000000008</v>
      </c>
      <c r="U46" s="14"/>
      <c r="V46" s="20">
        <f>IF(T$12=0,0,T46/T$12)</f>
        <v>0</v>
      </c>
      <c r="W46" s="15"/>
      <c r="X46" s="22">
        <f>+P46-T46</f>
        <v>-28538.28000000001</v>
      </c>
      <c r="Y46" s="15"/>
      <c r="Z46" s="20">
        <f>IF(T46=0,0,X46/T46)</f>
        <v>-1.1302495015750782</v>
      </c>
    </row>
    <row r="47" spans="1:26" x14ac:dyDescent="0.25">
      <c r="A47" s="9"/>
      <c r="B47" s="11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4" customFormat="1" x14ac:dyDescent="0.25">
      <c r="A48" s="51"/>
      <c r="B48" s="11" t="s">
        <v>127</v>
      </c>
      <c r="C48" s="11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1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1"/>
      <c r="C49" s="11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1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4" customFormat="1" ht="15.75" thickBot="1" x14ac:dyDescent="0.3">
      <c r="A50" s="11"/>
      <c r="B50" s="29" t="s">
        <v>125</v>
      </c>
      <c r="C50" s="29"/>
      <c r="D50" s="30">
        <f>+D46-D48</f>
        <v>-186</v>
      </c>
      <c r="E50" s="14"/>
      <c r="F50" s="36">
        <f>IF(D$12=0,0,D50/D$12)</f>
        <v>0</v>
      </c>
      <c r="G50" s="14"/>
      <c r="H50" s="30">
        <f>+H46-H48</f>
        <v>-8767.119999999999</v>
      </c>
      <c r="I50" s="14"/>
      <c r="J50" s="36">
        <f>IF(H$12=0,0,H50/H$12)</f>
        <v>0</v>
      </c>
      <c r="K50" s="15"/>
      <c r="L50" s="30">
        <f>D50-H50</f>
        <v>8581.119999999999</v>
      </c>
      <c r="M50" s="15"/>
      <c r="N50" s="36">
        <f>IF(H50=0,0,L50/H50)</f>
        <v>-0.97878436704413763</v>
      </c>
      <c r="O50" s="28"/>
      <c r="P50" s="30">
        <f>+P46-P48</f>
        <v>-3288.7400000000002</v>
      </c>
      <c r="Q50" s="14"/>
      <c r="R50" s="36">
        <f>IF(P$12=0,0,P50/P$12)</f>
        <v>0</v>
      </c>
      <c r="S50" s="14"/>
      <c r="T50" s="30">
        <f>+T46-T48</f>
        <v>25249.540000000008</v>
      </c>
      <c r="U50" s="14"/>
      <c r="V50" s="36">
        <f>IF(T$12=0,0,T50/T$12)</f>
        <v>0</v>
      </c>
      <c r="W50" s="15"/>
      <c r="X50" s="30">
        <f>P50-T50</f>
        <v>-28538.28000000001</v>
      </c>
      <c r="Y50" s="15"/>
      <c r="Z50" s="36">
        <f>IF(T50=0,0,X50/T50)</f>
        <v>-1.1302495015750782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ht="15.75" thickBot="1" x14ac:dyDescent="0.3">
      <c r="A53" s="11"/>
      <c r="B53" s="29" t="s">
        <v>293</v>
      </c>
      <c r="C53" s="29"/>
      <c r="D53" s="35">
        <f>SUM(D50:D52)</f>
        <v>-186</v>
      </c>
      <c r="E53" s="14"/>
      <c r="F53" s="34">
        <f>IF(D$12=0,0,D53/D$12)</f>
        <v>0</v>
      </c>
      <c r="G53" s="14"/>
      <c r="H53" s="35">
        <f>SUM(H50:H52)</f>
        <v>-8767.119999999999</v>
      </c>
      <c r="I53" s="14"/>
      <c r="J53" s="34">
        <f>IF(H$12=0,0,H53/H$12)</f>
        <v>0</v>
      </c>
      <c r="K53" s="15"/>
      <c r="L53" s="35">
        <f>+D53-H53</f>
        <v>8581.119999999999</v>
      </c>
      <c r="M53" s="15"/>
      <c r="N53" s="34">
        <f>IF(H53=0,0,L53/H53)</f>
        <v>-0.97878436704413763</v>
      </c>
      <c r="O53" s="28"/>
      <c r="P53" s="35">
        <f>SUM(P50:P52)</f>
        <v>-3288.7400000000002</v>
      </c>
      <c r="Q53" s="14"/>
      <c r="R53" s="34">
        <f>IF(P$12=0,0,P53/P$12)</f>
        <v>0</v>
      </c>
      <c r="S53" s="14"/>
      <c r="T53" s="35">
        <f>SUM(T50:T52)</f>
        <v>25249.540000000008</v>
      </c>
      <c r="U53" s="14"/>
      <c r="V53" s="34">
        <f>IF(T$12=0,0,T53/T$12)</f>
        <v>0</v>
      </c>
      <c r="W53" s="15"/>
      <c r="X53" s="35">
        <f>+P53-T53</f>
        <v>-28538.28000000001</v>
      </c>
      <c r="Y53" s="15"/>
      <c r="Z53" s="34">
        <f>IF(T53=0,0,X53/T53)</f>
        <v>-1.1302495015750782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4">
        <v>44295.963243634258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8" t="s">
        <v>56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62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","424", " - ", "Blair Field")</f>
        <v>Department 424 - Blair Field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28911.120000000003</v>
      </c>
      <c r="I12" s="4"/>
      <c r="J12" s="13"/>
      <c r="K12" s="4"/>
      <c r="L12" s="4">
        <f t="shared" ref="L12:L14" si="0">+D12-H12</f>
        <v>-28911.120000000003</v>
      </c>
      <c r="M12" s="4"/>
      <c r="N12" s="13">
        <f t="shared" ref="N12:N14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157290.23000000001</v>
      </c>
      <c r="U12" s="4"/>
      <c r="V12" s="13"/>
      <c r="W12" s="4"/>
      <c r="X12" s="4">
        <f t="shared" ref="X12:X14" si="2">+P12-T12</f>
        <v>-157290.23000000001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4" si="4">0</f>
        <v>0</v>
      </c>
      <c r="E13" s="2"/>
      <c r="F13" s="19"/>
      <c r="G13" s="2"/>
      <c r="H13" s="2">
        <f>--29215.24</f>
        <v>29215.24</v>
      </c>
      <c r="I13" s="2"/>
      <c r="J13" s="19"/>
      <c r="K13" s="2"/>
      <c r="L13" s="2">
        <f t="shared" si="0"/>
        <v>-29215.24</v>
      </c>
      <c r="M13" s="2"/>
      <c r="N13" s="19">
        <f t="shared" si="1"/>
        <v>-1</v>
      </c>
      <c r="O13" s="10"/>
      <c r="P13" s="2">
        <f t="shared" ref="P13:P14" si="5">0</f>
        <v>0</v>
      </c>
      <c r="Q13" s="2"/>
      <c r="R13" s="19"/>
      <c r="S13" s="2"/>
      <c r="T13" s="2">
        <f>--157788.64</f>
        <v>157788.64000000001</v>
      </c>
      <c r="U13" s="2"/>
      <c r="V13" s="19"/>
      <c r="W13" s="2"/>
      <c r="X13" s="2">
        <f t="shared" si="2"/>
        <v>-157788.64000000001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"4153", " - ", "NON-TAXABLE SALES-FOOD")</f>
        <v xml:space="preserve">          4153 - NON-TAXABLE SALES-FOOD</v>
      </c>
      <c r="C14" s="10"/>
      <c r="D14" s="2">
        <f t="shared" si="4"/>
        <v>0</v>
      </c>
      <c r="E14" s="2"/>
      <c r="F14" s="19"/>
      <c r="G14" s="2"/>
      <c r="H14" s="2">
        <f>-304.12</f>
        <v>-304.12</v>
      </c>
      <c r="I14" s="2"/>
      <c r="J14" s="19"/>
      <c r="K14" s="2"/>
      <c r="L14" s="2">
        <f t="shared" si="0"/>
        <v>304.12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-498.41</f>
        <v>-498.41</v>
      </c>
      <c r="U14" s="2"/>
      <c r="V14" s="19"/>
      <c r="W14" s="2"/>
      <c r="X14" s="2">
        <f t="shared" si="2"/>
        <v>498.41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7228.49</v>
      </c>
      <c r="I16" s="4"/>
      <c r="J16" s="13">
        <f t="shared" ref="J16:J18" si="7">IF(H$12=0,0,H16/H$12)</f>
        <v>0.25002455802473234</v>
      </c>
      <c r="K16" s="4"/>
      <c r="L16" s="4">
        <f t="shared" ref="L16:L18" si="8">+D16-H16</f>
        <v>-7228.49</v>
      </c>
      <c r="M16" s="4"/>
      <c r="N16" s="13">
        <f t="shared" ref="N16:N18" si="9">IF(H16=0,0,L16/H16)</f>
        <v>-1</v>
      </c>
      <c r="O16" s="11"/>
      <c r="P16" s="4">
        <f>SUM(OSRRefP16x_0)</f>
        <v>0</v>
      </c>
      <c r="Q16" s="4"/>
      <c r="R16" s="13">
        <f t="shared" ref="R16:R18" si="10">IF(P$12=0,0,P16/P$12)</f>
        <v>0</v>
      </c>
      <c r="S16" s="4"/>
      <c r="T16" s="4">
        <f>SUM(OSRRefT16x_0)</f>
        <v>39162.25</v>
      </c>
      <c r="U16" s="4"/>
      <c r="V16" s="13">
        <f t="shared" ref="V16:V18" si="11">IF(T$12=0,0,T16/T$12)</f>
        <v>0.24898081718107984</v>
      </c>
      <c r="W16" s="4"/>
      <c r="X16" s="4">
        <f t="shared" ref="X16:X18" si="12">+P16-T16</f>
        <v>-39162.25</v>
      </c>
      <c r="Y16" s="4"/>
      <c r="Z16" s="13">
        <f t="shared" ref="Z16:Z18" si="13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>
        <v>2730.49</v>
      </c>
      <c r="I17" s="2"/>
      <c r="J17" s="19">
        <f t="shared" si="7"/>
        <v>9.4444283030197362E-2</v>
      </c>
      <c r="K17" s="2"/>
      <c r="L17" s="2">
        <f t="shared" si="8"/>
        <v>-2730.49</v>
      </c>
      <c r="M17" s="2"/>
      <c r="N17" s="19">
        <f t="shared" si="9"/>
        <v>-1</v>
      </c>
      <c r="O17" s="10"/>
      <c r="P17" s="2"/>
      <c r="Q17" s="2"/>
      <c r="R17" s="19">
        <f t="shared" si="10"/>
        <v>0</v>
      </c>
      <c r="S17" s="2"/>
      <c r="T17" s="2">
        <v>43126.25</v>
      </c>
      <c r="U17" s="2"/>
      <c r="V17" s="19">
        <f t="shared" si="11"/>
        <v>0.27418263677279892</v>
      </c>
      <c r="W17" s="2"/>
      <c r="X17" s="2">
        <f t="shared" si="12"/>
        <v>-43126.25</v>
      </c>
      <c r="Y17" s="2"/>
      <c r="Z17" s="19">
        <f t="shared" si="13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4498</v>
      </c>
      <c r="I18" s="2"/>
      <c r="J18" s="19">
        <f t="shared" si="7"/>
        <v>0.15558027499453497</v>
      </c>
      <c r="K18" s="2"/>
      <c r="L18" s="2">
        <f t="shared" si="8"/>
        <v>-4498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-3964</v>
      </c>
      <c r="U18" s="2"/>
      <c r="V18" s="19">
        <f t="shared" si="11"/>
        <v>-2.5201819591719077E-2</v>
      </c>
      <c r="W18" s="2"/>
      <c r="X18" s="2">
        <f t="shared" si="12"/>
        <v>3964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21682.630000000005</v>
      </c>
      <c r="I20" s="14"/>
      <c r="J20" s="20">
        <f>IF(H$12=0,0,H20/H$12)</f>
        <v>0.74997544197526778</v>
      </c>
      <c r="K20" s="15"/>
      <c r="L20" s="22">
        <f>+D20-H20</f>
        <v>-21682.630000000005</v>
      </c>
      <c r="M20" s="15"/>
      <c r="N20" s="20">
        <f>IF(H20=0,0,L20/H20)</f>
        <v>-1</v>
      </c>
      <c r="O20" s="28"/>
      <c r="P20" s="22">
        <f>P12-P16</f>
        <v>0</v>
      </c>
      <c r="Q20" s="14"/>
      <c r="R20" s="20">
        <f>IF(P$12=0,0,P20/P$12)</f>
        <v>0</v>
      </c>
      <c r="S20" s="14"/>
      <c r="T20" s="22">
        <f>T12-T16</f>
        <v>118127.98000000001</v>
      </c>
      <c r="U20" s="14"/>
      <c r="V20" s="20">
        <f>IF(T$12=0,0,T20/T$12)</f>
        <v>0.75101918281892022</v>
      </c>
      <c r="W20" s="15"/>
      <c r="X20" s="22">
        <f>+P20-T20</f>
        <v>-118127.98000000001</v>
      </c>
      <c r="Y20" s="15"/>
      <c r="Z20" s="20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934.29</v>
      </c>
      <c r="E22" s="21"/>
      <c r="F22" s="31">
        <f t="shared" ref="F22:F25" si="14">IF(D$12=0,0,D22/D$12)</f>
        <v>0</v>
      </c>
      <c r="G22" s="21"/>
      <c r="H22" s="21">
        <f>SUM(OSRRefH22x_0)</f>
        <v>19000.8</v>
      </c>
      <c r="I22" s="21"/>
      <c r="J22" s="31">
        <f t="shared" ref="J22:J25" si="15">IF(H$12=0,0,H22/H$12)</f>
        <v>0.65721424835841702</v>
      </c>
      <c r="K22" s="4"/>
      <c r="L22" s="21">
        <f t="shared" ref="L22:L25" si="16">+D22-H22</f>
        <v>-18066.509999999998</v>
      </c>
      <c r="M22" s="4"/>
      <c r="N22" s="31">
        <f t="shared" ref="N22:N25" si="17">IF(H22=0,0,L22/H22)</f>
        <v>-0.95082891246684342</v>
      </c>
      <c r="O22" s="11"/>
      <c r="P22" s="21">
        <f>SUM(OSRRefP22x_0)</f>
        <v>5874.5</v>
      </c>
      <c r="Q22" s="21"/>
      <c r="R22" s="31">
        <f t="shared" ref="R22:R25" si="18">IF(P$12=0,0,P22/P$12)</f>
        <v>0</v>
      </c>
      <c r="S22" s="21"/>
      <c r="T22" s="21">
        <f>SUM(OSRRefT22x_0)</f>
        <v>88247.859999999986</v>
      </c>
      <c r="U22" s="21"/>
      <c r="V22" s="31">
        <f t="shared" ref="V22:V25" si="19">IF(T$12=0,0,T22/T$12)</f>
        <v>0.56105112186561101</v>
      </c>
      <c r="W22" s="4"/>
      <c r="X22" s="21">
        <f t="shared" ref="X22:X25" si="20">+P22-T22</f>
        <v>-82373.359999999986</v>
      </c>
      <c r="Y22" s="4"/>
      <c r="Z22" s="31">
        <f t="shared" ref="Z22:Z25" si="21">IF(T22=0,0,X22/T22)</f>
        <v>-0.9334318135306624</v>
      </c>
    </row>
    <row r="23" spans="1:26" s="26" customFormat="1" outlineLevel="1" collapsed="1" x14ac:dyDescent="0.25">
      <c r="A23" s="27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388.13</v>
      </c>
      <c r="I23" s="1"/>
      <c r="J23" s="5">
        <f t="shared" si="15"/>
        <v>1.3424938224461728E-2</v>
      </c>
      <c r="K23" s="1"/>
      <c r="L23" s="1">
        <f t="shared" si="16"/>
        <v>-388.13</v>
      </c>
      <c r="M23" s="1"/>
      <c r="N23" s="5">
        <f t="shared" si="17"/>
        <v>-1</v>
      </c>
      <c r="O23" s="12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1171.8399999999999</v>
      </c>
      <c r="U23" s="1"/>
      <c r="V23" s="5">
        <f t="shared" si="19"/>
        <v>7.4501766575075885E-3</v>
      </c>
      <c r="W23" s="1"/>
      <c r="X23" s="1">
        <f t="shared" si="20"/>
        <v>-1171.8399999999999</v>
      </c>
      <c r="Y23" s="1"/>
      <c r="Z23" s="5">
        <f t="shared" si="21"/>
        <v>-1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388.13</v>
      </c>
      <c r="I24" s="2"/>
      <c r="J24" s="7">
        <f t="shared" si="15"/>
        <v>1.3424938224461728E-2</v>
      </c>
      <c r="K24" s="2"/>
      <c r="L24" s="6">
        <f t="shared" si="16"/>
        <v>-388.13</v>
      </c>
      <c r="M24" s="2"/>
      <c r="N24" s="7">
        <f t="shared" si="17"/>
        <v>-1</v>
      </c>
      <c r="O24" s="10"/>
      <c r="P24" s="6"/>
      <c r="Q24" s="2"/>
      <c r="R24" s="7">
        <f t="shared" si="18"/>
        <v>0</v>
      </c>
      <c r="S24" s="2"/>
      <c r="T24" s="6">
        <v>1182.24</v>
      </c>
      <c r="U24" s="2"/>
      <c r="V24" s="7">
        <f t="shared" si="19"/>
        <v>7.5162964667290517E-3</v>
      </c>
      <c r="W24" s="2"/>
      <c r="X24" s="6">
        <f t="shared" si="20"/>
        <v>-1182.24</v>
      </c>
      <c r="Y24" s="2"/>
      <c r="Z24" s="7">
        <f t="shared" si="21"/>
        <v>-1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/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0"/>
      <c r="P25" s="6"/>
      <c r="Q25" s="2"/>
      <c r="R25" s="7">
        <f t="shared" si="18"/>
        <v>0</v>
      </c>
      <c r="S25" s="2"/>
      <c r="T25" s="6">
        <v>-10.4</v>
      </c>
      <c r="U25" s="2"/>
      <c r="V25" s="7">
        <f t="shared" si="19"/>
        <v>-6.6119809221462769E-5</v>
      </c>
      <c r="W25" s="2"/>
      <c r="X25" s="6">
        <f t="shared" si="20"/>
        <v>10.4</v>
      </c>
      <c r="Y25" s="2"/>
      <c r="Z25" s="7">
        <f t="shared" si="21"/>
        <v>-1</v>
      </c>
    </row>
    <row r="26" spans="1:26" s="26" customFormat="1" outlineLevel="1" collapsed="1" x14ac:dyDescent="0.25">
      <c r="A26" s="27"/>
      <c r="B26" s="12" t="str">
        <f>CONCATENATE("     ","*Payroll                                          ")</f>
        <v xml:space="preserve">     *Payroll                                          </v>
      </c>
      <c r="C26" s="12"/>
      <c r="D26" s="1">
        <f>SUM(OSRRefD22_1x_0)</f>
        <v>0</v>
      </c>
      <c r="E26" s="1"/>
      <c r="F26" s="5">
        <f t="shared" ref="F26:F31" si="22">IF(D$12=0,0,D26/D$12)</f>
        <v>0</v>
      </c>
      <c r="G26" s="1"/>
      <c r="H26" s="1">
        <f>SUM(OSRRefH22_1x_0)</f>
        <v>7673.1500000000005</v>
      </c>
      <c r="I26" s="1"/>
      <c r="J26" s="5">
        <f t="shared" ref="J26:J31" si="23">IF(H$12=0,0,H26/H$12)</f>
        <v>0.26540479926063049</v>
      </c>
      <c r="K26" s="1"/>
      <c r="L26" s="1">
        <f t="shared" ref="L26:L31" si="24">+D26-H26</f>
        <v>-7673.1500000000005</v>
      </c>
      <c r="M26" s="1"/>
      <c r="N26" s="5">
        <f t="shared" ref="N26:N31" si="25">IF(H26=0,0,L26/H26)</f>
        <v>-1</v>
      </c>
      <c r="O26" s="12"/>
      <c r="P26" s="1">
        <f>SUM(OSRRefP22_1x_0)</f>
        <v>0</v>
      </c>
      <c r="Q26" s="1"/>
      <c r="R26" s="5">
        <f t="shared" ref="R26:R31" si="26">IF(P$12=0,0,P26/P$12)</f>
        <v>0</v>
      </c>
      <c r="S26" s="1"/>
      <c r="T26" s="1">
        <f>SUM(OSRRefT22_1x_0)</f>
        <v>29540.829999999998</v>
      </c>
      <c r="U26" s="1"/>
      <c r="V26" s="5">
        <f t="shared" ref="V26:V31" si="27">IF(T$12=0,0,T26/T$12)</f>
        <v>0.18781096575419845</v>
      </c>
      <c r="W26" s="1"/>
      <c r="X26" s="1">
        <f t="shared" ref="X26:X31" si="28">+P26-T26</f>
        <v>-29540.829999999998</v>
      </c>
      <c r="Y26" s="1"/>
      <c r="Z26" s="5">
        <f t="shared" ref="Z26:Z31" si="29">IF(T26=0,0,X26/T26)</f>
        <v>-1</v>
      </c>
    </row>
    <row r="27" spans="1:26" s="23" customFormat="1" hidden="1" outlineLevel="2" x14ac:dyDescent="0.25">
      <c r="A27" s="25"/>
      <c r="B27" s="10" t="str">
        <f>CONCATENATE("          ", "6004", " - ", "STAFF HOURLY")</f>
        <v xml:space="preserve">          6004 - STAFF HOURLY</v>
      </c>
      <c r="C27" s="10"/>
      <c r="D27" s="6"/>
      <c r="E27" s="2"/>
      <c r="F27" s="7">
        <f t="shared" si="22"/>
        <v>0</v>
      </c>
      <c r="G27" s="2"/>
      <c r="H27" s="6">
        <v>1464</v>
      </c>
      <c r="I27" s="2"/>
      <c r="J27" s="7">
        <f t="shared" si="23"/>
        <v>5.0637955222765492E-2</v>
      </c>
      <c r="K27" s="2"/>
      <c r="L27" s="6">
        <f t="shared" si="24"/>
        <v>-1464</v>
      </c>
      <c r="M27" s="2"/>
      <c r="N27" s="7">
        <f t="shared" si="25"/>
        <v>-1</v>
      </c>
      <c r="O27" s="10"/>
      <c r="P27" s="6"/>
      <c r="Q27" s="2"/>
      <c r="R27" s="7">
        <f t="shared" si="26"/>
        <v>0</v>
      </c>
      <c r="S27" s="2"/>
      <c r="T27" s="6">
        <v>3193.41</v>
      </c>
      <c r="U27" s="2"/>
      <c r="V27" s="7">
        <f t="shared" si="27"/>
        <v>2.0302659612106866E-2</v>
      </c>
      <c r="W27" s="2"/>
      <c r="X27" s="6">
        <f t="shared" si="28"/>
        <v>-3193.41</v>
      </c>
      <c r="Y27" s="2"/>
      <c r="Z27" s="7">
        <f t="shared" si="29"/>
        <v>-1</v>
      </c>
    </row>
    <row r="28" spans="1:26" s="23" customFormat="1" hidden="1" outlineLevel="2" x14ac:dyDescent="0.25">
      <c r="A28" s="25"/>
      <c r="B28" s="10" t="str">
        <f>CONCATENATE("          ", "6005", " - ", "TEMPORARY WAGES-HOURLY")</f>
        <v xml:space="preserve">          6005 - TEMPORARY WAGES-HOURLY</v>
      </c>
      <c r="C28" s="10"/>
      <c r="D28" s="6"/>
      <c r="E28" s="2"/>
      <c r="F28" s="7">
        <f t="shared" si="22"/>
        <v>0</v>
      </c>
      <c r="G28" s="2"/>
      <c r="H28" s="6">
        <v>3609.51</v>
      </c>
      <c r="I28" s="2"/>
      <c r="J28" s="7">
        <f t="shared" si="23"/>
        <v>0.12484850119953844</v>
      </c>
      <c r="K28" s="2"/>
      <c r="L28" s="6">
        <f t="shared" si="24"/>
        <v>-3609.51</v>
      </c>
      <c r="M28" s="2"/>
      <c r="N28" s="7">
        <f t="shared" si="25"/>
        <v>-1</v>
      </c>
      <c r="O28" s="10"/>
      <c r="P28" s="6"/>
      <c r="Q28" s="2"/>
      <c r="R28" s="7">
        <f t="shared" si="26"/>
        <v>0</v>
      </c>
      <c r="S28" s="2"/>
      <c r="T28" s="6">
        <v>9782.57</v>
      </c>
      <c r="U28" s="2"/>
      <c r="V28" s="7">
        <f t="shared" si="27"/>
        <v>6.2194390586115866E-2</v>
      </c>
      <c r="W28" s="2"/>
      <c r="X28" s="6">
        <f t="shared" si="28"/>
        <v>-9782.57</v>
      </c>
      <c r="Y28" s="2"/>
      <c r="Z28" s="7">
        <f t="shared" si="29"/>
        <v>-1</v>
      </c>
    </row>
    <row r="29" spans="1:26" s="23" customFormat="1" hidden="1" outlineLevel="2" x14ac:dyDescent="0.25">
      <c r="A29" s="25"/>
      <c r="B29" s="10" t="str">
        <f>CONCATENATE("          ", "6006", " - ", "TEMPORARY PART TIME")</f>
        <v xml:space="preserve">          6006 - TEMPORARY PART TIME</v>
      </c>
      <c r="C29" s="10"/>
      <c r="D29" s="6"/>
      <c r="E29" s="2"/>
      <c r="F29" s="7">
        <f t="shared" si="22"/>
        <v>0</v>
      </c>
      <c r="G29" s="2"/>
      <c r="H29" s="6"/>
      <c r="I29" s="2"/>
      <c r="J29" s="7">
        <f t="shared" si="23"/>
        <v>0</v>
      </c>
      <c r="K29" s="2"/>
      <c r="L29" s="6">
        <f t="shared" si="24"/>
        <v>0</v>
      </c>
      <c r="M29" s="2"/>
      <c r="N29" s="7">
        <f t="shared" si="25"/>
        <v>0</v>
      </c>
      <c r="O29" s="10"/>
      <c r="P29" s="6"/>
      <c r="Q29" s="2"/>
      <c r="R29" s="7">
        <f t="shared" si="26"/>
        <v>0</v>
      </c>
      <c r="S29" s="2"/>
      <c r="T29" s="6">
        <v>247.5</v>
      </c>
      <c r="U29" s="2"/>
      <c r="V29" s="7">
        <f t="shared" si="27"/>
        <v>1.5735243059915418E-3</v>
      </c>
      <c r="W29" s="2"/>
      <c r="X29" s="6">
        <f t="shared" si="28"/>
        <v>-247.5</v>
      </c>
      <c r="Y29" s="2"/>
      <c r="Z29" s="7">
        <f t="shared" si="29"/>
        <v>-1</v>
      </c>
    </row>
    <row r="30" spans="1:26" s="23" customFormat="1" hidden="1" outlineLevel="2" x14ac:dyDescent="0.25">
      <c r="A30" s="25"/>
      <c r="B30" s="10" t="str">
        <f>CONCATENATE("          ", "6007", " - ", "STUDENT HOURLY")</f>
        <v xml:space="preserve">          6007 - STUDENT HOURLY</v>
      </c>
      <c r="C30" s="10"/>
      <c r="D30" s="6"/>
      <c r="E30" s="2"/>
      <c r="F30" s="7">
        <f t="shared" si="22"/>
        <v>0</v>
      </c>
      <c r="G30" s="2"/>
      <c r="H30" s="6">
        <v>1398.05</v>
      </c>
      <c r="I30" s="2"/>
      <c r="J30" s="7">
        <f t="shared" si="23"/>
        <v>4.8356826024035036E-2</v>
      </c>
      <c r="K30" s="2"/>
      <c r="L30" s="6">
        <f t="shared" si="24"/>
        <v>-1398.05</v>
      </c>
      <c r="M30" s="2"/>
      <c r="N30" s="7">
        <f t="shared" si="25"/>
        <v>-1</v>
      </c>
      <c r="O30" s="10"/>
      <c r="P30" s="6"/>
      <c r="Q30" s="2"/>
      <c r="R30" s="7">
        <f t="shared" si="26"/>
        <v>0</v>
      </c>
      <c r="S30" s="2"/>
      <c r="T30" s="6">
        <v>13228</v>
      </c>
      <c r="U30" s="2"/>
      <c r="V30" s="7">
        <f t="shared" si="27"/>
        <v>8.4099311190529755E-2</v>
      </c>
      <c r="W30" s="2"/>
      <c r="X30" s="6">
        <f t="shared" si="28"/>
        <v>-13228</v>
      </c>
      <c r="Y30" s="2"/>
      <c r="Z30" s="7">
        <f t="shared" si="29"/>
        <v>-1</v>
      </c>
    </row>
    <row r="31" spans="1:26" s="23" customFormat="1" hidden="1" outlineLevel="2" x14ac:dyDescent="0.25">
      <c r="A31" s="25"/>
      <c r="B31" s="10" t="str">
        <f>CONCATENATE("          ", "6008", " - ", "STUDENT HOURLY-FICA EXEMPT")</f>
        <v xml:space="preserve">          6008 - STUDENT HOURLY-FICA EXEMPT</v>
      </c>
      <c r="C31" s="10"/>
      <c r="D31" s="6"/>
      <c r="E31" s="2"/>
      <c r="F31" s="7">
        <f t="shared" si="22"/>
        <v>0</v>
      </c>
      <c r="G31" s="2"/>
      <c r="H31" s="6">
        <v>1201.5899999999999</v>
      </c>
      <c r="I31" s="2"/>
      <c r="J31" s="7">
        <f t="shared" si="23"/>
        <v>4.1561516814291516E-2</v>
      </c>
      <c r="K31" s="2"/>
      <c r="L31" s="6">
        <f t="shared" si="24"/>
        <v>-1201.5899999999999</v>
      </c>
      <c r="M31" s="2"/>
      <c r="N31" s="7">
        <f t="shared" si="25"/>
        <v>-1</v>
      </c>
      <c r="O31" s="10"/>
      <c r="P31" s="6"/>
      <c r="Q31" s="2"/>
      <c r="R31" s="7">
        <f t="shared" si="26"/>
        <v>0</v>
      </c>
      <c r="S31" s="2"/>
      <c r="T31" s="6">
        <v>3089.35</v>
      </c>
      <c r="U31" s="2"/>
      <c r="V31" s="7">
        <f t="shared" si="27"/>
        <v>1.9641080059454422E-2</v>
      </c>
      <c r="W31" s="2"/>
      <c r="X31" s="6">
        <f t="shared" si="28"/>
        <v>-3089.35</v>
      </c>
      <c r="Y31" s="2"/>
      <c r="Z31" s="7">
        <f t="shared" si="29"/>
        <v>-1</v>
      </c>
    </row>
    <row r="32" spans="1:26" s="26" customFormat="1" outlineLevel="1" collapsed="1" x14ac:dyDescent="0.25">
      <c r="A32" s="27"/>
      <c r="B32" s="12" t="str">
        <f>CONCATENATE("     ","Advertising/Promo                                 ")</f>
        <v xml:space="preserve">     Advertising/Promo                                 </v>
      </c>
      <c r="C32" s="12"/>
      <c r="D32" s="1">
        <f>SUM(OSRRefD22_2x_0)</f>
        <v>0</v>
      </c>
      <c r="E32" s="1"/>
      <c r="F32" s="5">
        <f t="shared" ref="F32:F46" si="30">IF(D$12=0,0,D32/D$12)</f>
        <v>0</v>
      </c>
      <c r="G32" s="1"/>
      <c r="H32" s="1">
        <f>SUM(OSRRefH22_2x_0)</f>
        <v>740.13</v>
      </c>
      <c r="I32" s="1"/>
      <c r="J32" s="5">
        <f t="shared" ref="J32:J46" si="31">IF(H$12=0,0,H32/H$12)</f>
        <v>2.5600184288951791E-2</v>
      </c>
      <c r="K32" s="1"/>
      <c r="L32" s="1">
        <f t="shared" ref="L32:L46" si="32">+D32-H32</f>
        <v>-740.13</v>
      </c>
      <c r="M32" s="1"/>
      <c r="N32" s="5">
        <f t="shared" ref="N32:N46" si="33">IF(H32=0,0,L32/H32)</f>
        <v>-1</v>
      </c>
      <c r="O32" s="12"/>
      <c r="P32" s="1">
        <f>SUM(OSRRefP22_2x_0)</f>
        <v>0</v>
      </c>
      <c r="Q32" s="1"/>
      <c r="R32" s="5">
        <f t="shared" ref="R32:R46" si="34">IF(P$12=0,0,P32/P$12)</f>
        <v>0</v>
      </c>
      <c r="S32" s="1"/>
      <c r="T32" s="1">
        <f>SUM(OSRRefT22_2x_0)</f>
        <v>3023.77</v>
      </c>
      <c r="U32" s="1"/>
      <c r="V32" s="5">
        <f t="shared" ref="V32:V46" si="35">IF(T$12=0,0,T32/T$12)</f>
        <v>1.9224143800921391E-2</v>
      </c>
      <c r="W32" s="1"/>
      <c r="X32" s="1">
        <f t="shared" ref="X32:X46" si="36">+P32-T32</f>
        <v>-3023.77</v>
      </c>
      <c r="Y32" s="1"/>
      <c r="Z32" s="5">
        <f t="shared" ref="Z32:Z46" si="37">IF(T32=0,0,X32/T32)</f>
        <v>-1</v>
      </c>
    </row>
    <row r="33" spans="1:26" s="23" customFormat="1" hidden="1" outlineLevel="2" x14ac:dyDescent="0.25">
      <c r="A33" s="25"/>
      <c r="B33" s="10" t="str">
        <f>CONCATENATE("          ", "6362", " - ", "ADVERTISING EXPENSE")</f>
        <v xml:space="preserve">          6362 - ADVERTISING EXPENSE</v>
      </c>
      <c r="C33" s="10"/>
      <c r="D33" s="6"/>
      <c r="E33" s="2"/>
      <c r="F33" s="7">
        <f t="shared" si="30"/>
        <v>0</v>
      </c>
      <c r="G33" s="2"/>
      <c r="H33" s="6">
        <v>740.13</v>
      </c>
      <c r="I33" s="2"/>
      <c r="J33" s="7">
        <f t="shared" si="31"/>
        <v>2.5600184288951791E-2</v>
      </c>
      <c r="K33" s="2"/>
      <c r="L33" s="6">
        <f t="shared" si="32"/>
        <v>-740.13</v>
      </c>
      <c r="M33" s="2"/>
      <c r="N33" s="7">
        <f t="shared" si="33"/>
        <v>-1</v>
      </c>
      <c r="O33" s="10"/>
      <c r="P33" s="6"/>
      <c r="Q33" s="2"/>
      <c r="R33" s="7">
        <f t="shared" si="34"/>
        <v>0</v>
      </c>
      <c r="S33" s="2"/>
      <c r="T33" s="6">
        <v>3023.77</v>
      </c>
      <c r="U33" s="2"/>
      <c r="V33" s="7">
        <f t="shared" si="35"/>
        <v>1.9224143800921391E-2</v>
      </c>
      <c r="W33" s="2"/>
      <c r="X33" s="6">
        <f t="shared" si="36"/>
        <v>-3023.77</v>
      </c>
      <c r="Y33" s="2"/>
      <c r="Z33" s="7">
        <f t="shared" si="37"/>
        <v>-1</v>
      </c>
    </row>
    <row r="34" spans="1:26" s="26" customFormat="1" outlineLevel="1" collapsed="1" x14ac:dyDescent="0.25">
      <c r="A34" s="27"/>
      <c r="B34" s="12" t="str">
        <f>CONCATENATE("     ","Bad Debts/Over/Short                              ")</f>
        <v xml:space="preserve">     Bad Debts/Over/Short                              </v>
      </c>
      <c r="C34" s="12"/>
      <c r="D34" s="1">
        <f>SUM(OSRRefD22_3x_0)</f>
        <v>0</v>
      </c>
      <c r="E34" s="1"/>
      <c r="F34" s="5">
        <f t="shared" si="30"/>
        <v>0</v>
      </c>
      <c r="G34" s="1"/>
      <c r="H34" s="1">
        <f>SUM(OSRRefH22_3x_0)</f>
        <v>15.65</v>
      </c>
      <c r="I34" s="1"/>
      <c r="J34" s="5">
        <f t="shared" si="31"/>
        <v>5.4131420712860657E-4</v>
      </c>
      <c r="K34" s="1"/>
      <c r="L34" s="1">
        <f t="shared" si="32"/>
        <v>-15.65</v>
      </c>
      <c r="M34" s="1"/>
      <c r="N34" s="5">
        <f t="shared" si="33"/>
        <v>-1</v>
      </c>
      <c r="O34" s="12"/>
      <c r="P34" s="1">
        <f>SUM(OSRRefP22_3x_0)</f>
        <v>0</v>
      </c>
      <c r="Q34" s="1"/>
      <c r="R34" s="5">
        <f t="shared" si="34"/>
        <v>0</v>
      </c>
      <c r="S34" s="1"/>
      <c r="T34" s="1">
        <f>SUM(OSRRefT22_3x_0)</f>
        <v>19.399999999999999</v>
      </c>
      <c r="U34" s="1"/>
      <c r="V34" s="5">
        <f t="shared" si="35"/>
        <v>1.2333887489388246E-4</v>
      </c>
      <c r="W34" s="1"/>
      <c r="X34" s="1">
        <f t="shared" si="36"/>
        <v>-19.399999999999999</v>
      </c>
      <c r="Y34" s="1"/>
      <c r="Z34" s="5">
        <f t="shared" si="37"/>
        <v>-1</v>
      </c>
    </row>
    <row r="35" spans="1:26" s="23" customFormat="1" hidden="1" outlineLevel="2" x14ac:dyDescent="0.25">
      <c r="A35" s="25"/>
      <c r="B35" s="10" t="str">
        <f>CONCATENATE("          ", "6272", " - ", "CASH (OVER/SHORT)")</f>
        <v xml:space="preserve">          6272 - CASH (OVER/SHORT)</v>
      </c>
      <c r="C35" s="10"/>
      <c r="D35" s="6"/>
      <c r="E35" s="2"/>
      <c r="F35" s="7">
        <f t="shared" si="30"/>
        <v>0</v>
      </c>
      <c r="G35" s="2"/>
      <c r="H35" s="6">
        <v>15.65</v>
      </c>
      <c r="I35" s="2"/>
      <c r="J35" s="7">
        <f t="shared" si="31"/>
        <v>5.4131420712860657E-4</v>
      </c>
      <c r="K35" s="2"/>
      <c r="L35" s="6">
        <f t="shared" si="32"/>
        <v>-15.65</v>
      </c>
      <c r="M35" s="2"/>
      <c r="N35" s="7">
        <f t="shared" si="33"/>
        <v>-1</v>
      </c>
      <c r="O35" s="10"/>
      <c r="P35" s="6"/>
      <c r="Q35" s="2"/>
      <c r="R35" s="7">
        <f t="shared" si="34"/>
        <v>0</v>
      </c>
      <c r="S35" s="2"/>
      <c r="T35" s="6">
        <v>19.399999999999999</v>
      </c>
      <c r="U35" s="2"/>
      <c r="V35" s="7">
        <f t="shared" si="35"/>
        <v>1.2333887489388246E-4</v>
      </c>
      <c r="W35" s="2"/>
      <c r="X35" s="6">
        <f t="shared" si="36"/>
        <v>-19.399999999999999</v>
      </c>
      <c r="Y35" s="2"/>
      <c r="Z35" s="7">
        <f t="shared" si="37"/>
        <v>-1</v>
      </c>
    </row>
    <row r="36" spans="1:26" s="26" customFormat="1" outlineLevel="1" collapsed="1" x14ac:dyDescent="0.25">
      <c r="A36" s="27"/>
      <c r="B36" s="12" t="str">
        <f>CONCATENATE("     ","Bank/card Fees                                    ")</f>
        <v xml:space="preserve">     Bank/card Fees                                    </v>
      </c>
      <c r="C36" s="12"/>
      <c r="D36" s="1">
        <f>SUM(OSRRefD22_4x_0)</f>
        <v>0</v>
      </c>
      <c r="E36" s="1"/>
      <c r="F36" s="5">
        <f t="shared" si="30"/>
        <v>0</v>
      </c>
      <c r="G36" s="1"/>
      <c r="H36" s="1">
        <f>SUM(OSRRefH22_4x_0)</f>
        <v>1252.45</v>
      </c>
      <c r="I36" s="1"/>
      <c r="J36" s="5">
        <f t="shared" si="31"/>
        <v>4.3320701515541425E-2</v>
      </c>
      <c r="K36" s="1"/>
      <c r="L36" s="1">
        <f t="shared" si="32"/>
        <v>-1252.45</v>
      </c>
      <c r="M36" s="1"/>
      <c r="N36" s="5">
        <f t="shared" si="33"/>
        <v>-1</v>
      </c>
      <c r="O36" s="12"/>
      <c r="P36" s="1">
        <f>SUM(OSRRefP22_4x_0)</f>
        <v>0</v>
      </c>
      <c r="Q36" s="1"/>
      <c r="R36" s="5">
        <f t="shared" si="34"/>
        <v>0</v>
      </c>
      <c r="S36" s="1"/>
      <c r="T36" s="1">
        <f>SUM(OSRRefT22_4x_0)</f>
        <v>4064.54</v>
      </c>
      <c r="U36" s="1"/>
      <c r="V36" s="5">
        <f t="shared" si="35"/>
        <v>2.5841020132019641E-2</v>
      </c>
      <c r="W36" s="1"/>
      <c r="X36" s="1">
        <f t="shared" si="36"/>
        <v>-4064.54</v>
      </c>
      <c r="Y36" s="1"/>
      <c r="Z36" s="5">
        <f t="shared" si="37"/>
        <v>-1</v>
      </c>
    </row>
    <row r="37" spans="1:26" s="23" customFormat="1" hidden="1" outlineLevel="2" x14ac:dyDescent="0.25">
      <c r="A37" s="25"/>
      <c r="B37" s="10" t="str">
        <f>CONCATENATE("          ", "6381", " - ", "BANK/CREDIT CARD FEES")</f>
        <v xml:space="preserve">          6381 - BANK/CREDIT CARD FEES</v>
      </c>
      <c r="C37" s="10"/>
      <c r="D37" s="6"/>
      <c r="E37" s="2"/>
      <c r="F37" s="7">
        <f t="shared" si="30"/>
        <v>0</v>
      </c>
      <c r="G37" s="2"/>
      <c r="H37" s="6">
        <v>1252.45</v>
      </c>
      <c r="I37" s="2"/>
      <c r="J37" s="7">
        <f t="shared" si="31"/>
        <v>4.3320701515541425E-2</v>
      </c>
      <c r="K37" s="2"/>
      <c r="L37" s="6">
        <f t="shared" si="32"/>
        <v>-1252.45</v>
      </c>
      <c r="M37" s="2"/>
      <c r="N37" s="7">
        <f t="shared" si="33"/>
        <v>-1</v>
      </c>
      <c r="O37" s="10"/>
      <c r="P37" s="6"/>
      <c r="Q37" s="2"/>
      <c r="R37" s="7">
        <f t="shared" si="34"/>
        <v>0</v>
      </c>
      <c r="S37" s="2"/>
      <c r="T37" s="6">
        <v>4064.54</v>
      </c>
      <c r="U37" s="2"/>
      <c r="V37" s="7">
        <f t="shared" si="35"/>
        <v>2.5841020132019641E-2</v>
      </c>
      <c r="W37" s="2"/>
      <c r="X37" s="6">
        <f t="shared" si="36"/>
        <v>-4064.54</v>
      </c>
      <c r="Y37" s="2"/>
      <c r="Z37" s="7">
        <f t="shared" si="37"/>
        <v>-1</v>
      </c>
    </row>
    <row r="38" spans="1:26" s="26" customFormat="1" outlineLevel="1" collapsed="1" x14ac:dyDescent="0.25">
      <c r="A38" s="27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SUM(OSRRefD22_5x_0)</f>
        <v>479.29</v>
      </c>
      <c r="E38" s="1"/>
      <c r="F38" s="5">
        <f t="shared" si="30"/>
        <v>0</v>
      </c>
      <c r="G38" s="1"/>
      <c r="H38" s="1">
        <f>SUM(OSRRefH22_5x_0)</f>
        <v>479.29</v>
      </c>
      <c r="I38" s="1"/>
      <c r="J38" s="5">
        <f t="shared" si="31"/>
        <v>1.6578050245026826E-2</v>
      </c>
      <c r="K38" s="1"/>
      <c r="L38" s="1">
        <f t="shared" si="32"/>
        <v>0</v>
      </c>
      <c r="M38" s="1"/>
      <c r="N38" s="5">
        <f t="shared" si="33"/>
        <v>0</v>
      </c>
      <c r="O38" s="12"/>
      <c r="P38" s="1">
        <f>SUM(OSRRefP22_5x_0)</f>
        <v>4313.6099999999997</v>
      </c>
      <c r="Q38" s="1"/>
      <c r="R38" s="5">
        <f t="shared" si="34"/>
        <v>0</v>
      </c>
      <c r="S38" s="1"/>
      <c r="T38" s="1">
        <f>SUM(OSRRefT22_5x_0)</f>
        <v>479.29</v>
      </c>
      <c r="U38" s="1"/>
      <c r="V38" s="5">
        <f t="shared" si="35"/>
        <v>3.0471695540148932E-3</v>
      </c>
      <c r="W38" s="1"/>
      <c r="X38" s="1">
        <f t="shared" si="36"/>
        <v>3834.3199999999997</v>
      </c>
      <c r="Y38" s="1"/>
      <c r="Z38" s="5">
        <f t="shared" si="37"/>
        <v>7.9999999999999991</v>
      </c>
    </row>
    <row r="39" spans="1:26" s="23" customFormat="1" hidden="1" outlineLevel="2" x14ac:dyDescent="0.25">
      <c r="A39" s="25"/>
      <c r="B39" s="10" t="str">
        <f>CONCATENATE("          ", "6322", " - ", "EQUIPMENT DEPRECIATION EXPENSE")</f>
        <v xml:space="preserve">          6322 - EQUIPMENT DEPRECIATION EXPENSE</v>
      </c>
      <c r="C39" s="10"/>
      <c r="D39" s="6">
        <v>479.29</v>
      </c>
      <c r="E39" s="2"/>
      <c r="F39" s="7">
        <f t="shared" si="30"/>
        <v>0</v>
      </c>
      <c r="G39" s="2"/>
      <c r="H39" s="6">
        <v>479.29</v>
      </c>
      <c r="I39" s="2"/>
      <c r="J39" s="7">
        <f t="shared" si="31"/>
        <v>1.6578050245026826E-2</v>
      </c>
      <c r="K39" s="2"/>
      <c r="L39" s="6">
        <f t="shared" si="32"/>
        <v>0</v>
      </c>
      <c r="M39" s="2"/>
      <c r="N39" s="7">
        <f t="shared" si="33"/>
        <v>0</v>
      </c>
      <c r="O39" s="10"/>
      <c r="P39" s="6">
        <v>4313.6099999999997</v>
      </c>
      <c r="Q39" s="2"/>
      <c r="R39" s="7">
        <f t="shared" si="34"/>
        <v>0</v>
      </c>
      <c r="S39" s="2"/>
      <c r="T39" s="6">
        <v>479.29</v>
      </c>
      <c r="U39" s="2"/>
      <c r="V39" s="7">
        <f t="shared" si="35"/>
        <v>3.0471695540148932E-3</v>
      </c>
      <c r="W39" s="2"/>
      <c r="X39" s="6">
        <f t="shared" si="36"/>
        <v>3834.3199999999997</v>
      </c>
      <c r="Y39" s="2"/>
      <c r="Z39" s="7">
        <f t="shared" si="37"/>
        <v>7.9999999999999991</v>
      </c>
    </row>
    <row r="40" spans="1:26" s="26" customFormat="1" outlineLevel="1" collapsed="1" x14ac:dyDescent="0.25">
      <c r="A40" s="27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SUM(OSRRefD22_6x_0)</f>
        <v>0</v>
      </c>
      <c r="E40" s="1"/>
      <c r="F40" s="5">
        <f t="shared" si="30"/>
        <v>0</v>
      </c>
      <c r="G40" s="1"/>
      <c r="H40" s="1">
        <f>SUM(OSRRefH22_6x_0)</f>
        <v>0</v>
      </c>
      <c r="I40" s="1"/>
      <c r="J40" s="5">
        <f t="shared" si="31"/>
        <v>0</v>
      </c>
      <c r="K40" s="1"/>
      <c r="L40" s="1">
        <f t="shared" si="32"/>
        <v>0</v>
      </c>
      <c r="M40" s="1"/>
      <c r="N40" s="5">
        <f t="shared" si="33"/>
        <v>0</v>
      </c>
      <c r="O40" s="12"/>
      <c r="P40" s="1">
        <f>SUM(OSRRefP22_6x_0)</f>
        <v>0</v>
      </c>
      <c r="Q40" s="1"/>
      <c r="R40" s="5">
        <f t="shared" si="34"/>
        <v>0</v>
      </c>
      <c r="S40" s="1"/>
      <c r="T40" s="1">
        <f>SUM(OSRRefT22_6x_0)</f>
        <v>307.2</v>
      </c>
      <c r="U40" s="1"/>
      <c r="V40" s="5">
        <f t="shared" si="35"/>
        <v>1.9530774416185923E-3</v>
      </c>
      <c r="W40" s="1"/>
      <c r="X40" s="1">
        <f t="shared" si="36"/>
        <v>-307.2</v>
      </c>
      <c r="Y40" s="1"/>
      <c r="Z40" s="5">
        <f t="shared" si="37"/>
        <v>-1</v>
      </c>
    </row>
    <row r="41" spans="1:26" s="23" customFormat="1" hidden="1" outlineLevel="2" x14ac:dyDescent="0.25">
      <c r="A41" s="25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30"/>
        <v>0</v>
      </c>
      <c r="G41" s="2"/>
      <c r="H41" s="6"/>
      <c r="I41" s="2"/>
      <c r="J41" s="7">
        <f t="shared" si="31"/>
        <v>0</v>
      </c>
      <c r="K41" s="2"/>
      <c r="L41" s="6">
        <f t="shared" si="32"/>
        <v>0</v>
      </c>
      <c r="M41" s="2"/>
      <c r="N41" s="7">
        <f t="shared" si="33"/>
        <v>0</v>
      </c>
      <c r="O41" s="10"/>
      <c r="P41" s="6"/>
      <c r="Q41" s="2"/>
      <c r="R41" s="7">
        <f t="shared" si="34"/>
        <v>0</v>
      </c>
      <c r="S41" s="2"/>
      <c r="T41" s="6">
        <v>307.2</v>
      </c>
      <c r="U41" s="2"/>
      <c r="V41" s="7">
        <f t="shared" si="35"/>
        <v>1.9530774416185923E-3</v>
      </c>
      <c r="W41" s="2"/>
      <c r="X41" s="6">
        <f t="shared" si="36"/>
        <v>-307.2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SUM(OSRRefD22_7x_0)</f>
        <v>455</v>
      </c>
      <c r="E42" s="1"/>
      <c r="F42" s="5">
        <f t="shared" si="30"/>
        <v>0</v>
      </c>
      <c r="G42" s="1"/>
      <c r="H42" s="1">
        <f>SUM(OSRRefH22_7x_0)</f>
        <v>292.26</v>
      </c>
      <c r="I42" s="1"/>
      <c r="J42" s="5">
        <f t="shared" si="31"/>
        <v>1.0108913110249619E-2</v>
      </c>
      <c r="K42" s="1"/>
      <c r="L42" s="1">
        <f t="shared" si="32"/>
        <v>162.74</v>
      </c>
      <c r="M42" s="1"/>
      <c r="N42" s="5">
        <f t="shared" si="33"/>
        <v>0.55683295695613499</v>
      </c>
      <c r="O42" s="12"/>
      <c r="P42" s="1">
        <f>SUM(OSRRefP22_7x_0)</f>
        <v>978.55</v>
      </c>
      <c r="Q42" s="1"/>
      <c r="R42" s="5">
        <f t="shared" si="34"/>
        <v>0</v>
      </c>
      <c r="S42" s="1"/>
      <c r="T42" s="1">
        <f>SUM(OSRRefT22_7x_0)</f>
        <v>4691.25</v>
      </c>
      <c r="U42" s="1"/>
      <c r="V42" s="5">
        <f t="shared" si="35"/>
        <v>2.9825437981748769E-2</v>
      </c>
      <c r="W42" s="1"/>
      <c r="X42" s="1">
        <f t="shared" si="36"/>
        <v>-3712.7</v>
      </c>
      <c r="Y42" s="1"/>
      <c r="Z42" s="5">
        <f t="shared" si="37"/>
        <v>-0.79140953903543831</v>
      </c>
    </row>
    <row r="43" spans="1:26" s="23" customFormat="1" hidden="1" outlineLevel="2" x14ac:dyDescent="0.25">
      <c r="A43" s="25"/>
      <c r="B43" s="10" t="str">
        <f>CONCATENATE("          ", "6279", " - ", "GENERAL EXPENSE")</f>
        <v xml:space="preserve">          6279 - GENERAL EXPENSE</v>
      </c>
      <c r="C43" s="10"/>
      <c r="D43" s="6">
        <v>455</v>
      </c>
      <c r="E43" s="2"/>
      <c r="F43" s="7">
        <f t="shared" si="30"/>
        <v>0</v>
      </c>
      <c r="G43" s="2"/>
      <c r="H43" s="6">
        <v>292.26</v>
      </c>
      <c r="I43" s="2"/>
      <c r="J43" s="7">
        <f t="shared" si="31"/>
        <v>1.0108913110249619E-2</v>
      </c>
      <c r="K43" s="2"/>
      <c r="L43" s="6">
        <f t="shared" si="32"/>
        <v>162.74</v>
      </c>
      <c r="M43" s="2"/>
      <c r="N43" s="7">
        <f t="shared" si="33"/>
        <v>0.55683295695613499</v>
      </c>
      <c r="O43" s="10"/>
      <c r="P43" s="6">
        <v>978.55</v>
      </c>
      <c r="Q43" s="2"/>
      <c r="R43" s="7">
        <f t="shared" si="34"/>
        <v>0</v>
      </c>
      <c r="S43" s="2"/>
      <c r="T43" s="6">
        <v>4691.25</v>
      </c>
      <c r="U43" s="2"/>
      <c r="V43" s="7">
        <f t="shared" si="35"/>
        <v>2.9825437981748769E-2</v>
      </c>
      <c r="W43" s="2"/>
      <c r="X43" s="6">
        <f t="shared" si="36"/>
        <v>-3712.7</v>
      </c>
      <c r="Y43" s="2"/>
      <c r="Z43" s="7">
        <f t="shared" si="37"/>
        <v>-0.79140953903543831</v>
      </c>
    </row>
    <row r="44" spans="1:26" s="26" customFormat="1" outlineLevel="1" collapsed="1" x14ac:dyDescent="0.25">
      <c r="A44" s="27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SUM(OSRRefD22_8x_0)</f>
        <v>0</v>
      </c>
      <c r="E44" s="1"/>
      <c r="F44" s="5">
        <f t="shared" si="30"/>
        <v>0</v>
      </c>
      <c r="G44" s="1"/>
      <c r="H44" s="1">
        <f>SUM(OSRRefH22_8x_0)</f>
        <v>980</v>
      </c>
      <c r="I44" s="1"/>
      <c r="J44" s="5">
        <f t="shared" si="31"/>
        <v>3.3896991884091655E-2</v>
      </c>
      <c r="K44" s="1"/>
      <c r="L44" s="1">
        <f t="shared" si="32"/>
        <v>-980</v>
      </c>
      <c r="M44" s="1"/>
      <c r="N44" s="5">
        <f t="shared" si="33"/>
        <v>-1</v>
      </c>
      <c r="O44" s="12"/>
      <c r="P44" s="1">
        <f>SUM(OSRRefP22_8x_0)</f>
        <v>154.33000000000001</v>
      </c>
      <c r="Q44" s="1"/>
      <c r="R44" s="5">
        <f t="shared" si="34"/>
        <v>0</v>
      </c>
      <c r="S44" s="1"/>
      <c r="T44" s="1">
        <f>SUM(OSRRefT22_8x_0)</f>
        <v>1797.2199999999998</v>
      </c>
      <c r="U44" s="1"/>
      <c r="V44" s="5">
        <f t="shared" si="35"/>
        <v>1.1426138800865125E-2</v>
      </c>
      <c r="W44" s="1"/>
      <c r="X44" s="1">
        <f t="shared" si="36"/>
        <v>-1642.8899999999999</v>
      </c>
      <c r="Y44" s="1"/>
      <c r="Z44" s="5">
        <f t="shared" si="37"/>
        <v>-0.91412848733043262</v>
      </c>
    </row>
    <row r="45" spans="1:26" s="23" customFormat="1" hidden="1" outlineLevel="2" x14ac:dyDescent="0.25">
      <c r="A45" s="25"/>
      <c r="B45" s="10" t="str">
        <f>CONCATENATE("          ", "6373", " - ", "MAINTENANCE CONTRACTS")</f>
        <v xml:space="preserve">          6373 - MAINTENANCE CONTRACTS</v>
      </c>
      <c r="C45" s="10"/>
      <c r="D45" s="6"/>
      <c r="E45" s="2"/>
      <c r="F45" s="7">
        <f t="shared" si="30"/>
        <v>0</v>
      </c>
      <c r="G45" s="2"/>
      <c r="H45" s="6">
        <v>0</v>
      </c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0"/>
      <c r="P45" s="6">
        <v>154.33000000000001</v>
      </c>
      <c r="Q45" s="2"/>
      <c r="R45" s="7">
        <f t="shared" si="34"/>
        <v>0</v>
      </c>
      <c r="S45" s="2"/>
      <c r="T45" s="6">
        <v>296.64</v>
      </c>
      <c r="U45" s="2"/>
      <c r="V45" s="7">
        <f t="shared" si="35"/>
        <v>1.8859404045629532E-3</v>
      </c>
      <c r="W45" s="2"/>
      <c r="X45" s="6">
        <f t="shared" si="36"/>
        <v>-142.30999999999997</v>
      </c>
      <c r="Y45" s="2"/>
      <c r="Z45" s="7">
        <f t="shared" si="37"/>
        <v>-0.4797397518878101</v>
      </c>
    </row>
    <row r="46" spans="1:26" s="23" customFormat="1" hidden="1" outlineLevel="2" x14ac:dyDescent="0.25">
      <c r="A46" s="25"/>
      <c r="B46" s="10" t="str">
        <f>CONCATENATE("          ", "6375", " - ", "OUTSIDE REPAIRS &amp; MAINTENANCE")</f>
        <v xml:space="preserve">          6375 - OUTSIDE REPAIRS &amp; MAINTENANCE</v>
      </c>
      <c r="C46" s="10"/>
      <c r="D46" s="6"/>
      <c r="E46" s="2"/>
      <c r="F46" s="7">
        <f t="shared" si="30"/>
        <v>0</v>
      </c>
      <c r="G46" s="2"/>
      <c r="H46" s="6">
        <v>980</v>
      </c>
      <c r="I46" s="2"/>
      <c r="J46" s="7">
        <f t="shared" si="31"/>
        <v>3.3896991884091655E-2</v>
      </c>
      <c r="K46" s="2"/>
      <c r="L46" s="6">
        <f t="shared" si="32"/>
        <v>-980</v>
      </c>
      <c r="M46" s="2"/>
      <c r="N46" s="7">
        <f t="shared" si="33"/>
        <v>-1</v>
      </c>
      <c r="O46" s="10"/>
      <c r="P46" s="6"/>
      <c r="Q46" s="2"/>
      <c r="R46" s="7">
        <f t="shared" si="34"/>
        <v>0</v>
      </c>
      <c r="S46" s="2"/>
      <c r="T46" s="6">
        <v>1500.58</v>
      </c>
      <c r="U46" s="2"/>
      <c r="V46" s="7">
        <f t="shared" si="35"/>
        <v>9.5401983963021731E-3</v>
      </c>
      <c r="W46" s="2"/>
      <c r="X46" s="6">
        <f t="shared" si="36"/>
        <v>-1500.58</v>
      </c>
      <c r="Y46" s="2"/>
      <c r="Z46" s="7">
        <f t="shared" si="37"/>
        <v>-1</v>
      </c>
    </row>
    <row r="47" spans="1:26" s="26" customFormat="1" outlineLevel="1" collapsed="1" x14ac:dyDescent="0.25">
      <c r="A47" s="27"/>
      <c r="B47" s="12" t="str">
        <f>CONCATENATE("     ","Royalty &amp; Commissions                             ")</f>
        <v xml:space="preserve">     Royalty &amp; Commissions                             </v>
      </c>
      <c r="C47" s="12"/>
      <c r="D47" s="1">
        <f>SUM(OSRRefD22_9x_0)</f>
        <v>0</v>
      </c>
      <c r="E47" s="1"/>
      <c r="F47" s="5">
        <f t="shared" ref="F47:F56" si="38">IF(D$12=0,0,D47/D$12)</f>
        <v>0</v>
      </c>
      <c r="G47" s="1"/>
      <c r="H47" s="1">
        <f>SUM(OSRRefH22_9x_0)</f>
        <v>7011.76</v>
      </c>
      <c r="I47" s="1"/>
      <c r="J47" s="5">
        <f t="shared" ref="J47:J56" si="39">IF(H$12=0,0,H47/H$12)</f>
        <v>0.24252813450326377</v>
      </c>
      <c r="K47" s="1"/>
      <c r="L47" s="1">
        <f t="shared" ref="L47:L56" si="40">+D47-H47</f>
        <v>-7011.76</v>
      </c>
      <c r="M47" s="1"/>
      <c r="N47" s="5">
        <f t="shared" ref="N47:N56" si="41">IF(H47=0,0,L47/H47)</f>
        <v>-1</v>
      </c>
      <c r="O47" s="12"/>
      <c r="P47" s="1">
        <f>SUM(OSRRefP22_9x_0)</f>
        <v>0</v>
      </c>
      <c r="Q47" s="1"/>
      <c r="R47" s="5">
        <f t="shared" ref="R47:R56" si="42">IF(P$12=0,0,P47/P$12)</f>
        <v>0</v>
      </c>
      <c r="S47" s="1"/>
      <c r="T47" s="1">
        <f>SUM(OSRRefT22_9x_0)</f>
        <v>35313.08</v>
      </c>
      <c r="U47" s="1"/>
      <c r="V47" s="5">
        <f t="shared" ref="V47:V56" si="43">IF(T$12=0,0,T47/T$12)</f>
        <v>0.2245090492906012</v>
      </c>
      <c r="W47" s="1"/>
      <c r="X47" s="1">
        <f t="shared" ref="X47:X56" si="44">+P47-T47</f>
        <v>-35313.08</v>
      </c>
      <c r="Y47" s="1"/>
      <c r="Z47" s="5">
        <f t="shared" ref="Z47:Z56" si="45">IF(T47=0,0,X47/T47)</f>
        <v>-1</v>
      </c>
    </row>
    <row r="48" spans="1:26" s="23" customFormat="1" hidden="1" outlineLevel="2" x14ac:dyDescent="0.25">
      <c r="A48" s="25"/>
      <c r="B48" s="10" t="str">
        <f>CONCATENATE("          ", "6254", " - ", "ROYALTY &amp; COMMISSIONS")</f>
        <v xml:space="preserve">          6254 - ROYALTY &amp; COMMISSIONS</v>
      </c>
      <c r="C48" s="10"/>
      <c r="D48" s="6"/>
      <c r="E48" s="2"/>
      <c r="F48" s="7">
        <f t="shared" si="38"/>
        <v>0</v>
      </c>
      <c r="G48" s="2"/>
      <c r="H48" s="6">
        <v>7011.76</v>
      </c>
      <c r="I48" s="2"/>
      <c r="J48" s="7">
        <f t="shared" si="39"/>
        <v>0.24252813450326377</v>
      </c>
      <c r="K48" s="2"/>
      <c r="L48" s="6">
        <f t="shared" si="40"/>
        <v>-7011.76</v>
      </c>
      <c r="M48" s="2"/>
      <c r="N48" s="7">
        <f t="shared" si="41"/>
        <v>-1</v>
      </c>
      <c r="O48" s="10"/>
      <c r="P48" s="6"/>
      <c r="Q48" s="2"/>
      <c r="R48" s="7">
        <f t="shared" si="42"/>
        <v>0</v>
      </c>
      <c r="S48" s="2"/>
      <c r="T48" s="6">
        <v>35313.08</v>
      </c>
      <c r="U48" s="2"/>
      <c r="V48" s="7">
        <f t="shared" si="43"/>
        <v>0.2245090492906012</v>
      </c>
      <c r="W48" s="2"/>
      <c r="X48" s="6">
        <f t="shared" si="44"/>
        <v>-35313.08</v>
      </c>
      <c r="Y48" s="2"/>
      <c r="Z48" s="7">
        <f t="shared" si="45"/>
        <v>-1</v>
      </c>
    </row>
    <row r="49" spans="1:26" s="26" customFormat="1" outlineLevel="1" collapsed="1" x14ac:dyDescent="0.25">
      <c r="A49" s="27"/>
      <c r="B49" s="12" t="str">
        <f>CONCATENATE("     ","Services                                          ")</f>
        <v xml:space="preserve">     Services                                          </v>
      </c>
      <c r="C49" s="12"/>
      <c r="D49" s="1">
        <f>SUM(OSRRefD22_10x_0)</f>
        <v>0</v>
      </c>
      <c r="E49" s="1"/>
      <c r="F49" s="5">
        <f t="shared" si="38"/>
        <v>0</v>
      </c>
      <c r="G49" s="1"/>
      <c r="H49" s="1">
        <f>SUM(OSRRefH22_10x_0)</f>
        <v>32.5</v>
      </c>
      <c r="I49" s="1"/>
      <c r="J49" s="5">
        <f t="shared" si="39"/>
        <v>1.124134934931611E-3</v>
      </c>
      <c r="K49" s="1"/>
      <c r="L49" s="1">
        <f t="shared" si="40"/>
        <v>-32.5</v>
      </c>
      <c r="M49" s="1"/>
      <c r="N49" s="5">
        <f t="shared" si="41"/>
        <v>-1</v>
      </c>
      <c r="O49" s="12"/>
      <c r="P49" s="1">
        <f>SUM(OSRRefP22_10x_0)</f>
        <v>0</v>
      </c>
      <c r="Q49" s="1"/>
      <c r="R49" s="5">
        <f t="shared" si="42"/>
        <v>0</v>
      </c>
      <c r="S49" s="1"/>
      <c r="T49" s="1">
        <f>SUM(OSRRefT22_10x_0)</f>
        <v>126</v>
      </c>
      <c r="U49" s="1"/>
      <c r="V49" s="5">
        <f t="shared" si="43"/>
        <v>8.0106691941387578E-4</v>
      </c>
      <c r="W49" s="1"/>
      <c r="X49" s="1">
        <f t="shared" si="44"/>
        <v>-126</v>
      </c>
      <c r="Y49" s="1"/>
      <c r="Z49" s="5">
        <f t="shared" si="45"/>
        <v>-1</v>
      </c>
    </row>
    <row r="50" spans="1:26" s="23" customFormat="1" hidden="1" outlineLevel="2" x14ac:dyDescent="0.25">
      <c r="A50" s="25"/>
      <c r="B50" s="10" t="str">
        <f>CONCATENATE("          ", "6286", " - ", "LAUNDRY EXPENSE")</f>
        <v xml:space="preserve">          6286 - LAUNDRY EXPENSE</v>
      </c>
      <c r="C50" s="10"/>
      <c r="D50" s="6"/>
      <c r="E50" s="2"/>
      <c r="F50" s="7">
        <f t="shared" si="38"/>
        <v>0</v>
      </c>
      <c r="G50" s="2"/>
      <c r="H50" s="6">
        <v>32.5</v>
      </c>
      <c r="I50" s="2"/>
      <c r="J50" s="7">
        <f t="shared" si="39"/>
        <v>1.124134934931611E-3</v>
      </c>
      <c r="K50" s="2"/>
      <c r="L50" s="6">
        <f t="shared" si="40"/>
        <v>-32.5</v>
      </c>
      <c r="M50" s="2"/>
      <c r="N50" s="7">
        <f t="shared" si="41"/>
        <v>-1</v>
      </c>
      <c r="O50" s="10"/>
      <c r="P50" s="6"/>
      <c r="Q50" s="2"/>
      <c r="R50" s="7">
        <f t="shared" si="42"/>
        <v>0</v>
      </c>
      <c r="S50" s="2"/>
      <c r="T50" s="6">
        <v>126</v>
      </c>
      <c r="U50" s="2"/>
      <c r="V50" s="7">
        <f t="shared" si="43"/>
        <v>8.0106691941387578E-4</v>
      </c>
      <c r="W50" s="2"/>
      <c r="X50" s="6">
        <f t="shared" si="44"/>
        <v>-126</v>
      </c>
      <c r="Y50" s="2"/>
      <c r="Z50" s="7">
        <f t="shared" si="45"/>
        <v>-1</v>
      </c>
    </row>
    <row r="51" spans="1:26" s="26" customFormat="1" outlineLevel="1" collapsed="1" x14ac:dyDescent="0.25">
      <c r="A51" s="27"/>
      <c r="B51" s="12" t="str">
        <f>CONCATENATE("     ","Supplies                                          ")</f>
        <v xml:space="preserve">     Supplies                                          </v>
      </c>
      <c r="C51" s="12"/>
      <c r="D51" s="1">
        <f>SUM(OSRRefD22_11x_0)</f>
        <v>0</v>
      </c>
      <c r="E51" s="1"/>
      <c r="F51" s="5">
        <f t="shared" si="38"/>
        <v>0</v>
      </c>
      <c r="G51" s="1"/>
      <c r="H51" s="1">
        <f>SUM(OSRRefH22_11x_0)</f>
        <v>-78.529999999999916</v>
      </c>
      <c r="I51" s="1"/>
      <c r="J51" s="5">
        <f t="shared" si="39"/>
        <v>-2.7162558904670559E-3</v>
      </c>
      <c r="K51" s="1"/>
      <c r="L51" s="1">
        <f t="shared" si="40"/>
        <v>78.529999999999916</v>
      </c>
      <c r="M51" s="1"/>
      <c r="N51" s="5">
        <f t="shared" si="41"/>
        <v>-1</v>
      </c>
      <c r="O51" s="12"/>
      <c r="P51" s="1">
        <f>SUM(OSRRefP22_11x_0)</f>
        <v>0</v>
      </c>
      <c r="Q51" s="1"/>
      <c r="R51" s="5">
        <f t="shared" si="42"/>
        <v>0</v>
      </c>
      <c r="S51" s="1"/>
      <c r="T51" s="1">
        <f>SUM(OSRRefT22_11x_0)</f>
        <v>5787.3600000000006</v>
      </c>
      <c r="U51" s="1"/>
      <c r="V51" s="5">
        <f t="shared" si="43"/>
        <v>3.6794147989992768E-2</v>
      </c>
      <c r="W51" s="1"/>
      <c r="X51" s="1">
        <f t="shared" si="44"/>
        <v>-5787.3600000000006</v>
      </c>
      <c r="Y51" s="1"/>
      <c r="Z51" s="5">
        <f t="shared" si="45"/>
        <v>-1</v>
      </c>
    </row>
    <row r="52" spans="1:26" s="23" customFormat="1" hidden="1" outlineLevel="2" x14ac:dyDescent="0.25">
      <c r="A52" s="25"/>
      <c r="B52" s="10" t="str">
        <f>CONCATENATE("          ", "6237", " - ", "JANITORIAL SUPPLIES")</f>
        <v xml:space="preserve">          6237 - JANITORIAL SUPPLIES</v>
      </c>
      <c r="C52" s="10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0"/>
      <c r="P52" s="6"/>
      <c r="Q52" s="2"/>
      <c r="R52" s="7">
        <f t="shared" si="42"/>
        <v>0</v>
      </c>
      <c r="S52" s="2"/>
      <c r="T52" s="6">
        <v>78.81</v>
      </c>
      <c r="U52" s="2"/>
      <c r="V52" s="7">
        <f t="shared" si="43"/>
        <v>5.0104828507148858E-4</v>
      </c>
      <c r="W52" s="2"/>
      <c r="X52" s="6">
        <f t="shared" si="44"/>
        <v>-78.81</v>
      </c>
      <c r="Y52" s="2"/>
      <c r="Z52" s="7">
        <f t="shared" si="45"/>
        <v>-1</v>
      </c>
    </row>
    <row r="53" spans="1:26" s="23" customFormat="1" hidden="1" outlineLevel="2" x14ac:dyDescent="0.25">
      <c r="A53" s="25"/>
      <c r="B53" s="10" t="str">
        <f>CONCATENATE("          ", "6239", " - ", "KITCHEN SUPPLIES")</f>
        <v xml:space="preserve">          6239 - KITCHEN SUPPLIES</v>
      </c>
      <c r="C53" s="10"/>
      <c r="D53" s="6"/>
      <c r="E53" s="2"/>
      <c r="F53" s="7">
        <f t="shared" si="38"/>
        <v>0</v>
      </c>
      <c r="G53" s="2"/>
      <c r="H53" s="6">
        <v>529.20000000000005</v>
      </c>
      <c r="I53" s="2"/>
      <c r="J53" s="7">
        <f t="shared" si="39"/>
        <v>1.8304375617409496E-2</v>
      </c>
      <c r="K53" s="2"/>
      <c r="L53" s="6">
        <f t="shared" si="40"/>
        <v>-529.20000000000005</v>
      </c>
      <c r="M53" s="2"/>
      <c r="N53" s="7">
        <f t="shared" si="41"/>
        <v>-1</v>
      </c>
      <c r="O53" s="10"/>
      <c r="P53" s="6"/>
      <c r="Q53" s="2"/>
      <c r="R53" s="7">
        <f t="shared" si="42"/>
        <v>0</v>
      </c>
      <c r="S53" s="2"/>
      <c r="T53" s="6">
        <v>4519.07</v>
      </c>
      <c r="U53" s="2"/>
      <c r="V53" s="7">
        <f t="shared" si="43"/>
        <v>2.8730773678695743E-2</v>
      </c>
      <c r="W53" s="2"/>
      <c r="X53" s="6">
        <f t="shared" si="44"/>
        <v>-4519.07</v>
      </c>
      <c r="Y53" s="2"/>
      <c r="Z53" s="7">
        <f t="shared" si="45"/>
        <v>-1</v>
      </c>
    </row>
    <row r="54" spans="1:26" s="23" customFormat="1" hidden="1" outlineLevel="2" x14ac:dyDescent="0.25">
      <c r="A54" s="25"/>
      <c r="B54" s="10" t="str">
        <f>CONCATENATE("          ", "6241", " - ", "OFFICE EXPENSE")</f>
        <v xml:space="preserve">          6241 - OFFICE EXPENSE</v>
      </c>
      <c r="C54" s="10"/>
      <c r="D54" s="6"/>
      <c r="E54" s="2"/>
      <c r="F54" s="7">
        <f t="shared" si="38"/>
        <v>0</v>
      </c>
      <c r="G54" s="2"/>
      <c r="H54" s="6">
        <v>51.58</v>
      </c>
      <c r="I54" s="2"/>
      <c r="J54" s="7">
        <f t="shared" si="39"/>
        <v>1.7840886136545383E-3</v>
      </c>
      <c r="K54" s="2"/>
      <c r="L54" s="6">
        <f t="shared" si="40"/>
        <v>-51.58</v>
      </c>
      <c r="M54" s="2"/>
      <c r="N54" s="7">
        <f t="shared" si="41"/>
        <v>-1</v>
      </c>
      <c r="O54" s="10"/>
      <c r="P54" s="6"/>
      <c r="Q54" s="2"/>
      <c r="R54" s="7">
        <f t="shared" si="42"/>
        <v>0</v>
      </c>
      <c r="S54" s="2"/>
      <c r="T54" s="6">
        <v>135.93</v>
      </c>
      <c r="U54" s="2"/>
      <c r="V54" s="7">
        <f t="shared" si="43"/>
        <v>8.6419862187244562E-4</v>
      </c>
      <c r="W54" s="2"/>
      <c r="X54" s="6">
        <f t="shared" si="44"/>
        <v>-135.93</v>
      </c>
      <c r="Y54" s="2"/>
      <c r="Z54" s="7">
        <f t="shared" si="45"/>
        <v>-1</v>
      </c>
    </row>
    <row r="55" spans="1:26" s="23" customFormat="1" hidden="1" outlineLevel="2" x14ac:dyDescent="0.25">
      <c r="A55" s="25"/>
      <c r="B55" s="10" t="str">
        <f>CONCATENATE("          ", "6243", " - ", "PAPER SUPPLIES")</f>
        <v xml:space="preserve">          6243 - PAPER SUPPLIES</v>
      </c>
      <c r="C55" s="10"/>
      <c r="D55" s="6"/>
      <c r="E55" s="2"/>
      <c r="F55" s="7">
        <f t="shared" si="38"/>
        <v>0</v>
      </c>
      <c r="G55" s="2"/>
      <c r="H55" s="6">
        <v>-930</v>
      </c>
      <c r="I55" s="2"/>
      <c r="J55" s="7">
        <f t="shared" si="39"/>
        <v>-3.2167553522658404E-2</v>
      </c>
      <c r="K55" s="2"/>
      <c r="L55" s="6">
        <f t="shared" si="40"/>
        <v>930</v>
      </c>
      <c r="M55" s="2"/>
      <c r="N55" s="7">
        <f t="shared" si="41"/>
        <v>-1</v>
      </c>
      <c r="O55" s="10"/>
      <c r="P55" s="6"/>
      <c r="Q55" s="2"/>
      <c r="R55" s="7">
        <f t="shared" si="42"/>
        <v>0</v>
      </c>
      <c r="S55" s="2"/>
      <c r="T55" s="6">
        <v>-642.03</v>
      </c>
      <c r="U55" s="2"/>
      <c r="V55" s="7">
        <f t="shared" si="43"/>
        <v>-4.0818174148515131E-3</v>
      </c>
      <c r="W55" s="2"/>
      <c r="X55" s="6">
        <f t="shared" si="44"/>
        <v>642.03</v>
      </c>
      <c r="Y55" s="2"/>
      <c r="Z55" s="7">
        <f t="shared" si="45"/>
        <v>-1</v>
      </c>
    </row>
    <row r="56" spans="1:26" s="23" customFormat="1" hidden="1" outlineLevel="2" x14ac:dyDescent="0.25">
      <c r="A56" s="25"/>
      <c r="B56" s="10" t="str">
        <f>CONCATENATE("          ", "6247", " - ", "STORE SUPPLIES")</f>
        <v xml:space="preserve">          6247 - STORE SUPPLIES</v>
      </c>
      <c r="C56" s="10"/>
      <c r="D56" s="6"/>
      <c r="E56" s="2"/>
      <c r="F56" s="7">
        <f t="shared" si="38"/>
        <v>0</v>
      </c>
      <c r="G56" s="2"/>
      <c r="H56" s="6">
        <v>270.69</v>
      </c>
      <c r="I56" s="2"/>
      <c r="J56" s="7">
        <f t="shared" si="39"/>
        <v>9.3628334011273164E-3</v>
      </c>
      <c r="K56" s="2"/>
      <c r="L56" s="6">
        <f t="shared" si="40"/>
        <v>-270.69</v>
      </c>
      <c r="M56" s="2"/>
      <c r="N56" s="7">
        <f t="shared" si="41"/>
        <v>-1</v>
      </c>
      <c r="O56" s="10"/>
      <c r="P56" s="6"/>
      <c r="Q56" s="2"/>
      <c r="R56" s="7">
        <f t="shared" si="42"/>
        <v>0</v>
      </c>
      <c r="S56" s="2"/>
      <c r="T56" s="6">
        <v>1695.58</v>
      </c>
      <c r="U56" s="2"/>
      <c r="V56" s="7">
        <f t="shared" si="43"/>
        <v>1.07799448192046E-2</v>
      </c>
      <c r="W56" s="2"/>
      <c r="X56" s="6">
        <f t="shared" si="44"/>
        <v>-1695.58</v>
      </c>
      <c r="Y56" s="2"/>
      <c r="Z56" s="7">
        <f t="shared" si="45"/>
        <v>-1</v>
      </c>
    </row>
    <row r="57" spans="1:26" s="26" customFormat="1" outlineLevel="1" collapsed="1" x14ac:dyDescent="0.25">
      <c r="A57" s="27"/>
      <c r="B57" s="12" t="str">
        <f>CONCATENATE("     ","Telephone/Data Lines                              ")</f>
        <v xml:space="preserve">     Telephone/Data Lines                              </v>
      </c>
      <c r="C57" s="12"/>
      <c r="D57" s="1">
        <f>SUM(OSRRefD22_12x_0)</f>
        <v>0</v>
      </c>
      <c r="E57" s="1"/>
      <c r="F57" s="5">
        <f t="shared" ref="F57:F58" si="46">IF(D$12=0,0,D57/D$12)</f>
        <v>0</v>
      </c>
      <c r="G57" s="1"/>
      <c r="H57" s="1">
        <f>SUM(OSRRefH22_12x_0)</f>
        <v>214.01</v>
      </c>
      <c r="I57" s="1"/>
      <c r="J57" s="5">
        <f t="shared" ref="J57:J58" si="47">IF(H$12=0,0,H57/H$12)</f>
        <v>7.4023420746065867E-3</v>
      </c>
      <c r="K57" s="1"/>
      <c r="L57" s="1">
        <f t="shared" ref="L57:L58" si="48">+D57-H57</f>
        <v>-214.01</v>
      </c>
      <c r="M57" s="1"/>
      <c r="N57" s="5">
        <f t="shared" ref="N57:N58" si="49">IF(H57=0,0,L57/H57)</f>
        <v>-1</v>
      </c>
      <c r="O57" s="12"/>
      <c r="P57" s="1">
        <f>SUM(OSRRefP22_12x_0)</f>
        <v>428.01</v>
      </c>
      <c r="Q57" s="1"/>
      <c r="R57" s="5">
        <f t="shared" ref="R57:R58" si="50">IF(P$12=0,0,P57/P$12)</f>
        <v>0</v>
      </c>
      <c r="S57" s="1"/>
      <c r="T57" s="1">
        <f>SUM(OSRRefT22_12x_0)</f>
        <v>1926.08</v>
      </c>
      <c r="U57" s="1"/>
      <c r="V57" s="5">
        <f t="shared" ref="V57:V58" si="51">IF(T$12=0,0,T57/T$12)</f>
        <v>1.2245388667814903E-2</v>
      </c>
      <c r="W57" s="1"/>
      <c r="X57" s="1">
        <f t="shared" ref="X57:X58" si="52">+P57-T57</f>
        <v>-1498.07</v>
      </c>
      <c r="Y57" s="1"/>
      <c r="Z57" s="5">
        <f t="shared" ref="Z57:Z58" si="53">IF(T57=0,0,X57/T57)</f>
        <v>-0.77778181591626516</v>
      </c>
    </row>
    <row r="58" spans="1:26" s="23" customFormat="1" hidden="1" outlineLevel="2" x14ac:dyDescent="0.25">
      <c r="A58" s="25"/>
      <c r="B58" s="10" t="str">
        <f>CONCATENATE("          ", "6309", " - ", "TELEPHONE")</f>
        <v xml:space="preserve">          6309 - TELEPHONE</v>
      </c>
      <c r="C58" s="10"/>
      <c r="D58" s="6"/>
      <c r="E58" s="2"/>
      <c r="F58" s="7">
        <f t="shared" si="46"/>
        <v>0</v>
      </c>
      <c r="G58" s="2"/>
      <c r="H58" s="6">
        <v>214.01</v>
      </c>
      <c r="I58" s="2"/>
      <c r="J58" s="7">
        <f t="shared" si="47"/>
        <v>7.4023420746065867E-3</v>
      </c>
      <c r="K58" s="2"/>
      <c r="L58" s="6">
        <f t="shared" si="48"/>
        <v>-214.01</v>
      </c>
      <c r="M58" s="2"/>
      <c r="N58" s="7">
        <f t="shared" si="49"/>
        <v>-1</v>
      </c>
      <c r="O58" s="10"/>
      <c r="P58" s="6">
        <v>428.01</v>
      </c>
      <c r="Q58" s="2"/>
      <c r="R58" s="7">
        <f t="shared" si="50"/>
        <v>0</v>
      </c>
      <c r="S58" s="2"/>
      <c r="T58" s="6">
        <v>1926.08</v>
      </c>
      <c r="U58" s="2"/>
      <c r="V58" s="7">
        <f t="shared" si="51"/>
        <v>1.2245388667814903E-2</v>
      </c>
      <c r="W58" s="2"/>
      <c r="X58" s="6">
        <f t="shared" si="52"/>
        <v>-1498.07</v>
      </c>
      <c r="Y58" s="2"/>
      <c r="Z58" s="7">
        <f t="shared" si="53"/>
        <v>-0.77778181591626516</v>
      </c>
    </row>
    <row r="59" spans="1:26" s="60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4" customFormat="1" collapsed="1" x14ac:dyDescent="0.25">
      <c r="A60" s="11"/>
      <c r="B60" s="28" t="s">
        <v>292</v>
      </c>
      <c r="C60" s="11"/>
      <c r="D60" s="4">
        <f>SUM(OSRRefD25x_0)</f>
        <v>0</v>
      </c>
      <c r="E60" s="4"/>
      <c r="F60" s="13">
        <f t="shared" ref="F60:F61" si="54">IF(D$12=0,0,D60/D$12)</f>
        <v>0</v>
      </c>
      <c r="G60" s="4"/>
      <c r="H60" s="4">
        <f>SUM(OSRRefH25x_0)</f>
        <v>2763.24</v>
      </c>
      <c r="I60" s="4"/>
      <c r="J60" s="13">
        <f t="shared" ref="J60:J61" si="55">IF(H$12=0,0,H60/H$12)</f>
        <v>9.5577065156936133E-2</v>
      </c>
      <c r="K60" s="4"/>
      <c r="L60" s="4">
        <f t="shared" ref="L60:L61" si="56">+D60-H60</f>
        <v>-2763.24</v>
      </c>
      <c r="M60" s="4"/>
      <c r="N60" s="13">
        <f t="shared" ref="N60:N61" si="57">IF(H60=0,0,L60/H60)</f>
        <v>-1</v>
      </c>
      <c r="O60" s="11"/>
      <c r="P60" s="4">
        <f>SUM(OSRRefP25x_0)</f>
        <v>0</v>
      </c>
      <c r="Q60" s="4"/>
      <c r="R60" s="13">
        <f t="shared" ref="R60:R61" si="58">IF(P$12=0,0,P60/P$12)</f>
        <v>0</v>
      </c>
      <c r="S60" s="4"/>
      <c r="T60" s="4">
        <f>SUM(OSRRefT25x_0)</f>
        <v>8452.17</v>
      </c>
      <c r="U60" s="4"/>
      <c r="V60" s="13">
        <f t="shared" ref="V60:V61" si="59">IF(T$12=0,0,T60/T$12)</f>
        <v>5.3736141144939513E-2</v>
      </c>
      <c r="W60" s="4"/>
      <c r="X60" s="4">
        <f t="shared" ref="X60:X61" si="60">+P60-T60</f>
        <v>-8452.17</v>
      </c>
      <c r="Y60" s="4"/>
      <c r="Z60" s="13">
        <f t="shared" ref="Z60:Z61" si="61">IF(T60=0,0,X60/T60)</f>
        <v>-1</v>
      </c>
    </row>
    <row r="61" spans="1:26" s="23" customFormat="1" hidden="1" outlineLevel="1" x14ac:dyDescent="0.25">
      <c r="A61" s="44"/>
      <c r="B61" s="10" t="str">
        <f>CONCATENATE("          ", "9150", " - ", "MISC. INCOME")</f>
        <v xml:space="preserve">          9150 - MISC. INCOME</v>
      </c>
      <c r="C61" s="10"/>
      <c r="D61" s="2">
        <f>0</f>
        <v>0</v>
      </c>
      <c r="E61" s="2"/>
      <c r="F61" s="19">
        <f t="shared" si="54"/>
        <v>0</v>
      </c>
      <c r="G61" s="2"/>
      <c r="H61" s="2">
        <f>--2763.24</f>
        <v>2763.24</v>
      </c>
      <c r="I61" s="2"/>
      <c r="J61" s="19">
        <f t="shared" si="55"/>
        <v>9.5577065156936133E-2</v>
      </c>
      <c r="K61" s="2"/>
      <c r="L61" s="2">
        <f t="shared" si="56"/>
        <v>-2763.24</v>
      </c>
      <c r="M61" s="2"/>
      <c r="N61" s="19">
        <f t="shared" si="57"/>
        <v>-1</v>
      </c>
      <c r="O61" s="10"/>
      <c r="P61" s="2">
        <f>0</f>
        <v>0</v>
      </c>
      <c r="Q61" s="2"/>
      <c r="R61" s="19">
        <f t="shared" si="58"/>
        <v>0</v>
      </c>
      <c r="S61" s="2"/>
      <c r="T61" s="2">
        <f>--8452.17</f>
        <v>8452.17</v>
      </c>
      <c r="U61" s="2"/>
      <c r="V61" s="19">
        <f t="shared" si="59"/>
        <v>5.3736141144939513E-2</v>
      </c>
      <c r="W61" s="2"/>
      <c r="X61" s="2">
        <f t="shared" si="60"/>
        <v>-8452.17</v>
      </c>
      <c r="Y61" s="2"/>
      <c r="Z61" s="19">
        <f t="shared" si="61"/>
        <v>-1</v>
      </c>
    </row>
    <row r="62" spans="1:26" x14ac:dyDescent="0.25">
      <c r="A62" s="9"/>
      <c r="B62" s="11"/>
      <c r="C62" s="11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1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11"/>
      <c r="B63" s="29" t="s">
        <v>276</v>
      </c>
      <c r="C63" s="29"/>
      <c r="D63" s="22">
        <f>+D20-D22+D60</f>
        <v>-934.29</v>
      </c>
      <c r="E63" s="14"/>
      <c r="F63" s="20">
        <f>IF(D$12=0,0,D63/D$12)</f>
        <v>0</v>
      </c>
      <c r="G63" s="14"/>
      <c r="H63" s="22">
        <f>+H20-H22+H60</f>
        <v>5445.0700000000052</v>
      </c>
      <c r="I63" s="14"/>
      <c r="J63" s="20">
        <f>IF(H$12=0,0,H63/H$12)</f>
        <v>0.18833825877378685</v>
      </c>
      <c r="K63" s="15"/>
      <c r="L63" s="22">
        <f>+D63-H63</f>
        <v>-6379.3600000000051</v>
      </c>
      <c r="M63" s="15"/>
      <c r="N63" s="20">
        <f>IF(H63=0,0,L63/H63)</f>
        <v>-1.1715845709972506</v>
      </c>
      <c r="O63" s="28"/>
      <c r="P63" s="22">
        <f>+P20-P22+P60</f>
        <v>-5874.5</v>
      </c>
      <c r="Q63" s="14"/>
      <c r="R63" s="20">
        <f>IF(P$12=0,0,P63/P$12)</f>
        <v>0</v>
      </c>
      <c r="S63" s="14"/>
      <c r="T63" s="22">
        <f>+T20-T22+T60</f>
        <v>38332.290000000023</v>
      </c>
      <c r="U63" s="14"/>
      <c r="V63" s="20">
        <f>IF(T$12=0,0,T63/T$12)</f>
        <v>0.2437042020982487</v>
      </c>
      <c r="W63" s="15"/>
      <c r="X63" s="22">
        <f>+P63-T63</f>
        <v>-44206.790000000023</v>
      </c>
      <c r="Y63" s="15"/>
      <c r="Z63" s="20">
        <f>IF(T63=0,0,X63/T63)</f>
        <v>-1.1532519972065325</v>
      </c>
    </row>
    <row r="64" spans="1:26" x14ac:dyDescent="0.25">
      <c r="A64" s="9"/>
      <c r="B64" s="11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x14ac:dyDescent="0.25">
      <c r="A65" s="51"/>
      <c r="B65" s="11" t="s">
        <v>127</v>
      </c>
      <c r="C65" s="11"/>
      <c r="D65" s="4"/>
      <c r="E65" s="4"/>
      <c r="F65" s="13">
        <f>IF(D$12=0,0,D65/D$12)</f>
        <v>0</v>
      </c>
      <c r="G65" s="4"/>
      <c r="H65" s="4">
        <v>3769.66</v>
      </c>
      <c r="I65" s="4"/>
      <c r="J65" s="13">
        <f>IF(H$12=0,0,H65/H$12)</f>
        <v>0.13038789227120912</v>
      </c>
      <c r="K65" s="4"/>
      <c r="L65" s="4">
        <f>+D65-H65</f>
        <v>-3769.66</v>
      </c>
      <c r="M65" s="4"/>
      <c r="N65" s="13">
        <f>IF(H65=0,0,L65/H65)</f>
        <v>-1</v>
      </c>
      <c r="O65" s="11"/>
      <c r="P65" s="4"/>
      <c r="Q65" s="4"/>
      <c r="R65" s="13">
        <f>IF(P$12=0,0,P65/P$12)</f>
        <v>0</v>
      </c>
      <c r="S65" s="4"/>
      <c r="T65" s="4">
        <v>16854.03</v>
      </c>
      <c r="U65" s="4"/>
      <c r="V65" s="13">
        <f>IF(T$12=0,0,T65/T$12)</f>
        <v>0.1071524277127702</v>
      </c>
      <c r="W65" s="4"/>
      <c r="X65" s="4">
        <f>+P65-T65</f>
        <v>-16854.03</v>
      </c>
      <c r="Y65" s="4"/>
      <c r="Z65" s="13">
        <f>IF(T65=0,0,X65/T65)</f>
        <v>-1</v>
      </c>
    </row>
    <row r="66" spans="1:26" x14ac:dyDescent="0.25">
      <c r="A66" s="9"/>
      <c r="B66" s="11"/>
      <c r="C66" s="11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1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4" customFormat="1" ht="15.75" thickBot="1" x14ac:dyDescent="0.3">
      <c r="A67" s="11"/>
      <c r="B67" s="29" t="s">
        <v>125</v>
      </c>
      <c r="C67" s="29"/>
      <c r="D67" s="30">
        <f>+D63-D65</f>
        <v>-934.29</v>
      </c>
      <c r="E67" s="14"/>
      <c r="F67" s="36">
        <f>IF(D$12=0,0,D67/D$12)</f>
        <v>0</v>
      </c>
      <c r="G67" s="14"/>
      <c r="H67" s="30">
        <f>+H63-H65</f>
        <v>1675.4100000000053</v>
      </c>
      <c r="I67" s="14"/>
      <c r="J67" s="36">
        <f>IF(H$12=0,0,H67/H$12)</f>
        <v>5.7950366502577733E-2</v>
      </c>
      <c r="K67" s="15"/>
      <c r="L67" s="30">
        <f>D67-H67</f>
        <v>-2609.7000000000053</v>
      </c>
      <c r="M67" s="15"/>
      <c r="N67" s="36">
        <f>IF(H67=0,0,L67/H67)</f>
        <v>-1.5576485755725447</v>
      </c>
      <c r="O67" s="28"/>
      <c r="P67" s="30">
        <f>+P63-P65</f>
        <v>-5874.5</v>
      </c>
      <c r="Q67" s="14"/>
      <c r="R67" s="36">
        <f>IF(P$12=0,0,P67/P$12)</f>
        <v>0</v>
      </c>
      <c r="S67" s="14"/>
      <c r="T67" s="30">
        <f>+T63-T65</f>
        <v>21478.260000000024</v>
      </c>
      <c r="U67" s="14"/>
      <c r="V67" s="36">
        <f>IF(T$12=0,0,T67/T$12)</f>
        <v>0.1365517743854785</v>
      </c>
      <c r="W67" s="15"/>
      <c r="X67" s="30">
        <f>P67-T67</f>
        <v>-27352.760000000024</v>
      </c>
      <c r="Y67" s="15"/>
      <c r="Z67" s="36">
        <f>IF(T67=0,0,X67/T67)</f>
        <v>-1.2735091203849844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ht="15.75" thickBot="1" x14ac:dyDescent="0.3">
      <c r="A70" s="11"/>
      <c r="B70" s="29" t="s">
        <v>293</v>
      </c>
      <c r="C70" s="29"/>
      <c r="D70" s="35">
        <f>SUM(D67:D69)</f>
        <v>-934.29</v>
      </c>
      <c r="E70" s="14"/>
      <c r="F70" s="34">
        <f>IF(D$12=0,0,D70/D$12)</f>
        <v>0</v>
      </c>
      <c r="G70" s="14"/>
      <c r="H70" s="35">
        <f>SUM(H67:H69)</f>
        <v>1675.4100000000053</v>
      </c>
      <c r="I70" s="14"/>
      <c r="J70" s="34">
        <f>IF(H$12=0,0,H70/H$12)</f>
        <v>5.7950366502577733E-2</v>
      </c>
      <c r="K70" s="15"/>
      <c r="L70" s="35">
        <f>+D70-H70</f>
        <v>-2609.7000000000053</v>
      </c>
      <c r="M70" s="15"/>
      <c r="N70" s="34">
        <f>IF(H70=0,0,L70/H70)</f>
        <v>-1.5576485755725447</v>
      </c>
      <c r="O70" s="28"/>
      <c r="P70" s="35">
        <f>SUM(P67:P69)</f>
        <v>-5874.5</v>
      </c>
      <c r="Q70" s="14"/>
      <c r="R70" s="34">
        <f>IF(P$12=0,0,P70/P$12)</f>
        <v>0</v>
      </c>
      <c r="S70" s="14"/>
      <c r="T70" s="35">
        <f>SUM(T67:T69)</f>
        <v>21478.260000000024</v>
      </c>
      <c r="U70" s="14"/>
      <c r="V70" s="34">
        <f>IF(T$12=0,0,T70/T$12)</f>
        <v>0.1365517743854785</v>
      </c>
      <c r="W70" s="15"/>
      <c r="X70" s="35">
        <f>+P70-T70</f>
        <v>-27352.760000000024</v>
      </c>
      <c r="Y70" s="15"/>
      <c r="Z70" s="34">
        <f>IF(T70=0,0,X70/T70)</f>
        <v>-1.2735091203849844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4">
        <v>44295.963243634258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8" t="s">
        <v>56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62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","455", " - ", "Vending")</f>
        <v>Department 455 - Vending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0</v>
      </c>
      <c r="E18" s="21"/>
      <c r="F18" s="31">
        <f t="shared" ref="F18:F26" si="0">IF(D$12=0,0,D18/D$12)</f>
        <v>0</v>
      </c>
      <c r="G18" s="21"/>
      <c r="H18" s="21">
        <f>SUM(OSRRefH22x_0)</f>
        <v>934.1</v>
      </c>
      <c r="I18" s="21"/>
      <c r="J18" s="31">
        <f t="shared" ref="J18:J26" si="1">IF(H$12=0,0,H18/H$12)</f>
        <v>0</v>
      </c>
      <c r="K18" s="4"/>
      <c r="L18" s="21">
        <f t="shared" ref="L18:L26" si="2">+D18-H18</f>
        <v>-934.1</v>
      </c>
      <c r="M18" s="4"/>
      <c r="N18" s="31">
        <f t="shared" ref="N18:N26" si="3">IF(H18=0,0,L18/H18)</f>
        <v>-1</v>
      </c>
      <c r="O18" s="11"/>
      <c r="P18" s="21">
        <f>SUM(OSRRefP22x_0)</f>
        <v>0</v>
      </c>
      <c r="Q18" s="21"/>
      <c r="R18" s="31">
        <f t="shared" ref="R18:R26" si="4">IF(P$12=0,0,P18/P$12)</f>
        <v>0</v>
      </c>
      <c r="S18" s="21"/>
      <c r="T18" s="21">
        <f>SUM(OSRRefT22x_0)</f>
        <v>67961.41</v>
      </c>
      <c r="U18" s="21"/>
      <c r="V18" s="31">
        <f t="shared" ref="V18:V26" si="5">IF(T$12=0,0,T18/T$12)</f>
        <v>0</v>
      </c>
      <c r="W18" s="4"/>
      <c r="X18" s="21">
        <f t="shared" ref="X18:X26" si="6">+P18-T18</f>
        <v>-67961.41</v>
      </c>
      <c r="Y18" s="4"/>
      <c r="Z18" s="31">
        <f t="shared" ref="Z18:Z26" si="7">IF(T18=0,0,X18/T18)</f>
        <v>-1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934.1</v>
      </c>
      <c r="I19" s="1"/>
      <c r="J19" s="5">
        <f t="shared" si="1"/>
        <v>0</v>
      </c>
      <c r="K19" s="1"/>
      <c r="L19" s="1">
        <f t="shared" si="2"/>
        <v>-934.1</v>
      </c>
      <c r="M19" s="1"/>
      <c r="N19" s="5">
        <f t="shared" si="3"/>
        <v>-1</v>
      </c>
      <c r="O19" s="12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30774.21</v>
      </c>
      <c r="U19" s="1"/>
      <c r="V19" s="5">
        <f t="shared" si="5"/>
        <v>0</v>
      </c>
      <c r="W19" s="1"/>
      <c r="X19" s="1">
        <f t="shared" si="6"/>
        <v>-30774.21</v>
      </c>
      <c r="Y19" s="1"/>
      <c r="Z19" s="5">
        <f t="shared" si="7"/>
        <v>-1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0"/>
      <c r="P20" s="6"/>
      <c r="Q20" s="2"/>
      <c r="R20" s="7">
        <f t="shared" si="4"/>
        <v>0</v>
      </c>
      <c r="S20" s="2"/>
      <c r="T20" s="6">
        <v>2908.48</v>
      </c>
      <c r="U20" s="2"/>
      <c r="V20" s="7">
        <f t="shared" si="5"/>
        <v>0</v>
      </c>
      <c r="W20" s="2"/>
      <c r="X20" s="6">
        <f t="shared" si="6"/>
        <v>-2908.48</v>
      </c>
      <c r="Y20" s="2"/>
      <c r="Z20" s="7">
        <f t="shared" si="7"/>
        <v>-1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0"/>
      <c r="P21" s="6"/>
      <c r="Q21" s="2"/>
      <c r="R21" s="7">
        <f t="shared" si="4"/>
        <v>0</v>
      </c>
      <c r="S21" s="2"/>
      <c r="T21" s="6">
        <v>159.32</v>
      </c>
      <c r="U21" s="2"/>
      <c r="V21" s="7">
        <f t="shared" si="5"/>
        <v>0</v>
      </c>
      <c r="W21" s="2"/>
      <c r="X21" s="6">
        <f t="shared" si="6"/>
        <v>-159.32</v>
      </c>
      <c r="Y21" s="2"/>
      <c r="Z21" s="7">
        <f t="shared" si="7"/>
        <v>-1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/>
      <c r="E22" s="2"/>
      <c r="F22" s="7">
        <f t="shared" si="0"/>
        <v>0</v>
      </c>
      <c r="G22" s="2"/>
      <c r="H22" s="6">
        <v>934.1</v>
      </c>
      <c r="I22" s="2"/>
      <c r="J22" s="7">
        <f t="shared" si="1"/>
        <v>0</v>
      </c>
      <c r="K22" s="2"/>
      <c r="L22" s="6">
        <f t="shared" si="2"/>
        <v>-934.1</v>
      </c>
      <c r="M22" s="2"/>
      <c r="N22" s="7">
        <f t="shared" si="3"/>
        <v>-1</v>
      </c>
      <c r="O22" s="10"/>
      <c r="P22" s="6"/>
      <c r="Q22" s="2"/>
      <c r="R22" s="7">
        <f t="shared" si="4"/>
        <v>0</v>
      </c>
      <c r="S22" s="2"/>
      <c r="T22" s="6">
        <v>8394</v>
      </c>
      <c r="U22" s="2"/>
      <c r="V22" s="7">
        <f t="shared" si="5"/>
        <v>0</v>
      </c>
      <c r="W22" s="2"/>
      <c r="X22" s="6">
        <f t="shared" si="6"/>
        <v>-8394</v>
      </c>
      <c r="Y22" s="2"/>
      <c r="Z22" s="7">
        <f t="shared" si="7"/>
        <v>-1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0"/>
      <c r="P23" s="6"/>
      <c r="Q23" s="2"/>
      <c r="R23" s="7">
        <f t="shared" si="4"/>
        <v>0</v>
      </c>
      <c r="S23" s="2"/>
      <c r="T23" s="6">
        <v>134.31</v>
      </c>
      <c r="U23" s="2"/>
      <c r="V23" s="7">
        <f t="shared" si="5"/>
        <v>0</v>
      </c>
      <c r="W23" s="2"/>
      <c r="X23" s="6">
        <f t="shared" si="6"/>
        <v>-134.31</v>
      </c>
      <c r="Y23" s="2"/>
      <c r="Z23" s="7">
        <f t="shared" si="7"/>
        <v>-1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0"/>
      <c r="P24" s="6"/>
      <c r="Q24" s="2"/>
      <c r="R24" s="7">
        <f t="shared" si="4"/>
        <v>0</v>
      </c>
      <c r="S24" s="2"/>
      <c r="T24" s="6">
        <v>5280.61</v>
      </c>
      <c r="U24" s="2"/>
      <c r="V24" s="7">
        <f t="shared" si="5"/>
        <v>0</v>
      </c>
      <c r="W24" s="2"/>
      <c r="X24" s="6">
        <f t="shared" si="6"/>
        <v>-5280.61</v>
      </c>
      <c r="Y24" s="2"/>
      <c r="Z24" s="7">
        <f t="shared" si="7"/>
        <v>-1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5313.38</v>
      </c>
      <c r="U25" s="2"/>
      <c r="V25" s="7">
        <f t="shared" si="5"/>
        <v>0</v>
      </c>
      <c r="W25" s="2"/>
      <c r="X25" s="6">
        <f t="shared" si="6"/>
        <v>-5313.38</v>
      </c>
      <c r="Y25" s="2"/>
      <c r="Z25" s="7">
        <f t="shared" si="7"/>
        <v>-1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/>
      <c r="Q26" s="2"/>
      <c r="R26" s="7">
        <f t="shared" si="4"/>
        <v>0</v>
      </c>
      <c r="S26" s="2"/>
      <c r="T26" s="6">
        <v>8584.11</v>
      </c>
      <c r="U26" s="2"/>
      <c r="V26" s="7">
        <f t="shared" si="5"/>
        <v>0</v>
      </c>
      <c r="W26" s="2"/>
      <c r="X26" s="6">
        <f t="shared" si="6"/>
        <v>-8584.11</v>
      </c>
      <c r="Y26" s="2"/>
      <c r="Z26" s="7">
        <f t="shared" si="7"/>
        <v>-1</v>
      </c>
    </row>
    <row r="27" spans="1:26" s="26" customFormat="1" outlineLevel="1" collapsed="1" x14ac:dyDescent="0.25">
      <c r="A27" s="27"/>
      <c r="B27" s="12" t="str">
        <f>CONCATENATE("     ","*Payroll                                          ")</f>
        <v xml:space="preserve">     *Payroll                                          </v>
      </c>
      <c r="C27" s="12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0</v>
      </c>
      <c r="I27" s="1"/>
      <c r="J27" s="5">
        <f t="shared" ref="J27:J29" si="9">IF(H$12=0,0,H27/H$12)</f>
        <v>0</v>
      </c>
      <c r="K27" s="1"/>
      <c r="L27" s="1">
        <f t="shared" ref="L27:L29" si="10">+D27-H27</f>
        <v>0</v>
      </c>
      <c r="M27" s="1"/>
      <c r="N27" s="5">
        <f t="shared" ref="N27:N29" si="11">IF(H27=0,0,L27/H27)</f>
        <v>0</v>
      </c>
      <c r="O27" s="12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37187.199999999997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-37187.199999999997</v>
      </c>
      <c r="Y27" s="1"/>
      <c r="Z27" s="5">
        <f t="shared" ref="Z27:Z29" si="15">IF(T27=0,0,X27/T27)</f>
        <v>-1</v>
      </c>
    </row>
    <row r="28" spans="1:26" s="23" customFormat="1" hidden="1" outlineLevel="2" x14ac:dyDescent="0.25">
      <c r="A28" s="25"/>
      <c r="B28" s="10" t="str">
        <f>CONCATENATE("          ", "6001", " - ", "ADMINISTRATIVE SALARIES")</f>
        <v xml:space="preserve">          6001 - ADMINISTRATIVE SALARIES</v>
      </c>
      <c r="C28" s="10"/>
      <c r="D28" s="6"/>
      <c r="E28" s="2"/>
      <c r="F28" s="7">
        <f t="shared" si="8"/>
        <v>0</v>
      </c>
      <c r="G28" s="2"/>
      <c r="H28" s="6"/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0"/>
      <c r="P28" s="6"/>
      <c r="Q28" s="2"/>
      <c r="R28" s="7">
        <f t="shared" si="12"/>
        <v>0</v>
      </c>
      <c r="S28" s="2"/>
      <c r="T28" s="6">
        <v>37187.199999999997</v>
      </c>
      <c r="U28" s="2"/>
      <c r="V28" s="7">
        <f t="shared" si="13"/>
        <v>0</v>
      </c>
      <c r="W28" s="2"/>
      <c r="X28" s="6">
        <f t="shared" si="14"/>
        <v>-37187.199999999997</v>
      </c>
      <c r="Y28" s="2"/>
      <c r="Z28" s="7">
        <f t="shared" si="15"/>
        <v>-1</v>
      </c>
    </row>
    <row r="29" spans="1:26" s="23" customFormat="1" hidden="1" outlineLevel="2" x14ac:dyDescent="0.25">
      <c r="A29" s="25"/>
      <c r="B29" s="10" t="str">
        <f>CONCATENATE("          ", "6002", " - ", "STAFF SALARIES")</f>
        <v xml:space="preserve">          6002 - STAFF SALARIES</v>
      </c>
      <c r="C29" s="10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0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60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4" customFormat="1" collapsed="1" x14ac:dyDescent="0.25">
      <c r="A31" s="11"/>
      <c r="B31" s="28" t="s">
        <v>292</v>
      </c>
      <c r="C31" s="11"/>
      <c r="D31" s="4">
        <f>SUM(OSRRefD25x_0)</f>
        <v>0</v>
      </c>
      <c r="E31" s="4"/>
      <c r="F31" s="13">
        <f t="shared" ref="F31:F34" si="16">IF(D$12=0,0,D31/D$12)</f>
        <v>0</v>
      </c>
      <c r="G31" s="4"/>
      <c r="H31" s="4">
        <f>SUM(OSRRefH25x_0)</f>
        <v>4052.18</v>
      </c>
      <c r="I31" s="4"/>
      <c r="J31" s="13">
        <f t="shared" ref="J31:J34" si="17">IF(H$12=0,0,H31/H$12)</f>
        <v>0</v>
      </c>
      <c r="K31" s="4"/>
      <c r="L31" s="4">
        <f t="shared" ref="L31:L34" si="18">+D31-H31</f>
        <v>-4052.18</v>
      </c>
      <c r="M31" s="4"/>
      <c r="N31" s="13">
        <f t="shared" ref="N31:N34" si="19">IF(H31=0,0,L31/H31)</f>
        <v>-1</v>
      </c>
      <c r="O31" s="11"/>
      <c r="P31" s="4">
        <f>SUM(OSRRefP25x_0)</f>
        <v>15204.82</v>
      </c>
      <c r="Q31" s="4"/>
      <c r="R31" s="13">
        <f t="shared" ref="R31:R34" si="20">IF(P$12=0,0,P31/P$12)</f>
        <v>0</v>
      </c>
      <c r="S31" s="4"/>
      <c r="T31" s="4">
        <f>SUM(OSRRefT25x_0)</f>
        <v>360906.57</v>
      </c>
      <c r="U31" s="4"/>
      <c r="V31" s="13">
        <f t="shared" ref="V31:V34" si="21">IF(T$12=0,0,T31/T$12)</f>
        <v>0</v>
      </c>
      <c r="W31" s="4"/>
      <c r="X31" s="4">
        <f t="shared" ref="X31:X34" si="22">+P31-T31</f>
        <v>-345701.75</v>
      </c>
      <c r="Y31" s="4"/>
      <c r="Z31" s="13">
        <f t="shared" ref="Z31:Z34" si="23">IF(T31=0,0,X31/T31)</f>
        <v>-0.95787048154872878</v>
      </c>
    </row>
    <row r="32" spans="1:26" s="23" customFormat="1" hidden="1" outlineLevel="1" x14ac:dyDescent="0.25">
      <c r="A32" s="44"/>
      <c r="B32" s="10" t="str">
        <f>CONCATENATE("          ", "9150", " - ", "MISC. INCOME")</f>
        <v xml:space="preserve">          9150 - MISC. INCOME</v>
      </c>
      <c r="C32" s="10"/>
      <c r="D32" s="2">
        <f t="shared" ref="D32:D34" si="24">0</f>
        <v>0</v>
      </c>
      <c r="E32" s="2"/>
      <c r="F32" s="19">
        <f t="shared" si="16"/>
        <v>0</v>
      </c>
      <c r="G32" s="2"/>
      <c r="H32" s="2">
        <f t="shared" ref="H32:H33" si="25">0</f>
        <v>0</v>
      </c>
      <c r="I32" s="2"/>
      <c r="J32" s="19">
        <f t="shared" si="17"/>
        <v>0</v>
      </c>
      <c r="K32" s="2"/>
      <c r="L32" s="2">
        <f t="shared" si="18"/>
        <v>0</v>
      </c>
      <c r="M32" s="2"/>
      <c r="N32" s="19">
        <f t="shared" si="19"/>
        <v>0</v>
      </c>
      <c r="O32" s="10"/>
      <c r="P32" s="2">
        <f>0</f>
        <v>0</v>
      </c>
      <c r="Q32" s="2"/>
      <c r="R32" s="19">
        <f t="shared" si="20"/>
        <v>0</v>
      </c>
      <c r="S32" s="2"/>
      <c r="T32" s="2">
        <f>0</f>
        <v>0</v>
      </c>
      <c r="U32" s="2"/>
      <c r="V32" s="19">
        <f t="shared" si="21"/>
        <v>0</v>
      </c>
      <c r="W32" s="2"/>
      <c r="X32" s="2">
        <f t="shared" si="22"/>
        <v>0</v>
      </c>
      <c r="Y32" s="2"/>
      <c r="Z32" s="19">
        <f t="shared" si="23"/>
        <v>0</v>
      </c>
    </row>
    <row r="33" spans="1:26" s="23" customFormat="1" hidden="1" outlineLevel="1" x14ac:dyDescent="0.25">
      <c r="A33" s="44"/>
      <c r="B33" s="10" t="str">
        <f>CONCATENATE("          ", "9160", " - ", "MISC. INCOME")</f>
        <v xml:space="preserve">          9160 - MISC. INCOME</v>
      </c>
      <c r="C33" s="10"/>
      <c r="D33" s="2">
        <f t="shared" si="24"/>
        <v>0</v>
      </c>
      <c r="E33" s="2"/>
      <c r="F33" s="19">
        <f t="shared" si="16"/>
        <v>0</v>
      </c>
      <c r="G33" s="2"/>
      <c r="H33" s="2">
        <f t="shared" si="25"/>
        <v>0</v>
      </c>
      <c r="I33" s="2"/>
      <c r="J33" s="19">
        <f t="shared" si="17"/>
        <v>0</v>
      </c>
      <c r="K33" s="2"/>
      <c r="L33" s="2">
        <f t="shared" si="18"/>
        <v>0</v>
      </c>
      <c r="M33" s="2"/>
      <c r="N33" s="19">
        <f t="shared" si="19"/>
        <v>0</v>
      </c>
      <c r="O33" s="10"/>
      <c r="P33" s="2">
        <f>--12066.61</f>
        <v>12066.61</v>
      </c>
      <c r="Q33" s="2"/>
      <c r="R33" s="19">
        <f t="shared" si="20"/>
        <v>0</v>
      </c>
      <c r="S33" s="2"/>
      <c r="T33" s="2">
        <f>--128039.29</f>
        <v>128039.29</v>
      </c>
      <c r="U33" s="2"/>
      <c r="V33" s="19">
        <f t="shared" si="21"/>
        <v>0</v>
      </c>
      <c r="W33" s="2"/>
      <c r="X33" s="2">
        <f t="shared" si="22"/>
        <v>-115972.68</v>
      </c>
      <c r="Y33" s="2"/>
      <c r="Z33" s="19">
        <f t="shared" si="23"/>
        <v>-0.90575853708654586</v>
      </c>
    </row>
    <row r="34" spans="1:26" s="23" customFormat="1" hidden="1" outlineLevel="1" x14ac:dyDescent="0.25">
      <c r="A34" s="44"/>
      <c r="B34" s="10" t="str">
        <f>CONCATENATE("          ", "9165", " - ", "OTHER INCOME")</f>
        <v xml:space="preserve">          9165 - OTHER INCOME</v>
      </c>
      <c r="C34" s="10"/>
      <c r="D34" s="2">
        <f t="shared" si="24"/>
        <v>0</v>
      </c>
      <c r="E34" s="2"/>
      <c r="F34" s="19">
        <f t="shared" si="16"/>
        <v>0</v>
      </c>
      <c r="G34" s="2"/>
      <c r="H34" s="2">
        <f>--4052.18</f>
        <v>4052.18</v>
      </c>
      <c r="I34" s="2"/>
      <c r="J34" s="19">
        <f t="shared" si="17"/>
        <v>0</v>
      </c>
      <c r="K34" s="2"/>
      <c r="L34" s="2">
        <f t="shared" si="18"/>
        <v>-4052.18</v>
      </c>
      <c r="M34" s="2"/>
      <c r="N34" s="19">
        <f t="shared" si="19"/>
        <v>-1</v>
      </c>
      <c r="O34" s="10"/>
      <c r="P34" s="2">
        <f>--3138.21</f>
        <v>3138.21</v>
      </c>
      <c r="Q34" s="2"/>
      <c r="R34" s="19">
        <f t="shared" si="20"/>
        <v>0</v>
      </c>
      <c r="S34" s="2"/>
      <c r="T34" s="2">
        <f>--232867.28</f>
        <v>232867.28</v>
      </c>
      <c r="U34" s="2"/>
      <c r="V34" s="19">
        <f t="shared" si="21"/>
        <v>0</v>
      </c>
      <c r="W34" s="2"/>
      <c r="X34" s="2">
        <f t="shared" si="22"/>
        <v>-229729.07</v>
      </c>
      <c r="Y34" s="2"/>
      <c r="Z34" s="19">
        <f t="shared" si="23"/>
        <v>-0.9865236112175142</v>
      </c>
    </row>
    <row r="35" spans="1:26" x14ac:dyDescent="0.25">
      <c r="A35" s="9"/>
      <c r="B35" s="11"/>
      <c r="C35" s="11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1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x14ac:dyDescent="0.25">
      <c r="A36" s="11"/>
      <c r="B36" s="29" t="s">
        <v>276</v>
      </c>
      <c r="C36" s="29"/>
      <c r="D36" s="22">
        <f>+D16-D18+D31</f>
        <v>0</v>
      </c>
      <c r="E36" s="14"/>
      <c r="F36" s="20">
        <f>IF(D$12=0,0,D36/D$12)</f>
        <v>0</v>
      </c>
      <c r="G36" s="14"/>
      <c r="H36" s="22">
        <f>+H16-H18+H31</f>
        <v>3118.08</v>
      </c>
      <c r="I36" s="14"/>
      <c r="J36" s="20">
        <f>IF(H$12=0,0,H36/H$12)</f>
        <v>0</v>
      </c>
      <c r="K36" s="15"/>
      <c r="L36" s="22">
        <f>+D36-H36</f>
        <v>-3118.08</v>
      </c>
      <c r="M36" s="15"/>
      <c r="N36" s="20">
        <f>IF(H36=0,0,L36/H36)</f>
        <v>-1</v>
      </c>
      <c r="O36" s="28"/>
      <c r="P36" s="22">
        <f>+P16-P18+P31</f>
        <v>15204.82</v>
      </c>
      <c r="Q36" s="14"/>
      <c r="R36" s="20">
        <f>IF(P$12=0,0,P36/P$12)</f>
        <v>0</v>
      </c>
      <c r="S36" s="14"/>
      <c r="T36" s="22">
        <f>+T16-T18+T31</f>
        <v>292945.16000000003</v>
      </c>
      <c r="U36" s="14"/>
      <c r="V36" s="20">
        <f>IF(T$12=0,0,T36/T$12)</f>
        <v>0</v>
      </c>
      <c r="W36" s="15"/>
      <c r="X36" s="22">
        <f>+P36-T36</f>
        <v>-277740.34000000003</v>
      </c>
      <c r="Y36" s="15"/>
      <c r="Z36" s="20">
        <f>IF(T36=0,0,X36/T36)</f>
        <v>-0.94809670178541261</v>
      </c>
    </row>
    <row r="37" spans="1:26" x14ac:dyDescent="0.25">
      <c r="A37" s="9"/>
      <c r="B37" s="11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4" customFormat="1" x14ac:dyDescent="0.25">
      <c r="A38" s="51"/>
      <c r="B38" s="11" t="s">
        <v>127</v>
      </c>
      <c r="C38" s="11"/>
      <c r="D38" s="4"/>
      <c r="E38" s="4"/>
      <c r="F38" s="13">
        <f>IF(D$12=0,0,D38/D$12)</f>
        <v>0</v>
      </c>
      <c r="G38" s="4"/>
      <c r="H38" s="4"/>
      <c r="I38" s="4"/>
      <c r="J38" s="13">
        <f>IF(H$12=0,0,H38/H$12)</f>
        <v>0</v>
      </c>
      <c r="K38" s="4"/>
      <c r="L38" s="4">
        <f>+D38-H38</f>
        <v>0</v>
      </c>
      <c r="M38" s="4"/>
      <c r="N38" s="13">
        <f>IF(H38=0,0,L38/H38)</f>
        <v>0</v>
      </c>
      <c r="O38" s="11"/>
      <c r="P38" s="4"/>
      <c r="Q38" s="4"/>
      <c r="R38" s="13">
        <f>IF(P$12=0,0,P38/P$12)</f>
        <v>0</v>
      </c>
      <c r="S38" s="4"/>
      <c r="T38" s="4"/>
      <c r="U38" s="4"/>
      <c r="V38" s="13">
        <f>IF(T$12=0,0,T38/T$12)</f>
        <v>0</v>
      </c>
      <c r="W38" s="4"/>
      <c r="X38" s="4">
        <f>+P38-T38</f>
        <v>0</v>
      </c>
      <c r="Y38" s="4"/>
      <c r="Z38" s="13">
        <f>IF(T38=0,0,X38/T38)</f>
        <v>0</v>
      </c>
    </row>
    <row r="39" spans="1:26" x14ac:dyDescent="0.25">
      <c r="A39" s="9"/>
      <c r="B39" s="11"/>
      <c r="C39" s="11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1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ht="15.75" thickBot="1" x14ac:dyDescent="0.3">
      <c r="A40" s="11"/>
      <c r="B40" s="29" t="s">
        <v>125</v>
      </c>
      <c r="C40" s="29"/>
      <c r="D40" s="30">
        <f>+D36-D38</f>
        <v>0</v>
      </c>
      <c r="E40" s="14"/>
      <c r="F40" s="36">
        <f>IF(D$12=0,0,D40/D$12)</f>
        <v>0</v>
      </c>
      <c r="G40" s="14"/>
      <c r="H40" s="30">
        <f>+H36-H38</f>
        <v>3118.08</v>
      </c>
      <c r="I40" s="14"/>
      <c r="J40" s="36">
        <f>IF(H$12=0,0,H40/H$12)</f>
        <v>0</v>
      </c>
      <c r="K40" s="15"/>
      <c r="L40" s="30">
        <f>D40-H40</f>
        <v>-3118.08</v>
      </c>
      <c r="M40" s="15"/>
      <c r="N40" s="36">
        <f>IF(H40=0,0,L40/H40)</f>
        <v>-1</v>
      </c>
      <c r="O40" s="28"/>
      <c r="P40" s="30">
        <f>+P36-P38</f>
        <v>15204.82</v>
      </c>
      <c r="Q40" s="14"/>
      <c r="R40" s="36">
        <f>IF(P$12=0,0,P40/P$12)</f>
        <v>0</v>
      </c>
      <c r="S40" s="14"/>
      <c r="T40" s="30">
        <f>+T36-T38</f>
        <v>292945.16000000003</v>
      </c>
      <c r="U40" s="14"/>
      <c r="V40" s="36">
        <f>IF(T$12=0,0,T40/T$12)</f>
        <v>0</v>
      </c>
      <c r="W40" s="15"/>
      <c r="X40" s="30">
        <f>P40-T40</f>
        <v>-277740.34000000003</v>
      </c>
      <c r="Y40" s="15"/>
      <c r="Z40" s="36">
        <f>IF(T40=0,0,X40/T40)</f>
        <v>-0.94809670178541261</v>
      </c>
    </row>
    <row r="41" spans="1:26" ht="15.75" thickTop="1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4" customFormat="1" ht="15.75" thickBot="1" x14ac:dyDescent="0.3">
      <c r="A43" s="11"/>
      <c r="B43" s="29" t="s">
        <v>293</v>
      </c>
      <c r="C43" s="29"/>
      <c r="D43" s="35">
        <f>SUM(D40:D42)</f>
        <v>0</v>
      </c>
      <c r="E43" s="14"/>
      <c r="F43" s="34">
        <f>IF(D$12=0,0,D43/D$12)</f>
        <v>0</v>
      </c>
      <c r="G43" s="14"/>
      <c r="H43" s="35">
        <f>SUM(H40:H42)</f>
        <v>3118.08</v>
      </c>
      <c r="I43" s="14"/>
      <c r="J43" s="34">
        <f>IF(H$12=0,0,H43/H$12)</f>
        <v>0</v>
      </c>
      <c r="K43" s="15"/>
      <c r="L43" s="35">
        <f>+D43-H43</f>
        <v>-3118.08</v>
      </c>
      <c r="M43" s="15"/>
      <c r="N43" s="34">
        <f>IF(H43=0,0,L43/H43)</f>
        <v>-1</v>
      </c>
      <c r="O43" s="28"/>
      <c r="P43" s="35">
        <f>SUM(P40:P42)</f>
        <v>15204.82</v>
      </c>
      <c r="Q43" s="14"/>
      <c r="R43" s="34">
        <f>IF(P$12=0,0,P43/P$12)</f>
        <v>0</v>
      </c>
      <c r="S43" s="14"/>
      <c r="T43" s="35">
        <f>SUM(T40:T42)</f>
        <v>292945.16000000003</v>
      </c>
      <c r="U43" s="14"/>
      <c r="V43" s="34">
        <f>IF(T$12=0,0,T43/T$12)</f>
        <v>0</v>
      </c>
      <c r="W43" s="15"/>
      <c r="X43" s="35">
        <f>+P43-T43</f>
        <v>-277740.34000000003</v>
      </c>
      <c r="Y43" s="15"/>
      <c r="Z43" s="34">
        <f>IF(T43=0,0,X43/T43)</f>
        <v>-0.94809670178541261</v>
      </c>
    </row>
    <row r="44" spans="1:26" ht="15.75" thickTop="1" x14ac:dyDescent="0.25">
      <c r="A44" s="9"/>
      <c r="C44" s="9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A45" s="9"/>
      <c r="B45" s="54">
        <v>44295.963243634258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25">
      <c r="A46" s="9"/>
      <c r="B46" s="58" t="s">
        <v>56</v>
      </c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25">
      <c r="A47" s="9"/>
      <c r="B47" s="62"/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25"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","425", " - ", "Events Center")</f>
        <v>Department 425 - Events Center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14517.5</v>
      </c>
      <c r="I12" s="4"/>
      <c r="J12" s="13"/>
      <c r="K12" s="4"/>
      <c r="L12" s="4">
        <f t="shared" ref="L12:L17" si="0">+D12-H12</f>
        <v>-14517.5</v>
      </c>
      <c r="M12" s="4"/>
      <c r="N12" s="13">
        <f t="shared" ref="N12:N17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392328.46</v>
      </c>
      <c r="U12" s="4"/>
      <c r="V12" s="13"/>
      <c r="W12" s="4"/>
      <c r="X12" s="4">
        <f t="shared" ref="X12:X17" si="2">+P12-T12</f>
        <v>-392328.46</v>
      </c>
      <c r="Y12" s="4"/>
      <c r="Z12" s="13">
        <f t="shared" ref="Z12:Z17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7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7" si="5"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 t="shared" si="4"/>
        <v>0</v>
      </c>
      <c r="E14" s="2"/>
      <c r="F14" s="19"/>
      <c r="G14" s="2"/>
      <c r="H14" s="2">
        <f>--12782.34</f>
        <v>12782.34</v>
      </c>
      <c r="I14" s="2"/>
      <c r="J14" s="19"/>
      <c r="K14" s="2"/>
      <c r="L14" s="2">
        <f t="shared" si="0"/>
        <v>-12782.34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--296449.41</f>
        <v>296449.40999999997</v>
      </c>
      <c r="U14" s="2"/>
      <c r="V14" s="19"/>
      <c r="W14" s="2"/>
      <c r="X14" s="2">
        <f t="shared" si="2"/>
        <v>-296449.40999999997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 t="shared" si="4"/>
        <v>0</v>
      </c>
      <c r="E15" s="2"/>
      <c r="F15" s="19"/>
      <c r="G15" s="2"/>
      <c r="H15" s="2">
        <f>--1735.16</f>
        <v>1735.16</v>
      </c>
      <c r="I15" s="2"/>
      <c r="J15" s="19"/>
      <c r="K15" s="2"/>
      <c r="L15" s="2">
        <f t="shared" si="0"/>
        <v>-1735.16</v>
      </c>
      <c r="M15" s="2"/>
      <c r="N15" s="19">
        <f t="shared" si="1"/>
        <v>-1</v>
      </c>
      <c r="O15" s="10"/>
      <c r="P15" s="2">
        <f t="shared" si="5"/>
        <v>0</v>
      </c>
      <c r="Q15" s="2"/>
      <c r="R15" s="19"/>
      <c r="S15" s="2"/>
      <c r="T15" s="2">
        <f>--95481.76</f>
        <v>95481.76</v>
      </c>
      <c r="U15" s="2"/>
      <c r="V15" s="19"/>
      <c r="W15" s="2"/>
      <c r="X15" s="2">
        <f t="shared" si="2"/>
        <v>-95481.76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"4151", " - ", "NON-TAXABLE SALES-FOOD")</f>
        <v xml:space="preserve">          4151 - NON-TAXABLE SALES-FOOD</v>
      </c>
      <c r="C16" s="10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5"/>
        <v>0</v>
      </c>
      <c r="Q16" s="2"/>
      <c r="R16" s="19"/>
      <c r="S16" s="2"/>
      <c r="T16" s="2">
        <f>--0.08</f>
        <v>0.08</v>
      </c>
      <c r="U16" s="2"/>
      <c r="V16" s="19"/>
      <c r="W16" s="2"/>
      <c r="X16" s="2">
        <f t="shared" si="2"/>
        <v>-0.08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"4152", " - ", "NON-TAXABLE SALES-FOOD")</f>
        <v xml:space="preserve">          4152 - NON-TAXABLE SALES-FOOD</v>
      </c>
      <c r="C17" s="10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si="5"/>
        <v>0</v>
      </c>
      <c r="Q17" s="2"/>
      <c r="R17" s="19"/>
      <c r="S17" s="2"/>
      <c r="T17" s="2">
        <f>--397.21</f>
        <v>397.21</v>
      </c>
      <c r="U17" s="2"/>
      <c r="V17" s="19"/>
      <c r="W17" s="2"/>
      <c r="X17" s="2">
        <f t="shared" si="2"/>
        <v>-397.21</v>
      </c>
      <c r="Y17" s="2"/>
      <c r="Z17" s="19">
        <f t="shared" si="3"/>
        <v>-1</v>
      </c>
    </row>
    <row r="18" spans="1:26" x14ac:dyDescent="0.25">
      <c r="A18" s="9"/>
      <c r="B18" s="11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4" customFormat="1" collapsed="1" x14ac:dyDescent="0.25">
      <c r="A19" s="11"/>
      <c r="B19" s="28" t="s">
        <v>256</v>
      </c>
      <c r="C19" s="11"/>
      <c r="D19" s="4">
        <f>SUM(OSRRefD16x_0)</f>
        <v>-6593.4</v>
      </c>
      <c r="E19" s="4"/>
      <c r="F19" s="13">
        <f t="shared" ref="F19:F21" si="7">IF(D$12=0,0,D19/D$12)</f>
        <v>0</v>
      </c>
      <c r="G19" s="4"/>
      <c r="H19" s="4">
        <f>SUM(OSRRefH16x_0)</f>
        <v>3338.91</v>
      </c>
      <c r="I19" s="4"/>
      <c r="J19" s="13">
        <f t="shared" ref="J19:J21" si="8">IF(H$12=0,0,H19/H$12)</f>
        <v>0.22999207852591699</v>
      </c>
      <c r="K19" s="4"/>
      <c r="L19" s="4">
        <f t="shared" ref="L19:L21" si="9">+D19-H19</f>
        <v>-9932.31</v>
      </c>
      <c r="M19" s="4"/>
      <c r="N19" s="13">
        <f t="shared" ref="N19:N21" si="10">IF(H19=0,0,L19/H19)</f>
        <v>-2.9747162996307179</v>
      </c>
      <c r="O19" s="11"/>
      <c r="P19" s="4">
        <f>SUM(OSRRefP16x_0)</f>
        <v>-6593.4</v>
      </c>
      <c r="Q19" s="4"/>
      <c r="R19" s="13">
        <f t="shared" ref="R19:R21" si="11">IF(P$12=0,0,P19/P$12)</f>
        <v>0</v>
      </c>
      <c r="S19" s="4"/>
      <c r="T19" s="4">
        <f>SUM(OSRRefT16x_0)</f>
        <v>102308.69</v>
      </c>
      <c r="U19" s="4"/>
      <c r="V19" s="13">
        <f t="shared" ref="V19:V21" si="12">IF(T$12=0,0,T19/T$12)</f>
        <v>0.26077305225320641</v>
      </c>
      <c r="W19" s="4"/>
      <c r="X19" s="4">
        <f t="shared" ref="X19:X21" si="13">+P19-T19</f>
        <v>-108902.09</v>
      </c>
      <c r="Y19" s="4"/>
      <c r="Z19" s="13">
        <f t="shared" ref="Z19:Z21" si="14">IF(T19=0,0,X19/T19)</f>
        <v>-1.064446138446304</v>
      </c>
    </row>
    <row r="20" spans="1:26" s="23" customFormat="1" hidden="1" outlineLevel="1" x14ac:dyDescent="0.25">
      <c r="A20" s="44"/>
      <c r="B20" s="10" t="str">
        <f>CONCATENATE("          ", "5053", " - ", "PURCHASES @ COST-FOOD")</f>
        <v xml:space="preserve">          5053 - PURCHASES @ COST-FOOD</v>
      </c>
      <c r="C20" s="10"/>
      <c r="D20" s="2">
        <v>-6593.4</v>
      </c>
      <c r="E20" s="2"/>
      <c r="F20" s="19">
        <f t="shared" si="7"/>
        <v>0</v>
      </c>
      <c r="G20" s="2"/>
      <c r="H20" s="2">
        <v>6816.91</v>
      </c>
      <c r="I20" s="2"/>
      <c r="J20" s="19">
        <f t="shared" si="8"/>
        <v>0.46956500774926813</v>
      </c>
      <c r="K20" s="2"/>
      <c r="L20" s="2">
        <f t="shared" si="9"/>
        <v>-13410.31</v>
      </c>
      <c r="M20" s="2"/>
      <c r="N20" s="19">
        <f t="shared" si="10"/>
        <v>-1.9672124173562509</v>
      </c>
      <c r="O20" s="10"/>
      <c r="P20" s="2">
        <v>-6593.4</v>
      </c>
      <c r="Q20" s="2"/>
      <c r="R20" s="19">
        <f t="shared" si="11"/>
        <v>0</v>
      </c>
      <c r="S20" s="2"/>
      <c r="T20" s="2">
        <v>116056.69</v>
      </c>
      <c r="U20" s="2"/>
      <c r="V20" s="19">
        <f t="shared" si="12"/>
        <v>0.29581511879102523</v>
      </c>
      <c r="W20" s="2"/>
      <c r="X20" s="2">
        <f t="shared" si="13"/>
        <v>-122650.09</v>
      </c>
      <c r="Y20" s="2"/>
      <c r="Z20" s="19">
        <f t="shared" si="14"/>
        <v>-1.0568118908095689</v>
      </c>
    </row>
    <row r="21" spans="1:26" s="23" customFormat="1" hidden="1" outlineLevel="1" x14ac:dyDescent="0.25">
      <c r="A21" s="44"/>
      <c r="B21" s="10" t="str">
        <f>CONCATENATE("          ", "5059", " - ", "PURCHASES @ COST-FOOD")</f>
        <v xml:space="preserve">          5059 - PURCHASES @ COST-FOOD</v>
      </c>
      <c r="C21" s="10"/>
      <c r="D21" s="2"/>
      <c r="E21" s="2"/>
      <c r="F21" s="19">
        <f t="shared" si="7"/>
        <v>0</v>
      </c>
      <c r="G21" s="2"/>
      <c r="H21" s="2">
        <v>-3478</v>
      </c>
      <c r="I21" s="2"/>
      <c r="J21" s="19">
        <f t="shared" si="8"/>
        <v>-0.23957292922335113</v>
      </c>
      <c r="K21" s="2"/>
      <c r="L21" s="2">
        <f t="shared" si="9"/>
        <v>3478</v>
      </c>
      <c r="M21" s="2"/>
      <c r="N21" s="19">
        <f t="shared" si="10"/>
        <v>-1</v>
      </c>
      <c r="O21" s="10"/>
      <c r="P21" s="2"/>
      <c r="Q21" s="2"/>
      <c r="R21" s="19">
        <f t="shared" si="11"/>
        <v>0</v>
      </c>
      <c r="S21" s="2"/>
      <c r="T21" s="2">
        <v>-13748</v>
      </c>
      <c r="U21" s="2"/>
      <c r="V21" s="19">
        <f t="shared" si="12"/>
        <v>-3.5042066537818842E-2</v>
      </c>
      <c r="W21" s="2"/>
      <c r="X21" s="2">
        <f t="shared" si="13"/>
        <v>13748</v>
      </c>
      <c r="Y21" s="2"/>
      <c r="Z21" s="19">
        <f t="shared" si="14"/>
        <v>-1</v>
      </c>
    </row>
    <row r="22" spans="1:26" x14ac:dyDescent="0.25">
      <c r="A22" s="9"/>
      <c r="B22" s="11"/>
      <c r="C22" s="11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1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4" customFormat="1" x14ac:dyDescent="0.25">
      <c r="A23" s="11"/>
      <c r="B23" s="29" t="s">
        <v>107</v>
      </c>
      <c r="C23" s="29"/>
      <c r="D23" s="22">
        <f>D12-D19</f>
        <v>6593.4</v>
      </c>
      <c r="E23" s="14"/>
      <c r="F23" s="20">
        <f>IF(D$12=0,0,D23/D$12)</f>
        <v>0</v>
      </c>
      <c r="G23" s="14"/>
      <c r="H23" s="22">
        <f>H12-H19</f>
        <v>11178.59</v>
      </c>
      <c r="I23" s="14"/>
      <c r="J23" s="20">
        <f>IF(H$12=0,0,H23/H$12)</f>
        <v>0.77000792147408303</v>
      </c>
      <c r="K23" s="15"/>
      <c r="L23" s="22">
        <f>+D23-H23</f>
        <v>-4585.1900000000005</v>
      </c>
      <c r="M23" s="15"/>
      <c r="N23" s="20">
        <f>IF(H23=0,0,L23/H23)</f>
        <v>-0.41017605977140231</v>
      </c>
      <c r="O23" s="28"/>
      <c r="P23" s="22">
        <f>P12-P19</f>
        <v>6593.4</v>
      </c>
      <c r="Q23" s="14"/>
      <c r="R23" s="20">
        <f>IF(P$12=0,0,P23/P$12)</f>
        <v>0</v>
      </c>
      <c r="S23" s="14"/>
      <c r="T23" s="22">
        <f>T12-T19</f>
        <v>290019.77</v>
      </c>
      <c r="U23" s="14"/>
      <c r="V23" s="20">
        <f>IF(T$12=0,0,T23/T$12)</f>
        <v>0.73922694774679365</v>
      </c>
      <c r="W23" s="15"/>
      <c r="X23" s="22">
        <f>+P23-T23</f>
        <v>-283426.37</v>
      </c>
      <c r="Y23" s="15"/>
      <c r="Z23" s="20">
        <f>IF(T23=0,0,X23/T23)</f>
        <v>-0.97726568778397405</v>
      </c>
    </row>
    <row r="24" spans="1:26" x14ac:dyDescent="0.25">
      <c r="A24" s="9"/>
      <c r="B24" s="11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4" customFormat="1" x14ac:dyDescent="0.25">
      <c r="A25" s="11"/>
      <c r="B25" s="28" t="s">
        <v>294</v>
      </c>
      <c r="C25" s="11"/>
      <c r="D25" s="21">
        <f>SUM(OSRRefD22x_0)</f>
        <v>1000.91</v>
      </c>
      <c r="E25" s="21"/>
      <c r="F25" s="31">
        <f t="shared" ref="F25:F35" si="15">IF(D$12=0,0,D25/D$12)</f>
        <v>0</v>
      </c>
      <c r="G25" s="21"/>
      <c r="H25" s="21">
        <f>SUM(OSRRefH22x_0)</f>
        <v>39804.939999999995</v>
      </c>
      <c r="I25" s="21"/>
      <c r="J25" s="31">
        <f t="shared" ref="J25:J35" si="16">IF(H$12=0,0,H25/H$12)</f>
        <v>2.7418591355260888</v>
      </c>
      <c r="K25" s="4"/>
      <c r="L25" s="21">
        <f t="shared" ref="L25:L35" si="17">+D25-H25</f>
        <v>-38804.029999999992</v>
      </c>
      <c r="M25" s="4"/>
      <c r="N25" s="31">
        <f t="shared" ref="N25:N35" si="18">IF(H25=0,0,L25/H25)</f>
        <v>-0.97485462859634997</v>
      </c>
      <c r="O25" s="11"/>
      <c r="P25" s="21">
        <f>SUM(OSRRefP22x_0)</f>
        <v>12636.869999999999</v>
      </c>
      <c r="Q25" s="21"/>
      <c r="R25" s="31">
        <f t="shared" ref="R25:R35" si="19">IF(P$12=0,0,P25/P$12)</f>
        <v>0</v>
      </c>
      <c r="S25" s="21"/>
      <c r="T25" s="21">
        <f>SUM(OSRRefT22x_0)</f>
        <v>317838.35999999993</v>
      </c>
      <c r="U25" s="21"/>
      <c r="V25" s="31">
        <f t="shared" ref="V25:V35" si="20">IF(T$12=0,0,T25/T$12)</f>
        <v>0.81013332553034745</v>
      </c>
      <c r="W25" s="4"/>
      <c r="X25" s="21">
        <f t="shared" ref="X25:X35" si="21">+P25-T25</f>
        <v>-305201.48999999993</v>
      </c>
      <c r="Y25" s="4"/>
      <c r="Z25" s="31">
        <f t="shared" ref="Z25:Z35" si="22">IF(T25=0,0,X25/T25)</f>
        <v>-0.96024120562414184</v>
      </c>
    </row>
    <row r="26" spans="1:26" s="26" customFormat="1" outlineLevel="1" collapsed="1" x14ac:dyDescent="0.25">
      <c r="A26" s="27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0</v>
      </c>
      <c r="E26" s="1"/>
      <c r="F26" s="5">
        <f t="shared" si="15"/>
        <v>0</v>
      </c>
      <c r="G26" s="1"/>
      <c r="H26" s="1">
        <f>SUM(OSRRefH22_0x_0)</f>
        <v>6637.6299999999992</v>
      </c>
      <c r="I26" s="1"/>
      <c r="J26" s="5">
        <f t="shared" si="16"/>
        <v>0.45721577406578262</v>
      </c>
      <c r="K26" s="1"/>
      <c r="L26" s="1">
        <f t="shared" si="17"/>
        <v>-6637.6299999999992</v>
      </c>
      <c r="M26" s="1"/>
      <c r="N26" s="5">
        <f t="shared" si="18"/>
        <v>-1</v>
      </c>
      <c r="O26" s="12"/>
      <c r="P26" s="1">
        <f>SUM(OSRRefP22_0x_0)</f>
        <v>1420.5</v>
      </c>
      <c r="Q26" s="1"/>
      <c r="R26" s="5">
        <f t="shared" si="19"/>
        <v>0</v>
      </c>
      <c r="S26" s="1"/>
      <c r="T26" s="1">
        <f>SUM(OSRRefT22_0x_0)</f>
        <v>31991.24</v>
      </c>
      <c r="U26" s="1"/>
      <c r="V26" s="5">
        <f t="shared" si="20"/>
        <v>8.154198143055949E-2</v>
      </c>
      <c r="W26" s="1"/>
      <c r="X26" s="1">
        <f t="shared" si="21"/>
        <v>-30570.74</v>
      </c>
      <c r="Y26" s="1"/>
      <c r="Z26" s="5">
        <f t="shared" si="22"/>
        <v>-0.95559721973890355</v>
      </c>
    </row>
    <row r="27" spans="1:26" s="23" customFormat="1" hidden="1" outlineLevel="2" x14ac:dyDescent="0.25">
      <c r="A27" s="25"/>
      <c r="B27" s="10" t="str">
        <f>CONCATENATE("          ", "6111", " - ", "F.I.C.A.")</f>
        <v xml:space="preserve">          6111 - F.I.C.A.</v>
      </c>
      <c r="C27" s="10"/>
      <c r="D27" s="6"/>
      <c r="E27" s="2"/>
      <c r="F27" s="7">
        <f t="shared" si="15"/>
        <v>0</v>
      </c>
      <c r="G27" s="2"/>
      <c r="H27" s="6">
        <v>1370.24</v>
      </c>
      <c r="I27" s="2"/>
      <c r="J27" s="7">
        <f t="shared" si="16"/>
        <v>9.4385396934733939E-2</v>
      </c>
      <c r="K27" s="2"/>
      <c r="L27" s="6">
        <f t="shared" si="17"/>
        <v>-1370.24</v>
      </c>
      <c r="M27" s="2"/>
      <c r="N27" s="7">
        <f t="shared" si="18"/>
        <v>-1</v>
      </c>
      <c r="O27" s="10"/>
      <c r="P27" s="6">
        <v>171.54</v>
      </c>
      <c r="Q27" s="2"/>
      <c r="R27" s="7">
        <f t="shared" si="19"/>
        <v>0</v>
      </c>
      <c r="S27" s="2"/>
      <c r="T27" s="6">
        <v>7458.02</v>
      </c>
      <c r="U27" s="2"/>
      <c r="V27" s="7">
        <f t="shared" si="20"/>
        <v>1.9009632897903965E-2</v>
      </c>
      <c r="W27" s="2"/>
      <c r="X27" s="6">
        <f t="shared" si="21"/>
        <v>-7286.4800000000005</v>
      </c>
      <c r="Y27" s="2"/>
      <c r="Z27" s="7">
        <f t="shared" si="22"/>
        <v>-0.97699925717549696</v>
      </c>
    </row>
    <row r="28" spans="1:26" s="23" customFormat="1" hidden="1" outlineLevel="2" x14ac:dyDescent="0.25">
      <c r="A28" s="25"/>
      <c r="B28" s="10" t="str">
        <f>CONCATENATE("          ", "6112", " - ", "COMPENSATION INSURANCE")</f>
        <v xml:space="preserve">          6112 - COMPENSATION INSURANCE</v>
      </c>
      <c r="C28" s="10"/>
      <c r="D28" s="6"/>
      <c r="E28" s="2"/>
      <c r="F28" s="7">
        <f t="shared" si="15"/>
        <v>0</v>
      </c>
      <c r="G28" s="2"/>
      <c r="H28" s="6">
        <v>1662.67</v>
      </c>
      <c r="I28" s="2"/>
      <c r="J28" s="7">
        <f t="shared" si="16"/>
        <v>0.1145286722920613</v>
      </c>
      <c r="K28" s="2"/>
      <c r="L28" s="6">
        <f t="shared" si="17"/>
        <v>-1662.67</v>
      </c>
      <c r="M28" s="2"/>
      <c r="N28" s="7">
        <f t="shared" si="18"/>
        <v>-1</v>
      </c>
      <c r="O28" s="10"/>
      <c r="P28" s="6"/>
      <c r="Q28" s="2"/>
      <c r="R28" s="7">
        <f t="shared" si="19"/>
        <v>0</v>
      </c>
      <c r="S28" s="2"/>
      <c r="T28" s="6">
        <v>6144.34</v>
      </c>
      <c r="U28" s="2"/>
      <c r="V28" s="7">
        <f t="shared" si="20"/>
        <v>1.5661214075573308E-2</v>
      </c>
      <c r="W28" s="2"/>
      <c r="X28" s="6">
        <f t="shared" si="21"/>
        <v>-6144.34</v>
      </c>
      <c r="Y28" s="2"/>
      <c r="Z28" s="7">
        <f t="shared" si="22"/>
        <v>-1</v>
      </c>
    </row>
    <row r="29" spans="1:26" s="23" customFormat="1" hidden="1" outlineLevel="2" x14ac:dyDescent="0.25">
      <c r="A29" s="25"/>
      <c r="B29" s="10" t="str">
        <f>CONCATENATE("          ", "6113", " - ", "GROUP INSURANCE")</f>
        <v xml:space="preserve">          6113 - GROUP INSURANCE</v>
      </c>
      <c r="C29" s="10"/>
      <c r="D29" s="6"/>
      <c r="E29" s="2"/>
      <c r="F29" s="7">
        <f t="shared" si="15"/>
        <v>0</v>
      </c>
      <c r="G29" s="2"/>
      <c r="H29" s="6">
        <v>2020.11</v>
      </c>
      <c r="I29" s="2"/>
      <c r="J29" s="7">
        <f t="shared" si="16"/>
        <v>0.13914999138970208</v>
      </c>
      <c r="K29" s="2"/>
      <c r="L29" s="6">
        <f t="shared" si="17"/>
        <v>-2020.11</v>
      </c>
      <c r="M29" s="2"/>
      <c r="N29" s="7">
        <f t="shared" si="18"/>
        <v>-1</v>
      </c>
      <c r="O29" s="10"/>
      <c r="P29" s="6">
        <v>699.3</v>
      </c>
      <c r="Q29" s="2"/>
      <c r="R29" s="7">
        <f t="shared" si="19"/>
        <v>0</v>
      </c>
      <c r="S29" s="2"/>
      <c r="T29" s="6">
        <v>7675.53</v>
      </c>
      <c r="U29" s="2"/>
      <c r="V29" s="7">
        <f t="shared" si="20"/>
        <v>1.9564040803973282E-2</v>
      </c>
      <c r="W29" s="2"/>
      <c r="X29" s="6">
        <f t="shared" si="21"/>
        <v>-6976.23</v>
      </c>
      <c r="Y29" s="2"/>
      <c r="Z29" s="7">
        <f t="shared" si="22"/>
        <v>-0.90889228496273222</v>
      </c>
    </row>
    <row r="30" spans="1:26" s="23" customFormat="1" hidden="1" outlineLevel="2" x14ac:dyDescent="0.25">
      <c r="A30" s="25"/>
      <c r="B30" s="10" t="str">
        <f>CONCATENATE("          ", "6114", " - ", "STATE UNEMPLOYMENT INSURANCE")</f>
        <v xml:space="preserve">          6114 - STATE UNEMPLOYMENT INSURANCE</v>
      </c>
      <c r="C30" s="10"/>
      <c r="D30" s="6"/>
      <c r="E30" s="2"/>
      <c r="F30" s="7">
        <f t="shared" si="15"/>
        <v>0</v>
      </c>
      <c r="G30" s="2"/>
      <c r="H30" s="6">
        <v>111.42</v>
      </c>
      <c r="I30" s="2"/>
      <c r="J30" s="7">
        <f t="shared" si="16"/>
        <v>7.6748751506802134E-3</v>
      </c>
      <c r="K30" s="2"/>
      <c r="L30" s="6">
        <f t="shared" si="17"/>
        <v>-111.42</v>
      </c>
      <c r="M30" s="2"/>
      <c r="N30" s="7">
        <f t="shared" si="18"/>
        <v>-1</v>
      </c>
      <c r="O30" s="10"/>
      <c r="P30" s="6"/>
      <c r="Q30" s="2"/>
      <c r="R30" s="7">
        <f t="shared" si="19"/>
        <v>0</v>
      </c>
      <c r="S30" s="2"/>
      <c r="T30" s="6">
        <v>485.19</v>
      </c>
      <c r="U30" s="2"/>
      <c r="V30" s="7">
        <f t="shared" si="20"/>
        <v>1.2366933563779695E-3</v>
      </c>
      <c r="W30" s="2"/>
      <c r="X30" s="6">
        <f t="shared" si="21"/>
        <v>-485.19</v>
      </c>
      <c r="Y30" s="2"/>
      <c r="Z30" s="7">
        <f t="shared" si="22"/>
        <v>-1</v>
      </c>
    </row>
    <row r="31" spans="1:26" s="23" customFormat="1" hidden="1" outlineLevel="2" x14ac:dyDescent="0.25">
      <c r="A31" s="25"/>
      <c r="B31" s="10" t="str">
        <f>CONCATENATE("          ", "6115", " - ", "P.E.R.S.")</f>
        <v xml:space="preserve">          6115 - P.E.R.S.</v>
      </c>
      <c r="C31" s="10"/>
      <c r="D31" s="6"/>
      <c r="E31" s="2"/>
      <c r="F31" s="7">
        <f t="shared" si="15"/>
        <v>0</v>
      </c>
      <c r="G31" s="2"/>
      <c r="H31" s="6">
        <v>320.99</v>
      </c>
      <c r="I31" s="2"/>
      <c r="J31" s="7">
        <f t="shared" si="16"/>
        <v>2.2110556225245395E-2</v>
      </c>
      <c r="K31" s="2"/>
      <c r="L31" s="6">
        <f t="shared" si="17"/>
        <v>-320.99</v>
      </c>
      <c r="M31" s="2"/>
      <c r="N31" s="7">
        <f t="shared" si="18"/>
        <v>-1</v>
      </c>
      <c r="O31" s="10"/>
      <c r="P31" s="6">
        <v>355.22</v>
      </c>
      <c r="Q31" s="2"/>
      <c r="R31" s="7">
        <f t="shared" si="19"/>
        <v>0</v>
      </c>
      <c r="S31" s="2"/>
      <c r="T31" s="6">
        <v>3049.4</v>
      </c>
      <c r="U31" s="2"/>
      <c r="V31" s="7">
        <f t="shared" si="20"/>
        <v>7.7725689336939768E-3</v>
      </c>
      <c r="W31" s="2"/>
      <c r="X31" s="6">
        <f t="shared" si="21"/>
        <v>-2694.1800000000003</v>
      </c>
      <c r="Y31" s="2"/>
      <c r="Z31" s="7">
        <f t="shared" si="22"/>
        <v>-0.88351151046107435</v>
      </c>
    </row>
    <row r="32" spans="1:26" s="23" customFormat="1" hidden="1" outlineLevel="2" x14ac:dyDescent="0.25">
      <c r="A32" s="25"/>
      <c r="B32" s="10" t="str">
        <f>CONCATENATE("          ", "6117", " - ", "RETIREMENT STAFF HOURLY")</f>
        <v xml:space="preserve">          6117 - RETIREMENT STAFF HOURLY</v>
      </c>
      <c r="C32" s="10"/>
      <c r="D32" s="6"/>
      <c r="E32" s="2"/>
      <c r="F32" s="7">
        <f t="shared" si="15"/>
        <v>0</v>
      </c>
      <c r="G32" s="2"/>
      <c r="H32" s="6">
        <v>105.73</v>
      </c>
      <c r="I32" s="2"/>
      <c r="J32" s="7">
        <f t="shared" si="16"/>
        <v>7.2829343895298784E-3</v>
      </c>
      <c r="K32" s="2"/>
      <c r="L32" s="6">
        <f t="shared" si="17"/>
        <v>-105.73</v>
      </c>
      <c r="M32" s="2"/>
      <c r="N32" s="7">
        <f t="shared" si="18"/>
        <v>-1</v>
      </c>
      <c r="O32" s="10"/>
      <c r="P32" s="6"/>
      <c r="Q32" s="2"/>
      <c r="R32" s="7">
        <f t="shared" si="19"/>
        <v>0</v>
      </c>
      <c r="S32" s="2"/>
      <c r="T32" s="6">
        <v>342.58</v>
      </c>
      <c r="U32" s="2"/>
      <c r="V32" s="7">
        <f t="shared" si="20"/>
        <v>8.731969126073596E-4</v>
      </c>
      <c r="W32" s="2"/>
      <c r="X32" s="6">
        <f t="shared" si="21"/>
        <v>-342.58</v>
      </c>
      <c r="Y32" s="2"/>
      <c r="Z32" s="7">
        <f t="shared" si="22"/>
        <v>-1</v>
      </c>
    </row>
    <row r="33" spans="1:26" s="23" customFormat="1" hidden="1" outlineLevel="2" x14ac:dyDescent="0.25">
      <c r="A33" s="25"/>
      <c r="B33" s="10" t="str">
        <f>CONCATENATE("          ", "6118", " - ", "VACATION")</f>
        <v xml:space="preserve">          6118 - VACATION</v>
      </c>
      <c r="C33" s="10"/>
      <c r="D33" s="6"/>
      <c r="E33" s="2"/>
      <c r="F33" s="7">
        <f t="shared" si="15"/>
        <v>0</v>
      </c>
      <c r="G33" s="2"/>
      <c r="H33" s="6">
        <v>340.16</v>
      </c>
      <c r="I33" s="2"/>
      <c r="J33" s="7">
        <f t="shared" si="16"/>
        <v>2.3431031513690376E-2</v>
      </c>
      <c r="K33" s="2"/>
      <c r="L33" s="6">
        <f t="shared" si="17"/>
        <v>-340.16</v>
      </c>
      <c r="M33" s="2"/>
      <c r="N33" s="7">
        <f t="shared" si="18"/>
        <v>-1</v>
      </c>
      <c r="O33" s="10"/>
      <c r="P33" s="6">
        <v>88.46</v>
      </c>
      <c r="Q33" s="2"/>
      <c r="R33" s="7">
        <f t="shared" si="19"/>
        <v>0</v>
      </c>
      <c r="S33" s="2"/>
      <c r="T33" s="6">
        <v>2196.7600000000002</v>
      </c>
      <c r="U33" s="2"/>
      <c r="V33" s="7">
        <f t="shared" si="20"/>
        <v>5.5992879027945107E-3</v>
      </c>
      <c r="W33" s="2"/>
      <c r="X33" s="6">
        <f t="shared" si="21"/>
        <v>-2108.3000000000002</v>
      </c>
      <c r="Y33" s="2"/>
      <c r="Z33" s="7">
        <f t="shared" si="22"/>
        <v>-0.95973160472696151</v>
      </c>
    </row>
    <row r="34" spans="1:26" s="23" customFormat="1" hidden="1" outlineLevel="2" x14ac:dyDescent="0.25">
      <c r="A34" s="25"/>
      <c r="B34" s="10" t="str">
        <f>CONCATENATE("          ", "6119", " - ", "SICK LEAVE")</f>
        <v xml:space="preserve">          6119 - SICK LEAVE</v>
      </c>
      <c r="C34" s="10"/>
      <c r="D34" s="6"/>
      <c r="E34" s="2"/>
      <c r="F34" s="7">
        <f t="shared" si="15"/>
        <v>0</v>
      </c>
      <c r="G34" s="2"/>
      <c r="H34" s="6">
        <v>407.54</v>
      </c>
      <c r="I34" s="2"/>
      <c r="J34" s="7">
        <f t="shared" si="16"/>
        <v>2.8072326502496987E-2</v>
      </c>
      <c r="K34" s="2"/>
      <c r="L34" s="6">
        <f t="shared" si="17"/>
        <v>-407.54</v>
      </c>
      <c r="M34" s="2"/>
      <c r="N34" s="7">
        <f t="shared" si="18"/>
        <v>-1</v>
      </c>
      <c r="O34" s="10"/>
      <c r="P34" s="6">
        <v>105.98</v>
      </c>
      <c r="Q34" s="2"/>
      <c r="R34" s="7">
        <f t="shared" si="19"/>
        <v>0</v>
      </c>
      <c r="S34" s="2"/>
      <c r="T34" s="6">
        <v>2694.2</v>
      </c>
      <c r="U34" s="2"/>
      <c r="V34" s="7">
        <f t="shared" si="20"/>
        <v>6.8672050964643239E-3</v>
      </c>
      <c r="W34" s="2"/>
      <c r="X34" s="6">
        <f t="shared" si="21"/>
        <v>-2588.2199999999998</v>
      </c>
      <c r="Y34" s="2"/>
      <c r="Z34" s="7">
        <f t="shared" si="22"/>
        <v>-0.96066364783609237</v>
      </c>
    </row>
    <row r="35" spans="1:26" s="23" customFormat="1" hidden="1" outlineLevel="2" x14ac:dyDescent="0.25">
      <c r="A35" s="25"/>
      <c r="B35" s="10" t="str">
        <f>CONCATENATE("          ", "6156", " - ", "EMPLOYEE MEALS")</f>
        <v xml:space="preserve">          6156 - EMPLOYEE MEALS</v>
      </c>
      <c r="C35" s="10"/>
      <c r="D35" s="6"/>
      <c r="E35" s="2"/>
      <c r="F35" s="7">
        <f t="shared" si="15"/>
        <v>0</v>
      </c>
      <c r="G35" s="2"/>
      <c r="H35" s="6">
        <v>298.77</v>
      </c>
      <c r="I35" s="2"/>
      <c r="J35" s="7">
        <f t="shared" si="16"/>
        <v>2.05799896676425E-2</v>
      </c>
      <c r="K35" s="2"/>
      <c r="L35" s="6">
        <f t="shared" si="17"/>
        <v>-298.77</v>
      </c>
      <c r="M35" s="2"/>
      <c r="N35" s="7">
        <f t="shared" si="18"/>
        <v>-1</v>
      </c>
      <c r="O35" s="10"/>
      <c r="P35" s="6"/>
      <c r="Q35" s="2"/>
      <c r="R35" s="7">
        <f t="shared" si="19"/>
        <v>0</v>
      </c>
      <c r="S35" s="2"/>
      <c r="T35" s="6">
        <v>1945.22</v>
      </c>
      <c r="U35" s="2"/>
      <c r="V35" s="7">
        <f t="shared" si="20"/>
        <v>4.9581414511707866E-3</v>
      </c>
      <c r="W35" s="2"/>
      <c r="X35" s="6">
        <f t="shared" si="21"/>
        <v>-1945.22</v>
      </c>
      <c r="Y35" s="2"/>
      <c r="Z35" s="7">
        <f t="shared" si="22"/>
        <v>-1</v>
      </c>
    </row>
    <row r="36" spans="1:26" s="26" customFormat="1" outlineLevel="1" collapsed="1" x14ac:dyDescent="0.25">
      <c r="A36" s="27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2" si="23">IF(D$12=0,0,D36/D$12)</f>
        <v>0</v>
      </c>
      <c r="G36" s="1"/>
      <c r="H36" s="1">
        <f>SUM(OSRRefH22_1x_0)</f>
        <v>26667.010000000002</v>
      </c>
      <c r="I36" s="1"/>
      <c r="J36" s="5">
        <f t="shared" ref="J36:J42" si="24">IF(H$12=0,0,H36/H$12)</f>
        <v>1.8368872050972964</v>
      </c>
      <c r="K36" s="1"/>
      <c r="L36" s="1">
        <f t="shared" ref="L36:L42" si="25">+D36-H36</f>
        <v>-26667.010000000002</v>
      </c>
      <c r="M36" s="1"/>
      <c r="N36" s="5">
        <f t="shared" ref="N36:N42" si="26">IF(H36=0,0,L36/H36)</f>
        <v>-1</v>
      </c>
      <c r="O36" s="12"/>
      <c r="P36" s="1">
        <f>SUM(OSRRefP22_1x_0)</f>
        <v>1378.61</v>
      </c>
      <c r="Q36" s="1"/>
      <c r="R36" s="5">
        <f t="shared" ref="R36:R42" si="27">IF(P$12=0,0,P36/P$12)</f>
        <v>0</v>
      </c>
      <c r="S36" s="1"/>
      <c r="T36" s="1">
        <f>SUM(OSRRefT22_1x_0)</f>
        <v>146154.82999999999</v>
      </c>
      <c r="U36" s="1"/>
      <c r="V36" s="5">
        <f t="shared" ref="V36:V42" si="28">IF(T$12=0,0,T36/T$12)</f>
        <v>0.37253180663977314</v>
      </c>
      <c r="W36" s="1"/>
      <c r="X36" s="1">
        <f t="shared" ref="X36:X42" si="29">+P36-T36</f>
        <v>-144776.22</v>
      </c>
      <c r="Y36" s="1"/>
      <c r="Z36" s="5">
        <f t="shared" ref="Z36:Z42" si="30">IF(T36=0,0,X36/T36)</f>
        <v>-0.99056746875898671</v>
      </c>
    </row>
    <row r="37" spans="1:26" s="23" customFormat="1" hidden="1" outlineLevel="2" x14ac:dyDescent="0.25">
      <c r="A37" s="25"/>
      <c r="B37" s="10" t="str">
        <f>CONCATENATE("          ", "6002", " - ", "STAFF SALARIES")</f>
        <v xml:space="preserve">          6002 - STAFF SALARIES</v>
      </c>
      <c r="C37" s="10"/>
      <c r="D37" s="6"/>
      <c r="E37" s="2"/>
      <c r="F37" s="7">
        <f t="shared" si="23"/>
        <v>0</v>
      </c>
      <c r="G37" s="2"/>
      <c r="H37" s="6">
        <v>4595.38</v>
      </c>
      <c r="I37" s="2"/>
      <c r="J37" s="7">
        <f t="shared" si="24"/>
        <v>0.31654072670914413</v>
      </c>
      <c r="K37" s="2"/>
      <c r="L37" s="6">
        <f t="shared" si="25"/>
        <v>-4595.38</v>
      </c>
      <c r="M37" s="2"/>
      <c r="N37" s="7">
        <f t="shared" si="26"/>
        <v>-1</v>
      </c>
      <c r="O37" s="10"/>
      <c r="P37" s="6">
        <v>1378.61</v>
      </c>
      <c r="Q37" s="2"/>
      <c r="R37" s="7">
        <f t="shared" si="27"/>
        <v>0</v>
      </c>
      <c r="S37" s="2"/>
      <c r="T37" s="6">
        <v>43886.03</v>
      </c>
      <c r="U37" s="2"/>
      <c r="V37" s="7">
        <f t="shared" si="28"/>
        <v>0.11186042939632775</v>
      </c>
      <c r="W37" s="2"/>
      <c r="X37" s="6">
        <f t="shared" si="29"/>
        <v>-42507.42</v>
      </c>
      <c r="Y37" s="2"/>
      <c r="Z37" s="7">
        <f t="shared" si="30"/>
        <v>-0.96858658666550612</v>
      </c>
    </row>
    <row r="38" spans="1:26" s="23" customFormat="1" hidden="1" outlineLevel="2" x14ac:dyDescent="0.25">
      <c r="A38" s="25"/>
      <c r="B38" s="10" t="str">
        <f>CONCATENATE("          ", "6004", " - ", "STAFF HOURLY")</f>
        <v xml:space="preserve">          6004 - STAFF HOURLY</v>
      </c>
      <c r="C38" s="10"/>
      <c r="D38" s="6"/>
      <c r="E38" s="2"/>
      <c r="F38" s="7">
        <f t="shared" si="23"/>
        <v>0</v>
      </c>
      <c r="G38" s="2"/>
      <c r="H38" s="6">
        <v>6214.38</v>
      </c>
      <c r="I38" s="2"/>
      <c r="J38" s="7">
        <f t="shared" si="24"/>
        <v>0.4280613053211641</v>
      </c>
      <c r="K38" s="2"/>
      <c r="L38" s="6">
        <f t="shared" si="25"/>
        <v>-6214.38</v>
      </c>
      <c r="M38" s="2"/>
      <c r="N38" s="7">
        <f t="shared" si="26"/>
        <v>-1</v>
      </c>
      <c r="O38" s="10"/>
      <c r="P38" s="6"/>
      <c r="Q38" s="2"/>
      <c r="R38" s="7">
        <f t="shared" si="27"/>
        <v>0</v>
      </c>
      <c r="S38" s="2"/>
      <c r="T38" s="6">
        <v>12371.01</v>
      </c>
      <c r="U38" s="2"/>
      <c r="V38" s="7">
        <f t="shared" si="28"/>
        <v>3.1532277826594582E-2</v>
      </c>
      <c r="W38" s="2"/>
      <c r="X38" s="6">
        <f t="shared" si="29"/>
        <v>-12371.01</v>
      </c>
      <c r="Y38" s="2"/>
      <c r="Z38" s="7">
        <f t="shared" si="30"/>
        <v>-1</v>
      </c>
    </row>
    <row r="39" spans="1:26" s="23" customFormat="1" hidden="1" outlineLevel="2" x14ac:dyDescent="0.25">
      <c r="A39" s="25"/>
      <c r="B39" s="10" t="str">
        <f>CONCATENATE("          ", "6005", " - ", "TEMPORARY WAGES-HOURLY")</f>
        <v xml:space="preserve">          6005 - TEMPORARY WAGES-HOURLY</v>
      </c>
      <c r="C39" s="10"/>
      <c r="D39" s="6"/>
      <c r="E39" s="2"/>
      <c r="F39" s="7">
        <f t="shared" si="23"/>
        <v>0</v>
      </c>
      <c r="G39" s="2"/>
      <c r="H39" s="6">
        <v>6473.3</v>
      </c>
      <c r="I39" s="2"/>
      <c r="J39" s="7">
        <f t="shared" si="24"/>
        <v>0.44589633201308765</v>
      </c>
      <c r="K39" s="2"/>
      <c r="L39" s="6">
        <f t="shared" si="25"/>
        <v>-6473.3</v>
      </c>
      <c r="M39" s="2"/>
      <c r="N39" s="7">
        <f t="shared" si="26"/>
        <v>-1</v>
      </c>
      <c r="O39" s="10"/>
      <c r="P39" s="6"/>
      <c r="Q39" s="2"/>
      <c r="R39" s="7">
        <f t="shared" si="27"/>
        <v>0</v>
      </c>
      <c r="S39" s="2"/>
      <c r="T39" s="6">
        <v>32469.93</v>
      </c>
      <c r="U39" s="2"/>
      <c r="V39" s="7">
        <f t="shared" si="28"/>
        <v>8.2762107036537691E-2</v>
      </c>
      <c r="W39" s="2"/>
      <c r="X39" s="6">
        <f t="shared" si="29"/>
        <v>-32469.93</v>
      </c>
      <c r="Y39" s="2"/>
      <c r="Z39" s="7">
        <f t="shared" si="30"/>
        <v>-1</v>
      </c>
    </row>
    <row r="40" spans="1:26" s="23" customFormat="1" hidden="1" outlineLevel="2" x14ac:dyDescent="0.25">
      <c r="A40" s="25"/>
      <c r="B40" s="10" t="str">
        <f>CONCATENATE("          ", "6006", " - ", "TEMPORARY PART TIME")</f>
        <v xml:space="preserve">          6006 - TEMPORARY PART TIME</v>
      </c>
      <c r="C40" s="10"/>
      <c r="D40" s="6"/>
      <c r="E40" s="2"/>
      <c r="F40" s="7">
        <f t="shared" si="23"/>
        <v>0</v>
      </c>
      <c r="G40" s="2"/>
      <c r="H40" s="6"/>
      <c r="I40" s="2"/>
      <c r="J40" s="7">
        <f t="shared" si="24"/>
        <v>0</v>
      </c>
      <c r="K40" s="2"/>
      <c r="L40" s="6">
        <f t="shared" si="25"/>
        <v>0</v>
      </c>
      <c r="M40" s="2"/>
      <c r="N40" s="7">
        <f t="shared" si="26"/>
        <v>0</v>
      </c>
      <c r="O40" s="10"/>
      <c r="P40" s="6"/>
      <c r="Q40" s="2"/>
      <c r="R40" s="7">
        <f t="shared" si="27"/>
        <v>0</v>
      </c>
      <c r="S40" s="2"/>
      <c r="T40" s="6">
        <v>303.38</v>
      </c>
      <c r="U40" s="2"/>
      <c r="V40" s="7">
        <f t="shared" si="28"/>
        <v>7.7328063327345656E-4</v>
      </c>
      <c r="W40" s="2"/>
      <c r="X40" s="6">
        <f t="shared" si="29"/>
        <v>-303.38</v>
      </c>
      <c r="Y40" s="2"/>
      <c r="Z40" s="7">
        <f t="shared" si="30"/>
        <v>-1</v>
      </c>
    </row>
    <row r="41" spans="1:26" s="23" customFormat="1" hidden="1" outlineLevel="2" x14ac:dyDescent="0.25">
      <c r="A41" s="25"/>
      <c r="B41" s="10" t="str">
        <f>CONCATENATE("          ", "6007", " - ", "STUDENT HOURLY")</f>
        <v xml:space="preserve">          6007 - STUDENT HOURLY</v>
      </c>
      <c r="C41" s="10"/>
      <c r="D41" s="6"/>
      <c r="E41" s="2"/>
      <c r="F41" s="7">
        <f t="shared" si="23"/>
        <v>0</v>
      </c>
      <c r="G41" s="2"/>
      <c r="H41" s="6">
        <v>7675.1</v>
      </c>
      <c r="I41" s="2"/>
      <c r="J41" s="7">
        <f t="shared" si="24"/>
        <v>0.52867918029963834</v>
      </c>
      <c r="K41" s="2"/>
      <c r="L41" s="6">
        <f t="shared" si="25"/>
        <v>-7675.1</v>
      </c>
      <c r="M41" s="2"/>
      <c r="N41" s="7">
        <f t="shared" si="26"/>
        <v>-1</v>
      </c>
      <c r="O41" s="10"/>
      <c r="P41" s="6"/>
      <c r="Q41" s="2"/>
      <c r="R41" s="7">
        <f t="shared" si="27"/>
        <v>0</v>
      </c>
      <c r="S41" s="2"/>
      <c r="T41" s="6">
        <v>49964.74</v>
      </c>
      <c r="U41" s="2"/>
      <c r="V41" s="7">
        <f t="shared" si="28"/>
        <v>0.12735436017055707</v>
      </c>
      <c r="W41" s="2"/>
      <c r="X41" s="6">
        <f t="shared" si="29"/>
        <v>-49964.74</v>
      </c>
      <c r="Y41" s="2"/>
      <c r="Z41" s="7">
        <f t="shared" si="30"/>
        <v>-1</v>
      </c>
    </row>
    <row r="42" spans="1:26" s="23" customFormat="1" hidden="1" outlineLevel="2" x14ac:dyDescent="0.25">
      <c r="A42" s="25"/>
      <c r="B42" s="10" t="str">
        <f>CONCATENATE("          ", "6008", " - ", "STUDENT HOURLY-FICA EXEMPT")</f>
        <v xml:space="preserve">          6008 - STUDENT HOURLY-FICA EXEMPT</v>
      </c>
      <c r="C42" s="10"/>
      <c r="D42" s="6"/>
      <c r="E42" s="2"/>
      <c r="F42" s="7">
        <f t="shared" si="23"/>
        <v>0</v>
      </c>
      <c r="G42" s="2"/>
      <c r="H42" s="6">
        <v>1708.85</v>
      </c>
      <c r="I42" s="2"/>
      <c r="J42" s="7">
        <f t="shared" si="24"/>
        <v>0.11770966075426209</v>
      </c>
      <c r="K42" s="2"/>
      <c r="L42" s="6">
        <f t="shared" si="25"/>
        <v>-1708.85</v>
      </c>
      <c r="M42" s="2"/>
      <c r="N42" s="7">
        <f t="shared" si="26"/>
        <v>-1</v>
      </c>
      <c r="O42" s="10"/>
      <c r="P42" s="6"/>
      <c r="Q42" s="2"/>
      <c r="R42" s="7">
        <f t="shared" si="27"/>
        <v>0</v>
      </c>
      <c r="S42" s="2"/>
      <c r="T42" s="6">
        <v>7159.74</v>
      </c>
      <c r="U42" s="2"/>
      <c r="V42" s="7">
        <f t="shared" si="28"/>
        <v>1.8249351576482623E-2</v>
      </c>
      <c r="W42" s="2"/>
      <c r="X42" s="6">
        <f t="shared" si="29"/>
        <v>-7159.74</v>
      </c>
      <c r="Y42" s="2"/>
      <c r="Z42" s="7">
        <f t="shared" si="30"/>
        <v>-1</v>
      </c>
    </row>
    <row r="43" spans="1:26" s="26" customFormat="1" outlineLevel="1" collapsed="1" x14ac:dyDescent="0.25">
      <c r="A43" s="27"/>
      <c r="B43" s="12" t="str">
        <f>CONCATENATE("     ","Advertising/Promo                                 ")</f>
        <v xml:space="preserve">     Advertising/Promo                                 </v>
      </c>
      <c r="C43" s="12"/>
      <c r="D43" s="1">
        <f>SUM(OSRRefD22_2x_0)</f>
        <v>0</v>
      </c>
      <c r="E43" s="1"/>
      <c r="F43" s="5">
        <f t="shared" ref="F43:F60" si="31">IF(D$12=0,0,D43/D$12)</f>
        <v>0</v>
      </c>
      <c r="G43" s="1"/>
      <c r="H43" s="1">
        <f>SUM(OSRRefH22_2x_0)</f>
        <v>0</v>
      </c>
      <c r="I43" s="1"/>
      <c r="J43" s="5">
        <f t="shared" ref="J43:J60" si="32">IF(H$12=0,0,H43/H$12)</f>
        <v>0</v>
      </c>
      <c r="K43" s="1"/>
      <c r="L43" s="1">
        <f t="shared" ref="L43:L60" si="33">+D43-H43</f>
        <v>0</v>
      </c>
      <c r="M43" s="1"/>
      <c r="N43" s="5">
        <f t="shared" ref="N43:N60" si="34">IF(H43=0,0,L43/H43)</f>
        <v>0</v>
      </c>
      <c r="O43" s="12"/>
      <c r="P43" s="1">
        <f>SUM(OSRRefP22_2x_0)</f>
        <v>0</v>
      </c>
      <c r="Q43" s="1"/>
      <c r="R43" s="5">
        <f t="shared" ref="R43:R60" si="35">IF(P$12=0,0,P43/P$12)</f>
        <v>0</v>
      </c>
      <c r="S43" s="1"/>
      <c r="T43" s="1">
        <f>SUM(OSRRefT22_2x_0)</f>
        <v>1868.45</v>
      </c>
      <c r="U43" s="1"/>
      <c r="V43" s="5">
        <f t="shared" ref="V43:V60" si="36">IF(T$12=0,0,T43/T$12)</f>
        <v>4.7624635745263039E-3</v>
      </c>
      <c r="W43" s="1"/>
      <c r="X43" s="1">
        <f t="shared" ref="X43:X60" si="37">+P43-T43</f>
        <v>-1868.45</v>
      </c>
      <c r="Y43" s="1"/>
      <c r="Z43" s="5">
        <f t="shared" ref="Z43:Z60" si="38">IF(T43=0,0,X43/T43)</f>
        <v>-1</v>
      </c>
    </row>
    <row r="44" spans="1:26" s="23" customFormat="1" hidden="1" outlineLevel="2" x14ac:dyDescent="0.25">
      <c r="A44" s="25"/>
      <c r="B44" s="10" t="str">
        <f>CONCATENATE("          ", "6362", " - ", "ADVERTISING EXPENSE")</f>
        <v xml:space="preserve">          6362 - ADVERTISING EXPENSE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1868.45</v>
      </c>
      <c r="U44" s="2"/>
      <c r="V44" s="7">
        <f t="shared" si="36"/>
        <v>4.7624635745263039E-3</v>
      </c>
      <c r="W44" s="2"/>
      <c r="X44" s="6">
        <f t="shared" si="37"/>
        <v>-1868.45</v>
      </c>
      <c r="Y44" s="2"/>
      <c r="Z44" s="7">
        <f t="shared" si="38"/>
        <v>-1</v>
      </c>
    </row>
    <row r="45" spans="1:26" s="26" customFormat="1" outlineLevel="1" collapsed="1" x14ac:dyDescent="0.25">
      <c r="A45" s="27"/>
      <c r="B45" s="12" t="str">
        <f>CONCATENATE("     ","Bad Debts/Over/Short                              ")</f>
        <v xml:space="preserve">     Bad Debts/Over/Short                              </v>
      </c>
      <c r="C45" s="12"/>
      <c r="D45" s="1">
        <f>SUM(OSRRefD22_3x_0)</f>
        <v>0</v>
      </c>
      <c r="E45" s="1"/>
      <c r="F45" s="5">
        <f t="shared" si="31"/>
        <v>0</v>
      </c>
      <c r="G45" s="1"/>
      <c r="H45" s="1">
        <f>SUM(OSRRefH22_3x_0)</f>
        <v>-0.55000000000000004</v>
      </c>
      <c r="I45" s="1"/>
      <c r="J45" s="5">
        <f t="shared" si="32"/>
        <v>-3.7885310831754779E-5</v>
      </c>
      <c r="K45" s="1"/>
      <c r="L45" s="1">
        <f t="shared" si="33"/>
        <v>0.55000000000000004</v>
      </c>
      <c r="M45" s="1"/>
      <c r="N45" s="5">
        <f t="shared" si="34"/>
        <v>-1</v>
      </c>
      <c r="O45" s="12"/>
      <c r="P45" s="1">
        <f>SUM(OSRRefP22_3x_0)</f>
        <v>0</v>
      </c>
      <c r="Q45" s="1"/>
      <c r="R45" s="5">
        <f t="shared" si="35"/>
        <v>0</v>
      </c>
      <c r="S45" s="1"/>
      <c r="T45" s="1">
        <f>SUM(OSRRefT22_3x_0)</f>
        <v>-144.01</v>
      </c>
      <c r="U45" s="1"/>
      <c r="V45" s="5">
        <f t="shared" si="36"/>
        <v>-3.6706488231824934E-4</v>
      </c>
      <c r="W45" s="1"/>
      <c r="X45" s="1">
        <f t="shared" si="37"/>
        <v>144.01</v>
      </c>
      <c r="Y45" s="1"/>
      <c r="Z45" s="5">
        <f t="shared" si="38"/>
        <v>-1</v>
      </c>
    </row>
    <row r="46" spans="1:26" s="23" customFormat="1" hidden="1" outlineLevel="2" x14ac:dyDescent="0.25">
      <c r="A46" s="25"/>
      <c r="B46" s="10" t="str">
        <f>CONCATENATE("          ", "6272", " - ", "CASH (OVER/SHORT)")</f>
        <v xml:space="preserve">          6272 - CASH (OVER/SHORT)</v>
      </c>
      <c r="C46" s="10"/>
      <c r="D46" s="6"/>
      <c r="E46" s="2"/>
      <c r="F46" s="7">
        <f t="shared" si="31"/>
        <v>0</v>
      </c>
      <c r="G46" s="2"/>
      <c r="H46" s="6">
        <v>-0.55000000000000004</v>
      </c>
      <c r="I46" s="2"/>
      <c r="J46" s="7">
        <f t="shared" si="32"/>
        <v>-3.7885310831754779E-5</v>
      </c>
      <c r="K46" s="2"/>
      <c r="L46" s="6">
        <f t="shared" si="33"/>
        <v>0.55000000000000004</v>
      </c>
      <c r="M46" s="2"/>
      <c r="N46" s="7">
        <f t="shared" si="34"/>
        <v>-1</v>
      </c>
      <c r="O46" s="10"/>
      <c r="P46" s="6"/>
      <c r="Q46" s="2"/>
      <c r="R46" s="7">
        <f t="shared" si="35"/>
        <v>0</v>
      </c>
      <c r="S46" s="2"/>
      <c r="T46" s="6">
        <v>-144.01</v>
      </c>
      <c r="U46" s="2"/>
      <c r="V46" s="7">
        <f t="shared" si="36"/>
        <v>-3.6706488231824934E-4</v>
      </c>
      <c r="W46" s="2"/>
      <c r="X46" s="6">
        <f t="shared" si="37"/>
        <v>144.01</v>
      </c>
      <c r="Y46" s="2"/>
      <c r="Z46" s="7">
        <f t="shared" si="38"/>
        <v>-1</v>
      </c>
    </row>
    <row r="47" spans="1:26" s="26" customFormat="1" outlineLevel="1" collapsed="1" x14ac:dyDescent="0.25">
      <c r="A47" s="27"/>
      <c r="B47" s="12" t="str">
        <f>CONCATENATE("     ","Bank/card Fees                                    ")</f>
        <v xml:space="preserve">     Bank/card Fees                                    </v>
      </c>
      <c r="C47" s="12"/>
      <c r="D47" s="1">
        <f>SUM(OSRRefD22_4x_0)</f>
        <v>0</v>
      </c>
      <c r="E47" s="1"/>
      <c r="F47" s="5">
        <f t="shared" si="31"/>
        <v>0</v>
      </c>
      <c r="G47" s="1"/>
      <c r="H47" s="1">
        <f>SUM(OSRRefH22_4x_0)</f>
        <v>350.93</v>
      </c>
      <c r="I47" s="1"/>
      <c r="J47" s="5">
        <f t="shared" si="32"/>
        <v>2.4172894782159463E-2</v>
      </c>
      <c r="K47" s="1"/>
      <c r="L47" s="1">
        <f t="shared" si="33"/>
        <v>-350.93</v>
      </c>
      <c r="M47" s="1"/>
      <c r="N47" s="5">
        <f t="shared" si="34"/>
        <v>-1</v>
      </c>
      <c r="O47" s="12"/>
      <c r="P47" s="1">
        <f>SUM(OSRRefP22_4x_0)</f>
        <v>0</v>
      </c>
      <c r="Q47" s="1"/>
      <c r="R47" s="5">
        <f t="shared" si="35"/>
        <v>0</v>
      </c>
      <c r="S47" s="1"/>
      <c r="T47" s="1">
        <f>SUM(OSRRefT22_4x_0)</f>
        <v>7654.91</v>
      </c>
      <c r="U47" s="1"/>
      <c r="V47" s="5">
        <f t="shared" si="36"/>
        <v>1.9511482801935907E-2</v>
      </c>
      <c r="W47" s="1"/>
      <c r="X47" s="1">
        <f t="shared" si="37"/>
        <v>-7654.91</v>
      </c>
      <c r="Y47" s="1"/>
      <c r="Z47" s="5">
        <f t="shared" si="38"/>
        <v>-1</v>
      </c>
    </row>
    <row r="48" spans="1:26" s="23" customFormat="1" hidden="1" outlineLevel="2" x14ac:dyDescent="0.25">
      <c r="A48" s="25"/>
      <c r="B48" s="10" t="str">
        <f>CONCATENATE("          ", "6381", " - ", "BANK/CREDIT CARD FEES")</f>
        <v xml:space="preserve">          6381 - BANK/CREDIT CARD FEES</v>
      </c>
      <c r="C48" s="10"/>
      <c r="D48" s="6"/>
      <c r="E48" s="2"/>
      <c r="F48" s="7">
        <f t="shared" si="31"/>
        <v>0</v>
      </c>
      <c r="G48" s="2"/>
      <c r="H48" s="6">
        <v>350.93</v>
      </c>
      <c r="I48" s="2"/>
      <c r="J48" s="7">
        <f t="shared" si="32"/>
        <v>2.4172894782159463E-2</v>
      </c>
      <c r="K48" s="2"/>
      <c r="L48" s="6">
        <f t="shared" si="33"/>
        <v>-350.93</v>
      </c>
      <c r="M48" s="2"/>
      <c r="N48" s="7">
        <f t="shared" si="34"/>
        <v>-1</v>
      </c>
      <c r="O48" s="10"/>
      <c r="P48" s="6"/>
      <c r="Q48" s="2"/>
      <c r="R48" s="7">
        <f t="shared" si="35"/>
        <v>0</v>
      </c>
      <c r="S48" s="2"/>
      <c r="T48" s="6">
        <v>7654.91</v>
      </c>
      <c r="U48" s="2"/>
      <c r="V48" s="7">
        <f t="shared" si="36"/>
        <v>1.9511482801935907E-2</v>
      </c>
      <c r="W48" s="2"/>
      <c r="X48" s="6">
        <f t="shared" si="37"/>
        <v>-7654.91</v>
      </c>
      <c r="Y48" s="2"/>
      <c r="Z48" s="7">
        <f t="shared" si="38"/>
        <v>-1</v>
      </c>
    </row>
    <row r="49" spans="1:26" s="26" customFormat="1" outlineLevel="1" collapsed="1" x14ac:dyDescent="0.25">
      <c r="A49" s="27"/>
      <c r="B49" s="12" t="str">
        <f>CONCATENATE("     ","Depreciation                                      ")</f>
        <v xml:space="preserve">     Depreciation                                      </v>
      </c>
      <c r="C49" s="12"/>
      <c r="D49" s="1">
        <f>SUM(OSRRefD22_5x_0)</f>
        <v>1000.91</v>
      </c>
      <c r="E49" s="1"/>
      <c r="F49" s="5">
        <f t="shared" si="31"/>
        <v>0</v>
      </c>
      <c r="G49" s="1"/>
      <c r="H49" s="1">
        <f>SUM(OSRRefH22_5x_0)</f>
        <v>1000.91</v>
      </c>
      <c r="I49" s="1"/>
      <c r="J49" s="5">
        <f t="shared" si="32"/>
        <v>6.894506629929395E-2</v>
      </c>
      <c r="K49" s="1"/>
      <c r="L49" s="1">
        <f t="shared" si="33"/>
        <v>0</v>
      </c>
      <c r="M49" s="1"/>
      <c r="N49" s="5">
        <f t="shared" si="34"/>
        <v>0</v>
      </c>
      <c r="O49" s="12"/>
      <c r="P49" s="1">
        <f>SUM(OSRRefP22_5x_0)</f>
        <v>9008.19</v>
      </c>
      <c r="Q49" s="1"/>
      <c r="R49" s="5">
        <f t="shared" si="35"/>
        <v>0</v>
      </c>
      <c r="S49" s="1"/>
      <c r="T49" s="1">
        <f>SUM(OSRRefT22_5x_0)</f>
        <v>3043.71</v>
      </c>
      <c r="U49" s="1"/>
      <c r="V49" s="5">
        <f t="shared" si="36"/>
        <v>7.7580657798824995E-3</v>
      </c>
      <c r="W49" s="1"/>
      <c r="X49" s="1">
        <f t="shared" si="37"/>
        <v>5964.4800000000005</v>
      </c>
      <c r="Y49" s="1"/>
      <c r="Z49" s="5">
        <f t="shared" si="38"/>
        <v>1.959608504095331</v>
      </c>
    </row>
    <row r="50" spans="1:26" s="23" customFormat="1" hidden="1" outlineLevel="2" x14ac:dyDescent="0.25">
      <c r="A50" s="25"/>
      <c r="B50" s="10" t="str">
        <f>CONCATENATE("          ", "6322", " - ", "EQUIPMENT DEPRECIATION EXPENSE")</f>
        <v xml:space="preserve">          6322 - EQUIPMENT DEPRECIATION EXPENSE</v>
      </c>
      <c r="C50" s="10"/>
      <c r="D50" s="6">
        <v>1000.91</v>
      </c>
      <c r="E50" s="2"/>
      <c r="F50" s="7">
        <f t="shared" si="31"/>
        <v>0</v>
      </c>
      <c r="G50" s="2"/>
      <c r="H50" s="6">
        <v>1000.91</v>
      </c>
      <c r="I50" s="2"/>
      <c r="J50" s="7">
        <f t="shared" si="32"/>
        <v>6.894506629929395E-2</v>
      </c>
      <c r="K50" s="2"/>
      <c r="L50" s="6">
        <f t="shared" si="33"/>
        <v>0</v>
      </c>
      <c r="M50" s="2"/>
      <c r="N50" s="7">
        <f t="shared" si="34"/>
        <v>0</v>
      </c>
      <c r="O50" s="10"/>
      <c r="P50" s="6">
        <v>9008.19</v>
      </c>
      <c r="Q50" s="2"/>
      <c r="R50" s="7">
        <f t="shared" si="35"/>
        <v>0</v>
      </c>
      <c r="S50" s="2"/>
      <c r="T50" s="6">
        <v>3043.71</v>
      </c>
      <c r="U50" s="2"/>
      <c r="V50" s="7">
        <f t="shared" si="36"/>
        <v>7.7580657798824995E-3</v>
      </c>
      <c r="W50" s="2"/>
      <c r="X50" s="6">
        <f t="shared" si="37"/>
        <v>5964.4800000000005</v>
      </c>
      <c r="Y50" s="2"/>
      <c r="Z50" s="7">
        <f t="shared" si="38"/>
        <v>1.959608504095331</v>
      </c>
    </row>
    <row r="51" spans="1:26" s="26" customFormat="1" outlineLevel="1" collapsed="1" x14ac:dyDescent="0.25">
      <c r="A51" s="27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SUM(OSRRefD22_6x_0)</f>
        <v>0</v>
      </c>
      <c r="E51" s="1"/>
      <c r="F51" s="5">
        <f t="shared" si="31"/>
        <v>0</v>
      </c>
      <c r="G51" s="1"/>
      <c r="H51" s="1">
        <f>SUM(OSRRefH22_6x_0)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2"/>
      <c r="P51" s="1">
        <f>SUM(OSRRefP22_6x_0)</f>
        <v>0</v>
      </c>
      <c r="Q51" s="1"/>
      <c r="R51" s="5">
        <f t="shared" si="35"/>
        <v>0</v>
      </c>
      <c r="S51" s="1"/>
      <c r="T51" s="1">
        <f>SUM(OSRRefT22_6x_0)</f>
        <v>118.6</v>
      </c>
      <c r="U51" s="1"/>
      <c r="V51" s="5">
        <f t="shared" si="36"/>
        <v>3.022977226785943E-4</v>
      </c>
      <c r="W51" s="1"/>
      <c r="X51" s="1">
        <f t="shared" si="37"/>
        <v>-118.6</v>
      </c>
      <c r="Y51" s="1"/>
      <c r="Z51" s="5">
        <f t="shared" si="38"/>
        <v>-1</v>
      </c>
    </row>
    <row r="52" spans="1:26" s="23" customFormat="1" hidden="1" outlineLevel="2" x14ac:dyDescent="0.25">
      <c r="A52" s="25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118.6</v>
      </c>
      <c r="U52" s="2"/>
      <c r="V52" s="7">
        <f t="shared" si="36"/>
        <v>3.022977226785943E-4</v>
      </c>
      <c r="W52" s="2"/>
      <c r="X52" s="6">
        <f t="shared" si="37"/>
        <v>-118.6</v>
      </c>
      <c r="Y52" s="2"/>
      <c r="Z52" s="7">
        <f t="shared" si="38"/>
        <v>-1</v>
      </c>
    </row>
    <row r="53" spans="1:26" s="26" customFormat="1" outlineLevel="1" collapsed="1" x14ac:dyDescent="0.25">
      <c r="A53" s="27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SUM(OSRRefD22_7x_0)</f>
        <v>0</v>
      </c>
      <c r="E53" s="1"/>
      <c r="F53" s="5">
        <f t="shared" si="31"/>
        <v>0</v>
      </c>
      <c r="G53" s="1"/>
      <c r="H53" s="1">
        <f>SUM(OSRRefH22_7x_0)</f>
        <v>0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SUM(OSRRefP22_7x_0)</f>
        <v>0</v>
      </c>
      <c r="Q53" s="1"/>
      <c r="R53" s="5">
        <f t="shared" si="35"/>
        <v>0</v>
      </c>
      <c r="S53" s="1"/>
      <c r="T53" s="1">
        <f>SUM(OSRRefT22_7x_0)</f>
        <v>350</v>
      </c>
      <c r="U53" s="1"/>
      <c r="V53" s="5">
        <f t="shared" si="36"/>
        <v>8.9210963690984841E-4</v>
      </c>
      <c r="W53" s="1"/>
      <c r="X53" s="1">
        <f t="shared" si="37"/>
        <v>-350</v>
      </c>
      <c r="Y53" s="1"/>
      <c r="Z53" s="5">
        <f t="shared" si="38"/>
        <v>-1</v>
      </c>
    </row>
    <row r="54" spans="1:26" s="23" customFormat="1" hidden="1" outlineLevel="2" x14ac:dyDescent="0.25">
      <c r="A54" s="25"/>
      <c r="B54" s="10" t="str">
        <f>CONCATENATE("          ", "6351", " - ", "EQUIPMENT RENTAL")</f>
        <v xml:space="preserve">          6351 - EQUIPMENT RENTAL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/>
      <c r="Q54" s="2"/>
      <c r="R54" s="7">
        <f t="shared" si="35"/>
        <v>0</v>
      </c>
      <c r="S54" s="2"/>
      <c r="T54" s="6">
        <v>350</v>
      </c>
      <c r="U54" s="2"/>
      <c r="V54" s="7">
        <f t="shared" si="36"/>
        <v>8.9210963690984841E-4</v>
      </c>
      <c r="W54" s="2"/>
      <c r="X54" s="6">
        <f t="shared" si="37"/>
        <v>-350</v>
      </c>
      <c r="Y54" s="2"/>
      <c r="Z54" s="7">
        <f t="shared" si="38"/>
        <v>-1</v>
      </c>
    </row>
    <row r="55" spans="1:26" s="26" customFormat="1" outlineLevel="1" collapsed="1" x14ac:dyDescent="0.25">
      <c r="A55" s="27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SUM(OSRRefD22_8x_0)</f>
        <v>0</v>
      </c>
      <c r="E55" s="1"/>
      <c r="F55" s="5">
        <f t="shared" si="31"/>
        <v>0</v>
      </c>
      <c r="G55" s="1"/>
      <c r="H55" s="1">
        <f>SUM(OSRRefH22_8x_0)</f>
        <v>248.2</v>
      </c>
      <c r="I55" s="1"/>
      <c r="J55" s="5">
        <f t="shared" si="32"/>
        <v>1.7096607542620972E-2</v>
      </c>
      <c r="K55" s="1"/>
      <c r="L55" s="1">
        <f t="shared" si="33"/>
        <v>-248.2</v>
      </c>
      <c r="M55" s="1"/>
      <c r="N55" s="5">
        <f t="shared" si="34"/>
        <v>-1</v>
      </c>
      <c r="O55" s="12"/>
      <c r="P55" s="1">
        <f>SUM(OSRRefP22_8x_0)</f>
        <v>455</v>
      </c>
      <c r="Q55" s="1"/>
      <c r="R55" s="5">
        <f t="shared" si="35"/>
        <v>0</v>
      </c>
      <c r="S55" s="1"/>
      <c r="T55" s="1">
        <f>SUM(OSRRefT22_8x_0)</f>
        <v>15629.04</v>
      </c>
      <c r="U55" s="1"/>
      <c r="V55" s="5">
        <f t="shared" si="36"/>
        <v>3.9836620570427139E-2</v>
      </c>
      <c r="W55" s="1"/>
      <c r="X55" s="1">
        <f t="shared" si="37"/>
        <v>-15174.04</v>
      </c>
      <c r="Y55" s="1"/>
      <c r="Z55" s="5">
        <f t="shared" si="38"/>
        <v>-0.97088752732093586</v>
      </c>
    </row>
    <row r="56" spans="1:26" s="23" customFormat="1" hidden="1" outlineLevel="2" x14ac:dyDescent="0.25">
      <c r="A56" s="25"/>
      <c r="B56" s="10" t="str">
        <f>CONCATENATE("          ", "6279", " - ", "GENERAL EXPENSE")</f>
        <v xml:space="preserve">          6279 - GENERAL EXPENSE</v>
      </c>
      <c r="C56" s="10"/>
      <c r="D56" s="6"/>
      <c r="E56" s="2"/>
      <c r="F56" s="7">
        <f t="shared" si="31"/>
        <v>0</v>
      </c>
      <c r="G56" s="2"/>
      <c r="H56" s="6">
        <v>248.2</v>
      </c>
      <c r="I56" s="2"/>
      <c r="J56" s="7">
        <f t="shared" si="32"/>
        <v>1.7096607542620972E-2</v>
      </c>
      <c r="K56" s="2"/>
      <c r="L56" s="6">
        <f t="shared" si="33"/>
        <v>-248.2</v>
      </c>
      <c r="M56" s="2"/>
      <c r="N56" s="7">
        <f t="shared" si="34"/>
        <v>-1</v>
      </c>
      <c r="O56" s="10"/>
      <c r="P56" s="6">
        <v>455</v>
      </c>
      <c r="Q56" s="2"/>
      <c r="R56" s="7">
        <f t="shared" si="35"/>
        <v>0</v>
      </c>
      <c r="S56" s="2"/>
      <c r="T56" s="6">
        <v>15629.04</v>
      </c>
      <c r="U56" s="2"/>
      <c r="V56" s="7">
        <f t="shared" si="36"/>
        <v>3.9836620570427139E-2</v>
      </c>
      <c r="W56" s="2"/>
      <c r="X56" s="6">
        <f t="shared" si="37"/>
        <v>-15174.04</v>
      </c>
      <c r="Y56" s="2"/>
      <c r="Z56" s="7">
        <f t="shared" si="38"/>
        <v>-0.97088752732093586</v>
      </c>
    </row>
    <row r="57" spans="1:26" s="26" customFormat="1" outlineLevel="1" collapsed="1" x14ac:dyDescent="0.25">
      <c r="A57" s="27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SUM(OSRRefD22_9x_0)</f>
        <v>0</v>
      </c>
      <c r="E57" s="1"/>
      <c r="F57" s="5">
        <f t="shared" si="31"/>
        <v>0</v>
      </c>
      <c r="G57" s="1"/>
      <c r="H57" s="1">
        <f>SUM(OSRRefH22_9x_0)</f>
        <v>0</v>
      </c>
      <c r="I57" s="1"/>
      <c r="J57" s="5">
        <f t="shared" si="32"/>
        <v>0</v>
      </c>
      <c r="K57" s="1"/>
      <c r="L57" s="1">
        <f t="shared" si="33"/>
        <v>0</v>
      </c>
      <c r="M57" s="1"/>
      <c r="N57" s="5">
        <f t="shared" si="34"/>
        <v>0</v>
      </c>
      <c r="O57" s="12"/>
      <c r="P57" s="1">
        <f>SUM(OSRRefP22_9x_0)</f>
        <v>242.03</v>
      </c>
      <c r="Q57" s="1"/>
      <c r="R57" s="5">
        <f t="shared" si="35"/>
        <v>0</v>
      </c>
      <c r="S57" s="1"/>
      <c r="T57" s="1">
        <f>SUM(OSRRefT22_9x_0)</f>
        <v>5381.05</v>
      </c>
      <c r="U57" s="1"/>
      <c r="V57" s="5">
        <f t="shared" si="36"/>
        <v>1.3715675890553542E-2</v>
      </c>
      <c r="W57" s="1"/>
      <c r="X57" s="1">
        <f t="shared" si="37"/>
        <v>-5139.0200000000004</v>
      </c>
      <c r="Y57" s="1"/>
      <c r="Z57" s="5">
        <f t="shared" si="38"/>
        <v>-0.95502178942771399</v>
      </c>
    </row>
    <row r="58" spans="1:26" s="23" customFormat="1" hidden="1" outlineLevel="2" x14ac:dyDescent="0.25">
      <c r="A58" s="25"/>
      <c r="B58" s="10" t="str">
        <f>CONCATENATE("          ", "6371", " - ", "COMPUTER SOFTWARE MAINTENANCE")</f>
        <v xml:space="preserve">          6371 - COMPUTER SOFTWARE MAINTENANCE</v>
      </c>
      <c r="C58" s="10"/>
      <c r="D58" s="6"/>
      <c r="E58" s="2"/>
      <c r="F58" s="7">
        <f t="shared" si="31"/>
        <v>0</v>
      </c>
      <c r="G58" s="2"/>
      <c r="H58" s="6"/>
      <c r="I58" s="2"/>
      <c r="J58" s="7">
        <f t="shared" si="32"/>
        <v>0</v>
      </c>
      <c r="K58" s="2"/>
      <c r="L58" s="6">
        <f t="shared" si="33"/>
        <v>0</v>
      </c>
      <c r="M58" s="2"/>
      <c r="N58" s="7">
        <f t="shared" si="34"/>
        <v>0</v>
      </c>
      <c r="O58" s="10"/>
      <c r="P58" s="6"/>
      <c r="Q58" s="2"/>
      <c r="R58" s="7">
        <f t="shared" si="35"/>
        <v>0</v>
      </c>
      <c r="S58" s="2"/>
      <c r="T58" s="6">
        <v>2623.84</v>
      </c>
      <c r="U58" s="2"/>
      <c r="V58" s="7">
        <f t="shared" si="36"/>
        <v>6.6878655705986763E-3</v>
      </c>
      <c r="W58" s="2"/>
      <c r="X58" s="6">
        <f t="shared" si="37"/>
        <v>-2623.84</v>
      </c>
      <c r="Y58" s="2"/>
      <c r="Z58" s="7">
        <f t="shared" si="38"/>
        <v>-1</v>
      </c>
    </row>
    <row r="59" spans="1:26" s="23" customFormat="1" hidden="1" outlineLevel="2" x14ac:dyDescent="0.25">
      <c r="A59" s="25"/>
      <c r="B59" s="10" t="str">
        <f>CONCATENATE("          ", "6373", " - ", "MAINTENANCE CONTRACTS")</f>
        <v xml:space="preserve">          6373 - MAINTENANCE CONTRACTS</v>
      </c>
      <c r="C59" s="10"/>
      <c r="D59" s="6"/>
      <c r="E59" s="2"/>
      <c r="F59" s="7">
        <f t="shared" si="31"/>
        <v>0</v>
      </c>
      <c r="G59" s="2"/>
      <c r="H59" s="6"/>
      <c r="I59" s="2"/>
      <c r="J59" s="7">
        <f t="shared" si="32"/>
        <v>0</v>
      </c>
      <c r="K59" s="2"/>
      <c r="L59" s="6">
        <f t="shared" si="33"/>
        <v>0</v>
      </c>
      <c r="M59" s="2"/>
      <c r="N59" s="7">
        <f t="shared" si="34"/>
        <v>0</v>
      </c>
      <c r="O59" s="10"/>
      <c r="P59" s="6">
        <v>235.8</v>
      </c>
      <c r="Q59" s="2"/>
      <c r="R59" s="7">
        <f t="shared" si="35"/>
        <v>0</v>
      </c>
      <c r="S59" s="2"/>
      <c r="T59" s="6">
        <v>573</v>
      </c>
      <c r="U59" s="2"/>
      <c r="V59" s="7">
        <f t="shared" si="36"/>
        <v>1.4605109198552661E-3</v>
      </c>
      <c r="W59" s="2"/>
      <c r="X59" s="6">
        <f t="shared" si="37"/>
        <v>-337.2</v>
      </c>
      <c r="Y59" s="2"/>
      <c r="Z59" s="7">
        <f t="shared" si="38"/>
        <v>-0.58848167539267016</v>
      </c>
    </row>
    <row r="60" spans="1:26" s="23" customFormat="1" hidden="1" outlineLevel="2" x14ac:dyDescent="0.25">
      <c r="A60" s="25"/>
      <c r="B60" s="10" t="str">
        <f>CONCATENATE("          ", "6375", " - ", "OUTSIDE REPAIRS &amp; MAINTENANCE")</f>
        <v xml:space="preserve">          6375 - OUTSIDE REPAIRS &amp; MAINTENANCE</v>
      </c>
      <c r="C60" s="10"/>
      <c r="D60" s="6"/>
      <c r="E60" s="2"/>
      <c r="F60" s="7">
        <f t="shared" si="31"/>
        <v>0</v>
      </c>
      <c r="G60" s="2"/>
      <c r="H60" s="6"/>
      <c r="I60" s="2"/>
      <c r="J60" s="7">
        <f t="shared" si="32"/>
        <v>0</v>
      </c>
      <c r="K60" s="2"/>
      <c r="L60" s="6">
        <f t="shared" si="33"/>
        <v>0</v>
      </c>
      <c r="M60" s="2"/>
      <c r="N60" s="7">
        <f t="shared" si="34"/>
        <v>0</v>
      </c>
      <c r="O60" s="10"/>
      <c r="P60" s="6">
        <v>6.23</v>
      </c>
      <c r="Q60" s="2"/>
      <c r="R60" s="7">
        <f t="shared" si="35"/>
        <v>0</v>
      </c>
      <c r="S60" s="2"/>
      <c r="T60" s="6">
        <v>2184.21</v>
      </c>
      <c r="U60" s="2"/>
      <c r="V60" s="7">
        <f t="shared" si="36"/>
        <v>5.5672994000995997E-3</v>
      </c>
      <c r="W60" s="2"/>
      <c r="X60" s="6">
        <f t="shared" si="37"/>
        <v>-2177.98</v>
      </c>
      <c r="Y60" s="2"/>
      <c r="Z60" s="7">
        <f t="shared" si="38"/>
        <v>-0.99714771015607473</v>
      </c>
    </row>
    <row r="61" spans="1:26" s="26" customFormat="1" outlineLevel="1" collapsed="1" x14ac:dyDescent="0.25">
      <c r="A61" s="27"/>
      <c r="B61" s="12" t="str">
        <f>CONCATENATE("     ","Royalty &amp; Commissions                             ")</f>
        <v xml:space="preserve">     Royalty &amp; Commissions                             </v>
      </c>
      <c r="C61" s="12"/>
      <c r="D61" s="1">
        <f>SUM(OSRRefD22_10x_0)</f>
        <v>0</v>
      </c>
      <c r="E61" s="1"/>
      <c r="F61" s="5">
        <f t="shared" ref="F61:F66" si="39">IF(D$12=0,0,D61/D$12)</f>
        <v>0</v>
      </c>
      <c r="G61" s="1"/>
      <c r="H61" s="1">
        <f>SUM(OSRRefH22_10x_0)</f>
        <v>2990.26</v>
      </c>
      <c r="I61" s="1"/>
      <c r="J61" s="5">
        <f t="shared" ref="J61:J66" si="40">IF(H$12=0,0,H61/H$12)</f>
        <v>0.20597623557775099</v>
      </c>
      <c r="K61" s="1"/>
      <c r="L61" s="1">
        <f t="shared" ref="L61:L66" si="41">+D61-H61</f>
        <v>-2990.26</v>
      </c>
      <c r="M61" s="1"/>
      <c r="N61" s="5">
        <f t="shared" ref="N61:N66" si="42">IF(H61=0,0,L61/H61)</f>
        <v>-1</v>
      </c>
      <c r="O61" s="12"/>
      <c r="P61" s="1">
        <f>SUM(OSRRefP22_10x_0)</f>
        <v>0</v>
      </c>
      <c r="Q61" s="1"/>
      <c r="R61" s="5">
        <f t="shared" ref="R61:R66" si="43">IF(P$12=0,0,P61/P$12)</f>
        <v>0</v>
      </c>
      <c r="S61" s="1"/>
      <c r="T61" s="1">
        <f>SUM(OSRRefT22_10x_0)</f>
        <v>83387.12</v>
      </c>
      <c r="U61" s="1"/>
      <c r="V61" s="5">
        <f t="shared" ref="V61:V66" si="44">IF(T$12=0,0,T61/T$12)</f>
        <v>0.21254415241759414</v>
      </c>
      <c r="W61" s="1"/>
      <c r="X61" s="1">
        <f t="shared" ref="X61:X66" si="45">+P61-T61</f>
        <v>-83387.12</v>
      </c>
      <c r="Y61" s="1"/>
      <c r="Z61" s="5">
        <f t="shared" ref="Z61:Z66" si="46">IF(T61=0,0,X61/T61)</f>
        <v>-1</v>
      </c>
    </row>
    <row r="62" spans="1:26" s="23" customFormat="1" hidden="1" outlineLevel="2" x14ac:dyDescent="0.25">
      <c r="A62" s="25"/>
      <c r="B62" s="10" t="str">
        <f>CONCATENATE("          ", "6254", " - ", "ROYALTY &amp; COMMISSIONS")</f>
        <v xml:space="preserve">          6254 - ROYALTY &amp; COMMISSIONS</v>
      </c>
      <c r="C62" s="10"/>
      <c r="D62" s="6"/>
      <c r="E62" s="2"/>
      <c r="F62" s="7">
        <f t="shared" si="39"/>
        <v>0</v>
      </c>
      <c r="G62" s="2"/>
      <c r="H62" s="6">
        <v>2990.26</v>
      </c>
      <c r="I62" s="2"/>
      <c r="J62" s="7">
        <f t="shared" si="40"/>
        <v>0.20597623557775099</v>
      </c>
      <c r="K62" s="2"/>
      <c r="L62" s="6">
        <f t="shared" si="41"/>
        <v>-2990.26</v>
      </c>
      <c r="M62" s="2"/>
      <c r="N62" s="7">
        <f t="shared" si="42"/>
        <v>-1</v>
      </c>
      <c r="O62" s="10"/>
      <c r="P62" s="6"/>
      <c r="Q62" s="2"/>
      <c r="R62" s="7">
        <f t="shared" si="43"/>
        <v>0</v>
      </c>
      <c r="S62" s="2"/>
      <c r="T62" s="6">
        <v>83387.12</v>
      </c>
      <c r="U62" s="2"/>
      <c r="V62" s="7">
        <f t="shared" si="44"/>
        <v>0.21254415241759414</v>
      </c>
      <c r="W62" s="2"/>
      <c r="X62" s="6">
        <f t="shared" si="45"/>
        <v>-83387.12</v>
      </c>
      <c r="Y62" s="2"/>
      <c r="Z62" s="7">
        <f t="shared" si="46"/>
        <v>-1</v>
      </c>
    </row>
    <row r="63" spans="1:26" s="26" customFormat="1" outlineLevel="1" collapsed="1" x14ac:dyDescent="0.25">
      <c r="A63" s="27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SUM(OSRRefD22_11x_0)</f>
        <v>0</v>
      </c>
      <c r="E63" s="1"/>
      <c r="F63" s="5">
        <f t="shared" si="39"/>
        <v>0</v>
      </c>
      <c r="G63" s="1"/>
      <c r="H63" s="1">
        <f>SUM(OSRRefH22_11x_0)</f>
        <v>807.91000000000008</v>
      </c>
      <c r="I63" s="1"/>
      <c r="J63" s="5">
        <f t="shared" si="40"/>
        <v>5.5650766316514555E-2</v>
      </c>
      <c r="K63" s="1"/>
      <c r="L63" s="1">
        <f t="shared" si="41"/>
        <v>-807.91000000000008</v>
      </c>
      <c r="M63" s="1"/>
      <c r="N63" s="5">
        <f t="shared" si="42"/>
        <v>-1</v>
      </c>
      <c r="O63" s="12"/>
      <c r="P63" s="1">
        <f>SUM(OSRRefP22_11x_0)</f>
        <v>0</v>
      </c>
      <c r="Q63" s="1"/>
      <c r="R63" s="5">
        <f t="shared" si="43"/>
        <v>0</v>
      </c>
      <c r="S63" s="1"/>
      <c r="T63" s="1">
        <f>SUM(OSRRefT22_11x_0)</f>
        <v>3287.06</v>
      </c>
      <c r="U63" s="1"/>
      <c r="V63" s="5">
        <f t="shared" si="44"/>
        <v>8.378336866002532E-3</v>
      </c>
      <c r="W63" s="1"/>
      <c r="X63" s="1">
        <f t="shared" si="45"/>
        <v>-3287.06</v>
      </c>
      <c r="Y63" s="1"/>
      <c r="Z63" s="5">
        <f t="shared" si="46"/>
        <v>-1</v>
      </c>
    </row>
    <row r="64" spans="1:26" s="23" customFormat="1" hidden="1" outlineLevel="2" x14ac:dyDescent="0.25">
      <c r="A64" s="25"/>
      <c r="B64" s="10" t="str">
        <f>CONCATENATE("          ", "6282", " - ", "JANITORIAL/EXTERMINATOR EXPENS")</f>
        <v xml:space="preserve">          6282 - JANITORIAL/EXTERMINATOR EXPENS</v>
      </c>
      <c r="C64" s="10"/>
      <c r="D64" s="6"/>
      <c r="E64" s="2"/>
      <c r="F64" s="7">
        <f t="shared" si="39"/>
        <v>0</v>
      </c>
      <c r="G64" s="2"/>
      <c r="H64" s="6">
        <v>225.81</v>
      </c>
      <c r="I64" s="2"/>
      <c r="J64" s="7">
        <f t="shared" si="40"/>
        <v>1.5554330979851903E-2</v>
      </c>
      <c r="K64" s="2"/>
      <c r="L64" s="6">
        <f t="shared" si="41"/>
        <v>-225.81</v>
      </c>
      <c r="M64" s="2"/>
      <c r="N64" s="7">
        <f t="shared" si="42"/>
        <v>-1</v>
      </c>
      <c r="O64" s="10"/>
      <c r="P64" s="6"/>
      <c r="Q64" s="2"/>
      <c r="R64" s="7">
        <f t="shared" si="43"/>
        <v>0</v>
      </c>
      <c r="S64" s="2"/>
      <c r="T64" s="6">
        <v>2258.1</v>
      </c>
      <c r="U64" s="2"/>
      <c r="V64" s="7">
        <f t="shared" si="44"/>
        <v>5.7556364888746532E-3</v>
      </c>
      <c r="W64" s="2"/>
      <c r="X64" s="6">
        <f t="shared" si="45"/>
        <v>-2258.1</v>
      </c>
      <c r="Y64" s="2"/>
      <c r="Z64" s="7">
        <f t="shared" si="46"/>
        <v>-1</v>
      </c>
    </row>
    <row r="65" spans="1:26" s="23" customFormat="1" hidden="1" outlineLevel="2" x14ac:dyDescent="0.25">
      <c r="A65" s="25"/>
      <c r="B65" s="10" t="str">
        <f>CONCATENATE("          ", "6285", " - ", "JANITORIAL SERVICES")</f>
        <v xml:space="preserve">          6285 - JANITORIAL SERVICES</v>
      </c>
      <c r="C65" s="10"/>
      <c r="D65" s="6"/>
      <c r="E65" s="2"/>
      <c r="F65" s="7">
        <f t="shared" si="39"/>
        <v>0</v>
      </c>
      <c r="G65" s="2"/>
      <c r="H65" s="6">
        <v>549.6</v>
      </c>
      <c r="I65" s="2"/>
      <c r="J65" s="7">
        <f t="shared" si="40"/>
        <v>3.7857757878422597E-2</v>
      </c>
      <c r="K65" s="2"/>
      <c r="L65" s="6">
        <f t="shared" si="41"/>
        <v>-549.6</v>
      </c>
      <c r="M65" s="2"/>
      <c r="N65" s="7">
        <f t="shared" si="42"/>
        <v>-1</v>
      </c>
      <c r="O65" s="10"/>
      <c r="P65" s="6"/>
      <c r="Q65" s="2"/>
      <c r="R65" s="7">
        <f t="shared" si="43"/>
        <v>0</v>
      </c>
      <c r="S65" s="2"/>
      <c r="T65" s="6">
        <v>549.6</v>
      </c>
      <c r="U65" s="2"/>
      <c r="V65" s="7">
        <f t="shared" si="44"/>
        <v>1.4008670184161506E-3</v>
      </c>
      <c r="W65" s="2"/>
      <c r="X65" s="6">
        <f t="shared" si="45"/>
        <v>-549.6</v>
      </c>
      <c r="Y65" s="2"/>
      <c r="Z65" s="7">
        <f t="shared" si="46"/>
        <v>-1</v>
      </c>
    </row>
    <row r="66" spans="1:26" s="23" customFormat="1" hidden="1" outlineLevel="2" x14ac:dyDescent="0.25">
      <c r="A66" s="25"/>
      <c r="B66" s="10" t="str">
        <f>CONCATENATE("          ", "6286", " - ", "LAUNDRY EXPENSE")</f>
        <v xml:space="preserve">          6286 - LAUNDRY EXPENSE</v>
      </c>
      <c r="C66" s="10"/>
      <c r="D66" s="6"/>
      <c r="E66" s="2"/>
      <c r="F66" s="7">
        <f t="shared" si="39"/>
        <v>0</v>
      </c>
      <c r="G66" s="2"/>
      <c r="H66" s="6">
        <v>32.5</v>
      </c>
      <c r="I66" s="2"/>
      <c r="J66" s="7">
        <f t="shared" si="40"/>
        <v>2.238677458240055E-3</v>
      </c>
      <c r="K66" s="2"/>
      <c r="L66" s="6">
        <f t="shared" si="41"/>
        <v>-32.5</v>
      </c>
      <c r="M66" s="2"/>
      <c r="N66" s="7">
        <f t="shared" si="42"/>
        <v>-1</v>
      </c>
      <c r="O66" s="10"/>
      <c r="P66" s="6"/>
      <c r="Q66" s="2"/>
      <c r="R66" s="7">
        <f t="shared" si="43"/>
        <v>0</v>
      </c>
      <c r="S66" s="2"/>
      <c r="T66" s="6">
        <v>479.36</v>
      </c>
      <c r="U66" s="2"/>
      <c r="V66" s="7">
        <f t="shared" si="44"/>
        <v>1.2218333587117284E-3</v>
      </c>
      <c r="W66" s="2"/>
      <c r="X66" s="6">
        <f t="shared" si="45"/>
        <v>-479.36</v>
      </c>
      <c r="Y66" s="2"/>
      <c r="Z66" s="7">
        <f t="shared" si="46"/>
        <v>-1</v>
      </c>
    </row>
    <row r="67" spans="1:26" s="26" customFormat="1" outlineLevel="1" collapsed="1" x14ac:dyDescent="0.25">
      <c r="A67" s="27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SUM(OSRRefD22_12x_0)</f>
        <v>0</v>
      </c>
      <c r="E67" s="1"/>
      <c r="F67" s="5">
        <f t="shared" ref="F67:F74" si="47">IF(D$12=0,0,D67/D$12)</f>
        <v>0</v>
      </c>
      <c r="G67" s="1"/>
      <c r="H67" s="1">
        <f>SUM(OSRRefH22_12x_0)</f>
        <v>598.16000000000008</v>
      </c>
      <c r="I67" s="1"/>
      <c r="J67" s="5">
        <f t="shared" ref="J67:J74" si="48">IF(H$12=0,0,H67/H$12)</f>
        <v>4.1202686412949892E-2</v>
      </c>
      <c r="K67" s="1"/>
      <c r="L67" s="1">
        <f t="shared" ref="L67:L74" si="49">+D67-H67</f>
        <v>-598.16000000000008</v>
      </c>
      <c r="M67" s="1"/>
      <c r="N67" s="5">
        <f t="shared" ref="N67:N74" si="50">IF(H67=0,0,L67/H67)</f>
        <v>-1</v>
      </c>
      <c r="O67" s="12"/>
      <c r="P67" s="1">
        <f>SUM(OSRRefP22_12x_0)</f>
        <v>0</v>
      </c>
      <c r="Q67" s="1"/>
      <c r="R67" s="5">
        <f t="shared" ref="R67:R74" si="51">IF(P$12=0,0,P67/P$12)</f>
        <v>0</v>
      </c>
      <c r="S67" s="1"/>
      <c r="T67" s="1">
        <f>SUM(OSRRefT22_12x_0)</f>
        <v>15886.019999999999</v>
      </c>
      <c r="U67" s="1"/>
      <c r="V67" s="5">
        <f t="shared" ref="V67:V74" si="52">IF(T$12=0,0,T67/T$12)</f>
        <v>4.0491632954693109E-2</v>
      </c>
      <c r="W67" s="1"/>
      <c r="X67" s="1">
        <f t="shared" ref="X67:X74" si="53">+P67-T67</f>
        <v>-15886.019999999999</v>
      </c>
      <c r="Y67" s="1"/>
      <c r="Z67" s="5">
        <f t="shared" ref="Z67:Z74" si="54">IF(T67=0,0,X67/T67)</f>
        <v>-1</v>
      </c>
    </row>
    <row r="68" spans="1:26" s="23" customFormat="1" hidden="1" outlineLevel="2" x14ac:dyDescent="0.25">
      <c r="A68" s="25"/>
      <c r="B68" s="10" t="str">
        <f>CONCATENATE("          ", "6234", " - ", "EXPENDABLE SUPPLIES &amp; EQUIPMEN")</f>
        <v xml:space="preserve">          6234 - EXPENDABLE SUPPLIES &amp; EQUIPMEN</v>
      </c>
      <c r="C68" s="10"/>
      <c r="D68" s="6"/>
      <c r="E68" s="2"/>
      <c r="F68" s="7">
        <f t="shared" si="47"/>
        <v>0</v>
      </c>
      <c r="G68" s="2"/>
      <c r="H68" s="6"/>
      <c r="I68" s="2"/>
      <c r="J68" s="7">
        <f t="shared" si="48"/>
        <v>0</v>
      </c>
      <c r="K68" s="2"/>
      <c r="L68" s="6">
        <f t="shared" si="49"/>
        <v>0</v>
      </c>
      <c r="M68" s="2"/>
      <c r="N68" s="7">
        <f t="shared" si="50"/>
        <v>0</v>
      </c>
      <c r="O68" s="10"/>
      <c r="P68" s="6"/>
      <c r="Q68" s="2"/>
      <c r="R68" s="7">
        <f t="shared" si="51"/>
        <v>0</v>
      </c>
      <c r="S68" s="2"/>
      <c r="T68" s="6">
        <v>3756.46</v>
      </c>
      <c r="U68" s="2"/>
      <c r="V68" s="7">
        <f t="shared" si="52"/>
        <v>9.574783333332483E-3</v>
      </c>
      <c r="W68" s="2"/>
      <c r="X68" s="6">
        <f t="shared" si="53"/>
        <v>-3756.46</v>
      </c>
      <c r="Y68" s="2"/>
      <c r="Z68" s="7">
        <f t="shared" si="54"/>
        <v>-1</v>
      </c>
    </row>
    <row r="69" spans="1:26" s="23" customFormat="1" hidden="1" outlineLevel="2" x14ac:dyDescent="0.25">
      <c r="A69" s="25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47"/>
        <v>0</v>
      </c>
      <c r="G69" s="2"/>
      <c r="H69" s="6">
        <v>267.72000000000003</v>
      </c>
      <c r="I69" s="2"/>
      <c r="J69" s="7">
        <f t="shared" si="48"/>
        <v>1.8441191665231619E-2</v>
      </c>
      <c r="K69" s="2"/>
      <c r="L69" s="6">
        <f t="shared" si="49"/>
        <v>-267.72000000000003</v>
      </c>
      <c r="M69" s="2"/>
      <c r="N69" s="7">
        <f t="shared" si="50"/>
        <v>-1</v>
      </c>
      <c r="O69" s="10"/>
      <c r="P69" s="6"/>
      <c r="Q69" s="2"/>
      <c r="R69" s="7">
        <f t="shared" si="51"/>
        <v>0</v>
      </c>
      <c r="S69" s="2"/>
      <c r="T69" s="6">
        <v>1507.19</v>
      </c>
      <c r="U69" s="2"/>
      <c r="V69" s="7">
        <f t="shared" si="52"/>
        <v>3.8416534961547271E-3</v>
      </c>
      <c r="W69" s="2"/>
      <c r="X69" s="6">
        <f t="shared" si="53"/>
        <v>-1507.19</v>
      </c>
      <c r="Y69" s="2"/>
      <c r="Z69" s="7">
        <f t="shared" si="54"/>
        <v>-1</v>
      </c>
    </row>
    <row r="70" spans="1:26" s="23" customFormat="1" hidden="1" outlineLevel="2" x14ac:dyDescent="0.25">
      <c r="A70" s="25"/>
      <c r="B70" s="10" t="str">
        <f>CONCATENATE("          ", "6239", " - ", "KITCHEN SUPPLIES")</f>
        <v xml:space="preserve">          6239 - KITCHEN SUPPLIES</v>
      </c>
      <c r="C70" s="10"/>
      <c r="D70" s="6"/>
      <c r="E70" s="2"/>
      <c r="F70" s="7">
        <f t="shared" si="47"/>
        <v>0</v>
      </c>
      <c r="G70" s="2"/>
      <c r="H70" s="6">
        <v>0</v>
      </c>
      <c r="I70" s="2"/>
      <c r="J70" s="7">
        <f t="shared" si="48"/>
        <v>0</v>
      </c>
      <c r="K70" s="2"/>
      <c r="L70" s="6">
        <f t="shared" si="49"/>
        <v>0</v>
      </c>
      <c r="M70" s="2"/>
      <c r="N70" s="7">
        <f t="shared" si="50"/>
        <v>0</v>
      </c>
      <c r="O70" s="10"/>
      <c r="P70" s="6"/>
      <c r="Q70" s="2"/>
      <c r="R70" s="7">
        <f t="shared" si="51"/>
        <v>0</v>
      </c>
      <c r="S70" s="2"/>
      <c r="T70" s="6">
        <v>7033.31</v>
      </c>
      <c r="U70" s="2"/>
      <c r="V70" s="7">
        <f t="shared" si="52"/>
        <v>1.7927096086784017E-2</v>
      </c>
      <c r="W70" s="2"/>
      <c r="X70" s="6">
        <f t="shared" si="53"/>
        <v>-7033.31</v>
      </c>
      <c r="Y70" s="2"/>
      <c r="Z70" s="7">
        <f t="shared" si="54"/>
        <v>-1</v>
      </c>
    </row>
    <row r="71" spans="1:26" s="23" customFormat="1" hidden="1" outlineLevel="2" x14ac:dyDescent="0.25">
      <c r="A71" s="25"/>
      <c r="B71" s="10" t="str">
        <f>CONCATENATE("          ", "6241", " - ", "OFFICE EXPENSE")</f>
        <v xml:space="preserve">          6241 - OFFICE EXPENSE</v>
      </c>
      <c r="C71" s="10"/>
      <c r="D71" s="6"/>
      <c r="E71" s="2"/>
      <c r="F71" s="7">
        <f t="shared" si="47"/>
        <v>0</v>
      </c>
      <c r="G71" s="2"/>
      <c r="H71" s="6"/>
      <c r="I71" s="2"/>
      <c r="J71" s="7">
        <f t="shared" si="48"/>
        <v>0</v>
      </c>
      <c r="K71" s="2"/>
      <c r="L71" s="6">
        <f t="shared" si="49"/>
        <v>0</v>
      </c>
      <c r="M71" s="2"/>
      <c r="N71" s="7">
        <f t="shared" si="50"/>
        <v>0</v>
      </c>
      <c r="O71" s="10"/>
      <c r="P71" s="6"/>
      <c r="Q71" s="2"/>
      <c r="R71" s="7">
        <f t="shared" si="51"/>
        <v>0</v>
      </c>
      <c r="S71" s="2"/>
      <c r="T71" s="6">
        <v>599.88</v>
      </c>
      <c r="U71" s="2"/>
      <c r="V71" s="7">
        <f t="shared" si="52"/>
        <v>1.5290249399699425E-3</v>
      </c>
      <c r="W71" s="2"/>
      <c r="X71" s="6">
        <f t="shared" si="53"/>
        <v>-599.88</v>
      </c>
      <c r="Y71" s="2"/>
      <c r="Z71" s="7">
        <f t="shared" si="54"/>
        <v>-1</v>
      </c>
    </row>
    <row r="72" spans="1:26" s="23" customFormat="1" hidden="1" outlineLevel="2" x14ac:dyDescent="0.25">
      <c r="A72" s="25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47"/>
        <v>0</v>
      </c>
      <c r="G72" s="2"/>
      <c r="H72" s="6">
        <v>213.31</v>
      </c>
      <c r="I72" s="2"/>
      <c r="J72" s="7">
        <f t="shared" si="48"/>
        <v>1.4693301188221113E-2</v>
      </c>
      <c r="K72" s="2"/>
      <c r="L72" s="6">
        <f t="shared" si="49"/>
        <v>-213.31</v>
      </c>
      <c r="M72" s="2"/>
      <c r="N72" s="7">
        <f t="shared" si="50"/>
        <v>-1</v>
      </c>
      <c r="O72" s="10"/>
      <c r="P72" s="6"/>
      <c r="Q72" s="2"/>
      <c r="R72" s="7">
        <f t="shared" si="51"/>
        <v>0</v>
      </c>
      <c r="S72" s="2"/>
      <c r="T72" s="6">
        <v>2632.41</v>
      </c>
      <c r="U72" s="2"/>
      <c r="V72" s="7">
        <f t="shared" si="52"/>
        <v>6.7097095122795828E-3</v>
      </c>
      <c r="W72" s="2"/>
      <c r="X72" s="6">
        <f t="shared" si="53"/>
        <v>-2632.41</v>
      </c>
      <c r="Y72" s="2"/>
      <c r="Z72" s="7">
        <f t="shared" si="54"/>
        <v>-1</v>
      </c>
    </row>
    <row r="73" spans="1:26" s="23" customFormat="1" hidden="1" outlineLevel="2" x14ac:dyDescent="0.25">
      <c r="A73" s="25"/>
      <c r="B73" s="10" t="str">
        <f>CONCATENATE("          ", "6247", " - ", "STORE SUPPLIES")</f>
        <v xml:space="preserve">          6247 - STORE SUPPLIES</v>
      </c>
      <c r="C73" s="10"/>
      <c r="D73" s="6"/>
      <c r="E73" s="2"/>
      <c r="F73" s="7">
        <f t="shared" si="47"/>
        <v>0</v>
      </c>
      <c r="G73" s="2"/>
      <c r="H73" s="6">
        <v>117.13</v>
      </c>
      <c r="I73" s="2"/>
      <c r="J73" s="7">
        <f t="shared" si="48"/>
        <v>8.0681935594971582E-3</v>
      </c>
      <c r="K73" s="2"/>
      <c r="L73" s="6">
        <f t="shared" si="49"/>
        <v>-117.13</v>
      </c>
      <c r="M73" s="2"/>
      <c r="N73" s="7">
        <f t="shared" si="50"/>
        <v>-1</v>
      </c>
      <c r="O73" s="10"/>
      <c r="P73" s="6"/>
      <c r="Q73" s="2"/>
      <c r="R73" s="7">
        <f t="shared" si="51"/>
        <v>0</v>
      </c>
      <c r="S73" s="2"/>
      <c r="T73" s="6">
        <v>-97.67</v>
      </c>
      <c r="U73" s="2"/>
      <c r="V73" s="7">
        <f t="shared" si="52"/>
        <v>-2.4894956639138539E-4</v>
      </c>
      <c r="W73" s="2"/>
      <c r="X73" s="6">
        <f t="shared" si="53"/>
        <v>97.67</v>
      </c>
      <c r="Y73" s="2"/>
      <c r="Z73" s="7">
        <f t="shared" si="54"/>
        <v>-1</v>
      </c>
    </row>
    <row r="74" spans="1:26" s="23" customFormat="1" hidden="1" outlineLevel="2" x14ac:dyDescent="0.25">
      <c r="A74" s="25"/>
      <c r="B74" s="10" t="str">
        <f>CONCATENATE("          ", "6248", " - ", "UNIFORMS")</f>
        <v xml:space="preserve">          6248 - UNIFORMS</v>
      </c>
      <c r="C74" s="10"/>
      <c r="D74" s="6"/>
      <c r="E74" s="2"/>
      <c r="F74" s="7">
        <f t="shared" si="47"/>
        <v>0</v>
      </c>
      <c r="G74" s="2"/>
      <c r="H74" s="6"/>
      <c r="I74" s="2"/>
      <c r="J74" s="7">
        <f t="shared" si="48"/>
        <v>0</v>
      </c>
      <c r="K74" s="2"/>
      <c r="L74" s="6">
        <f t="shared" si="49"/>
        <v>0</v>
      </c>
      <c r="M74" s="2"/>
      <c r="N74" s="7">
        <f t="shared" si="50"/>
        <v>0</v>
      </c>
      <c r="O74" s="10"/>
      <c r="P74" s="6"/>
      <c r="Q74" s="2"/>
      <c r="R74" s="7">
        <f t="shared" si="51"/>
        <v>0</v>
      </c>
      <c r="S74" s="2"/>
      <c r="T74" s="6">
        <v>454.44</v>
      </c>
      <c r="U74" s="2"/>
      <c r="V74" s="7">
        <f t="shared" si="52"/>
        <v>1.158315152563747E-3</v>
      </c>
      <c r="W74" s="2"/>
      <c r="X74" s="6">
        <f t="shared" si="53"/>
        <v>-454.44</v>
      </c>
      <c r="Y74" s="2"/>
      <c r="Z74" s="7">
        <f t="shared" si="54"/>
        <v>-1</v>
      </c>
    </row>
    <row r="75" spans="1:26" s="26" customFormat="1" outlineLevel="1" collapsed="1" x14ac:dyDescent="0.25">
      <c r="A75" s="27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SUM(OSRRefD22_13x_0)</f>
        <v>0</v>
      </c>
      <c r="E75" s="1"/>
      <c r="F75" s="5">
        <f t="shared" ref="F75:F78" si="55">IF(D$12=0,0,D75/D$12)</f>
        <v>0</v>
      </c>
      <c r="G75" s="1"/>
      <c r="H75" s="1">
        <f>SUM(OSRRefH22_13x_0)</f>
        <v>404.48</v>
      </c>
      <c r="I75" s="1"/>
      <c r="J75" s="5">
        <f t="shared" ref="J75:J78" si="56">IF(H$12=0,0,H75/H$12)</f>
        <v>2.786154640950577E-2</v>
      </c>
      <c r="K75" s="1"/>
      <c r="L75" s="1">
        <f t="shared" ref="L75:L78" si="57">+D75-H75</f>
        <v>-404.48</v>
      </c>
      <c r="M75" s="1"/>
      <c r="N75" s="5">
        <f t="shared" ref="N75:N78" si="58">IF(H75=0,0,L75/H75)</f>
        <v>-1</v>
      </c>
      <c r="O75" s="12"/>
      <c r="P75" s="1">
        <f>SUM(OSRRefP22_13x_0)</f>
        <v>132.54</v>
      </c>
      <c r="Q75" s="1"/>
      <c r="R75" s="5">
        <f t="shared" ref="R75:R78" si="59">IF(P$12=0,0,P75/P$12)</f>
        <v>0</v>
      </c>
      <c r="S75" s="1"/>
      <c r="T75" s="1">
        <f>SUM(OSRRefT22_13x_0)</f>
        <v>2892.38</v>
      </c>
      <c r="U75" s="1"/>
      <c r="V75" s="5">
        <f t="shared" ref="V75:V78" si="60">IF(T$12=0,0,T75/T$12)</f>
        <v>7.3723430617294496E-3</v>
      </c>
      <c r="W75" s="1"/>
      <c r="X75" s="1">
        <f t="shared" ref="X75:X78" si="61">+P75-T75</f>
        <v>-2759.84</v>
      </c>
      <c r="Y75" s="1"/>
      <c r="Z75" s="5">
        <f t="shared" ref="Z75:Z78" si="62">IF(T75=0,0,X75/T75)</f>
        <v>-0.9541761455963601</v>
      </c>
    </row>
    <row r="76" spans="1:26" s="23" customFormat="1" hidden="1" outlineLevel="2" x14ac:dyDescent="0.25">
      <c r="A76" s="25"/>
      <c r="B76" s="10" t="str">
        <f>CONCATENATE("          ", "6309", " - ", "TELEPHONE")</f>
        <v xml:space="preserve">          6309 - TELEPHONE</v>
      </c>
      <c r="C76" s="10"/>
      <c r="D76" s="6"/>
      <c r="E76" s="2"/>
      <c r="F76" s="7">
        <f t="shared" si="55"/>
        <v>0</v>
      </c>
      <c r="G76" s="2"/>
      <c r="H76" s="6">
        <v>404.48</v>
      </c>
      <c r="I76" s="2"/>
      <c r="J76" s="7">
        <f t="shared" si="56"/>
        <v>2.786154640950577E-2</v>
      </c>
      <c r="K76" s="2"/>
      <c r="L76" s="6">
        <f t="shared" si="57"/>
        <v>-404.48</v>
      </c>
      <c r="M76" s="2"/>
      <c r="N76" s="7">
        <f t="shared" si="58"/>
        <v>-1</v>
      </c>
      <c r="O76" s="10"/>
      <c r="P76" s="6">
        <v>132.54</v>
      </c>
      <c r="Q76" s="2"/>
      <c r="R76" s="7">
        <f t="shared" si="59"/>
        <v>0</v>
      </c>
      <c r="S76" s="2"/>
      <c r="T76" s="6">
        <v>2892.38</v>
      </c>
      <c r="U76" s="2"/>
      <c r="V76" s="7">
        <f t="shared" si="60"/>
        <v>7.3723430617294496E-3</v>
      </c>
      <c r="W76" s="2"/>
      <c r="X76" s="6">
        <f t="shared" si="61"/>
        <v>-2759.84</v>
      </c>
      <c r="Y76" s="2"/>
      <c r="Z76" s="7">
        <f t="shared" si="62"/>
        <v>-0.9541761455963601</v>
      </c>
    </row>
    <row r="77" spans="1:26" s="26" customFormat="1" outlineLevel="1" collapsed="1" x14ac:dyDescent="0.25">
      <c r="A77" s="27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SUM(OSRRefD22_14x_0)</f>
        <v>0</v>
      </c>
      <c r="E77" s="1"/>
      <c r="F77" s="5">
        <f t="shared" si="55"/>
        <v>0</v>
      </c>
      <c r="G77" s="1"/>
      <c r="H77" s="1">
        <f>SUM(OSRRefH22_14x_0)</f>
        <v>100</v>
      </c>
      <c r="I77" s="1"/>
      <c r="J77" s="5">
        <f t="shared" si="56"/>
        <v>6.8882383330463237E-3</v>
      </c>
      <c r="K77" s="1"/>
      <c r="L77" s="1">
        <f t="shared" si="57"/>
        <v>-100</v>
      </c>
      <c r="M77" s="1"/>
      <c r="N77" s="5">
        <f t="shared" si="58"/>
        <v>-1</v>
      </c>
      <c r="O77" s="12"/>
      <c r="P77" s="1">
        <f>SUM(OSRRefP22_14x_0)</f>
        <v>0</v>
      </c>
      <c r="Q77" s="1"/>
      <c r="R77" s="5">
        <f t="shared" si="59"/>
        <v>0</v>
      </c>
      <c r="S77" s="1"/>
      <c r="T77" s="1">
        <f>SUM(OSRRefT22_14x_0)</f>
        <v>337.96</v>
      </c>
      <c r="U77" s="1"/>
      <c r="V77" s="5">
        <f t="shared" si="60"/>
        <v>8.6142106540014962E-4</v>
      </c>
      <c r="W77" s="1"/>
      <c r="X77" s="1">
        <f t="shared" si="61"/>
        <v>-337.96</v>
      </c>
      <c r="Y77" s="1"/>
      <c r="Z77" s="5">
        <f t="shared" si="62"/>
        <v>-1</v>
      </c>
    </row>
    <row r="78" spans="1:26" s="23" customFormat="1" hidden="1" outlineLevel="2" x14ac:dyDescent="0.25">
      <c r="A78" s="25"/>
      <c r="B78" s="10" t="str">
        <f>CONCATENATE("          ", "6376", " - ", "TRAINING")</f>
        <v xml:space="preserve">          6376 - TRAINING</v>
      </c>
      <c r="C78" s="10"/>
      <c r="D78" s="6"/>
      <c r="E78" s="2"/>
      <c r="F78" s="7">
        <f t="shared" si="55"/>
        <v>0</v>
      </c>
      <c r="G78" s="2"/>
      <c r="H78" s="6">
        <v>100</v>
      </c>
      <c r="I78" s="2"/>
      <c r="J78" s="7">
        <f t="shared" si="56"/>
        <v>6.8882383330463237E-3</v>
      </c>
      <c r="K78" s="2"/>
      <c r="L78" s="6">
        <f t="shared" si="57"/>
        <v>-100</v>
      </c>
      <c r="M78" s="2"/>
      <c r="N78" s="7">
        <f t="shared" si="58"/>
        <v>-1</v>
      </c>
      <c r="O78" s="10"/>
      <c r="P78" s="6"/>
      <c r="Q78" s="2"/>
      <c r="R78" s="7">
        <f t="shared" si="59"/>
        <v>0</v>
      </c>
      <c r="S78" s="2"/>
      <c r="T78" s="6">
        <v>337.96</v>
      </c>
      <c r="U78" s="2"/>
      <c r="V78" s="7">
        <f t="shared" si="60"/>
        <v>8.6142106540014962E-4</v>
      </c>
      <c r="W78" s="2"/>
      <c r="X78" s="6">
        <f t="shared" si="61"/>
        <v>-337.96</v>
      </c>
      <c r="Y78" s="2"/>
      <c r="Z78" s="7">
        <f t="shared" si="62"/>
        <v>-1</v>
      </c>
    </row>
    <row r="79" spans="1:26" s="60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4" customFormat="1" collapsed="1" x14ac:dyDescent="0.25">
      <c r="A80" s="11"/>
      <c r="B80" s="28" t="s">
        <v>292</v>
      </c>
      <c r="C80" s="11"/>
      <c r="D80" s="4">
        <f>SUM(OSRRefD25x_0)</f>
        <v>0</v>
      </c>
      <c r="E80" s="4"/>
      <c r="F80" s="13">
        <f t="shared" ref="F80:F81" si="63">IF(D$12=0,0,D80/D$12)</f>
        <v>0</v>
      </c>
      <c r="G80" s="4"/>
      <c r="H80" s="4">
        <f>SUM(OSRRefH25x_0)</f>
        <v>0</v>
      </c>
      <c r="I80" s="4"/>
      <c r="J80" s="13">
        <f t="shared" ref="J80:J81" si="64">IF(H$12=0,0,H80/H$12)</f>
        <v>0</v>
      </c>
      <c r="K80" s="4"/>
      <c r="L80" s="4">
        <f t="shared" ref="L80:L81" si="65">+D80-H80</f>
        <v>0</v>
      </c>
      <c r="M80" s="4"/>
      <c r="N80" s="13">
        <f t="shared" ref="N80:N81" si="66">IF(H80=0,0,L80/H80)</f>
        <v>0</v>
      </c>
      <c r="O80" s="11"/>
      <c r="P80" s="4">
        <f>SUM(OSRRefP25x_0)</f>
        <v>0</v>
      </c>
      <c r="Q80" s="4"/>
      <c r="R80" s="13">
        <f t="shared" ref="R80:R81" si="67">IF(P$12=0,0,P80/P$12)</f>
        <v>0</v>
      </c>
      <c r="S80" s="4"/>
      <c r="T80" s="4">
        <f>SUM(OSRRefT25x_0)</f>
        <v>39607.82</v>
      </c>
      <c r="U80" s="4"/>
      <c r="V80" s="13">
        <f t="shared" ref="V80:V81" si="68">IF(T$12=0,0,T80/T$12)</f>
        <v>0.10095576548283038</v>
      </c>
      <c r="W80" s="4"/>
      <c r="X80" s="4">
        <f t="shared" ref="X80:X81" si="69">+P80-T80</f>
        <v>-39607.82</v>
      </c>
      <c r="Y80" s="4"/>
      <c r="Z80" s="13">
        <f t="shared" ref="Z80:Z81" si="70">IF(T80=0,0,X80/T80)</f>
        <v>-1</v>
      </c>
    </row>
    <row r="81" spans="1:26" s="23" customFormat="1" hidden="1" outlineLevel="1" x14ac:dyDescent="0.25">
      <c r="A81" s="44"/>
      <c r="B81" s="10" t="str">
        <f>CONCATENATE("          ", "9150", " - ", "MISC. INCOME")</f>
        <v xml:space="preserve">          9150 - MISC. INCOME</v>
      </c>
      <c r="C81" s="10"/>
      <c r="D81" s="2">
        <f>0</f>
        <v>0</v>
      </c>
      <c r="E81" s="2"/>
      <c r="F81" s="19">
        <f t="shared" si="63"/>
        <v>0</v>
      </c>
      <c r="G81" s="2"/>
      <c r="H81" s="2">
        <f>0</f>
        <v>0</v>
      </c>
      <c r="I81" s="2"/>
      <c r="J81" s="19">
        <f t="shared" si="64"/>
        <v>0</v>
      </c>
      <c r="K81" s="2"/>
      <c r="L81" s="2">
        <f t="shared" si="65"/>
        <v>0</v>
      </c>
      <c r="M81" s="2"/>
      <c r="N81" s="19">
        <f t="shared" si="66"/>
        <v>0</v>
      </c>
      <c r="O81" s="10"/>
      <c r="P81" s="2">
        <f>0</f>
        <v>0</v>
      </c>
      <c r="Q81" s="2"/>
      <c r="R81" s="19">
        <f t="shared" si="67"/>
        <v>0</v>
      </c>
      <c r="S81" s="2"/>
      <c r="T81" s="2">
        <f>--39607.82</f>
        <v>39607.82</v>
      </c>
      <c r="U81" s="2"/>
      <c r="V81" s="19">
        <f t="shared" si="68"/>
        <v>0.10095576548283038</v>
      </c>
      <c r="W81" s="2"/>
      <c r="X81" s="2">
        <f t="shared" si="69"/>
        <v>-39607.82</v>
      </c>
      <c r="Y81" s="2"/>
      <c r="Z81" s="19">
        <f t="shared" si="70"/>
        <v>-1</v>
      </c>
    </row>
    <row r="82" spans="1:26" x14ac:dyDescent="0.25">
      <c r="A82" s="9"/>
      <c r="B82" s="11"/>
      <c r="C82" s="11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1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x14ac:dyDescent="0.25">
      <c r="A83" s="11"/>
      <c r="B83" s="29" t="s">
        <v>276</v>
      </c>
      <c r="C83" s="29"/>
      <c r="D83" s="22">
        <f>+D23-D25+D80</f>
        <v>5592.49</v>
      </c>
      <c r="E83" s="14"/>
      <c r="F83" s="20">
        <f>IF(D$12=0,0,D83/D$12)</f>
        <v>0</v>
      </c>
      <c r="G83" s="14"/>
      <c r="H83" s="22">
        <f>+H23-H25+H80</f>
        <v>-28626.349999999995</v>
      </c>
      <c r="I83" s="14"/>
      <c r="J83" s="20">
        <f>IF(H$12=0,0,H83/H$12)</f>
        <v>-1.9718512140520059</v>
      </c>
      <c r="K83" s="15"/>
      <c r="L83" s="22">
        <f>+D83-H83</f>
        <v>34218.839999999997</v>
      </c>
      <c r="M83" s="15"/>
      <c r="N83" s="20">
        <f>IF(H83=0,0,L83/H83)</f>
        <v>-1.1953616161333878</v>
      </c>
      <c r="O83" s="28"/>
      <c r="P83" s="22">
        <f>+P23-P25+P80</f>
        <v>-6043.4699999999993</v>
      </c>
      <c r="Q83" s="14"/>
      <c r="R83" s="20">
        <f>IF(P$12=0,0,P83/P$12)</f>
        <v>0</v>
      </c>
      <c r="S83" s="14"/>
      <c r="T83" s="22">
        <f>+T23-T25+T80</f>
        <v>11789.230000000091</v>
      </c>
      <c r="U83" s="14"/>
      <c r="V83" s="20">
        <f>IF(T$12=0,0,T83/T$12)</f>
        <v>3.0049387699276495E-2</v>
      </c>
      <c r="W83" s="15"/>
      <c r="X83" s="22">
        <f>+P83-T83</f>
        <v>-17832.700000000092</v>
      </c>
      <c r="Y83" s="15"/>
      <c r="Z83" s="20">
        <f>IF(T83=0,0,X83/T83)</f>
        <v>-1.5126263547322392</v>
      </c>
    </row>
    <row r="84" spans="1:26" x14ac:dyDescent="0.25">
      <c r="A84" s="9"/>
      <c r="B84" s="11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51"/>
      <c r="B85" s="11" t="s">
        <v>127</v>
      </c>
      <c r="C85" s="11"/>
      <c r="D85" s="4"/>
      <c r="E85" s="4"/>
      <c r="F85" s="13">
        <f>IF(D$12=0,0,D85/D$12)</f>
        <v>0</v>
      </c>
      <c r="G85" s="4"/>
      <c r="H85" s="4">
        <v>3532.54</v>
      </c>
      <c r="I85" s="4"/>
      <c r="J85" s="13">
        <f>IF(H$12=0,0,H85/H$12)</f>
        <v>0.2433297744101946</v>
      </c>
      <c r="K85" s="4"/>
      <c r="L85" s="4">
        <f>+D85-H85</f>
        <v>-3532.54</v>
      </c>
      <c r="M85" s="4"/>
      <c r="N85" s="13">
        <f>IF(H85=0,0,L85/H85)</f>
        <v>-1</v>
      </c>
      <c r="O85" s="11"/>
      <c r="P85" s="4"/>
      <c r="Q85" s="4"/>
      <c r="R85" s="13">
        <f>IF(P$12=0,0,P85/P$12)</f>
        <v>0</v>
      </c>
      <c r="S85" s="4"/>
      <c r="T85" s="4">
        <v>42038.95</v>
      </c>
      <c r="U85" s="4"/>
      <c r="V85" s="13">
        <f>IF(T$12=0,0,T85/T$12)</f>
        <v>0.10715243548734649</v>
      </c>
      <c r="W85" s="4"/>
      <c r="X85" s="4">
        <f>+P85-T85</f>
        <v>-42038.95</v>
      </c>
      <c r="Y85" s="4"/>
      <c r="Z85" s="13">
        <f>IF(T85=0,0,X85/T85)</f>
        <v>-1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ht="15.75" thickBot="1" x14ac:dyDescent="0.3">
      <c r="A87" s="11"/>
      <c r="B87" s="29" t="s">
        <v>125</v>
      </c>
      <c r="C87" s="29"/>
      <c r="D87" s="30">
        <f>+D83-D85</f>
        <v>5592.49</v>
      </c>
      <c r="E87" s="14"/>
      <c r="F87" s="36">
        <f>IF(D$12=0,0,D87/D$12)</f>
        <v>0</v>
      </c>
      <c r="G87" s="14"/>
      <c r="H87" s="30">
        <f>+H83-H85</f>
        <v>-32158.889999999996</v>
      </c>
      <c r="I87" s="14"/>
      <c r="J87" s="36">
        <f>IF(H$12=0,0,H87/H$12)</f>
        <v>-2.2151809884622007</v>
      </c>
      <c r="K87" s="15"/>
      <c r="L87" s="30">
        <f>D87-H87</f>
        <v>37751.379999999997</v>
      </c>
      <c r="M87" s="15"/>
      <c r="N87" s="36">
        <f>IF(H87=0,0,L87/H87)</f>
        <v>-1.1739018355422095</v>
      </c>
      <c r="O87" s="28"/>
      <c r="P87" s="30">
        <f>+P83-P85</f>
        <v>-6043.4699999999993</v>
      </c>
      <c r="Q87" s="14"/>
      <c r="R87" s="36">
        <f>IF(P$12=0,0,P87/P$12)</f>
        <v>0</v>
      </c>
      <c r="S87" s="14"/>
      <c r="T87" s="30">
        <f>+T83-T85</f>
        <v>-30249.719999999907</v>
      </c>
      <c r="U87" s="14"/>
      <c r="V87" s="36">
        <f>IF(T$12=0,0,T87/T$12)</f>
        <v>-7.7103047788069992E-2</v>
      </c>
      <c r="W87" s="15"/>
      <c r="X87" s="30">
        <f>P87-T87</f>
        <v>24206.249999999905</v>
      </c>
      <c r="Y87" s="15"/>
      <c r="Z87" s="36">
        <f>IF(T87=0,0,X87/T87)</f>
        <v>-0.8002140185099228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9" t="s">
        <v>293</v>
      </c>
      <c r="C90" s="29"/>
      <c r="D90" s="35">
        <f>SUM(D87:D89)</f>
        <v>5592.49</v>
      </c>
      <c r="E90" s="14"/>
      <c r="F90" s="34">
        <f>IF(D$12=0,0,D90/D$12)</f>
        <v>0</v>
      </c>
      <c r="G90" s="14"/>
      <c r="H90" s="35">
        <f>SUM(H87:H89)</f>
        <v>-32158.889999999996</v>
      </c>
      <c r="I90" s="14"/>
      <c r="J90" s="34">
        <f>IF(H$12=0,0,H90/H$12)</f>
        <v>-2.2151809884622007</v>
      </c>
      <c r="K90" s="15"/>
      <c r="L90" s="35">
        <f>+D90-H90</f>
        <v>37751.379999999997</v>
      </c>
      <c r="M90" s="15"/>
      <c r="N90" s="34">
        <f>IF(H90=0,0,L90/H90)</f>
        <v>-1.1739018355422095</v>
      </c>
      <c r="O90" s="28"/>
      <c r="P90" s="35">
        <f>SUM(P87:P89)</f>
        <v>-6043.4699999999993</v>
      </c>
      <c r="Q90" s="14"/>
      <c r="R90" s="34">
        <f>IF(P$12=0,0,P90/P$12)</f>
        <v>0</v>
      </c>
      <c r="S90" s="14"/>
      <c r="T90" s="35">
        <f>SUM(T87:T89)</f>
        <v>-30249.719999999907</v>
      </c>
      <c r="U90" s="14"/>
      <c r="V90" s="34">
        <f>IF(T$12=0,0,T90/T$12)</f>
        <v>-7.7103047788069992E-2</v>
      </c>
      <c r="W90" s="15"/>
      <c r="X90" s="35">
        <f>+P90-T90</f>
        <v>24206.249999999905</v>
      </c>
      <c r="Y90" s="15"/>
      <c r="Z90" s="34">
        <f>IF(T90=0,0,X90/T90)</f>
        <v>-0.8002140185099228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4">
        <v>44295.963243634258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8" t="s">
        <v>56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2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138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182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91796.739999999991</v>
      </c>
      <c r="E12" s="4"/>
      <c r="F12" s="13"/>
      <c r="G12" s="4"/>
      <c r="H12" s="4">
        <f>SUM(OSRRefH13x_0)</f>
        <v>986080.57</v>
      </c>
      <c r="I12" s="4"/>
      <c r="J12" s="13"/>
      <c r="K12" s="4"/>
      <c r="L12" s="4">
        <f t="shared" ref="L12:L17" si="0">+D12-H12</f>
        <v>-894283.83</v>
      </c>
      <c r="M12" s="4"/>
      <c r="N12" s="13">
        <f t="shared" ref="N12:N17" si="1">IF(H12=0,0,L12/H12)</f>
        <v>-0.9069074649751997</v>
      </c>
      <c r="O12" s="11"/>
      <c r="P12" s="4">
        <f>SUM(OSRRefP13x_0)</f>
        <v>851190.11</v>
      </c>
      <c r="Q12" s="4"/>
      <c r="R12" s="13"/>
      <c r="S12" s="4"/>
      <c r="T12" s="4">
        <f>SUM(OSRRefT13x_0)</f>
        <v>9045243.9300000016</v>
      </c>
      <c r="U12" s="4"/>
      <c r="V12" s="13"/>
      <c r="W12" s="4"/>
      <c r="X12" s="4">
        <f t="shared" ref="X12:X17" si="2">+P12-T12</f>
        <v>-8194053.8200000012</v>
      </c>
      <c r="Y12" s="4"/>
      <c r="Z12" s="13">
        <f t="shared" ref="Z12:Z17" si="3">IF(T12=0,0,X12/T12)</f>
        <v>-0.90589638968420827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>--163.51</f>
        <v>163.51</v>
      </c>
      <c r="E13" s="2"/>
      <c r="F13" s="19"/>
      <c r="G13" s="2"/>
      <c r="H13" s="2">
        <f>--3973.86</f>
        <v>3973.86</v>
      </c>
      <c r="I13" s="2"/>
      <c r="J13" s="19"/>
      <c r="K13" s="2"/>
      <c r="L13" s="2">
        <f t="shared" si="0"/>
        <v>-3810.3500000000004</v>
      </c>
      <c r="M13" s="2"/>
      <c r="N13" s="19">
        <f t="shared" si="1"/>
        <v>-0.95885360833043953</v>
      </c>
      <c r="O13" s="10"/>
      <c r="P13" s="2">
        <f>--923.72</f>
        <v>923.72</v>
      </c>
      <c r="Q13" s="2"/>
      <c r="R13" s="19"/>
      <c r="S13" s="2"/>
      <c r="T13" s="2">
        <f>--26609.73</f>
        <v>26609.73</v>
      </c>
      <c r="U13" s="2"/>
      <c r="V13" s="19"/>
      <c r="W13" s="2"/>
      <c r="X13" s="2">
        <f t="shared" si="2"/>
        <v>-25686.01</v>
      </c>
      <c r="Y13" s="2"/>
      <c r="Z13" s="19">
        <f t="shared" si="3"/>
        <v>-0.96528638208655249</v>
      </c>
    </row>
    <row r="14" spans="1:26" s="23" customFormat="1" hidden="1" outlineLevel="1" x14ac:dyDescent="0.25">
      <c r="A14" s="44"/>
      <c r="B14" s="10" t="str">
        <f>CONCATENATE("          ", "4055", " - ", "TAXABLE SALES-FOOD")</f>
        <v xml:space="preserve">          4055 - TAXABLE SALES-FOOD</v>
      </c>
      <c r="C14" s="10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--973.49</f>
        <v>973.49</v>
      </c>
      <c r="U14" s="2"/>
      <c r="V14" s="19"/>
      <c r="W14" s="2"/>
      <c r="X14" s="2">
        <f t="shared" si="2"/>
        <v>-973.49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"4151", " - ", "NON-TAXABLE SALES-FOOD")</f>
        <v xml:space="preserve">          4151 - NON-TAXABLE SALES-FOOD</v>
      </c>
      <c r="C15" s="10"/>
      <c r="D15" s="2">
        <f>--86462.44</f>
        <v>86462.44</v>
      </c>
      <c r="E15" s="2"/>
      <c r="F15" s="19"/>
      <c r="G15" s="2"/>
      <c r="H15" s="2">
        <f>--970452</f>
        <v>970452</v>
      </c>
      <c r="I15" s="2"/>
      <c r="J15" s="19"/>
      <c r="K15" s="2"/>
      <c r="L15" s="2">
        <f t="shared" si="0"/>
        <v>-883989.56</v>
      </c>
      <c r="M15" s="2"/>
      <c r="N15" s="19">
        <f t="shared" si="1"/>
        <v>-0.91090498035966749</v>
      </c>
      <c r="O15" s="10"/>
      <c r="P15" s="2">
        <f>--807261.03</f>
        <v>807261.03</v>
      </c>
      <c r="Q15" s="2"/>
      <c r="R15" s="19"/>
      <c r="S15" s="2"/>
      <c r="T15" s="2">
        <f>--8712910.38</f>
        <v>8712910.3800000008</v>
      </c>
      <c r="U15" s="2"/>
      <c r="V15" s="19"/>
      <c r="W15" s="2"/>
      <c r="X15" s="2">
        <f t="shared" si="2"/>
        <v>-7905649.3500000006</v>
      </c>
      <c r="Y15" s="2"/>
      <c r="Z15" s="19">
        <f t="shared" si="3"/>
        <v>-0.90734886567259743</v>
      </c>
    </row>
    <row r="16" spans="1:26" s="23" customFormat="1" hidden="1" outlineLevel="1" x14ac:dyDescent="0.25">
      <c r="A16" s="44"/>
      <c r="B16" s="10" t="str">
        <f>CONCATENATE("          ", "4153", " - ", "NON-TAXABLE SALES-FOOD")</f>
        <v xml:space="preserve">          4153 - NON-TAXABLE SALES-FOOD</v>
      </c>
      <c r="C16" s="10"/>
      <c r="D16" s="2">
        <f>--5170.79</f>
        <v>5170.79</v>
      </c>
      <c r="E16" s="2"/>
      <c r="F16" s="19"/>
      <c r="G16" s="2"/>
      <c r="H16" s="2">
        <f>--11654.71</f>
        <v>11654.71</v>
      </c>
      <c r="I16" s="2"/>
      <c r="J16" s="19"/>
      <c r="K16" s="2"/>
      <c r="L16" s="2">
        <f t="shared" si="0"/>
        <v>-6483.9199999999992</v>
      </c>
      <c r="M16" s="2"/>
      <c r="N16" s="19">
        <f t="shared" si="1"/>
        <v>-0.55633473505561271</v>
      </c>
      <c r="O16" s="10"/>
      <c r="P16" s="2">
        <f>--43005.36</f>
        <v>43005.36</v>
      </c>
      <c r="Q16" s="2"/>
      <c r="R16" s="19"/>
      <c r="S16" s="2"/>
      <c r="T16" s="2">
        <f>--301016.43</f>
        <v>301016.43</v>
      </c>
      <c r="U16" s="2"/>
      <c r="V16" s="19"/>
      <c r="W16" s="2"/>
      <c r="X16" s="2">
        <f t="shared" si="2"/>
        <v>-258011.07</v>
      </c>
      <c r="Y16" s="2"/>
      <c r="Z16" s="19">
        <f t="shared" si="3"/>
        <v>-0.85713284819702373</v>
      </c>
    </row>
    <row r="17" spans="1:26" s="23" customFormat="1" hidden="1" outlineLevel="1" x14ac:dyDescent="0.25">
      <c r="A17" s="44"/>
      <c r="B17" s="10" t="str">
        <f>CONCATENATE("          ", "4155", " - ", "NON-TAXABLE SALES-FOOD")</f>
        <v xml:space="preserve">          4155 - NON-TAXABLE SALES-FOOD</v>
      </c>
      <c r="C17" s="10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0</f>
        <v>0</v>
      </c>
      <c r="Q17" s="2"/>
      <c r="R17" s="19"/>
      <c r="S17" s="2"/>
      <c r="T17" s="2">
        <f>--3733.9</f>
        <v>3733.9</v>
      </c>
      <c r="U17" s="2"/>
      <c r="V17" s="19"/>
      <c r="W17" s="2"/>
      <c r="X17" s="2">
        <f t="shared" si="2"/>
        <v>-3733.9</v>
      </c>
      <c r="Y17" s="2"/>
      <c r="Z17" s="19">
        <f t="shared" si="3"/>
        <v>-1</v>
      </c>
    </row>
    <row r="18" spans="1:26" x14ac:dyDescent="0.25">
      <c r="A18" s="9"/>
      <c r="B18" s="11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4" customFormat="1" collapsed="1" x14ac:dyDescent="0.25">
      <c r="A19" s="11"/>
      <c r="B19" s="28" t="s">
        <v>256</v>
      </c>
      <c r="C19" s="11"/>
      <c r="D19" s="4">
        <f>SUM(OSRRefD16x_0)</f>
        <v>43894.04</v>
      </c>
      <c r="E19" s="4"/>
      <c r="F19" s="13">
        <f t="shared" ref="F19:F21" si="4">IF(D$12=0,0,D19/D$12)</f>
        <v>0.47816556448518766</v>
      </c>
      <c r="G19" s="4"/>
      <c r="H19" s="4">
        <f>SUM(OSRRefH16x_0)</f>
        <v>232027.11</v>
      </c>
      <c r="I19" s="4"/>
      <c r="J19" s="13">
        <f t="shared" ref="J19:J21" si="5">IF(H$12=0,0,H19/H$12)</f>
        <v>0.23530238507792522</v>
      </c>
      <c r="K19" s="4"/>
      <c r="L19" s="4">
        <f t="shared" ref="L19:L21" si="6">+D19-H19</f>
        <v>-188133.06999999998</v>
      </c>
      <c r="M19" s="4"/>
      <c r="N19" s="13">
        <f t="shared" ref="N19:N21" si="7">IF(H19=0,0,L19/H19)</f>
        <v>-0.81082365763207576</v>
      </c>
      <c r="O19" s="11"/>
      <c r="P19" s="4">
        <f>SUM(OSRRefP16x_0)</f>
        <v>368983.37</v>
      </c>
      <c r="Q19" s="4"/>
      <c r="R19" s="13">
        <f t="shared" ref="R19:R21" si="8">IF(P$12=0,0,P19/P$12)</f>
        <v>0.43349113865996397</v>
      </c>
      <c r="S19" s="4"/>
      <c r="T19" s="4">
        <f>SUM(OSRRefT16x_0)</f>
        <v>2177047.3800000004</v>
      </c>
      <c r="U19" s="4"/>
      <c r="V19" s="13">
        <f t="shared" ref="V19:V21" si="9">IF(T$12=0,0,T19/T$12)</f>
        <v>0.2406842089442689</v>
      </c>
      <c r="W19" s="4"/>
      <c r="X19" s="4">
        <f t="shared" ref="X19:X21" si="10">+P19-T19</f>
        <v>-1808064.0100000002</v>
      </c>
      <c r="Y19" s="4"/>
      <c r="Z19" s="13">
        <f t="shared" ref="Z19:Z21" si="11">IF(T19=0,0,X19/T19)</f>
        <v>-0.83051201669299446</v>
      </c>
    </row>
    <row r="20" spans="1:26" s="23" customFormat="1" hidden="1" outlineLevel="1" x14ac:dyDescent="0.25">
      <c r="A20" s="44"/>
      <c r="B20" s="10" t="str">
        <f>CONCATENATE("          ", "5053", " - ", "PURCHASES @ COST-FOOD")</f>
        <v xml:space="preserve">          5053 - PURCHASES @ COST-FOOD</v>
      </c>
      <c r="C20" s="10"/>
      <c r="D20" s="2">
        <v>38259.040000000001</v>
      </c>
      <c r="E20" s="2"/>
      <c r="F20" s="19">
        <f t="shared" si="4"/>
        <v>0.41677994229424709</v>
      </c>
      <c r="G20" s="2"/>
      <c r="H20" s="2">
        <v>164008.10999999999</v>
      </c>
      <c r="I20" s="2"/>
      <c r="J20" s="19">
        <f t="shared" si="5"/>
        <v>0.16632323462169019</v>
      </c>
      <c r="K20" s="2"/>
      <c r="L20" s="2">
        <f t="shared" si="6"/>
        <v>-125749.06999999998</v>
      </c>
      <c r="M20" s="2"/>
      <c r="N20" s="19">
        <f t="shared" si="7"/>
        <v>-0.7667247064794539</v>
      </c>
      <c r="O20" s="10"/>
      <c r="P20" s="2">
        <v>373258.07</v>
      </c>
      <c r="Q20" s="2"/>
      <c r="R20" s="19">
        <f t="shared" si="8"/>
        <v>0.43851316599531448</v>
      </c>
      <c r="S20" s="2"/>
      <c r="T20" s="2">
        <v>2145593.64</v>
      </c>
      <c r="U20" s="2"/>
      <c r="V20" s="19">
        <f t="shared" si="9"/>
        <v>0.23720683008711294</v>
      </c>
      <c r="W20" s="2"/>
      <c r="X20" s="2">
        <f t="shared" si="10"/>
        <v>-1772335.57</v>
      </c>
      <c r="Y20" s="2"/>
      <c r="Z20" s="19">
        <f t="shared" si="11"/>
        <v>-0.82603505946261102</v>
      </c>
    </row>
    <row r="21" spans="1:26" s="23" customFormat="1" hidden="1" outlineLevel="1" x14ac:dyDescent="0.25">
      <c r="A21" s="44"/>
      <c r="B21" s="10" t="str">
        <f>CONCATENATE("          ", "5059", " - ", "PURCHASES @ COST-FOOD")</f>
        <v xml:space="preserve">          5059 - PURCHASES @ COST-FOOD</v>
      </c>
      <c r="C21" s="10"/>
      <c r="D21" s="2">
        <v>5635</v>
      </c>
      <c r="E21" s="2"/>
      <c r="F21" s="19">
        <f t="shared" si="4"/>
        <v>6.1385622190940556E-2</v>
      </c>
      <c r="G21" s="2"/>
      <c r="H21" s="2">
        <v>68019</v>
      </c>
      <c r="I21" s="2"/>
      <c r="J21" s="19">
        <f t="shared" si="5"/>
        <v>6.8979150456235039E-2</v>
      </c>
      <c r="K21" s="2"/>
      <c r="L21" s="2">
        <f t="shared" si="6"/>
        <v>-62384</v>
      </c>
      <c r="M21" s="2"/>
      <c r="N21" s="19">
        <f t="shared" si="7"/>
        <v>-0.9171555006689307</v>
      </c>
      <c r="O21" s="10"/>
      <c r="P21" s="2">
        <v>-4274.7</v>
      </c>
      <c r="Q21" s="2"/>
      <c r="R21" s="19">
        <f t="shared" si="8"/>
        <v>-5.0220273353505009E-3</v>
      </c>
      <c r="S21" s="2"/>
      <c r="T21" s="2">
        <v>31453.74</v>
      </c>
      <c r="U21" s="2"/>
      <c r="V21" s="19">
        <f t="shared" si="9"/>
        <v>3.477378857155928E-3</v>
      </c>
      <c r="W21" s="2"/>
      <c r="X21" s="2">
        <f t="shared" si="10"/>
        <v>-35728.44</v>
      </c>
      <c r="Y21" s="2"/>
      <c r="Z21" s="19">
        <f t="shared" si="11"/>
        <v>-1.1359043471459991</v>
      </c>
    </row>
    <row r="22" spans="1:26" x14ac:dyDescent="0.25">
      <c r="A22" s="9"/>
      <c r="B22" s="11"/>
      <c r="C22" s="11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1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4" customFormat="1" x14ac:dyDescent="0.25">
      <c r="A23" s="11"/>
      <c r="B23" s="29" t="s">
        <v>107</v>
      </c>
      <c r="C23" s="29"/>
      <c r="D23" s="22">
        <f>D12-D19</f>
        <v>47902.69999999999</v>
      </c>
      <c r="E23" s="14"/>
      <c r="F23" s="20">
        <f>IF(D$12=0,0,D23/D$12)</f>
        <v>0.52183443551481234</v>
      </c>
      <c r="G23" s="14"/>
      <c r="H23" s="22">
        <f>H12-H19</f>
        <v>754053.46</v>
      </c>
      <c r="I23" s="14"/>
      <c r="J23" s="20">
        <f>IF(H$12=0,0,H23/H$12)</f>
        <v>0.76469761492207478</v>
      </c>
      <c r="K23" s="15"/>
      <c r="L23" s="22">
        <f>+D23-H23</f>
        <v>-706150.76</v>
      </c>
      <c r="M23" s="15"/>
      <c r="N23" s="20">
        <f>IF(H23=0,0,L23/H23)</f>
        <v>-0.93647307181642003</v>
      </c>
      <c r="O23" s="28"/>
      <c r="P23" s="22">
        <f>P12-P19</f>
        <v>482206.74</v>
      </c>
      <c r="Q23" s="14"/>
      <c r="R23" s="20">
        <f>IF(P$12=0,0,P23/P$12)</f>
        <v>0.56650886134003597</v>
      </c>
      <c r="S23" s="14"/>
      <c r="T23" s="22">
        <f>T12-T19</f>
        <v>6868196.5500000007</v>
      </c>
      <c r="U23" s="14"/>
      <c r="V23" s="20">
        <f>IF(T$12=0,0,T23/T$12)</f>
        <v>0.75931579105573099</v>
      </c>
      <c r="W23" s="15"/>
      <c r="X23" s="22">
        <f>+P23-T23</f>
        <v>-6385989.8100000005</v>
      </c>
      <c r="Y23" s="15"/>
      <c r="Z23" s="20">
        <f>IF(T23=0,0,X23/T23)</f>
        <v>-0.92979135985850603</v>
      </c>
    </row>
    <row r="24" spans="1:26" x14ac:dyDescent="0.25">
      <c r="A24" s="9"/>
      <c r="B24" s="11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4" customFormat="1" x14ac:dyDescent="0.25">
      <c r="A25" s="11"/>
      <c r="B25" s="28" t="s">
        <v>294</v>
      </c>
      <c r="C25" s="11"/>
      <c r="D25" s="21">
        <f>SUM(OSRRefD22x_0)</f>
        <v>223862.61999999994</v>
      </c>
      <c r="E25" s="21"/>
      <c r="F25" s="31">
        <f t="shared" ref="F25:F35" si="12">IF(D$12=0,0,D25/D$12)</f>
        <v>2.4386772340717107</v>
      </c>
      <c r="G25" s="21"/>
      <c r="H25" s="21">
        <f>SUM(OSRRefH22x_0)</f>
        <v>593698.82999999996</v>
      </c>
      <c r="I25" s="21"/>
      <c r="J25" s="31">
        <f t="shared" ref="J25:J35" si="13">IF(H$12=0,0,H25/H$12)</f>
        <v>0.60207943251533691</v>
      </c>
      <c r="K25" s="4"/>
      <c r="L25" s="21">
        <f t="shared" ref="L25:L35" si="14">+D25-H25</f>
        <v>-369836.21</v>
      </c>
      <c r="M25" s="4"/>
      <c r="N25" s="31">
        <f t="shared" ref="N25:N35" si="15">IF(H25=0,0,L25/H25)</f>
        <v>-0.62293572315107992</v>
      </c>
      <c r="O25" s="11"/>
      <c r="P25" s="21">
        <f>SUM(OSRRefP22x_0)</f>
        <v>2021365.7000000004</v>
      </c>
      <c r="Q25" s="21"/>
      <c r="R25" s="31">
        <f t="shared" ref="R25:R35" si="16">IF(P$12=0,0,P25/P$12)</f>
        <v>2.3747523335298157</v>
      </c>
      <c r="S25" s="21"/>
      <c r="T25" s="21">
        <f>SUM(OSRRefT22x_0)</f>
        <v>4536468.2700000005</v>
      </c>
      <c r="U25" s="21"/>
      <c r="V25" s="31">
        <f t="shared" ref="V25:V35" si="17">IF(T$12=0,0,T25/T$12)</f>
        <v>0.50153078292936648</v>
      </c>
      <c r="W25" s="4"/>
      <c r="X25" s="21">
        <f t="shared" ref="X25:X35" si="18">+P25-T25</f>
        <v>-2515102.5700000003</v>
      </c>
      <c r="Y25" s="4"/>
      <c r="Z25" s="31">
        <f t="shared" ref="Z25:Z35" si="19">IF(T25=0,0,X25/T25)</f>
        <v>-0.55441864029614385</v>
      </c>
    </row>
    <row r="26" spans="1:26" s="26" customFormat="1" outlineLevel="1" collapsed="1" x14ac:dyDescent="0.25">
      <c r="A26" s="27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75122.750000000015</v>
      </c>
      <c r="E26" s="1"/>
      <c r="F26" s="5">
        <f t="shared" si="12"/>
        <v>0.81835967159618106</v>
      </c>
      <c r="G26" s="1"/>
      <c r="H26" s="1">
        <f>SUM(OSRRefH22_0x_0)</f>
        <v>110384.78</v>
      </c>
      <c r="I26" s="1"/>
      <c r="J26" s="5">
        <f t="shared" si="13"/>
        <v>0.1119429622267073</v>
      </c>
      <c r="K26" s="1"/>
      <c r="L26" s="1">
        <f t="shared" si="14"/>
        <v>-35262.029999999984</v>
      </c>
      <c r="M26" s="1"/>
      <c r="N26" s="5">
        <f t="shared" si="15"/>
        <v>-0.31944648528538067</v>
      </c>
      <c r="O26" s="12"/>
      <c r="P26" s="1">
        <f>SUM(OSRRefP22_0x_0)</f>
        <v>690400.58000000007</v>
      </c>
      <c r="Q26" s="1"/>
      <c r="R26" s="5">
        <f t="shared" si="16"/>
        <v>0.81110033104120549</v>
      </c>
      <c r="S26" s="1"/>
      <c r="T26" s="1">
        <f>SUM(OSRRefT22_0x_0)</f>
        <v>873268.09999999986</v>
      </c>
      <c r="U26" s="1"/>
      <c r="V26" s="5">
        <f t="shared" si="17"/>
        <v>9.6544449962666701E-2</v>
      </c>
      <c r="W26" s="1"/>
      <c r="X26" s="1">
        <f t="shared" si="18"/>
        <v>-182867.51999999979</v>
      </c>
      <c r="Y26" s="1"/>
      <c r="Z26" s="5">
        <f t="shared" si="19"/>
        <v>-0.20940593158046172</v>
      </c>
    </row>
    <row r="27" spans="1:26" s="23" customFormat="1" hidden="1" outlineLevel="2" x14ac:dyDescent="0.25">
      <c r="A27" s="25"/>
      <c r="B27" s="10" t="str">
        <f>CONCATENATE("          ", "6111", " - ", "F.I.C.A.")</f>
        <v xml:space="preserve">          6111 - F.I.C.A.</v>
      </c>
      <c r="C27" s="10"/>
      <c r="D27" s="6">
        <v>7440.67</v>
      </c>
      <c r="E27" s="2"/>
      <c r="F27" s="7">
        <f t="shared" si="12"/>
        <v>8.1055928565654953E-2</v>
      </c>
      <c r="G27" s="2"/>
      <c r="H27" s="6">
        <v>17838.240000000002</v>
      </c>
      <c r="I27" s="2"/>
      <c r="J27" s="7">
        <f t="shared" si="13"/>
        <v>1.8090043088466901E-2</v>
      </c>
      <c r="K27" s="2"/>
      <c r="L27" s="6">
        <f t="shared" si="14"/>
        <v>-10397.570000000002</v>
      </c>
      <c r="M27" s="2"/>
      <c r="N27" s="7">
        <f t="shared" si="15"/>
        <v>-0.58288093444196287</v>
      </c>
      <c r="O27" s="10"/>
      <c r="P27" s="6">
        <v>71161.66</v>
      </c>
      <c r="Q27" s="2"/>
      <c r="R27" s="7">
        <f t="shared" si="16"/>
        <v>8.360254561698327E-2</v>
      </c>
      <c r="S27" s="2"/>
      <c r="T27" s="6">
        <v>126009.11</v>
      </c>
      <c r="U27" s="2"/>
      <c r="V27" s="7">
        <f t="shared" si="17"/>
        <v>1.3930979747496979E-2</v>
      </c>
      <c r="W27" s="2"/>
      <c r="X27" s="6">
        <f t="shared" si="18"/>
        <v>-54847.45</v>
      </c>
      <c r="Y27" s="2"/>
      <c r="Z27" s="7">
        <f t="shared" si="19"/>
        <v>-0.43526575181746779</v>
      </c>
    </row>
    <row r="28" spans="1:26" s="23" customFormat="1" hidden="1" outlineLevel="2" x14ac:dyDescent="0.25">
      <c r="A28" s="25"/>
      <c r="B28" s="10" t="str">
        <f>CONCATENATE("          ", "6112", " - ", "COMPENSATION INSURANCE")</f>
        <v xml:space="preserve">          6112 - COMPENSATION INSURANCE</v>
      </c>
      <c r="C28" s="10"/>
      <c r="D28" s="6">
        <v>4651.68</v>
      </c>
      <c r="E28" s="2"/>
      <c r="F28" s="7">
        <f t="shared" si="12"/>
        <v>5.0673694948208406E-2</v>
      </c>
      <c r="G28" s="2"/>
      <c r="H28" s="6">
        <v>16032.96</v>
      </c>
      <c r="I28" s="2"/>
      <c r="J28" s="7">
        <f t="shared" si="13"/>
        <v>1.6259279908537292E-2</v>
      </c>
      <c r="K28" s="2"/>
      <c r="L28" s="6">
        <f t="shared" si="14"/>
        <v>-11381.279999999999</v>
      </c>
      <c r="M28" s="2"/>
      <c r="N28" s="7">
        <f t="shared" si="15"/>
        <v>-0.70986767259445538</v>
      </c>
      <c r="O28" s="10"/>
      <c r="P28" s="6">
        <v>44346.559999999998</v>
      </c>
      <c r="Q28" s="2"/>
      <c r="R28" s="7">
        <f t="shared" si="16"/>
        <v>5.2099477518600397E-2</v>
      </c>
      <c r="S28" s="2"/>
      <c r="T28" s="6">
        <v>82451.91</v>
      </c>
      <c r="U28" s="2"/>
      <c r="V28" s="7">
        <f t="shared" si="17"/>
        <v>9.1154987790362432E-3</v>
      </c>
      <c r="W28" s="2"/>
      <c r="X28" s="6">
        <f t="shared" si="18"/>
        <v>-38105.350000000006</v>
      </c>
      <c r="Y28" s="2"/>
      <c r="Z28" s="7">
        <f t="shared" si="19"/>
        <v>-0.46215242315187127</v>
      </c>
    </row>
    <row r="29" spans="1:26" s="23" customFormat="1" hidden="1" outlineLevel="2" x14ac:dyDescent="0.25">
      <c r="A29" s="25"/>
      <c r="B29" s="10" t="str">
        <f>CONCATENATE("          ", "6113", " - ", "GROUP INSURANCE")</f>
        <v xml:space="preserve">          6113 - GROUP INSURANCE</v>
      </c>
      <c r="C29" s="10"/>
      <c r="D29" s="6">
        <v>45413.66</v>
      </c>
      <c r="E29" s="2"/>
      <c r="F29" s="7">
        <f t="shared" si="12"/>
        <v>0.49471974712827499</v>
      </c>
      <c r="G29" s="2"/>
      <c r="H29" s="6">
        <v>51635.66</v>
      </c>
      <c r="I29" s="2"/>
      <c r="J29" s="7">
        <f t="shared" si="13"/>
        <v>5.2364544613225678E-2</v>
      </c>
      <c r="K29" s="2"/>
      <c r="L29" s="6">
        <f t="shared" si="14"/>
        <v>-6222</v>
      </c>
      <c r="M29" s="2"/>
      <c r="N29" s="7">
        <f t="shared" si="15"/>
        <v>-0.12049812087228089</v>
      </c>
      <c r="O29" s="10"/>
      <c r="P29" s="6">
        <v>403832.89</v>
      </c>
      <c r="Q29" s="2"/>
      <c r="R29" s="7">
        <f t="shared" si="16"/>
        <v>0.47443324970023443</v>
      </c>
      <c r="S29" s="2"/>
      <c r="T29" s="6">
        <v>432866.48</v>
      </c>
      <c r="U29" s="2"/>
      <c r="V29" s="7">
        <f t="shared" si="17"/>
        <v>4.7855700006533698E-2</v>
      </c>
      <c r="W29" s="2"/>
      <c r="X29" s="6">
        <f t="shared" si="18"/>
        <v>-29033.589999999967</v>
      </c>
      <c r="Y29" s="2"/>
      <c r="Z29" s="7">
        <f t="shared" si="19"/>
        <v>-6.70728535043877E-2</v>
      </c>
    </row>
    <row r="30" spans="1:26" s="23" customFormat="1" hidden="1" outlineLevel="2" x14ac:dyDescent="0.25">
      <c r="A30" s="25"/>
      <c r="B30" s="10" t="str">
        <f>CONCATENATE("          ", "6114", " - ", "STATE UNEMPLOYMENT INSURANCE")</f>
        <v xml:space="preserve">          6114 - STATE UNEMPLOYMENT INSURANCE</v>
      </c>
      <c r="C30" s="10"/>
      <c r="D30" s="6">
        <v>285.97000000000003</v>
      </c>
      <c r="E30" s="2"/>
      <c r="F30" s="7">
        <f t="shared" si="12"/>
        <v>3.1152522409837219E-3</v>
      </c>
      <c r="G30" s="2"/>
      <c r="H30" s="6">
        <v>1081.96</v>
      </c>
      <c r="I30" s="2"/>
      <c r="J30" s="7">
        <f t="shared" si="13"/>
        <v>1.0972328559318435E-3</v>
      </c>
      <c r="K30" s="2"/>
      <c r="L30" s="6">
        <f t="shared" si="14"/>
        <v>-795.99</v>
      </c>
      <c r="M30" s="2"/>
      <c r="N30" s="7">
        <f t="shared" si="15"/>
        <v>-0.73569263189027323</v>
      </c>
      <c r="O30" s="10"/>
      <c r="P30" s="6">
        <v>2775.57</v>
      </c>
      <c r="Q30" s="2"/>
      <c r="R30" s="7">
        <f t="shared" si="16"/>
        <v>3.2608109133222896E-3</v>
      </c>
      <c r="S30" s="2"/>
      <c r="T30" s="6">
        <v>6534.75</v>
      </c>
      <c r="U30" s="2"/>
      <c r="V30" s="7">
        <f t="shared" si="17"/>
        <v>7.2245149501457375E-4</v>
      </c>
      <c r="W30" s="2"/>
      <c r="X30" s="6">
        <f t="shared" si="18"/>
        <v>-3759.18</v>
      </c>
      <c r="Y30" s="2"/>
      <c r="Z30" s="7">
        <f t="shared" si="19"/>
        <v>-0.57525995638700789</v>
      </c>
    </row>
    <row r="31" spans="1:26" s="23" customFormat="1" hidden="1" outlineLevel="2" x14ac:dyDescent="0.25">
      <c r="A31" s="25"/>
      <c r="B31" s="10" t="str">
        <f>CONCATENATE("          ", "6115", " - ", "P.E.R.S.")</f>
        <v xml:space="preserve">          6115 - P.E.R.S.</v>
      </c>
      <c r="C31" s="10"/>
      <c r="D31" s="6">
        <v>3594.3</v>
      </c>
      <c r="E31" s="2"/>
      <c r="F31" s="7">
        <f t="shared" si="12"/>
        <v>3.9154985242395322E-2</v>
      </c>
      <c r="G31" s="2"/>
      <c r="H31" s="6">
        <v>4124.83</v>
      </c>
      <c r="I31" s="2"/>
      <c r="J31" s="7">
        <f t="shared" si="13"/>
        <v>4.1830557517221947E-3</v>
      </c>
      <c r="K31" s="2"/>
      <c r="L31" s="6">
        <f t="shared" si="14"/>
        <v>-530.52999999999975</v>
      </c>
      <c r="M31" s="2"/>
      <c r="N31" s="7">
        <f t="shared" si="15"/>
        <v>-0.12861863398006701</v>
      </c>
      <c r="O31" s="10"/>
      <c r="P31" s="6">
        <v>36144.379999999997</v>
      </c>
      <c r="Q31" s="2"/>
      <c r="R31" s="7">
        <f t="shared" si="16"/>
        <v>4.2463345820594647E-2</v>
      </c>
      <c r="S31" s="2"/>
      <c r="T31" s="6">
        <v>40145.47</v>
      </c>
      <c r="U31" s="2"/>
      <c r="V31" s="7">
        <f t="shared" si="17"/>
        <v>4.4382960051360379E-3</v>
      </c>
      <c r="W31" s="2"/>
      <c r="X31" s="6">
        <f t="shared" si="18"/>
        <v>-4001.0900000000038</v>
      </c>
      <c r="Y31" s="2"/>
      <c r="Z31" s="7">
        <f t="shared" si="19"/>
        <v>-9.966479406020165E-2</v>
      </c>
    </row>
    <row r="32" spans="1:26" s="23" customFormat="1" hidden="1" outlineLevel="2" x14ac:dyDescent="0.25">
      <c r="A32" s="25"/>
      <c r="B32" s="10" t="str">
        <f>CONCATENATE("          ", "6117", " - ", "RETIREMENT STAFF HOURLY")</f>
        <v xml:space="preserve">          6117 - RETIREMENT STAFF HOURLY</v>
      </c>
      <c r="C32" s="10"/>
      <c r="D32" s="6">
        <v>2091.52</v>
      </c>
      <c r="E32" s="2"/>
      <c r="F32" s="7">
        <f t="shared" si="12"/>
        <v>2.2784251379733094E-2</v>
      </c>
      <c r="G32" s="2"/>
      <c r="H32" s="6">
        <v>913.87</v>
      </c>
      <c r="I32" s="2"/>
      <c r="J32" s="7">
        <f t="shared" si="13"/>
        <v>9.2677011169584251E-4</v>
      </c>
      <c r="K32" s="2"/>
      <c r="L32" s="6">
        <f t="shared" si="14"/>
        <v>1177.6500000000001</v>
      </c>
      <c r="M32" s="2"/>
      <c r="N32" s="7">
        <f t="shared" si="15"/>
        <v>1.2886406162802151</v>
      </c>
      <c r="O32" s="10"/>
      <c r="P32" s="6">
        <v>13993.92</v>
      </c>
      <c r="Q32" s="2"/>
      <c r="R32" s="7">
        <f t="shared" si="16"/>
        <v>1.6440416583317682E-2</v>
      </c>
      <c r="S32" s="2"/>
      <c r="T32" s="6">
        <v>14532.26</v>
      </c>
      <c r="U32" s="2"/>
      <c r="V32" s="7">
        <f t="shared" si="17"/>
        <v>1.6066189162462971E-3</v>
      </c>
      <c r="W32" s="2"/>
      <c r="X32" s="6">
        <f t="shared" si="18"/>
        <v>-538.34000000000015</v>
      </c>
      <c r="Y32" s="2"/>
      <c r="Z32" s="7">
        <f t="shared" si="19"/>
        <v>-3.7044478972988383E-2</v>
      </c>
    </row>
    <row r="33" spans="1:26" s="23" customFormat="1" hidden="1" outlineLevel="2" x14ac:dyDescent="0.25">
      <c r="A33" s="25"/>
      <c r="B33" s="10" t="str">
        <f>CONCATENATE("          ", "6118", " - ", "VACATION")</f>
        <v xml:space="preserve">          6118 - VACATION</v>
      </c>
      <c r="C33" s="10"/>
      <c r="D33" s="6">
        <v>5483.28</v>
      </c>
      <c r="E33" s="2"/>
      <c r="F33" s="7">
        <f t="shared" si="12"/>
        <v>5.9732840185827953E-2</v>
      </c>
      <c r="G33" s="2"/>
      <c r="H33" s="6">
        <v>9282.11</v>
      </c>
      <c r="I33" s="2"/>
      <c r="J33" s="7">
        <f t="shared" si="13"/>
        <v>9.4131354803999451E-3</v>
      </c>
      <c r="K33" s="2"/>
      <c r="L33" s="6">
        <f t="shared" si="14"/>
        <v>-3798.8300000000008</v>
      </c>
      <c r="M33" s="2"/>
      <c r="N33" s="7">
        <f t="shared" si="15"/>
        <v>-0.40926362648147896</v>
      </c>
      <c r="O33" s="10"/>
      <c r="P33" s="6">
        <v>57937.89</v>
      </c>
      <c r="Q33" s="2"/>
      <c r="R33" s="7">
        <f t="shared" si="16"/>
        <v>6.806692103130757E-2</v>
      </c>
      <c r="S33" s="2"/>
      <c r="T33" s="6">
        <v>78258.210000000006</v>
      </c>
      <c r="U33" s="2"/>
      <c r="V33" s="7">
        <f t="shared" si="17"/>
        <v>8.6518628580534024E-3</v>
      </c>
      <c r="W33" s="2"/>
      <c r="X33" s="6">
        <f t="shared" si="18"/>
        <v>-20320.320000000007</v>
      </c>
      <c r="Y33" s="2"/>
      <c r="Z33" s="7">
        <f t="shared" si="19"/>
        <v>-0.25965735735586087</v>
      </c>
    </row>
    <row r="34" spans="1:26" s="23" customFormat="1" hidden="1" outlineLevel="2" x14ac:dyDescent="0.25">
      <c r="A34" s="25"/>
      <c r="B34" s="10" t="str">
        <f>CONCATENATE("          ", "6119", " - ", "SICK LEAVE")</f>
        <v xml:space="preserve">          6119 - SICK LEAVE</v>
      </c>
      <c r="C34" s="10"/>
      <c r="D34" s="6">
        <v>4211.6000000000004</v>
      </c>
      <c r="E34" s="2"/>
      <c r="F34" s="7">
        <f t="shared" si="12"/>
        <v>4.587962491914202E-2</v>
      </c>
      <c r="G34" s="2"/>
      <c r="H34" s="6">
        <v>6078.59</v>
      </c>
      <c r="I34" s="2"/>
      <c r="J34" s="7">
        <f t="shared" si="13"/>
        <v>6.164394862784894E-3</v>
      </c>
      <c r="K34" s="2"/>
      <c r="L34" s="6">
        <f t="shared" si="14"/>
        <v>-1866.9899999999998</v>
      </c>
      <c r="M34" s="2"/>
      <c r="N34" s="7">
        <f t="shared" si="15"/>
        <v>-0.3071419523277602</v>
      </c>
      <c r="O34" s="10"/>
      <c r="P34" s="6">
        <v>39236.300000000003</v>
      </c>
      <c r="Q34" s="2"/>
      <c r="R34" s="7">
        <f t="shared" si="16"/>
        <v>4.609581283786298E-2</v>
      </c>
      <c r="S34" s="2"/>
      <c r="T34" s="6">
        <v>57812.58</v>
      </c>
      <c r="U34" s="2"/>
      <c r="V34" s="7">
        <f t="shared" si="17"/>
        <v>6.3914893227207852E-3</v>
      </c>
      <c r="W34" s="2"/>
      <c r="X34" s="6">
        <f t="shared" si="18"/>
        <v>-18576.28</v>
      </c>
      <c r="Y34" s="2"/>
      <c r="Z34" s="7">
        <f t="shared" si="19"/>
        <v>-0.32131899320182561</v>
      </c>
    </row>
    <row r="35" spans="1:26" s="23" customFormat="1" hidden="1" outlineLevel="2" x14ac:dyDescent="0.25">
      <c r="A35" s="25"/>
      <c r="B35" s="10" t="str">
        <f>CONCATENATE("          ", "6156", " - ", "EMPLOYEE MEALS")</f>
        <v xml:space="preserve">          6156 - EMPLOYEE MEALS</v>
      </c>
      <c r="C35" s="10"/>
      <c r="D35" s="6">
        <v>1950.07</v>
      </c>
      <c r="E35" s="2"/>
      <c r="F35" s="7">
        <f t="shared" si="12"/>
        <v>2.1243346985960504E-2</v>
      </c>
      <c r="G35" s="2"/>
      <c r="H35" s="6">
        <v>3396.56</v>
      </c>
      <c r="I35" s="2"/>
      <c r="J35" s="7">
        <f t="shared" si="13"/>
        <v>3.4445055539427168E-3</v>
      </c>
      <c r="K35" s="2"/>
      <c r="L35" s="6">
        <f t="shared" si="14"/>
        <v>-1446.49</v>
      </c>
      <c r="M35" s="2"/>
      <c r="N35" s="7">
        <f t="shared" si="15"/>
        <v>-0.42586911463362931</v>
      </c>
      <c r="O35" s="10"/>
      <c r="P35" s="6">
        <v>20971.41</v>
      </c>
      <c r="Q35" s="2"/>
      <c r="R35" s="7">
        <f t="shared" si="16"/>
        <v>2.4637751018982117E-2</v>
      </c>
      <c r="S35" s="2"/>
      <c r="T35" s="6">
        <v>34657.33</v>
      </c>
      <c r="U35" s="2"/>
      <c r="V35" s="7">
        <f t="shared" si="17"/>
        <v>3.8315528324286987E-3</v>
      </c>
      <c r="W35" s="2"/>
      <c r="X35" s="6">
        <f t="shared" si="18"/>
        <v>-13685.920000000002</v>
      </c>
      <c r="Y35" s="2"/>
      <c r="Z35" s="7">
        <f t="shared" si="19"/>
        <v>-0.39489250903055723</v>
      </c>
    </row>
    <row r="36" spans="1:26" s="26" customFormat="1" outlineLevel="1" collapsed="1" x14ac:dyDescent="0.25">
      <c r="A36" s="27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105984.6</v>
      </c>
      <c r="E36" s="1"/>
      <c r="F36" s="5">
        <f t="shared" ref="F36:F43" si="20">IF(D$12=0,0,D36/D$12)</f>
        <v>1.1545573404894336</v>
      </c>
      <c r="G36" s="1"/>
      <c r="H36" s="1">
        <f>SUM(OSRRefH22_1x_0)</f>
        <v>350882.25</v>
      </c>
      <c r="I36" s="1"/>
      <c r="J36" s="5">
        <f t="shared" ref="J36:J43" si="21">IF(H$12=0,0,H36/H$12)</f>
        <v>0.35583527419062727</v>
      </c>
      <c r="K36" s="1"/>
      <c r="L36" s="1">
        <f t="shared" ref="L36:L43" si="22">+D36-H36</f>
        <v>-244897.65</v>
      </c>
      <c r="M36" s="1"/>
      <c r="N36" s="5">
        <f t="shared" ref="N36:N43" si="23">IF(H36=0,0,L36/H36)</f>
        <v>-0.69794824332094307</v>
      </c>
      <c r="O36" s="12"/>
      <c r="P36" s="1">
        <f>SUM(OSRRefP22_1x_0)</f>
        <v>951301.84999999986</v>
      </c>
      <c r="Q36" s="1"/>
      <c r="R36" s="5">
        <f t="shared" ref="R36:R43" si="24">IF(P$12=0,0,P36/P$12)</f>
        <v>1.1176138430461791</v>
      </c>
      <c r="S36" s="1"/>
      <c r="T36" s="1">
        <f>SUM(OSRRefT22_1x_0)</f>
        <v>2377430.4000000004</v>
      </c>
      <c r="U36" s="1"/>
      <c r="V36" s="5">
        <f t="shared" ref="V36:V43" si="25">IF(T$12=0,0,T36/T$12)</f>
        <v>0.26283762145041456</v>
      </c>
      <c r="W36" s="1"/>
      <c r="X36" s="1">
        <f t="shared" ref="X36:X43" si="26">+P36-T36</f>
        <v>-1426128.5500000005</v>
      </c>
      <c r="Y36" s="1"/>
      <c r="Z36" s="5">
        <f t="shared" ref="Z36:Z43" si="27">IF(T36=0,0,X36/T36)</f>
        <v>-0.59986132506760248</v>
      </c>
    </row>
    <row r="37" spans="1:26" s="23" customFormat="1" hidden="1" outlineLevel="2" x14ac:dyDescent="0.25">
      <c r="A37" s="25"/>
      <c r="B37" s="10" t="str">
        <f>CONCATENATE("          ", "6001", " - ", "ADMINISTRATIVE SALARIES")</f>
        <v xml:space="preserve">          6001 - ADMINISTRATIVE SALARIES</v>
      </c>
      <c r="C37" s="10"/>
      <c r="D37" s="6">
        <v>9034.5400000000009</v>
      </c>
      <c r="E37" s="2"/>
      <c r="F37" s="7">
        <f t="shared" si="20"/>
        <v>9.8418963462101175E-2</v>
      </c>
      <c r="G37" s="2"/>
      <c r="H37" s="6">
        <v>8959.5400000000009</v>
      </c>
      <c r="I37" s="2"/>
      <c r="J37" s="7">
        <f t="shared" si="21"/>
        <v>9.0860121095378658E-3</v>
      </c>
      <c r="K37" s="2"/>
      <c r="L37" s="6">
        <f t="shared" si="22"/>
        <v>75</v>
      </c>
      <c r="M37" s="2"/>
      <c r="N37" s="7">
        <f t="shared" si="23"/>
        <v>8.3709654736738703E-3</v>
      </c>
      <c r="O37" s="10"/>
      <c r="P37" s="6">
        <v>82204.899999999994</v>
      </c>
      <c r="Q37" s="2"/>
      <c r="R37" s="7">
        <f t="shared" si="24"/>
        <v>9.6576427562110656E-2</v>
      </c>
      <c r="S37" s="2"/>
      <c r="T37" s="6">
        <v>71472.86</v>
      </c>
      <c r="U37" s="2"/>
      <c r="V37" s="7">
        <f t="shared" si="25"/>
        <v>7.9017061953352962E-3</v>
      </c>
      <c r="W37" s="2"/>
      <c r="X37" s="6">
        <f t="shared" si="26"/>
        <v>10732.039999999994</v>
      </c>
      <c r="Y37" s="2"/>
      <c r="Z37" s="7">
        <f t="shared" si="27"/>
        <v>0.15015545761006335</v>
      </c>
    </row>
    <row r="38" spans="1:26" s="23" customFormat="1" hidden="1" outlineLevel="2" x14ac:dyDescent="0.25">
      <c r="A38" s="25"/>
      <c r="B38" s="10" t="str">
        <f>CONCATENATE("          ", "6002", " - ", "STAFF SALARIES")</f>
        <v xml:space="preserve">          6002 - STAFF SALARIES</v>
      </c>
      <c r="C38" s="10"/>
      <c r="D38" s="6">
        <v>28252.19</v>
      </c>
      <c r="E38" s="2"/>
      <c r="F38" s="7">
        <f t="shared" si="20"/>
        <v>0.30776899048920475</v>
      </c>
      <c r="G38" s="2"/>
      <c r="H38" s="6">
        <v>46765.74</v>
      </c>
      <c r="I38" s="2"/>
      <c r="J38" s="7">
        <f t="shared" si="21"/>
        <v>4.742588123402533E-2</v>
      </c>
      <c r="K38" s="2"/>
      <c r="L38" s="6">
        <f t="shared" si="22"/>
        <v>-18513.55</v>
      </c>
      <c r="M38" s="2"/>
      <c r="N38" s="7">
        <f t="shared" si="23"/>
        <v>-0.39587847856144265</v>
      </c>
      <c r="O38" s="10"/>
      <c r="P38" s="6">
        <v>259268.87</v>
      </c>
      <c r="Q38" s="2"/>
      <c r="R38" s="7">
        <f t="shared" si="24"/>
        <v>0.30459572656453915</v>
      </c>
      <c r="S38" s="2"/>
      <c r="T38" s="6">
        <v>364404.23</v>
      </c>
      <c r="U38" s="2"/>
      <c r="V38" s="7">
        <f t="shared" si="25"/>
        <v>4.0286832817343368E-2</v>
      </c>
      <c r="W38" s="2"/>
      <c r="X38" s="6">
        <f t="shared" si="26"/>
        <v>-105135.35999999999</v>
      </c>
      <c r="Y38" s="2"/>
      <c r="Z38" s="7">
        <f t="shared" si="27"/>
        <v>-0.28851300655867795</v>
      </c>
    </row>
    <row r="39" spans="1:26" s="23" customFormat="1" hidden="1" outlineLevel="2" x14ac:dyDescent="0.25">
      <c r="A39" s="25"/>
      <c r="B39" s="10" t="str">
        <f>CONCATENATE("          ", "6004", " - ", "STAFF HOURLY")</f>
        <v xml:space="preserve">          6004 - STAFF HOURLY</v>
      </c>
      <c r="C39" s="10"/>
      <c r="D39" s="6">
        <v>44312.87</v>
      </c>
      <c r="E39" s="2"/>
      <c r="F39" s="7">
        <f t="shared" si="20"/>
        <v>0.48272814481211435</v>
      </c>
      <c r="G39" s="2"/>
      <c r="H39" s="6">
        <v>86129.84</v>
      </c>
      <c r="I39" s="2"/>
      <c r="J39" s="7">
        <f t="shared" si="21"/>
        <v>8.7345641543266586E-2</v>
      </c>
      <c r="K39" s="2"/>
      <c r="L39" s="6">
        <f t="shared" si="22"/>
        <v>-41816.969999999994</v>
      </c>
      <c r="M39" s="2"/>
      <c r="N39" s="7">
        <f t="shared" si="23"/>
        <v>-0.48551082876735863</v>
      </c>
      <c r="O39" s="10"/>
      <c r="P39" s="6">
        <v>396371.96</v>
      </c>
      <c r="Q39" s="2"/>
      <c r="R39" s="7">
        <f t="shared" si="24"/>
        <v>0.46566795753771156</v>
      </c>
      <c r="S39" s="2"/>
      <c r="T39" s="6">
        <v>562386.73</v>
      </c>
      <c r="U39" s="2"/>
      <c r="V39" s="7">
        <f t="shared" si="25"/>
        <v>6.2174855023506247E-2</v>
      </c>
      <c r="W39" s="2"/>
      <c r="X39" s="6">
        <f t="shared" si="26"/>
        <v>-166014.76999999996</v>
      </c>
      <c r="Y39" s="2"/>
      <c r="Z39" s="7">
        <f t="shared" si="27"/>
        <v>-0.29519681234299389</v>
      </c>
    </row>
    <row r="40" spans="1:26" s="23" customFormat="1" hidden="1" outlineLevel="2" x14ac:dyDescent="0.25">
      <c r="A40" s="25"/>
      <c r="B40" s="10" t="str">
        <f>CONCATENATE("          ", "6005", " - ", "TEMPORARY WAGES-HOURLY")</f>
        <v xml:space="preserve">          6005 - TEMPORARY WAGES-HOURLY</v>
      </c>
      <c r="C40" s="10"/>
      <c r="D40" s="6">
        <v>8953.15</v>
      </c>
      <c r="E40" s="2"/>
      <c r="F40" s="7">
        <f t="shared" si="20"/>
        <v>9.7532330668823317E-2</v>
      </c>
      <c r="G40" s="2"/>
      <c r="H40" s="6">
        <v>57043.76</v>
      </c>
      <c r="I40" s="2"/>
      <c r="J40" s="7">
        <f t="shared" si="21"/>
        <v>5.7848984895828549E-2</v>
      </c>
      <c r="K40" s="2"/>
      <c r="L40" s="6">
        <f t="shared" si="22"/>
        <v>-48090.61</v>
      </c>
      <c r="M40" s="2"/>
      <c r="N40" s="7">
        <f t="shared" si="23"/>
        <v>-0.8430476883010517</v>
      </c>
      <c r="O40" s="10"/>
      <c r="P40" s="6">
        <v>89359.19</v>
      </c>
      <c r="Q40" s="2"/>
      <c r="R40" s="7">
        <f t="shared" si="24"/>
        <v>0.10498147117804271</v>
      </c>
      <c r="S40" s="2"/>
      <c r="T40" s="6">
        <v>393545.4</v>
      </c>
      <c r="U40" s="2"/>
      <c r="V40" s="7">
        <f t="shared" si="25"/>
        <v>4.3508544716493895E-2</v>
      </c>
      <c r="W40" s="2"/>
      <c r="X40" s="6">
        <f t="shared" si="26"/>
        <v>-304186.21000000002</v>
      </c>
      <c r="Y40" s="2"/>
      <c r="Z40" s="7">
        <f t="shared" si="27"/>
        <v>-0.77293803967725194</v>
      </c>
    </row>
    <row r="41" spans="1:26" s="23" customFormat="1" hidden="1" outlineLevel="2" x14ac:dyDescent="0.25">
      <c r="A41" s="25"/>
      <c r="B41" s="10" t="str">
        <f>CONCATENATE("          ", "6006", " - ", "TEMPORARY PART TIME")</f>
        <v xml:space="preserve">          6006 - TEMPORARY PART TIME</v>
      </c>
      <c r="C41" s="10"/>
      <c r="D41" s="6">
        <v>717.96</v>
      </c>
      <c r="E41" s="2"/>
      <c r="F41" s="7">
        <f t="shared" si="20"/>
        <v>7.8211927787413815E-3</v>
      </c>
      <c r="G41" s="2"/>
      <c r="H41" s="6">
        <v>2129.79</v>
      </c>
      <c r="I41" s="2"/>
      <c r="J41" s="7">
        <f t="shared" si="21"/>
        <v>2.1598539356677518E-3</v>
      </c>
      <c r="K41" s="2"/>
      <c r="L41" s="6">
        <f t="shared" si="22"/>
        <v>-1411.83</v>
      </c>
      <c r="M41" s="2"/>
      <c r="N41" s="7">
        <f t="shared" si="23"/>
        <v>-0.66289634189286262</v>
      </c>
      <c r="O41" s="10"/>
      <c r="P41" s="6">
        <v>1326.96</v>
      </c>
      <c r="Q41" s="2"/>
      <c r="R41" s="7">
        <f t="shared" si="24"/>
        <v>1.5589466846601403E-3</v>
      </c>
      <c r="S41" s="2"/>
      <c r="T41" s="6">
        <v>34130.699999999997</v>
      </c>
      <c r="U41" s="2"/>
      <c r="V41" s="7">
        <f t="shared" si="25"/>
        <v>3.7733310747762212E-3</v>
      </c>
      <c r="W41" s="2"/>
      <c r="X41" s="6">
        <f t="shared" si="26"/>
        <v>-32803.74</v>
      </c>
      <c r="Y41" s="2"/>
      <c r="Z41" s="7">
        <f t="shared" si="27"/>
        <v>-0.96112121931281813</v>
      </c>
    </row>
    <row r="42" spans="1:26" s="23" customFormat="1" hidden="1" outlineLevel="2" x14ac:dyDescent="0.25">
      <c r="A42" s="25"/>
      <c r="B42" s="10" t="str">
        <f>CONCATENATE("          ", "6007", " - ", "STUDENT HOURLY")</f>
        <v xml:space="preserve">          6007 - STUDENT HOURLY</v>
      </c>
      <c r="C42" s="10"/>
      <c r="D42" s="6">
        <v>14713.89</v>
      </c>
      <c r="E42" s="2"/>
      <c r="F42" s="7">
        <f t="shared" si="20"/>
        <v>0.16028771827844868</v>
      </c>
      <c r="G42" s="2"/>
      <c r="H42" s="6">
        <v>120982.23</v>
      </c>
      <c r="I42" s="2"/>
      <c r="J42" s="7">
        <f t="shared" si="21"/>
        <v>0.12269000493539793</v>
      </c>
      <c r="K42" s="2"/>
      <c r="L42" s="6">
        <f t="shared" si="22"/>
        <v>-106268.34</v>
      </c>
      <c r="M42" s="2"/>
      <c r="N42" s="7">
        <f t="shared" si="23"/>
        <v>-0.87837974221503434</v>
      </c>
      <c r="O42" s="10"/>
      <c r="P42" s="6">
        <v>112139.09</v>
      </c>
      <c r="Q42" s="2"/>
      <c r="R42" s="7">
        <f t="shared" si="24"/>
        <v>0.13174388269149415</v>
      </c>
      <c r="S42" s="2"/>
      <c r="T42" s="6">
        <v>779038.78</v>
      </c>
      <c r="U42" s="2"/>
      <c r="V42" s="7">
        <f t="shared" si="25"/>
        <v>8.6126895640281517E-2</v>
      </c>
      <c r="W42" s="2"/>
      <c r="X42" s="6">
        <f t="shared" si="26"/>
        <v>-666899.69000000006</v>
      </c>
      <c r="Y42" s="2"/>
      <c r="Z42" s="7">
        <f t="shared" si="27"/>
        <v>-0.85605454711766726</v>
      </c>
    </row>
    <row r="43" spans="1:26" s="23" customFormat="1" hidden="1" outlineLevel="2" x14ac:dyDescent="0.25">
      <c r="A43" s="25"/>
      <c r="B43" s="10" t="str">
        <f>CONCATENATE("          ", "6008", " - ", "STUDENT HOURLY-FICA EXEMPT")</f>
        <v xml:space="preserve">          6008 - STUDENT HOURLY-FICA EXEMPT</v>
      </c>
      <c r="C43" s="10"/>
      <c r="D43" s="6"/>
      <c r="E43" s="2"/>
      <c r="F43" s="7">
        <f t="shared" si="20"/>
        <v>0</v>
      </c>
      <c r="G43" s="2"/>
      <c r="H43" s="6">
        <v>28871.35</v>
      </c>
      <c r="I43" s="2"/>
      <c r="J43" s="7">
        <f t="shared" si="21"/>
        <v>2.9278895536903236E-2</v>
      </c>
      <c r="K43" s="2"/>
      <c r="L43" s="6">
        <f t="shared" si="22"/>
        <v>-28871.35</v>
      </c>
      <c r="M43" s="2"/>
      <c r="N43" s="7">
        <f t="shared" si="23"/>
        <v>-1</v>
      </c>
      <c r="O43" s="10"/>
      <c r="P43" s="6">
        <v>10630.88</v>
      </c>
      <c r="Q43" s="2"/>
      <c r="R43" s="7">
        <f t="shared" si="24"/>
        <v>1.248943082762087E-2</v>
      </c>
      <c r="S43" s="2"/>
      <c r="T43" s="6">
        <v>172451.7</v>
      </c>
      <c r="U43" s="2"/>
      <c r="V43" s="7">
        <f t="shared" si="25"/>
        <v>1.9065455982677958E-2</v>
      </c>
      <c r="W43" s="2"/>
      <c r="X43" s="6">
        <f t="shared" si="26"/>
        <v>-161820.82</v>
      </c>
      <c r="Y43" s="2"/>
      <c r="Z43" s="7">
        <f t="shared" si="27"/>
        <v>-0.93835444939075696</v>
      </c>
    </row>
    <row r="44" spans="1:26" s="26" customFormat="1" outlineLevel="1" collapsed="1" x14ac:dyDescent="0.25">
      <c r="A44" s="27"/>
      <c r="B44" s="12" t="str">
        <f>CONCATENATE("     ","Advertising/Promo                                 ")</f>
        <v xml:space="preserve">     Advertising/Promo                                 </v>
      </c>
      <c r="C44" s="12"/>
      <c r="D44" s="1">
        <f>SUM(OSRRefD22_2x_0)</f>
        <v>0</v>
      </c>
      <c r="E44" s="1"/>
      <c r="F44" s="5">
        <f t="shared" ref="F44:F67" si="28">IF(D$12=0,0,D44/D$12)</f>
        <v>0</v>
      </c>
      <c r="G44" s="1"/>
      <c r="H44" s="1">
        <f>SUM(OSRRefH22_2x_0)</f>
        <v>44.51</v>
      </c>
      <c r="I44" s="1"/>
      <c r="J44" s="5">
        <f t="shared" ref="J44:J67" si="29">IF(H$12=0,0,H44/H$12)</f>
        <v>4.5138299398800647E-5</v>
      </c>
      <c r="K44" s="1"/>
      <c r="L44" s="1">
        <f t="shared" ref="L44:L67" si="30">+D44-H44</f>
        <v>-44.51</v>
      </c>
      <c r="M44" s="1"/>
      <c r="N44" s="5">
        <f t="shared" ref="N44:N67" si="31">IF(H44=0,0,L44/H44)</f>
        <v>-1</v>
      </c>
      <c r="O44" s="12"/>
      <c r="P44" s="1">
        <f>SUM(OSRRefP22_2x_0)</f>
        <v>1445.17</v>
      </c>
      <c r="Q44" s="1"/>
      <c r="R44" s="5">
        <f t="shared" ref="R44:R67" si="32">IF(P$12=0,0,P44/P$12)</f>
        <v>1.6978228283221009E-3</v>
      </c>
      <c r="S44" s="1"/>
      <c r="T44" s="1">
        <f>SUM(OSRRefT22_2x_0)</f>
        <v>8477.7099999999991</v>
      </c>
      <c r="U44" s="1"/>
      <c r="V44" s="5">
        <f t="shared" ref="V44:V67" si="33">IF(T$12=0,0,T44/T$12)</f>
        <v>9.3725609454072488E-4</v>
      </c>
      <c r="W44" s="1"/>
      <c r="X44" s="1">
        <f t="shared" ref="X44:X67" si="34">+P44-T44</f>
        <v>-7032.5399999999991</v>
      </c>
      <c r="Y44" s="1"/>
      <c r="Z44" s="5">
        <f t="shared" ref="Z44:Z67" si="35">IF(T44=0,0,X44/T44)</f>
        <v>-0.82953297529639491</v>
      </c>
    </row>
    <row r="45" spans="1:26" s="23" customFormat="1" hidden="1" outlineLevel="2" x14ac:dyDescent="0.25">
      <c r="A45" s="25"/>
      <c r="B45" s="10" t="str">
        <f>CONCATENATE("          ", "6362", " - ", "ADVERTISING EXPENSE")</f>
        <v xml:space="preserve">          6362 - ADVERTISING EXPENSE</v>
      </c>
      <c r="C45" s="10"/>
      <c r="D45" s="6"/>
      <c r="E45" s="2"/>
      <c r="F45" s="7">
        <f t="shared" si="28"/>
        <v>0</v>
      </c>
      <c r="G45" s="2"/>
      <c r="H45" s="6">
        <v>44.51</v>
      </c>
      <c r="I45" s="2"/>
      <c r="J45" s="7">
        <f t="shared" si="29"/>
        <v>4.5138299398800647E-5</v>
      </c>
      <c r="K45" s="2"/>
      <c r="L45" s="6">
        <f t="shared" si="30"/>
        <v>-44.51</v>
      </c>
      <c r="M45" s="2"/>
      <c r="N45" s="7">
        <f t="shared" si="31"/>
        <v>-1</v>
      </c>
      <c r="O45" s="10"/>
      <c r="P45" s="6">
        <v>1445.17</v>
      </c>
      <c r="Q45" s="2"/>
      <c r="R45" s="7">
        <f t="shared" si="32"/>
        <v>1.6978228283221009E-3</v>
      </c>
      <c r="S45" s="2"/>
      <c r="T45" s="6">
        <v>8477.7099999999991</v>
      </c>
      <c r="U45" s="2"/>
      <c r="V45" s="7">
        <f t="shared" si="33"/>
        <v>9.3725609454072488E-4</v>
      </c>
      <c r="W45" s="2"/>
      <c r="X45" s="6">
        <f t="shared" si="34"/>
        <v>-7032.5399999999991</v>
      </c>
      <c r="Y45" s="2"/>
      <c r="Z45" s="7">
        <f t="shared" si="35"/>
        <v>-0.82953297529639491</v>
      </c>
    </row>
    <row r="46" spans="1:26" s="26" customFormat="1" outlineLevel="1" collapsed="1" x14ac:dyDescent="0.25">
      <c r="A46" s="27"/>
      <c r="B46" s="12" t="str">
        <f>CONCATENATE("     ","Bad Debts/Over/Short                              ")</f>
        <v xml:space="preserve">     Bad Debts/Over/Short                              </v>
      </c>
      <c r="C46" s="12"/>
      <c r="D46" s="1">
        <f>SUM(OSRRefD22_3x_0)</f>
        <v>0</v>
      </c>
      <c r="E46" s="1"/>
      <c r="F46" s="5">
        <f t="shared" si="28"/>
        <v>0</v>
      </c>
      <c r="G46" s="1"/>
      <c r="H46" s="1">
        <f>SUM(OSRRefH22_3x_0)</f>
        <v>33.49</v>
      </c>
      <c r="I46" s="1"/>
      <c r="J46" s="5">
        <f t="shared" si="29"/>
        <v>3.3962742010016491E-5</v>
      </c>
      <c r="K46" s="1"/>
      <c r="L46" s="1">
        <f t="shared" si="30"/>
        <v>-33.49</v>
      </c>
      <c r="M46" s="1"/>
      <c r="N46" s="5">
        <f t="shared" si="31"/>
        <v>-1</v>
      </c>
      <c r="O46" s="12"/>
      <c r="P46" s="1">
        <f>SUM(OSRRefP22_3x_0)</f>
        <v>53.54</v>
      </c>
      <c r="Q46" s="1"/>
      <c r="R46" s="5">
        <f t="shared" si="32"/>
        <v>6.2900166920407479E-5</v>
      </c>
      <c r="S46" s="1"/>
      <c r="T46" s="1">
        <f>SUM(OSRRefT22_3x_0)</f>
        <v>63.55</v>
      </c>
      <c r="U46" s="1"/>
      <c r="V46" s="5">
        <f t="shared" si="33"/>
        <v>7.025791730085491E-6</v>
      </c>
      <c r="W46" s="1"/>
      <c r="X46" s="1">
        <f t="shared" si="34"/>
        <v>-10.009999999999998</v>
      </c>
      <c r="Y46" s="1"/>
      <c r="Z46" s="5">
        <f t="shared" si="35"/>
        <v>-0.15751376868607395</v>
      </c>
    </row>
    <row r="47" spans="1:26" s="23" customFormat="1" hidden="1" outlineLevel="2" x14ac:dyDescent="0.25">
      <c r="A47" s="25"/>
      <c r="B47" s="10" t="str">
        <f>CONCATENATE("          ", "6272", " - ", "CASH (OVER/SHORT)")</f>
        <v xml:space="preserve">          6272 - CASH (OVER/SHORT)</v>
      </c>
      <c r="C47" s="10"/>
      <c r="D47" s="6"/>
      <c r="E47" s="2"/>
      <c r="F47" s="7">
        <f t="shared" si="28"/>
        <v>0</v>
      </c>
      <c r="G47" s="2"/>
      <c r="H47" s="6">
        <v>33.49</v>
      </c>
      <c r="I47" s="2"/>
      <c r="J47" s="7">
        <f t="shared" si="29"/>
        <v>3.3962742010016491E-5</v>
      </c>
      <c r="K47" s="2"/>
      <c r="L47" s="6">
        <f t="shared" si="30"/>
        <v>-33.49</v>
      </c>
      <c r="M47" s="2"/>
      <c r="N47" s="7">
        <f t="shared" si="31"/>
        <v>-1</v>
      </c>
      <c r="O47" s="10"/>
      <c r="P47" s="6">
        <v>53.54</v>
      </c>
      <c r="Q47" s="2"/>
      <c r="R47" s="7">
        <f t="shared" si="32"/>
        <v>6.2900166920407479E-5</v>
      </c>
      <c r="S47" s="2"/>
      <c r="T47" s="6">
        <v>63.55</v>
      </c>
      <c r="U47" s="2"/>
      <c r="V47" s="7">
        <f t="shared" si="33"/>
        <v>7.025791730085491E-6</v>
      </c>
      <c r="W47" s="2"/>
      <c r="X47" s="6">
        <f t="shared" si="34"/>
        <v>-10.009999999999998</v>
      </c>
      <c r="Y47" s="2"/>
      <c r="Z47" s="7">
        <f t="shared" si="35"/>
        <v>-0.15751376868607395</v>
      </c>
    </row>
    <row r="48" spans="1:26" s="26" customFormat="1" outlineLevel="1" collapsed="1" x14ac:dyDescent="0.25">
      <c r="A48" s="27"/>
      <c r="B48" s="12" t="str">
        <f>CONCATENATE("     ","Bank/card Fees                                    ")</f>
        <v xml:space="preserve">     Bank/card Fees                                    </v>
      </c>
      <c r="C48" s="12"/>
      <c r="D48" s="1">
        <f>SUM(OSRRefD22_4x_0)</f>
        <v>78.08</v>
      </c>
      <c r="E48" s="1"/>
      <c r="F48" s="5">
        <f t="shared" si="28"/>
        <v>8.505748679092526E-4</v>
      </c>
      <c r="G48" s="1"/>
      <c r="H48" s="1">
        <f>SUM(OSRRefH22_4x_0)</f>
        <v>119.38</v>
      </c>
      <c r="I48" s="1"/>
      <c r="J48" s="5">
        <f t="shared" si="29"/>
        <v>1.2106515799211012E-4</v>
      </c>
      <c r="K48" s="1"/>
      <c r="L48" s="1">
        <f t="shared" si="30"/>
        <v>-41.3</v>
      </c>
      <c r="M48" s="1"/>
      <c r="N48" s="5">
        <f t="shared" si="31"/>
        <v>-0.34595409616351147</v>
      </c>
      <c r="O48" s="12"/>
      <c r="P48" s="1">
        <f>SUM(OSRRefP22_4x_0)</f>
        <v>267</v>
      </c>
      <c r="Q48" s="1"/>
      <c r="R48" s="5">
        <f t="shared" si="32"/>
        <v>3.1367845662586468E-4</v>
      </c>
      <c r="S48" s="1"/>
      <c r="T48" s="1">
        <f>SUM(OSRRefT22_4x_0)</f>
        <v>3152.34</v>
      </c>
      <c r="U48" s="1"/>
      <c r="V48" s="5">
        <f t="shared" si="33"/>
        <v>3.4850801420012115E-4</v>
      </c>
      <c r="W48" s="1"/>
      <c r="X48" s="1">
        <f t="shared" si="34"/>
        <v>-2885.34</v>
      </c>
      <c r="Y48" s="1"/>
      <c r="Z48" s="5">
        <f t="shared" si="35"/>
        <v>-0.9153010144844782</v>
      </c>
    </row>
    <row r="49" spans="1:26" s="23" customFormat="1" hidden="1" outlineLevel="2" x14ac:dyDescent="0.25">
      <c r="A49" s="25"/>
      <c r="B49" s="10" t="str">
        <f>CONCATENATE("          ", "6381", " - ", "BANK/CREDIT CARD FEES")</f>
        <v xml:space="preserve">          6381 - BANK/CREDIT CARD FEES</v>
      </c>
      <c r="C49" s="10"/>
      <c r="D49" s="6">
        <v>78.08</v>
      </c>
      <c r="E49" s="2"/>
      <c r="F49" s="7">
        <f t="shared" si="28"/>
        <v>8.505748679092526E-4</v>
      </c>
      <c r="G49" s="2"/>
      <c r="H49" s="6">
        <v>119.38</v>
      </c>
      <c r="I49" s="2"/>
      <c r="J49" s="7">
        <f t="shared" si="29"/>
        <v>1.2106515799211012E-4</v>
      </c>
      <c r="K49" s="2"/>
      <c r="L49" s="6">
        <f t="shared" si="30"/>
        <v>-41.3</v>
      </c>
      <c r="M49" s="2"/>
      <c r="N49" s="7">
        <f t="shared" si="31"/>
        <v>-0.34595409616351147</v>
      </c>
      <c r="O49" s="10"/>
      <c r="P49" s="6">
        <v>267</v>
      </c>
      <c r="Q49" s="2"/>
      <c r="R49" s="7">
        <f t="shared" si="32"/>
        <v>3.1367845662586468E-4</v>
      </c>
      <c r="S49" s="2"/>
      <c r="T49" s="6">
        <v>3152.34</v>
      </c>
      <c r="U49" s="2"/>
      <c r="V49" s="7">
        <f t="shared" si="33"/>
        <v>3.4850801420012115E-4</v>
      </c>
      <c r="W49" s="2"/>
      <c r="X49" s="6">
        <f t="shared" si="34"/>
        <v>-2885.34</v>
      </c>
      <c r="Y49" s="2"/>
      <c r="Z49" s="7">
        <f t="shared" si="35"/>
        <v>-0.9153010144844782</v>
      </c>
    </row>
    <row r="50" spans="1:26" s="26" customFormat="1" outlineLevel="1" collapsed="1" x14ac:dyDescent="0.25">
      <c r="A50" s="27"/>
      <c r="B50" s="12" t="str">
        <f>CONCATENATE("     ","Depreciation                                      ")</f>
        <v xml:space="preserve">     Depreciation                                      </v>
      </c>
      <c r="C50" s="12"/>
      <c r="D50" s="1">
        <f>SUM(OSRRefD22_5x_0)</f>
        <v>758.5</v>
      </c>
      <c r="E50" s="1"/>
      <c r="F50" s="5">
        <f t="shared" si="28"/>
        <v>8.2628206622588126E-3</v>
      </c>
      <c r="G50" s="1"/>
      <c r="H50" s="1">
        <f>SUM(OSRRefH22_5x_0)</f>
        <v>213.02</v>
      </c>
      <c r="I50" s="1"/>
      <c r="J50" s="5">
        <f t="shared" si="29"/>
        <v>2.1602697231931059E-4</v>
      </c>
      <c r="K50" s="1"/>
      <c r="L50" s="1">
        <f t="shared" si="30"/>
        <v>545.48</v>
      </c>
      <c r="M50" s="1"/>
      <c r="N50" s="5">
        <f t="shared" si="31"/>
        <v>2.5606985259600039</v>
      </c>
      <c r="O50" s="12"/>
      <c r="P50" s="1">
        <f>SUM(OSRRefP22_5x_0)</f>
        <v>6298.06</v>
      </c>
      <c r="Q50" s="1"/>
      <c r="R50" s="5">
        <f t="shared" si="32"/>
        <v>7.3991226237344332E-3</v>
      </c>
      <c r="S50" s="1"/>
      <c r="T50" s="1">
        <f>SUM(OSRRefT22_5x_0)</f>
        <v>213.02</v>
      </c>
      <c r="U50" s="1"/>
      <c r="V50" s="5">
        <f t="shared" si="33"/>
        <v>2.3550498101381769E-5</v>
      </c>
      <c r="W50" s="1"/>
      <c r="X50" s="1">
        <f t="shared" si="34"/>
        <v>6085.04</v>
      </c>
      <c r="Y50" s="1"/>
      <c r="Z50" s="5">
        <f t="shared" si="35"/>
        <v>28.565580696648201</v>
      </c>
    </row>
    <row r="51" spans="1:26" s="23" customFormat="1" hidden="1" outlineLevel="2" x14ac:dyDescent="0.25">
      <c r="A51" s="25"/>
      <c r="B51" s="10" t="str">
        <f>CONCATENATE("          ", "6322", " - ", "EQUIPMENT DEPRECIATION EXPENSE")</f>
        <v xml:space="preserve">          6322 - EQUIPMENT DEPRECIATION EXPENSE</v>
      </c>
      <c r="C51" s="10"/>
      <c r="D51" s="6">
        <v>758.5</v>
      </c>
      <c r="E51" s="2"/>
      <c r="F51" s="7">
        <f t="shared" si="28"/>
        <v>8.2628206622588126E-3</v>
      </c>
      <c r="G51" s="2"/>
      <c r="H51" s="6">
        <v>213.02</v>
      </c>
      <c r="I51" s="2"/>
      <c r="J51" s="7">
        <f t="shared" si="29"/>
        <v>2.1602697231931059E-4</v>
      </c>
      <c r="K51" s="2"/>
      <c r="L51" s="6">
        <f t="shared" si="30"/>
        <v>545.48</v>
      </c>
      <c r="M51" s="2"/>
      <c r="N51" s="7">
        <f t="shared" si="31"/>
        <v>2.5606985259600039</v>
      </c>
      <c r="O51" s="10"/>
      <c r="P51" s="6">
        <v>6298.06</v>
      </c>
      <c r="Q51" s="2"/>
      <c r="R51" s="7">
        <f t="shared" si="32"/>
        <v>7.3991226237344332E-3</v>
      </c>
      <c r="S51" s="2"/>
      <c r="T51" s="6">
        <v>213.02</v>
      </c>
      <c r="U51" s="2"/>
      <c r="V51" s="7">
        <f t="shared" si="33"/>
        <v>2.3550498101381769E-5</v>
      </c>
      <c r="W51" s="2"/>
      <c r="X51" s="6">
        <f t="shared" si="34"/>
        <v>6085.04</v>
      </c>
      <c r="Y51" s="2"/>
      <c r="Z51" s="7">
        <f t="shared" si="35"/>
        <v>28.565580696648201</v>
      </c>
    </row>
    <row r="52" spans="1:26" s="26" customFormat="1" outlineLevel="1" collapsed="1" x14ac:dyDescent="0.25">
      <c r="A52" s="27"/>
      <c r="B52" s="12" t="str">
        <f>CONCATENATE("     ","Donations                                         ")</f>
        <v xml:space="preserve">     Donations                                         </v>
      </c>
      <c r="C52" s="12"/>
      <c r="D52" s="1">
        <f>SUM(OSRRefD22_6x_0)</f>
        <v>7337.33</v>
      </c>
      <c r="E52" s="1"/>
      <c r="F52" s="5">
        <f t="shared" si="28"/>
        <v>7.9930180527108055E-2</v>
      </c>
      <c r="G52" s="1"/>
      <c r="H52" s="1">
        <f>SUM(OSRRefH22_6x_0)</f>
        <v>14237.58</v>
      </c>
      <c r="I52" s="1"/>
      <c r="J52" s="5">
        <f t="shared" si="29"/>
        <v>1.4438556476171111E-2</v>
      </c>
      <c r="K52" s="1"/>
      <c r="L52" s="1">
        <f t="shared" si="30"/>
        <v>-6900.25</v>
      </c>
      <c r="M52" s="1"/>
      <c r="N52" s="5">
        <f t="shared" si="31"/>
        <v>-0.48465048133179939</v>
      </c>
      <c r="O52" s="12"/>
      <c r="P52" s="1">
        <f>SUM(OSRRefP22_6x_0)</f>
        <v>50979.76</v>
      </c>
      <c r="Q52" s="1"/>
      <c r="R52" s="5">
        <f t="shared" si="32"/>
        <v>5.9892331220812708E-2</v>
      </c>
      <c r="S52" s="1"/>
      <c r="T52" s="1">
        <f>SUM(OSRRefT22_6x_0)</f>
        <v>120143.85</v>
      </c>
      <c r="U52" s="1"/>
      <c r="V52" s="5">
        <f t="shared" si="33"/>
        <v>1.3282543945721979E-2</v>
      </c>
      <c r="W52" s="1"/>
      <c r="X52" s="1">
        <f t="shared" si="34"/>
        <v>-69164.09</v>
      </c>
      <c r="Y52" s="1"/>
      <c r="Z52" s="5">
        <f t="shared" si="35"/>
        <v>-0.57567732347515077</v>
      </c>
    </row>
    <row r="53" spans="1:26" s="23" customFormat="1" hidden="1" outlineLevel="2" x14ac:dyDescent="0.25">
      <c r="A53" s="25"/>
      <c r="B53" s="10" t="str">
        <f>CONCATENATE("          ", "6399", " - ", "DONATION-ON CAMPUS")</f>
        <v xml:space="preserve">          6399 - DONATION-ON CAMPUS</v>
      </c>
      <c r="C53" s="10"/>
      <c r="D53" s="6">
        <v>7337.33</v>
      </c>
      <c r="E53" s="2"/>
      <c r="F53" s="7">
        <f t="shared" si="28"/>
        <v>7.9930180527108055E-2</v>
      </c>
      <c r="G53" s="2"/>
      <c r="H53" s="6">
        <v>14237.58</v>
      </c>
      <c r="I53" s="2"/>
      <c r="J53" s="7">
        <f t="shared" si="29"/>
        <v>1.4438556476171111E-2</v>
      </c>
      <c r="K53" s="2"/>
      <c r="L53" s="6">
        <f t="shared" si="30"/>
        <v>-6900.25</v>
      </c>
      <c r="M53" s="2"/>
      <c r="N53" s="7">
        <f t="shared" si="31"/>
        <v>-0.48465048133179939</v>
      </c>
      <c r="O53" s="10"/>
      <c r="P53" s="6">
        <v>50979.76</v>
      </c>
      <c r="Q53" s="2"/>
      <c r="R53" s="7">
        <f t="shared" si="32"/>
        <v>5.9892331220812708E-2</v>
      </c>
      <c r="S53" s="2"/>
      <c r="T53" s="6">
        <v>120143.85</v>
      </c>
      <c r="U53" s="2"/>
      <c r="V53" s="7">
        <f t="shared" si="33"/>
        <v>1.3282543945721979E-2</v>
      </c>
      <c r="W53" s="2"/>
      <c r="X53" s="6">
        <f t="shared" si="34"/>
        <v>-69164.09</v>
      </c>
      <c r="Y53" s="2"/>
      <c r="Z53" s="7">
        <f t="shared" si="35"/>
        <v>-0.57567732347515077</v>
      </c>
    </row>
    <row r="54" spans="1:26" s="26" customFormat="1" outlineLevel="1" collapsed="1" x14ac:dyDescent="0.25">
      <c r="A54" s="27"/>
      <c r="B54" s="12" t="str">
        <f>CONCATENATE("     ","Employees' Appreciation                           ")</f>
        <v xml:space="preserve">     Employees' Appreciation                           </v>
      </c>
      <c r="C54" s="12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2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1798.43</v>
      </c>
      <c r="U54" s="1"/>
      <c r="V54" s="5">
        <f t="shared" si="33"/>
        <v>1.988260365245893E-4</v>
      </c>
      <c r="W54" s="1"/>
      <c r="X54" s="1">
        <f t="shared" si="34"/>
        <v>-1798.43</v>
      </c>
      <c r="Y54" s="1"/>
      <c r="Z54" s="5">
        <f t="shared" si="35"/>
        <v>-1</v>
      </c>
    </row>
    <row r="55" spans="1:26" s="23" customFormat="1" hidden="1" outlineLevel="2" x14ac:dyDescent="0.25">
      <c r="A55" s="25"/>
      <c r="B55" s="10" t="str">
        <f>CONCATENATE("          ", "6277", " - ", "EMPLOYEE APPRECIATION")</f>
        <v xml:space="preserve">          6277 - EMPLOYEE APPRECIATION</v>
      </c>
      <c r="C55" s="10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0"/>
      <c r="P55" s="6"/>
      <c r="Q55" s="2"/>
      <c r="R55" s="7">
        <f t="shared" si="32"/>
        <v>0</v>
      </c>
      <c r="S55" s="2"/>
      <c r="T55" s="6">
        <v>1798.43</v>
      </c>
      <c r="U55" s="2"/>
      <c r="V55" s="7">
        <f t="shared" si="33"/>
        <v>1.988260365245893E-4</v>
      </c>
      <c r="W55" s="2"/>
      <c r="X55" s="6">
        <f t="shared" si="34"/>
        <v>-1798.43</v>
      </c>
      <c r="Y55" s="2"/>
      <c r="Z55" s="7">
        <f t="shared" si="35"/>
        <v>-1</v>
      </c>
    </row>
    <row r="56" spans="1:26" s="26" customFormat="1" outlineLevel="1" collapsed="1" x14ac:dyDescent="0.25">
      <c r="A56" s="27"/>
      <c r="B56" s="12" t="str">
        <f>CONCATENATE("     ","Equipment Rental                                  ")</f>
        <v xml:space="preserve">     Equipment Rental                                  </v>
      </c>
      <c r="C56" s="12"/>
      <c r="D56" s="1">
        <f>SUM(OSRRefD22_8x_0)</f>
        <v>716.36</v>
      </c>
      <c r="E56" s="1"/>
      <c r="F56" s="5">
        <f t="shared" si="28"/>
        <v>7.803762965874388E-3</v>
      </c>
      <c r="G56" s="1"/>
      <c r="H56" s="1">
        <f>SUM(OSRRefH22_8x_0)</f>
        <v>443.01</v>
      </c>
      <c r="I56" s="1"/>
      <c r="J56" s="5">
        <f t="shared" si="29"/>
        <v>4.4926349172461641E-4</v>
      </c>
      <c r="K56" s="1"/>
      <c r="L56" s="1">
        <f t="shared" si="30"/>
        <v>273.35000000000002</v>
      </c>
      <c r="M56" s="1"/>
      <c r="N56" s="5">
        <f t="shared" si="31"/>
        <v>0.6170289609715357</v>
      </c>
      <c r="O56" s="12"/>
      <c r="P56" s="1">
        <f>SUM(OSRRefP22_8x_0)</f>
        <v>4553.92</v>
      </c>
      <c r="Q56" s="1"/>
      <c r="R56" s="5">
        <f t="shared" si="32"/>
        <v>5.3500621617889807E-3</v>
      </c>
      <c r="S56" s="1"/>
      <c r="T56" s="1">
        <f>SUM(OSRRefT22_8x_0)</f>
        <v>4768.34</v>
      </c>
      <c r="U56" s="1"/>
      <c r="V56" s="5">
        <f t="shared" si="33"/>
        <v>5.2716544041283794E-4</v>
      </c>
      <c r="W56" s="1"/>
      <c r="X56" s="1">
        <f t="shared" si="34"/>
        <v>-214.42000000000007</v>
      </c>
      <c r="Y56" s="1"/>
      <c r="Z56" s="5">
        <f t="shared" si="35"/>
        <v>-4.4967431013728063E-2</v>
      </c>
    </row>
    <row r="57" spans="1:26" s="23" customFormat="1" hidden="1" outlineLevel="2" x14ac:dyDescent="0.25">
      <c r="A57" s="25"/>
      <c r="B57" s="10" t="str">
        <f>CONCATENATE("          ", "6351", " - ", "EQUIPMENT RENTAL")</f>
        <v xml:space="preserve">          6351 - EQUIPMENT RENTAL</v>
      </c>
      <c r="C57" s="10"/>
      <c r="D57" s="6">
        <v>716.36</v>
      </c>
      <c r="E57" s="2"/>
      <c r="F57" s="7">
        <f t="shared" si="28"/>
        <v>7.803762965874388E-3</v>
      </c>
      <c r="G57" s="2"/>
      <c r="H57" s="6">
        <v>443.01</v>
      </c>
      <c r="I57" s="2"/>
      <c r="J57" s="7">
        <f t="shared" si="29"/>
        <v>4.4926349172461641E-4</v>
      </c>
      <c r="K57" s="2"/>
      <c r="L57" s="6">
        <f t="shared" si="30"/>
        <v>273.35000000000002</v>
      </c>
      <c r="M57" s="2"/>
      <c r="N57" s="7">
        <f t="shared" si="31"/>
        <v>0.6170289609715357</v>
      </c>
      <c r="O57" s="10"/>
      <c r="P57" s="6">
        <v>4553.92</v>
      </c>
      <c r="Q57" s="2"/>
      <c r="R57" s="7">
        <f t="shared" si="32"/>
        <v>5.3500621617889807E-3</v>
      </c>
      <c r="S57" s="2"/>
      <c r="T57" s="6">
        <v>4768.34</v>
      </c>
      <c r="U57" s="2"/>
      <c r="V57" s="7">
        <f t="shared" si="33"/>
        <v>5.2716544041283794E-4</v>
      </c>
      <c r="W57" s="2"/>
      <c r="X57" s="6">
        <f t="shared" si="34"/>
        <v>-214.42000000000007</v>
      </c>
      <c r="Y57" s="2"/>
      <c r="Z57" s="7">
        <f t="shared" si="35"/>
        <v>-4.4967431013728063E-2</v>
      </c>
    </row>
    <row r="58" spans="1:26" s="26" customFormat="1" outlineLevel="1" collapsed="1" x14ac:dyDescent="0.25">
      <c r="A58" s="27"/>
      <c r="B58" s="12" t="str">
        <f>CONCATENATE("     ","General                                           ")</f>
        <v xml:space="preserve">     General                                           </v>
      </c>
      <c r="C58" s="12"/>
      <c r="D58" s="1">
        <f>SUM(OSRRefD22_9x_0)</f>
        <v>436.32</v>
      </c>
      <c r="E58" s="1"/>
      <c r="F58" s="5">
        <f t="shared" si="28"/>
        <v>4.7531099688289591E-3</v>
      </c>
      <c r="G58" s="1"/>
      <c r="H58" s="1">
        <f>SUM(OSRRefH22_9x_0)</f>
        <v>433.32</v>
      </c>
      <c r="I58" s="1"/>
      <c r="J58" s="5">
        <f t="shared" si="29"/>
        <v>4.3943670850344409E-4</v>
      </c>
      <c r="K58" s="1"/>
      <c r="L58" s="1">
        <f t="shared" si="30"/>
        <v>3</v>
      </c>
      <c r="M58" s="1"/>
      <c r="N58" s="5">
        <f t="shared" si="31"/>
        <v>6.9232899473829967E-3</v>
      </c>
      <c r="O58" s="12"/>
      <c r="P58" s="1">
        <f>SUM(OSRRefP22_9x_0)</f>
        <v>7594.75</v>
      </c>
      <c r="Q58" s="1"/>
      <c r="R58" s="5">
        <f t="shared" si="32"/>
        <v>8.9225073350535054E-3</v>
      </c>
      <c r="S58" s="1"/>
      <c r="T58" s="1">
        <f>SUM(OSRRefT22_9x_0)</f>
        <v>8927.11</v>
      </c>
      <c r="U58" s="1"/>
      <c r="V58" s="5">
        <f t="shared" si="33"/>
        <v>9.8693966343923675E-4</v>
      </c>
      <c r="W58" s="1"/>
      <c r="X58" s="1">
        <f t="shared" si="34"/>
        <v>-1332.3600000000006</v>
      </c>
      <c r="Y58" s="1"/>
      <c r="Z58" s="5">
        <f t="shared" si="35"/>
        <v>-0.14924874903524216</v>
      </c>
    </row>
    <row r="59" spans="1:26" s="23" customFormat="1" hidden="1" outlineLevel="2" x14ac:dyDescent="0.25">
      <c r="A59" s="25"/>
      <c r="B59" s="10" t="str">
        <f>CONCATENATE("          ", "6279", " - ", "GENERAL EXPENSE")</f>
        <v xml:space="preserve">          6279 - GENERAL EXPENSE</v>
      </c>
      <c r="C59" s="10"/>
      <c r="D59" s="6">
        <v>436.32</v>
      </c>
      <c r="E59" s="2"/>
      <c r="F59" s="7">
        <f t="shared" si="28"/>
        <v>4.7531099688289591E-3</v>
      </c>
      <c r="G59" s="2"/>
      <c r="H59" s="6">
        <v>433.32</v>
      </c>
      <c r="I59" s="2"/>
      <c r="J59" s="7">
        <f t="shared" si="29"/>
        <v>4.3943670850344409E-4</v>
      </c>
      <c r="K59" s="2"/>
      <c r="L59" s="6">
        <f t="shared" si="30"/>
        <v>3</v>
      </c>
      <c r="M59" s="2"/>
      <c r="N59" s="7">
        <f t="shared" si="31"/>
        <v>6.9232899473829967E-3</v>
      </c>
      <c r="O59" s="10"/>
      <c r="P59" s="6">
        <v>7594.75</v>
      </c>
      <c r="Q59" s="2"/>
      <c r="R59" s="7">
        <f t="shared" si="32"/>
        <v>8.9225073350535054E-3</v>
      </c>
      <c r="S59" s="2"/>
      <c r="T59" s="6">
        <v>8927.11</v>
      </c>
      <c r="U59" s="2"/>
      <c r="V59" s="7">
        <f t="shared" si="33"/>
        <v>9.8693966343923675E-4</v>
      </c>
      <c r="W59" s="2"/>
      <c r="X59" s="6">
        <f t="shared" si="34"/>
        <v>-1332.3600000000006</v>
      </c>
      <c r="Y59" s="2"/>
      <c r="Z59" s="7">
        <f t="shared" si="35"/>
        <v>-0.14924874903524216</v>
      </c>
    </row>
    <row r="60" spans="1:26" s="26" customFormat="1" outlineLevel="1" collapsed="1" x14ac:dyDescent="0.25">
      <c r="A60" s="27"/>
      <c r="B60" s="12" t="str">
        <f>CONCATENATE("     ","Insurance                                         ")</f>
        <v xml:space="preserve">     Insurance                                         </v>
      </c>
      <c r="C60" s="12"/>
      <c r="D60" s="1">
        <f>SUM(OSRRefD22_10x_0)</f>
        <v>5.9</v>
      </c>
      <c r="E60" s="1"/>
      <c r="F60" s="5">
        <f t="shared" si="28"/>
        <v>6.4272434947036257E-5</v>
      </c>
      <c r="G60" s="1"/>
      <c r="H60" s="1">
        <f>SUM(OSRRefH22_10x_0)</f>
        <v>5.9</v>
      </c>
      <c r="I60" s="1"/>
      <c r="J60" s="5">
        <f t="shared" si="29"/>
        <v>5.9832839014361685E-6</v>
      </c>
      <c r="K60" s="1"/>
      <c r="L60" s="1">
        <f t="shared" si="30"/>
        <v>0</v>
      </c>
      <c r="M60" s="1"/>
      <c r="N60" s="5">
        <f t="shared" si="31"/>
        <v>0</v>
      </c>
      <c r="O60" s="12"/>
      <c r="P60" s="1">
        <f>SUM(OSRRefP22_10x_0)</f>
        <v>53.1</v>
      </c>
      <c r="Q60" s="1"/>
      <c r="R60" s="5">
        <f t="shared" si="32"/>
        <v>6.2383243621098937E-5</v>
      </c>
      <c r="S60" s="1"/>
      <c r="T60" s="1">
        <f>SUM(OSRRefT22_10x_0)</f>
        <v>53.1</v>
      </c>
      <c r="U60" s="1"/>
      <c r="V60" s="5">
        <f t="shared" si="33"/>
        <v>5.8704884479549899E-6</v>
      </c>
      <c r="W60" s="1"/>
      <c r="X60" s="1">
        <f t="shared" si="34"/>
        <v>0</v>
      </c>
      <c r="Y60" s="1"/>
      <c r="Z60" s="5">
        <f t="shared" si="35"/>
        <v>0</v>
      </c>
    </row>
    <row r="61" spans="1:26" s="23" customFormat="1" hidden="1" outlineLevel="2" x14ac:dyDescent="0.25">
      <c r="A61" s="25"/>
      <c r="B61" s="10" t="str">
        <f>CONCATENATE("          ", "6314", " - ", "LIABILITY INSURANCE")</f>
        <v xml:space="preserve">          6314 - LIABILITY INSURANCE</v>
      </c>
      <c r="C61" s="10"/>
      <c r="D61" s="6">
        <v>5.9</v>
      </c>
      <c r="E61" s="2"/>
      <c r="F61" s="7">
        <f t="shared" si="28"/>
        <v>6.4272434947036257E-5</v>
      </c>
      <c r="G61" s="2"/>
      <c r="H61" s="6">
        <v>5.9</v>
      </c>
      <c r="I61" s="2"/>
      <c r="J61" s="7">
        <f t="shared" si="29"/>
        <v>5.9832839014361685E-6</v>
      </c>
      <c r="K61" s="2"/>
      <c r="L61" s="6">
        <f t="shared" si="30"/>
        <v>0</v>
      </c>
      <c r="M61" s="2"/>
      <c r="N61" s="7">
        <f t="shared" si="31"/>
        <v>0</v>
      </c>
      <c r="O61" s="10"/>
      <c r="P61" s="6">
        <v>53.1</v>
      </c>
      <c r="Q61" s="2"/>
      <c r="R61" s="7">
        <f t="shared" si="32"/>
        <v>6.2383243621098937E-5</v>
      </c>
      <c r="S61" s="2"/>
      <c r="T61" s="6">
        <v>53.1</v>
      </c>
      <c r="U61" s="2"/>
      <c r="V61" s="7">
        <f t="shared" si="33"/>
        <v>5.8704884479549899E-6</v>
      </c>
      <c r="W61" s="2"/>
      <c r="X61" s="6">
        <f t="shared" si="34"/>
        <v>0</v>
      </c>
      <c r="Y61" s="2"/>
      <c r="Z61" s="7">
        <f t="shared" si="35"/>
        <v>0</v>
      </c>
    </row>
    <row r="62" spans="1:26" s="26" customFormat="1" outlineLevel="1" collapsed="1" x14ac:dyDescent="0.25">
      <c r="A62" s="27"/>
      <c r="B62" s="12" t="str">
        <f>CONCATENATE("     ","R/H Commissions                                   ")</f>
        <v xml:space="preserve">     R/H Commissions                                   </v>
      </c>
      <c r="C62" s="12"/>
      <c r="D62" s="1">
        <f>SUM(OSRRefD22_11x_0)</f>
        <v>6756.75</v>
      </c>
      <c r="E62" s="1"/>
      <c r="F62" s="5">
        <f t="shared" si="28"/>
        <v>7.3605555055658842E-2</v>
      </c>
      <c r="G62" s="1"/>
      <c r="H62" s="1">
        <f>SUM(OSRRefH22_11x_0)</f>
        <v>76497.149999999994</v>
      </c>
      <c r="I62" s="1"/>
      <c r="J62" s="5">
        <f t="shared" si="29"/>
        <v>7.7576977305211473E-2</v>
      </c>
      <c r="K62" s="1"/>
      <c r="L62" s="1">
        <f t="shared" si="30"/>
        <v>-69740.399999999994</v>
      </c>
      <c r="M62" s="1"/>
      <c r="N62" s="5">
        <f t="shared" si="31"/>
        <v>-0.911673179981215</v>
      </c>
      <c r="O62" s="12"/>
      <c r="P62" s="1">
        <f>SUM(OSRRefP22_11x_0)</f>
        <v>59012.6</v>
      </c>
      <c r="Q62" s="1"/>
      <c r="R62" s="5">
        <f t="shared" si="32"/>
        <v>6.9329517938125473E-2</v>
      </c>
      <c r="S62" s="1"/>
      <c r="T62" s="1">
        <f>SUM(OSRRefT22_11x_0)</f>
        <v>702548.43</v>
      </c>
      <c r="U62" s="1"/>
      <c r="V62" s="5">
        <f t="shared" si="33"/>
        <v>7.7670479142069968E-2</v>
      </c>
      <c r="W62" s="1"/>
      <c r="X62" s="1">
        <f t="shared" si="34"/>
        <v>-643535.83000000007</v>
      </c>
      <c r="Y62" s="1"/>
      <c r="Z62" s="5">
        <f t="shared" si="35"/>
        <v>-0.91600208970647057</v>
      </c>
    </row>
    <row r="63" spans="1:26" s="23" customFormat="1" hidden="1" outlineLevel="2" x14ac:dyDescent="0.25">
      <c r="A63" s="25"/>
      <c r="B63" s="10" t="str">
        <f>CONCATENATE("          ", "6387", " - ", "COMMISSION DUE HOUSING")</f>
        <v xml:space="preserve">          6387 - COMMISSION DUE HOUSING</v>
      </c>
      <c r="C63" s="10"/>
      <c r="D63" s="6">
        <v>6756.75</v>
      </c>
      <c r="E63" s="2"/>
      <c r="F63" s="7">
        <f t="shared" si="28"/>
        <v>7.3605555055658842E-2</v>
      </c>
      <c r="G63" s="2"/>
      <c r="H63" s="6">
        <v>76497.149999999994</v>
      </c>
      <c r="I63" s="2"/>
      <c r="J63" s="7">
        <f t="shared" si="29"/>
        <v>7.7576977305211473E-2</v>
      </c>
      <c r="K63" s="2"/>
      <c r="L63" s="6">
        <f t="shared" si="30"/>
        <v>-69740.399999999994</v>
      </c>
      <c r="M63" s="2"/>
      <c r="N63" s="7">
        <f t="shared" si="31"/>
        <v>-0.911673179981215</v>
      </c>
      <c r="O63" s="10"/>
      <c r="P63" s="6">
        <v>59012.6</v>
      </c>
      <c r="Q63" s="2"/>
      <c r="R63" s="7">
        <f t="shared" si="32"/>
        <v>6.9329517938125473E-2</v>
      </c>
      <c r="S63" s="2"/>
      <c r="T63" s="6">
        <v>702548.43</v>
      </c>
      <c r="U63" s="2"/>
      <c r="V63" s="7">
        <f t="shared" si="33"/>
        <v>7.7670479142069968E-2</v>
      </c>
      <c r="W63" s="2"/>
      <c r="X63" s="6">
        <f t="shared" si="34"/>
        <v>-643535.83000000007</v>
      </c>
      <c r="Y63" s="2"/>
      <c r="Z63" s="7">
        <f t="shared" si="35"/>
        <v>-0.91600208970647057</v>
      </c>
    </row>
    <row r="64" spans="1:26" s="26" customFormat="1" outlineLevel="1" collapsed="1" x14ac:dyDescent="0.25">
      <c r="A64" s="27"/>
      <c r="B64" s="12" t="str">
        <f>CONCATENATE("     ","Repair and Maintenance                            ")</f>
        <v xml:space="preserve">     Repair and Maintenance                            </v>
      </c>
      <c r="C64" s="12"/>
      <c r="D64" s="1">
        <f>SUM(OSRRefD22_12x_0)</f>
        <v>3741.62</v>
      </c>
      <c r="E64" s="1"/>
      <c r="F64" s="5">
        <f t="shared" si="28"/>
        <v>4.0759835262123692E-2</v>
      </c>
      <c r="G64" s="1"/>
      <c r="H64" s="1">
        <f>SUM(OSRRefH22_12x_0)</f>
        <v>1776.19</v>
      </c>
      <c r="I64" s="1"/>
      <c r="J64" s="5">
        <f t="shared" si="29"/>
        <v>1.801262547947781E-3</v>
      </c>
      <c r="K64" s="1"/>
      <c r="L64" s="1">
        <f t="shared" si="30"/>
        <v>1965.4299999999998</v>
      </c>
      <c r="M64" s="1"/>
      <c r="N64" s="5">
        <f t="shared" si="31"/>
        <v>1.106542655909559</v>
      </c>
      <c r="O64" s="12"/>
      <c r="P64" s="1">
        <f>SUM(OSRRefP22_12x_0)</f>
        <v>19001.09</v>
      </c>
      <c r="Q64" s="1"/>
      <c r="R64" s="5">
        <f t="shared" si="32"/>
        <v>2.232296848467847E-2</v>
      </c>
      <c r="S64" s="1"/>
      <c r="T64" s="1">
        <f>SUM(OSRRefT22_12x_0)</f>
        <v>64793.4</v>
      </c>
      <c r="U64" s="1"/>
      <c r="V64" s="5">
        <f t="shared" si="33"/>
        <v>7.1632562373583212E-3</v>
      </c>
      <c r="W64" s="1"/>
      <c r="X64" s="1">
        <f t="shared" si="34"/>
        <v>-45792.31</v>
      </c>
      <c r="Y64" s="1"/>
      <c r="Z64" s="5">
        <f t="shared" si="35"/>
        <v>-0.70674343374479498</v>
      </c>
    </row>
    <row r="65" spans="1:26" s="23" customFormat="1" hidden="1" outlineLevel="2" x14ac:dyDescent="0.25">
      <c r="A65" s="25"/>
      <c r="B65" s="10" t="str">
        <f>CONCATENATE("          ", "6371", " - ", "COMPUTER SOFTWARE MAINTENANCE")</f>
        <v xml:space="preserve">          6371 - COMPUTER SOFTWARE MAINTENANCE</v>
      </c>
      <c r="C65" s="10"/>
      <c r="D65" s="6">
        <v>3500</v>
      </c>
      <c r="E65" s="2"/>
      <c r="F65" s="7">
        <f t="shared" si="28"/>
        <v>3.8127715646546927E-2</v>
      </c>
      <c r="G65" s="2"/>
      <c r="H65" s="6"/>
      <c r="I65" s="2"/>
      <c r="J65" s="7">
        <f t="shared" si="29"/>
        <v>0</v>
      </c>
      <c r="K65" s="2"/>
      <c r="L65" s="6">
        <f t="shared" si="30"/>
        <v>3500</v>
      </c>
      <c r="M65" s="2"/>
      <c r="N65" s="7">
        <f t="shared" si="31"/>
        <v>0</v>
      </c>
      <c r="O65" s="10"/>
      <c r="P65" s="6">
        <v>14000</v>
      </c>
      <c r="Q65" s="2"/>
      <c r="R65" s="7">
        <f t="shared" si="32"/>
        <v>1.644755952345358E-2</v>
      </c>
      <c r="S65" s="2"/>
      <c r="T65" s="6">
        <v>63062.93</v>
      </c>
      <c r="U65" s="2"/>
      <c r="V65" s="7">
        <f t="shared" si="33"/>
        <v>6.9719435416044093E-3</v>
      </c>
      <c r="W65" s="2"/>
      <c r="X65" s="6">
        <f t="shared" si="34"/>
        <v>-49062.93</v>
      </c>
      <c r="Y65" s="2"/>
      <c r="Z65" s="7">
        <f t="shared" si="35"/>
        <v>-0.77799953157901158</v>
      </c>
    </row>
    <row r="66" spans="1:26" s="23" customFormat="1" hidden="1" outlineLevel="2" x14ac:dyDescent="0.25">
      <c r="A66" s="25"/>
      <c r="B66" s="10" t="str">
        <f>CONCATENATE("          ", "6373", " - ", "MAINTENANCE CONTRACTS")</f>
        <v xml:space="preserve">          6373 - MAINTENANCE CONTRACTS</v>
      </c>
      <c r="C66" s="10"/>
      <c r="D66" s="6">
        <v>241.62</v>
      </c>
      <c r="E66" s="2"/>
      <c r="F66" s="7">
        <f t="shared" si="28"/>
        <v>2.6321196155767628E-3</v>
      </c>
      <c r="G66" s="2"/>
      <c r="H66" s="6">
        <v>221.63</v>
      </c>
      <c r="I66" s="2"/>
      <c r="J66" s="7">
        <f t="shared" si="29"/>
        <v>2.2475851035174541E-4</v>
      </c>
      <c r="K66" s="2"/>
      <c r="L66" s="6">
        <f t="shared" si="30"/>
        <v>19.990000000000009</v>
      </c>
      <c r="M66" s="2"/>
      <c r="N66" s="7">
        <f t="shared" si="31"/>
        <v>9.0195370662816451E-2</v>
      </c>
      <c r="O66" s="10"/>
      <c r="P66" s="6">
        <v>3227.07</v>
      </c>
      <c r="Q66" s="2"/>
      <c r="R66" s="7">
        <f t="shared" si="32"/>
        <v>3.7912447079536675E-3</v>
      </c>
      <c r="S66" s="2"/>
      <c r="T66" s="6">
        <v>721.28</v>
      </c>
      <c r="U66" s="2"/>
      <c r="V66" s="7">
        <f t="shared" si="33"/>
        <v>7.9741354194745291E-5</v>
      </c>
      <c r="W66" s="2"/>
      <c r="X66" s="6">
        <f t="shared" si="34"/>
        <v>2505.79</v>
      </c>
      <c r="Y66" s="2"/>
      <c r="Z66" s="7">
        <f t="shared" si="35"/>
        <v>3.4740877329192545</v>
      </c>
    </row>
    <row r="67" spans="1:26" s="23" customFormat="1" hidden="1" outlineLevel="2" x14ac:dyDescent="0.25">
      <c r="A67" s="25"/>
      <c r="B67" s="10" t="str">
        <f>CONCATENATE("          ", "6375", " - ", "OUTSIDE REPAIRS &amp; MAINTENANCE")</f>
        <v xml:space="preserve">          6375 - OUTSIDE REPAIRS &amp; MAINTENANCE</v>
      </c>
      <c r="C67" s="10"/>
      <c r="D67" s="6"/>
      <c r="E67" s="2"/>
      <c r="F67" s="7">
        <f t="shared" si="28"/>
        <v>0</v>
      </c>
      <c r="G67" s="2"/>
      <c r="H67" s="6">
        <v>1554.56</v>
      </c>
      <c r="I67" s="2"/>
      <c r="J67" s="7">
        <f t="shared" si="29"/>
        <v>1.5765040375960355E-3</v>
      </c>
      <c r="K67" s="2"/>
      <c r="L67" s="6">
        <f t="shared" si="30"/>
        <v>-1554.56</v>
      </c>
      <c r="M67" s="2"/>
      <c r="N67" s="7">
        <f t="shared" si="31"/>
        <v>-1</v>
      </c>
      <c r="O67" s="10"/>
      <c r="P67" s="6">
        <v>1774.02</v>
      </c>
      <c r="Q67" s="2"/>
      <c r="R67" s="7">
        <f t="shared" si="32"/>
        <v>2.0841642532712229E-3</v>
      </c>
      <c r="S67" s="2"/>
      <c r="T67" s="6">
        <v>1009.19</v>
      </c>
      <c r="U67" s="2"/>
      <c r="V67" s="7">
        <f t="shared" si="33"/>
        <v>1.1157134155916565E-4</v>
      </c>
      <c r="W67" s="2"/>
      <c r="X67" s="6">
        <f t="shared" si="34"/>
        <v>764.82999999999993</v>
      </c>
      <c r="Y67" s="2"/>
      <c r="Z67" s="7">
        <f t="shared" si="35"/>
        <v>0.7578652186406919</v>
      </c>
    </row>
    <row r="68" spans="1:26" s="26" customFormat="1" outlineLevel="1" collapsed="1" x14ac:dyDescent="0.25">
      <c r="A68" s="27"/>
      <c r="B68" s="12" t="str">
        <f>CONCATENATE("     ","Services                                          ")</f>
        <v xml:space="preserve">     Services                                          </v>
      </c>
      <c r="C68" s="12"/>
      <c r="D68" s="1">
        <f>SUM(OSRRefD22_13x_0)</f>
        <v>15135.97</v>
      </c>
      <c r="E68" s="1"/>
      <c r="F68" s="5">
        <f t="shared" ref="F68:F72" si="36">IF(D$12=0,0,D68/D$12)</f>
        <v>0.16488570291276139</v>
      </c>
      <c r="G68" s="1"/>
      <c r="H68" s="1">
        <f>SUM(OSRRefH22_13x_0)</f>
        <v>22105.17</v>
      </c>
      <c r="I68" s="1"/>
      <c r="J68" s="5">
        <f t="shared" ref="J68:J72" si="37">IF(H$12=0,0,H68/H$12)</f>
        <v>2.2417204711781311E-2</v>
      </c>
      <c r="K68" s="1"/>
      <c r="L68" s="1">
        <f t="shared" ref="L68:L72" si="38">+D68-H68</f>
        <v>-6969.1999999999989</v>
      </c>
      <c r="M68" s="1"/>
      <c r="N68" s="5">
        <f t="shared" ref="N68:N72" si="39">IF(H68=0,0,L68/H68)</f>
        <v>-0.31527466199083742</v>
      </c>
      <c r="O68" s="12"/>
      <c r="P68" s="1">
        <f>SUM(OSRRefP22_13x_0)</f>
        <v>104235.15</v>
      </c>
      <c r="Q68" s="1"/>
      <c r="R68" s="5">
        <f t="shared" ref="R68:R72" si="40">IF(P$12=0,0,P68/P$12)</f>
        <v>0.12245813100436516</v>
      </c>
      <c r="S68" s="1"/>
      <c r="T68" s="1">
        <f>SUM(OSRRefT22_13x_0)</f>
        <v>170963.46</v>
      </c>
      <c r="U68" s="1"/>
      <c r="V68" s="5">
        <f t="shared" ref="V68:V72" si="41">IF(T$12=0,0,T68/T$12)</f>
        <v>1.8900923106448492E-2</v>
      </c>
      <c r="W68" s="1"/>
      <c r="X68" s="1">
        <f t="shared" ref="X68:X72" si="42">+P68-T68</f>
        <v>-66728.31</v>
      </c>
      <c r="Y68" s="1"/>
      <c r="Z68" s="5">
        <f t="shared" ref="Z68:Z72" si="43">IF(T68=0,0,X68/T68)</f>
        <v>-0.39030743762439063</v>
      </c>
    </row>
    <row r="69" spans="1:26" s="23" customFormat="1" hidden="1" outlineLevel="2" x14ac:dyDescent="0.25">
      <c r="A69" s="25"/>
      <c r="B69" s="10" t="str">
        <f>CONCATENATE("          ", "6282", " - ", "JANITORIAL/EXTERMINATOR EXPENS")</f>
        <v xml:space="preserve">          6282 - JANITORIAL/EXTERMINATOR EXPENS</v>
      </c>
      <c r="C69" s="10"/>
      <c r="D69" s="6">
        <v>2177.94</v>
      </c>
      <c r="E69" s="2"/>
      <c r="F69" s="7">
        <f t="shared" si="36"/>
        <v>2.3725679147211548E-2</v>
      </c>
      <c r="G69" s="2"/>
      <c r="H69" s="6">
        <v>1436.53</v>
      </c>
      <c r="I69" s="2"/>
      <c r="J69" s="7">
        <f t="shared" si="37"/>
        <v>1.4568079360898472E-3</v>
      </c>
      <c r="K69" s="2"/>
      <c r="L69" s="6">
        <f t="shared" si="38"/>
        <v>741.41000000000008</v>
      </c>
      <c r="M69" s="2"/>
      <c r="N69" s="7">
        <f t="shared" si="39"/>
        <v>0.51611174148816952</v>
      </c>
      <c r="O69" s="10"/>
      <c r="P69" s="6">
        <v>12094.59</v>
      </c>
      <c r="Q69" s="2"/>
      <c r="R69" s="7">
        <f t="shared" si="40"/>
        <v>1.4209034924054745E-2</v>
      </c>
      <c r="S69" s="2"/>
      <c r="T69" s="6">
        <v>15281.23</v>
      </c>
      <c r="U69" s="2"/>
      <c r="V69" s="7">
        <f t="shared" si="41"/>
        <v>1.6894215477503431E-3</v>
      </c>
      <c r="W69" s="2"/>
      <c r="X69" s="6">
        <f t="shared" si="42"/>
        <v>-3186.6399999999994</v>
      </c>
      <c r="Y69" s="2"/>
      <c r="Z69" s="7">
        <f t="shared" si="43"/>
        <v>-0.20853295186316806</v>
      </c>
    </row>
    <row r="70" spans="1:26" s="23" customFormat="1" hidden="1" outlineLevel="2" x14ac:dyDescent="0.25">
      <c r="A70" s="25"/>
      <c r="B70" s="10" t="str">
        <f>CONCATENATE("          ", "6284", " - ", "TRASH REMOVAL EXPENSE")</f>
        <v xml:space="preserve">          6284 - TRASH REMOVAL EXPENSE</v>
      </c>
      <c r="C70" s="10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0"/>
      <c r="P70" s="6">
        <v>282.75</v>
      </c>
      <c r="Q70" s="2"/>
      <c r="R70" s="7">
        <f t="shared" si="40"/>
        <v>3.3218196108974996E-4</v>
      </c>
      <c r="S70" s="2"/>
      <c r="T70" s="6"/>
      <c r="U70" s="2"/>
      <c r="V70" s="7">
        <f t="shared" si="41"/>
        <v>0</v>
      </c>
      <c r="W70" s="2"/>
      <c r="X70" s="6">
        <f t="shared" si="42"/>
        <v>282.75</v>
      </c>
      <c r="Y70" s="2"/>
      <c r="Z70" s="7">
        <f t="shared" si="43"/>
        <v>0</v>
      </c>
    </row>
    <row r="71" spans="1:26" s="23" customFormat="1" hidden="1" outlineLevel="2" x14ac:dyDescent="0.25">
      <c r="A71" s="25"/>
      <c r="B71" s="10" t="str">
        <f>CONCATENATE("          ", "6285", " - ", "JANITORIAL SERVICES")</f>
        <v xml:space="preserve">          6285 - JANITORIAL SERVICES</v>
      </c>
      <c r="C71" s="10"/>
      <c r="D71" s="6">
        <v>12079.8</v>
      </c>
      <c r="E71" s="2"/>
      <c r="F71" s="7">
        <f t="shared" si="36"/>
        <v>0.13159290841918789</v>
      </c>
      <c r="G71" s="2"/>
      <c r="H71" s="6">
        <v>16471.599999999999</v>
      </c>
      <c r="I71" s="2"/>
      <c r="J71" s="7">
        <f t="shared" si="37"/>
        <v>1.6704111713711181E-2</v>
      </c>
      <c r="K71" s="2"/>
      <c r="L71" s="6">
        <f t="shared" si="38"/>
        <v>-4391.7999999999993</v>
      </c>
      <c r="M71" s="2"/>
      <c r="N71" s="7">
        <f t="shared" si="39"/>
        <v>-0.26662862138468635</v>
      </c>
      <c r="O71" s="10"/>
      <c r="P71" s="6">
        <v>79176.160000000003</v>
      </c>
      <c r="Q71" s="2"/>
      <c r="R71" s="7">
        <f t="shared" si="40"/>
        <v>9.3018186031320324E-2</v>
      </c>
      <c r="S71" s="2"/>
      <c r="T71" s="6">
        <v>115053.02</v>
      </c>
      <c r="U71" s="2"/>
      <c r="V71" s="7">
        <f t="shared" si="41"/>
        <v>1.2719725514356579E-2</v>
      </c>
      <c r="W71" s="2"/>
      <c r="X71" s="6">
        <f t="shared" si="42"/>
        <v>-35876.86</v>
      </c>
      <c r="Y71" s="2"/>
      <c r="Z71" s="7">
        <f t="shared" si="43"/>
        <v>-0.31182892895814468</v>
      </c>
    </row>
    <row r="72" spans="1:26" s="23" customFormat="1" hidden="1" outlineLevel="2" x14ac:dyDescent="0.25">
      <c r="A72" s="25"/>
      <c r="B72" s="10" t="str">
        <f>CONCATENATE("          ", "6286", " - ", "LAUNDRY EXPENSE")</f>
        <v xml:space="preserve">          6286 - LAUNDRY EXPENSE</v>
      </c>
      <c r="C72" s="10"/>
      <c r="D72" s="6">
        <v>878.23</v>
      </c>
      <c r="E72" s="2"/>
      <c r="F72" s="7">
        <f t="shared" si="36"/>
        <v>9.5671153463619749E-3</v>
      </c>
      <c r="G72" s="2"/>
      <c r="H72" s="6">
        <v>4197.04</v>
      </c>
      <c r="I72" s="2"/>
      <c r="J72" s="7">
        <f t="shared" si="37"/>
        <v>4.2562850619802806E-3</v>
      </c>
      <c r="K72" s="2"/>
      <c r="L72" s="6">
        <f t="shared" si="38"/>
        <v>-3318.81</v>
      </c>
      <c r="M72" s="2"/>
      <c r="N72" s="7">
        <f t="shared" si="39"/>
        <v>-0.79075014772315722</v>
      </c>
      <c r="O72" s="10"/>
      <c r="P72" s="6">
        <v>12681.65</v>
      </c>
      <c r="Q72" s="2"/>
      <c r="R72" s="7">
        <f t="shared" si="40"/>
        <v>1.4898728087900364E-2</v>
      </c>
      <c r="S72" s="2"/>
      <c r="T72" s="6">
        <v>40629.21</v>
      </c>
      <c r="U72" s="2"/>
      <c r="V72" s="7">
        <f t="shared" si="41"/>
        <v>4.4917760443415698E-3</v>
      </c>
      <c r="W72" s="2"/>
      <c r="X72" s="6">
        <f t="shared" si="42"/>
        <v>-27947.559999999998</v>
      </c>
      <c r="Y72" s="2"/>
      <c r="Z72" s="7">
        <f t="shared" si="43"/>
        <v>-0.68786865410378395</v>
      </c>
    </row>
    <row r="73" spans="1:26" s="26" customFormat="1" outlineLevel="1" collapsed="1" x14ac:dyDescent="0.25">
      <c r="A73" s="27"/>
      <c r="B73" s="12" t="str">
        <f>CONCATENATE("     ","Subscriptions &amp; Dues                              ")</f>
        <v xml:space="preserve">     Subscriptions &amp; Dues                              </v>
      </c>
      <c r="C73" s="12"/>
      <c r="D73" s="1">
        <f>SUM(OSRRefD22_14x_0)</f>
        <v>0</v>
      </c>
      <c r="E73" s="1"/>
      <c r="F73" s="5">
        <f t="shared" ref="F73:F84" si="44">IF(D$12=0,0,D73/D$12)</f>
        <v>0</v>
      </c>
      <c r="G73" s="1"/>
      <c r="H73" s="1">
        <f>SUM(OSRRefH22_14x_0)</f>
        <v>0</v>
      </c>
      <c r="I73" s="1"/>
      <c r="J73" s="5">
        <f t="shared" ref="J73:J84" si="45">IF(H$12=0,0,H73/H$12)</f>
        <v>0</v>
      </c>
      <c r="K73" s="1"/>
      <c r="L73" s="1">
        <f t="shared" ref="L73:L84" si="46">+D73-H73</f>
        <v>0</v>
      </c>
      <c r="M73" s="1"/>
      <c r="N73" s="5">
        <f t="shared" ref="N73:N84" si="47">IF(H73=0,0,L73/H73)</f>
        <v>0</v>
      </c>
      <c r="O73" s="12"/>
      <c r="P73" s="1">
        <f>SUM(OSRRefP22_14x_0)</f>
        <v>795</v>
      </c>
      <c r="Q73" s="1"/>
      <c r="R73" s="5">
        <f t="shared" ref="R73:R84" si="48">IF(P$12=0,0,P73/P$12)</f>
        <v>9.3398641579611405E-4</v>
      </c>
      <c r="S73" s="1"/>
      <c r="T73" s="1">
        <f>SUM(OSRRefT22_14x_0)</f>
        <v>0</v>
      </c>
      <c r="U73" s="1"/>
      <c r="V73" s="5">
        <f t="shared" ref="V73:V84" si="49">IF(T$12=0,0,T73/T$12)</f>
        <v>0</v>
      </c>
      <c r="W73" s="1"/>
      <c r="X73" s="1">
        <f t="shared" ref="X73:X84" si="50">+P73-T73</f>
        <v>795</v>
      </c>
      <c r="Y73" s="1"/>
      <c r="Z73" s="5">
        <f t="shared" ref="Z73:Z84" si="51">IF(T73=0,0,X73/T73)</f>
        <v>0</v>
      </c>
    </row>
    <row r="74" spans="1:26" s="23" customFormat="1" hidden="1" outlineLevel="2" x14ac:dyDescent="0.25">
      <c r="A74" s="25"/>
      <c r="B74" s="10" t="str">
        <f>CONCATENATE("          ", "6258", " - ", "MEMBERSHIP DUES")</f>
        <v xml:space="preserve">          6258 - MEMBERSHIP DUES</v>
      </c>
      <c r="C74" s="10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0"/>
      <c r="P74" s="6">
        <v>795</v>
      </c>
      <c r="Q74" s="2"/>
      <c r="R74" s="7">
        <f t="shared" si="48"/>
        <v>9.3398641579611405E-4</v>
      </c>
      <c r="S74" s="2"/>
      <c r="T74" s="6"/>
      <c r="U74" s="2"/>
      <c r="V74" s="7">
        <f t="shared" si="49"/>
        <v>0</v>
      </c>
      <c r="W74" s="2"/>
      <c r="X74" s="6">
        <f t="shared" si="50"/>
        <v>795</v>
      </c>
      <c r="Y74" s="2"/>
      <c r="Z74" s="7">
        <f t="shared" si="51"/>
        <v>0</v>
      </c>
    </row>
    <row r="75" spans="1:26" s="26" customFormat="1" outlineLevel="1" collapsed="1" x14ac:dyDescent="0.25">
      <c r="A75" s="27"/>
      <c r="B75" s="12" t="str">
        <f>CONCATENATE("     ","Supplies                                          ")</f>
        <v xml:space="preserve">     Supplies                                          </v>
      </c>
      <c r="C75" s="12"/>
      <c r="D75" s="1">
        <f>SUM(OSRRefD22_15x_0)</f>
        <v>7489.21</v>
      </c>
      <c r="E75" s="1"/>
      <c r="F75" s="5">
        <f t="shared" si="44"/>
        <v>8.1584705513507355E-2</v>
      </c>
      <c r="G75" s="1"/>
      <c r="H75" s="1">
        <f>SUM(OSRRefH22_15x_0)</f>
        <v>15777.73</v>
      </c>
      <c r="I75" s="1"/>
      <c r="J75" s="5">
        <f t="shared" si="45"/>
        <v>1.6000447103424825E-2</v>
      </c>
      <c r="K75" s="1"/>
      <c r="L75" s="1">
        <f t="shared" si="46"/>
        <v>-8288.52</v>
      </c>
      <c r="M75" s="1"/>
      <c r="N75" s="5">
        <f t="shared" si="47"/>
        <v>-0.52533032318337303</v>
      </c>
      <c r="O75" s="12"/>
      <c r="P75" s="1">
        <f>SUM(OSRRefP22_15x_0)</f>
        <v>120060.58</v>
      </c>
      <c r="Q75" s="1"/>
      <c r="R75" s="5">
        <f t="shared" si="48"/>
        <v>0.14105025256931145</v>
      </c>
      <c r="S75" s="1"/>
      <c r="T75" s="1">
        <f>SUM(OSRRefT22_15x_0)</f>
        <v>185660.19</v>
      </c>
      <c r="U75" s="1"/>
      <c r="V75" s="5">
        <f t="shared" si="49"/>
        <v>2.0525725059136132E-2</v>
      </c>
      <c r="W75" s="1"/>
      <c r="X75" s="1">
        <f t="shared" si="50"/>
        <v>-65599.61</v>
      </c>
      <c r="Y75" s="1"/>
      <c r="Z75" s="5">
        <f t="shared" si="51"/>
        <v>-0.35333158928685787</v>
      </c>
    </row>
    <row r="76" spans="1:26" s="23" customFormat="1" hidden="1" outlineLevel="2" x14ac:dyDescent="0.25">
      <c r="A76" s="25"/>
      <c r="B76" s="10" t="str">
        <f>CONCATENATE("          ", "6234", " - ", "EXPENDABLE SUPPLIES &amp; EQUIPMEN")</f>
        <v xml:space="preserve">          6234 - EXPENDABLE SUPPLIES &amp; EQUIPMEN</v>
      </c>
      <c r="C76" s="10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0"/>
      <c r="P76" s="6"/>
      <c r="Q76" s="2"/>
      <c r="R76" s="7">
        <f t="shared" si="48"/>
        <v>0</v>
      </c>
      <c r="S76" s="2"/>
      <c r="T76" s="6">
        <v>118.34</v>
      </c>
      <c r="U76" s="2"/>
      <c r="V76" s="7">
        <f t="shared" si="49"/>
        <v>1.3083118699265415E-5</v>
      </c>
      <c r="W76" s="2"/>
      <c r="X76" s="6">
        <f t="shared" si="50"/>
        <v>-118.34</v>
      </c>
      <c r="Y76" s="2"/>
      <c r="Z76" s="7">
        <f t="shared" si="51"/>
        <v>-1</v>
      </c>
    </row>
    <row r="77" spans="1:26" s="23" customFormat="1" hidden="1" outlineLevel="2" x14ac:dyDescent="0.25">
      <c r="A77" s="25"/>
      <c r="B77" s="10" t="str">
        <f>CONCATENATE("          ", "6235", " - ", "COVID-19 EXPENSES")</f>
        <v xml:space="preserve">          6235 - COVID-19 EXPENSES</v>
      </c>
      <c r="C77" s="10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0"/>
      <c r="P77" s="6">
        <v>53569.55</v>
      </c>
      <c r="Q77" s="2"/>
      <c r="R77" s="7">
        <f t="shared" si="48"/>
        <v>6.2934883019258772E-2</v>
      </c>
      <c r="S77" s="2"/>
      <c r="T77" s="6"/>
      <c r="U77" s="2"/>
      <c r="V77" s="7">
        <f t="shared" si="49"/>
        <v>0</v>
      </c>
      <c r="W77" s="2"/>
      <c r="X77" s="6">
        <f t="shared" si="50"/>
        <v>53569.55</v>
      </c>
      <c r="Y77" s="2"/>
      <c r="Z77" s="7">
        <f t="shared" si="51"/>
        <v>0</v>
      </c>
    </row>
    <row r="78" spans="1:26" s="23" customFormat="1" hidden="1" outlineLevel="2" x14ac:dyDescent="0.25">
      <c r="A78" s="25"/>
      <c r="B78" s="10" t="str">
        <f>CONCATENATE("          ", "6237", " - ", "JANITORIAL SUPPLIES")</f>
        <v xml:space="preserve">          6237 - JANITORIAL SUPPLIES</v>
      </c>
      <c r="C78" s="10"/>
      <c r="D78" s="6">
        <v>1954.49</v>
      </c>
      <c r="E78" s="2"/>
      <c r="F78" s="7">
        <f t="shared" si="44"/>
        <v>2.1291496844005574E-2</v>
      </c>
      <c r="G78" s="2"/>
      <c r="H78" s="6">
        <v>6402.82</v>
      </c>
      <c r="I78" s="2"/>
      <c r="J78" s="7">
        <f t="shared" si="45"/>
        <v>6.4932016660666989E-3</v>
      </c>
      <c r="K78" s="2"/>
      <c r="L78" s="6">
        <f t="shared" si="46"/>
        <v>-4448.33</v>
      </c>
      <c r="M78" s="2"/>
      <c r="N78" s="7">
        <f t="shared" si="47"/>
        <v>-0.69474544029037211</v>
      </c>
      <c r="O78" s="10"/>
      <c r="P78" s="6">
        <v>19839.29</v>
      </c>
      <c r="Q78" s="2"/>
      <c r="R78" s="7">
        <f t="shared" si="48"/>
        <v>2.3307707369861243E-2</v>
      </c>
      <c r="S78" s="2"/>
      <c r="T78" s="6">
        <v>71658.740000000005</v>
      </c>
      <c r="U78" s="2"/>
      <c r="V78" s="7">
        <f t="shared" si="49"/>
        <v>7.9222562215632807E-3</v>
      </c>
      <c r="W78" s="2"/>
      <c r="X78" s="6">
        <f t="shared" si="50"/>
        <v>-51819.450000000004</v>
      </c>
      <c r="Y78" s="2"/>
      <c r="Z78" s="7">
        <f t="shared" si="51"/>
        <v>-0.72314207590030188</v>
      </c>
    </row>
    <row r="79" spans="1:26" s="23" customFormat="1" hidden="1" outlineLevel="2" x14ac:dyDescent="0.25">
      <c r="A79" s="25"/>
      <c r="B79" s="10" t="str">
        <f>CONCATENATE("          ", "6239", " - ", "KITCHEN SUPPLIES")</f>
        <v xml:space="preserve">          6239 - KITCHEN SUPPLIES</v>
      </c>
      <c r="C79" s="10"/>
      <c r="D79" s="6">
        <v>39.75</v>
      </c>
      <c r="E79" s="2"/>
      <c r="F79" s="7">
        <f t="shared" si="44"/>
        <v>4.3302191341435442E-4</v>
      </c>
      <c r="G79" s="2"/>
      <c r="H79" s="6">
        <v>155.58000000000001</v>
      </c>
      <c r="I79" s="2"/>
      <c r="J79" s="7">
        <f t="shared" si="45"/>
        <v>1.5777615413312528E-4</v>
      </c>
      <c r="K79" s="2"/>
      <c r="L79" s="6">
        <f t="shared" si="46"/>
        <v>-115.83000000000001</v>
      </c>
      <c r="M79" s="2"/>
      <c r="N79" s="7">
        <f t="shared" si="47"/>
        <v>-0.74450443501735442</v>
      </c>
      <c r="O79" s="10"/>
      <c r="P79" s="6">
        <v>7087.08</v>
      </c>
      <c r="Q79" s="2"/>
      <c r="R79" s="7">
        <f t="shared" si="48"/>
        <v>8.3260835819626705E-3</v>
      </c>
      <c r="S79" s="2"/>
      <c r="T79" s="6">
        <v>26798.5</v>
      </c>
      <c r="U79" s="2"/>
      <c r="V79" s="7">
        <f t="shared" si="49"/>
        <v>2.9627172254712199E-3</v>
      </c>
      <c r="W79" s="2"/>
      <c r="X79" s="6">
        <f t="shared" si="50"/>
        <v>-19711.419999999998</v>
      </c>
      <c r="Y79" s="2"/>
      <c r="Z79" s="7">
        <f t="shared" si="51"/>
        <v>-0.73554191465940255</v>
      </c>
    </row>
    <row r="80" spans="1:26" s="23" customFormat="1" hidden="1" outlineLevel="2" x14ac:dyDescent="0.25">
      <c r="A80" s="25"/>
      <c r="B80" s="10" t="str">
        <f>CONCATENATE("          ", "6241", " - ", "OFFICE EXPENSE")</f>
        <v xml:space="preserve">          6241 - OFFICE EXPENSE</v>
      </c>
      <c r="C80" s="10"/>
      <c r="D80" s="6">
        <v>1406.91</v>
      </c>
      <c r="E80" s="2"/>
      <c r="F80" s="7">
        <f t="shared" si="44"/>
        <v>1.5326361262938099E-2</v>
      </c>
      <c r="G80" s="2"/>
      <c r="H80" s="6">
        <v>950.83</v>
      </c>
      <c r="I80" s="2"/>
      <c r="J80" s="7">
        <f t="shared" si="45"/>
        <v>9.6425183593263589E-4</v>
      </c>
      <c r="K80" s="2"/>
      <c r="L80" s="6">
        <f t="shared" si="46"/>
        <v>456.08000000000004</v>
      </c>
      <c r="M80" s="2"/>
      <c r="N80" s="7">
        <f t="shared" si="47"/>
        <v>0.47966513467181304</v>
      </c>
      <c r="O80" s="10"/>
      <c r="P80" s="6">
        <v>6722.52</v>
      </c>
      <c r="Q80" s="2"/>
      <c r="R80" s="7">
        <f t="shared" si="48"/>
        <v>7.8977891319719409E-3</v>
      </c>
      <c r="S80" s="2"/>
      <c r="T80" s="6">
        <v>28380.45</v>
      </c>
      <c r="U80" s="2"/>
      <c r="V80" s="7">
        <f t="shared" si="49"/>
        <v>3.1376102424249376E-3</v>
      </c>
      <c r="W80" s="2"/>
      <c r="X80" s="6">
        <f t="shared" si="50"/>
        <v>-21657.93</v>
      </c>
      <c r="Y80" s="2"/>
      <c r="Z80" s="7">
        <f t="shared" si="51"/>
        <v>-0.76312849162011176</v>
      </c>
    </row>
    <row r="81" spans="1:26" s="23" customFormat="1" hidden="1" outlineLevel="2" x14ac:dyDescent="0.25">
      <c r="A81" s="25"/>
      <c r="B81" s="10" t="str">
        <f>CONCATENATE("          ", "6243", " - ", "PAPER SUPPLIES")</f>
        <v xml:space="preserve">          6243 - PAPER SUPPLIES</v>
      </c>
      <c r="C81" s="10"/>
      <c r="D81" s="6">
        <v>4088.06</v>
      </c>
      <c r="E81" s="2"/>
      <c r="F81" s="7">
        <f t="shared" si="44"/>
        <v>4.4533825493149326E-2</v>
      </c>
      <c r="G81" s="2"/>
      <c r="H81" s="6">
        <v>6698.96</v>
      </c>
      <c r="I81" s="2"/>
      <c r="J81" s="7">
        <f t="shared" si="45"/>
        <v>6.7935219532821748E-3</v>
      </c>
      <c r="K81" s="2"/>
      <c r="L81" s="6">
        <f t="shared" si="46"/>
        <v>-2610.9</v>
      </c>
      <c r="M81" s="2"/>
      <c r="N81" s="7">
        <f t="shared" si="47"/>
        <v>-0.38974706521609326</v>
      </c>
      <c r="O81" s="10"/>
      <c r="P81" s="6">
        <v>28341.55</v>
      </c>
      <c r="Q81" s="2"/>
      <c r="R81" s="7">
        <f t="shared" si="48"/>
        <v>3.3296380757995417E-2</v>
      </c>
      <c r="S81" s="2"/>
      <c r="T81" s="6">
        <v>56811.74</v>
      </c>
      <c r="U81" s="2"/>
      <c r="V81" s="7">
        <f t="shared" si="49"/>
        <v>6.2808411182339432E-3</v>
      </c>
      <c r="W81" s="2"/>
      <c r="X81" s="6">
        <f t="shared" si="50"/>
        <v>-28470.19</v>
      </c>
      <c r="Y81" s="2"/>
      <c r="Z81" s="7">
        <f t="shared" si="51"/>
        <v>-0.50113216035981289</v>
      </c>
    </row>
    <row r="82" spans="1:26" s="23" customFormat="1" hidden="1" outlineLevel="2" x14ac:dyDescent="0.25">
      <c r="A82" s="25"/>
      <c r="B82" s="10" t="str">
        <f>CONCATENATE("          ", "6245", " - ", "PRINTING")</f>
        <v xml:space="preserve">          6245 - PRINTING</v>
      </c>
      <c r="C82" s="10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0"/>
      <c r="P82" s="6"/>
      <c r="Q82" s="2"/>
      <c r="R82" s="7">
        <f t="shared" si="48"/>
        <v>0</v>
      </c>
      <c r="S82" s="2"/>
      <c r="T82" s="6">
        <v>1351.44</v>
      </c>
      <c r="U82" s="2"/>
      <c r="V82" s="7">
        <f t="shared" si="49"/>
        <v>1.4940890599066461E-4</v>
      </c>
      <c r="W82" s="2"/>
      <c r="X82" s="6">
        <f t="shared" si="50"/>
        <v>-1351.44</v>
      </c>
      <c r="Y82" s="2"/>
      <c r="Z82" s="7">
        <f t="shared" si="51"/>
        <v>-1</v>
      </c>
    </row>
    <row r="83" spans="1:26" s="23" customFormat="1" hidden="1" outlineLevel="2" x14ac:dyDescent="0.25">
      <c r="A83" s="25"/>
      <c r="B83" s="10" t="str">
        <f>CONCATENATE("          ", "6247", " - ", "STORE SUPPLIES")</f>
        <v xml:space="preserve">          6247 - STORE SUPPLIES</v>
      </c>
      <c r="C83" s="10"/>
      <c r="D83" s="6"/>
      <c r="E83" s="2"/>
      <c r="F83" s="7">
        <f t="shared" si="44"/>
        <v>0</v>
      </c>
      <c r="G83" s="2"/>
      <c r="H83" s="6"/>
      <c r="I83" s="2"/>
      <c r="J83" s="7">
        <f t="shared" si="45"/>
        <v>0</v>
      </c>
      <c r="K83" s="2"/>
      <c r="L83" s="6">
        <f t="shared" si="46"/>
        <v>0</v>
      </c>
      <c r="M83" s="2"/>
      <c r="N83" s="7">
        <f t="shared" si="47"/>
        <v>0</v>
      </c>
      <c r="O83" s="10"/>
      <c r="P83" s="6"/>
      <c r="Q83" s="2"/>
      <c r="R83" s="7">
        <f t="shared" si="48"/>
        <v>0</v>
      </c>
      <c r="S83" s="2"/>
      <c r="T83" s="6">
        <v>667.78</v>
      </c>
      <c r="U83" s="2"/>
      <c r="V83" s="7">
        <f t="shared" si="49"/>
        <v>7.3826643611589135E-5</v>
      </c>
      <c r="W83" s="2"/>
      <c r="X83" s="6">
        <f t="shared" si="50"/>
        <v>-667.78</v>
      </c>
      <c r="Y83" s="2"/>
      <c r="Z83" s="7">
        <f t="shared" si="51"/>
        <v>-1</v>
      </c>
    </row>
    <row r="84" spans="1:26" s="23" customFormat="1" hidden="1" outlineLevel="2" x14ac:dyDescent="0.25">
      <c r="A84" s="25"/>
      <c r="B84" s="10" t="str">
        <f>CONCATENATE("          ", "6248", " - ", "UNIFORMS")</f>
        <v xml:space="preserve">          6248 - UNIFORMS</v>
      </c>
      <c r="C84" s="10"/>
      <c r="D84" s="6"/>
      <c r="E84" s="2"/>
      <c r="F84" s="7">
        <f t="shared" si="44"/>
        <v>0</v>
      </c>
      <c r="G84" s="2"/>
      <c r="H84" s="6">
        <v>1569.54</v>
      </c>
      <c r="I84" s="2"/>
      <c r="J84" s="7">
        <f t="shared" si="45"/>
        <v>1.5916954940101904E-3</v>
      </c>
      <c r="K84" s="2"/>
      <c r="L84" s="6">
        <f t="shared" si="46"/>
        <v>-1569.54</v>
      </c>
      <c r="M84" s="2"/>
      <c r="N84" s="7">
        <f t="shared" si="47"/>
        <v>-1</v>
      </c>
      <c r="O84" s="10"/>
      <c r="P84" s="6">
        <v>4500.59</v>
      </c>
      <c r="Q84" s="2"/>
      <c r="R84" s="7">
        <f t="shared" si="48"/>
        <v>5.2874087082614247E-3</v>
      </c>
      <c r="S84" s="2"/>
      <c r="T84" s="6">
        <v>-126.8</v>
      </c>
      <c r="U84" s="2"/>
      <c r="V84" s="7">
        <f t="shared" si="49"/>
        <v>-1.4018416858770107E-5</v>
      </c>
      <c r="W84" s="2"/>
      <c r="X84" s="6">
        <f t="shared" si="50"/>
        <v>4627.3900000000003</v>
      </c>
      <c r="Y84" s="2"/>
      <c r="Z84" s="7">
        <f t="shared" si="51"/>
        <v>-36.493611987381705</v>
      </c>
    </row>
    <row r="85" spans="1:26" s="26" customFormat="1" outlineLevel="1" collapsed="1" x14ac:dyDescent="0.25">
      <c r="A85" s="27"/>
      <c r="B85" s="12" t="str">
        <f>CONCATENATE("     ","Telephone/Data Lines                              ")</f>
        <v xml:space="preserve">     Telephone/Data Lines                              </v>
      </c>
      <c r="C85" s="12"/>
      <c r="D85" s="1">
        <f>SUM(OSRRefD22_16x_0)</f>
        <v>248</v>
      </c>
      <c r="E85" s="1"/>
      <c r="F85" s="5">
        <f t="shared" ref="F85:F90" si="52">IF(D$12=0,0,D85/D$12)</f>
        <v>2.7016209943838969E-3</v>
      </c>
      <c r="G85" s="1"/>
      <c r="H85" s="1">
        <f>SUM(OSRRefH22_16x_0)</f>
        <v>745.35</v>
      </c>
      <c r="I85" s="1"/>
      <c r="J85" s="5">
        <f t="shared" ref="J85:J90" si="53">IF(H$12=0,0,H85/H$12)</f>
        <v>7.5587129761617766E-4</v>
      </c>
      <c r="K85" s="1"/>
      <c r="L85" s="1">
        <f t="shared" ref="L85:L90" si="54">+D85-H85</f>
        <v>-497.35</v>
      </c>
      <c r="M85" s="1"/>
      <c r="N85" s="5">
        <f t="shared" ref="N85:N90" si="55">IF(H85=0,0,L85/H85)</f>
        <v>-0.66727040987455555</v>
      </c>
      <c r="O85" s="12"/>
      <c r="P85" s="1">
        <f>SUM(OSRRefP22_16x_0)</f>
        <v>4527.32</v>
      </c>
      <c r="Q85" s="1"/>
      <c r="R85" s="5">
        <f t="shared" ref="R85:R90" si="56">IF(P$12=0,0,P85/P$12)</f>
        <v>5.3188117986944184E-3</v>
      </c>
      <c r="S85" s="1"/>
      <c r="T85" s="1">
        <f>SUM(OSRRefT22_16x_0)</f>
        <v>5914.35</v>
      </c>
      <c r="U85" s="1"/>
      <c r="V85" s="5">
        <f t="shared" ref="V85:V90" si="57">IF(T$12=0,0,T85/T$12)</f>
        <v>6.5386296331756304E-4</v>
      </c>
      <c r="W85" s="1"/>
      <c r="X85" s="1">
        <f t="shared" ref="X85:X90" si="58">+P85-T85</f>
        <v>-1387.0300000000007</v>
      </c>
      <c r="Y85" s="1"/>
      <c r="Z85" s="5">
        <f t="shared" ref="Z85:Z90" si="59">IF(T85=0,0,X85/T85)</f>
        <v>-0.23451943155207261</v>
      </c>
    </row>
    <row r="86" spans="1:26" s="23" customFormat="1" hidden="1" outlineLevel="2" x14ac:dyDescent="0.25">
      <c r="A86" s="25"/>
      <c r="B86" s="10" t="str">
        <f>CONCATENATE("          ", "6309", " - ", "TELEPHONE")</f>
        <v xml:space="preserve">          6309 - TELEPHONE</v>
      </c>
      <c r="C86" s="10"/>
      <c r="D86" s="6">
        <v>248</v>
      </c>
      <c r="E86" s="2"/>
      <c r="F86" s="7">
        <f t="shared" si="52"/>
        <v>2.7016209943838969E-3</v>
      </c>
      <c r="G86" s="2"/>
      <c r="H86" s="6">
        <v>745.35</v>
      </c>
      <c r="I86" s="2"/>
      <c r="J86" s="7">
        <f t="shared" si="53"/>
        <v>7.5587129761617766E-4</v>
      </c>
      <c r="K86" s="2"/>
      <c r="L86" s="6">
        <f t="shared" si="54"/>
        <v>-497.35</v>
      </c>
      <c r="M86" s="2"/>
      <c r="N86" s="7">
        <f t="shared" si="55"/>
        <v>-0.66727040987455555</v>
      </c>
      <c r="O86" s="10"/>
      <c r="P86" s="6">
        <v>4527.32</v>
      </c>
      <c r="Q86" s="2"/>
      <c r="R86" s="7">
        <f t="shared" si="56"/>
        <v>5.3188117986944184E-3</v>
      </c>
      <c r="S86" s="2"/>
      <c r="T86" s="6">
        <v>5914.35</v>
      </c>
      <c r="U86" s="2"/>
      <c r="V86" s="7">
        <f t="shared" si="57"/>
        <v>6.5386296331756304E-4</v>
      </c>
      <c r="W86" s="2"/>
      <c r="X86" s="6">
        <f t="shared" si="58"/>
        <v>-1387.0300000000007</v>
      </c>
      <c r="Y86" s="2"/>
      <c r="Z86" s="7">
        <f t="shared" si="59"/>
        <v>-0.23451943155207261</v>
      </c>
    </row>
    <row r="87" spans="1:26" s="26" customFormat="1" outlineLevel="1" collapsed="1" x14ac:dyDescent="0.25">
      <c r="A87" s="27"/>
      <c r="B87" s="12" t="str">
        <f>CONCATENATE("     ","Training                                          ")</f>
        <v xml:space="preserve">     Training                                          </v>
      </c>
      <c r="C87" s="12"/>
      <c r="D87" s="1">
        <f>SUM(OSRRefD22_17x_0)</f>
        <v>51.23</v>
      </c>
      <c r="E87" s="1"/>
      <c r="F87" s="5">
        <f t="shared" si="52"/>
        <v>5.580808207350283E-4</v>
      </c>
      <c r="G87" s="1"/>
      <c r="H87" s="1">
        <f>SUM(OSRRefH22_17x_0)</f>
        <v>0</v>
      </c>
      <c r="I87" s="1"/>
      <c r="J87" s="5">
        <f t="shared" si="53"/>
        <v>0</v>
      </c>
      <c r="K87" s="1"/>
      <c r="L87" s="1">
        <f t="shared" si="54"/>
        <v>51.23</v>
      </c>
      <c r="M87" s="1"/>
      <c r="N87" s="5">
        <f t="shared" si="55"/>
        <v>0</v>
      </c>
      <c r="O87" s="12"/>
      <c r="P87" s="1">
        <f>SUM(OSRRefP22_17x_0)</f>
        <v>786.23</v>
      </c>
      <c r="Q87" s="1"/>
      <c r="R87" s="5">
        <f t="shared" si="56"/>
        <v>9.2368319458035065E-4</v>
      </c>
      <c r="S87" s="1"/>
      <c r="T87" s="1">
        <f>SUM(OSRRefT22_17x_0)</f>
        <v>6398.23</v>
      </c>
      <c r="U87" s="1"/>
      <c r="V87" s="5">
        <f t="shared" si="57"/>
        <v>7.0735848027041529E-4</v>
      </c>
      <c r="W87" s="1"/>
      <c r="X87" s="1">
        <f t="shared" si="58"/>
        <v>-5612</v>
      </c>
      <c r="Y87" s="1"/>
      <c r="Z87" s="5">
        <f t="shared" si="59"/>
        <v>-0.87711757783011868</v>
      </c>
    </row>
    <row r="88" spans="1:26" s="23" customFormat="1" hidden="1" outlineLevel="2" x14ac:dyDescent="0.25">
      <c r="A88" s="25"/>
      <c r="B88" s="10" t="str">
        <f>CONCATENATE("          ", "6376", " - ", "TRAINING")</f>
        <v xml:space="preserve">          6376 - TRAINING</v>
      </c>
      <c r="C88" s="10"/>
      <c r="D88" s="6">
        <v>51.23</v>
      </c>
      <c r="E88" s="2"/>
      <c r="F88" s="7">
        <f t="shared" si="52"/>
        <v>5.580808207350283E-4</v>
      </c>
      <c r="G88" s="2"/>
      <c r="H88" s="6"/>
      <c r="I88" s="2"/>
      <c r="J88" s="7">
        <f t="shared" si="53"/>
        <v>0</v>
      </c>
      <c r="K88" s="2"/>
      <c r="L88" s="6">
        <f t="shared" si="54"/>
        <v>51.23</v>
      </c>
      <c r="M88" s="2"/>
      <c r="N88" s="7">
        <f t="shared" si="55"/>
        <v>0</v>
      </c>
      <c r="O88" s="10"/>
      <c r="P88" s="6">
        <v>786.23</v>
      </c>
      <c r="Q88" s="2"/>
      <c r="R88" s="7">
        <f t="shared" si="56"/>
        <v>9.2368319458035065E-4</v>
      </c>
      <c r="S88" s="2"/>
      <c r="T88" s="6">
        <v>6398.23</v>
      </c>
      <c r="U88" s="2"/>
      <c r="V88" s="7">
        <f t="shared" si="57"/>
        <v>7.0735848027041529E-4</v>
      </c>
      <c r="W88" s="2"/>
      <c r="X88" s="6">
        <f t="shared" si="58"/>
        <v>-5612</v>
      </c>
      <c r="Y88" s="2"/>
      <c r="Z88" s="7">
        <f t="shared" si="59"/>
        <v>-0.87711757783011868</v>
      </c>
    </row>
    <row r="89" spans="1:26" s="26" customFormat="1" outlineLevel="1" collapsed="1" x14ac:dyDescent="0.25">
      <c r="A89" s="27"/>
      <c r="B89" s="12" t="str">
        <f>CONCATENATE("     ","Travel                                            ")</f>
        <v xml:space="preserve">     Travel                                            </v>
      </c>
      <c r="C89" s="12"/>
      <c r="D89" s="1">
        <f>SUM(OSRRefD22_18x_0)</f>
        <v>0</v>
      </c>
      <c r="E89" s="1"/>
      <c r="F89" s="5">
        <f t="shared" si="52"/>
        <v>0</v>
      </c>
      <c r="G89" s="1"/>
      <c r="H89" s="1">
        <f>SUM(OSRRefH22_18x_0)</f>
        <v>0</v>
      </c>
      <c r="I89" s="1"/>
      <c r="J89" s="5">
        <f t="shared" si="53"/>
        <v>0</v>
      </c>
      <c r="K89" s="1"/>
      <c r="L89" s="1">
        <f t="shared" si="54"/>
        <v>0</v>
      </c>
      <c r="M89" s="1"/>
      <c r="N89" s="5">
        <f t="shared" si="55"/>
        <v>0</v>
      </c>
      <c r="O89" s="12"/>
      <c r="P89" s="1">
        <f>SUM(OSRRefP22_18x_0)</f>
        <v>0</v>
      </c>
      <c r="Q89" s="1"/>
      <c r="R89" s="5">
        <f t="shared" si="56"/>
        <v>0</v>
      </c>
      <c r="S89" s="1"/>
      <c r="T89" s="1">
        <f>SUM(OSRRefT22_18x_0)</f>
        <v>1894.26</v>
      </c>
      <c r="U89" s="1"/>
      <c r="V89" s="5">
        <f t="shared" si="57"/>
        <v>2.0942055456540901E-4</v>
      </c>
      <c r="W89" s="1"/>
      <c r="X89" s="1">
        <f t="shared" si="58"/>
        <v>-1894.26</v>
      </c>
      <c r="Y89" s="1"/>
      <c r="Z89" s="5">
        <f t="shared" si="59"/>
        <v>-1</v>
      </c>
    </row>
    <row r="90" spans="1:26" s="23" customFormat="1" hidden="1" outlineLevel="2" x14ac:dyDescent="0.25">
      <c r="A90" s="25"/>
      <c r="B90" s="10" t="str">
        <f>CONCATENATE("          ", "6292", " - ", "TRAVEL/CONFERENCE")</f>
        <v xml:space="preserve">          6292 - TRAVEL/CONFERENCE</v>
      </c>
      <c r="C90" s="10"/>
      <c r="D90" s="6"/>
      <c r="E90" s="2"/>
      <c r="F90" s="7">
        <f t="shared" si="52"/>
        <v>0</v>
      </c>
      <c r="G90" s="2"/>
      <c r="H90" s="6"/>
      <c r="I90" s="2"/>
      <c r="J90" s="7">
        <f t="shared" si="53"/>
        <v>0</v>
      </c>
      <c r="K90" s="2"/>
      <c r="L90" s="6">
        <f t="shared" si="54"/>
        <v>0</v>
      </c>
      <c r="M90" s="2"/>
      <c r="N90" s="7">
        <f t="shared" si="55"/>
        <v>0</v>
      </c>
      <c r="O90" s="10"/>
      <c r="P90" s="6"/>
      <c r="Q90" s="2"/>
      <c r="R90" s="7">
        <f t="shared" si="56"/>
        <v>0</v>
      </c>
      <c r="S90" s="2"/>
      <c r="T90" s="6">
        <v>1894.26</v>
      </c>
      <c r="U90" s="2"/>
      <c r="V90" s="7">
        <f t="shared" si="57"/>
        <v>2.0942055456540901E-4</v>
      </c>
      <c r="W90" s="2"/>
      <c r="X90" s="6">
        <f t="shared" si="58"/>
        <v>-1894.26</v>
      </c>
      <c r="Y90" s="2"/>
      <c r="Z90" s="7">
        <f t="shared" si="59"/>
        <v>-1</v>
      </c>
    </row>
    <row r="91" spans="1:26" s="60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4" customFormat="1" x14ac:dyDescent="0.25">
      <c r="A92" s="11"/>
      <c r="B92" s="28" t="s">
        <v>292</v>
      </c>
      <c r="C92" s="11"/>
      <c r="D92" s="4">
        <f>SUM(0)</f>
        <v>0</v>
      </c>
      <c r="E92" s="4"/>
      <c r="F92" s="13">
        <f>IF(D$12=0,0,D92/D$12)</f>
        <v>0</v>
      </c>
      <c r="G92" s="4"/>
      <c r="H92" s="4">
        <f>SUM(0)</f>
        <v>0</v>
      </c>
      <c r="I92" s="4"/>
      <c r="J92" s="13">
        <f>IF(H$12=0,0,H92/H$12)</f>
        <v>0</v>
      </c>
      <c r="K92" s="4"/>
      <c r="L92" s="4">
        <f>+D92-H92</f>
        <v>0</v>
      </c>
      <c r="M92" s="4"/>
      <c r="N92" s="13">
        <f>IF(H92=0,0,L92/H92)</f>
        <v>0</v>
      </c>
      <c r="O92" s="11"/>
      <c r="P92" s="4">
        <f>SUM(0)</f>
        <v>0</v>
      </c>
      <c r="Q92" s="4"/>
      <c r="R92" s="13">
        <f>IF(P$12=0,0,P92/P$12)</f>
        <v>0</v>
      </c>
      <c r="S92" s="4"/>
      <c r="T92" s="4">
        <f>SUM(0)</f>
        <v>0</v>
      </c>
      <c r="U92" s="4"/>
      <c r="V92" s="13">
        <f>IF(T$12=0,0,T92/T$12)</f>
        <v>0</v>
      </c>
      <c r="W92" s="4"/>
      <c r="X92" s="4">
        <f>+P92-T92</f>
        <v>0</v>
      </c>
      <c r="Y92" s="4"/>
      <c r="Z92" s="13">
        <f>IF(T92=0,0,X92/T92)</f>
        <v>0</v>
      </c>
    </row>
    <row r="93" spans="1:26" x14ac:dyDescent="0.25">
      <c r="A93" s="9"/>
      <c r="B93" s="11"/>
      <c r="C93" s="11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1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x14ac:dyDescent="0.25">
      <c r="A94" s="11"/>
      <c r="B94" s="29" t="s">
        <v>276</v>
      </c>
      <c r="C94" s="29"/>
      <c r="D94" s="22">
        <f>+D23-D25+D92</f>
        <v>-175959.91999999995</v>
      </c>
      <c r="E94" s="14"/>
      <c r="F94" s="20">
        <f>IF(D$12=0,0,D94/D$12)</f>
        <v>-1.9168427985568983</v>
      </c>
      <c r="G94" s="14"/>
      <c r="H94" s="22">
        <f>+H23-H25+H92</f>
        <v>160354.63</v>
      </c>
      <c r="I94" s="14"/>
      <c r="J94" s="20">
        <f>IF(H$12=0,0,H94/H$12)</f>
        <v>0.16261818240673784</v>
      </c>
      <c r="K94" s="15"/>
      <c r="L94" s="22">
        <f>+D94-H94</f>
        <v>-336314.54999999993</v>
      </c>
      <c r="M94" s="15"/>
      <c r="N94" s="20">
        <f>IF(H94=0,0,L94/H94)</f>
        <v>-2.0973173646436023</v>
      </c>
      <c r="O94" s="28"/>
      <c r="P94" s="22">
        <f>+P23-P25+P92</f>
        <v>-1539158.9600000004</v>
      </c>
      <c r="Q94" s="14"/>
      <c r="R94" s="20">
        <f>IF(P$12=0,0,P94/P$12)</f>
        <v>-1.8082434721897795</v>
      </c>
      <c r="S94" s="14"/>
      <c r="T94" s="22">
        <f>+T23-T25+T92</f>
        <v>2331728.2800000003</v>
      </c>
      <c r="U94" s="14"/>
      <c r="V94" s="20">
        <f>IF(T$12=0,0,T94/T$12)</f>
        <v>0.25778500812636457</v>
      </c>
      <c r="W94" s="15"/>
      <c r="X94" s="22">
        <f>+P94-T94</f>
        <v>-3870887.2400000007</v>
      </c>
      <c r="Y94" s="15"/>
      <c r="Z94" s="20">
        <f>IF(T94=0,0,X94/T94)</f>
        <v>-1.6600936194846856</v>
      </c>
    </row>
    <row r="95" spans="1:26" x14ac:dyDescent="0.25">
      <c r="A95" s="9"/>
      <c r="B95" s="11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4" customFormat="1" x14ac:dyDescent="0.25">
      <c r="A96" s="51"/>
      <c r="B96" s="11" t="s">
        <v>127</v>
      </c>
      <c r="C96" s="11"/>
      <c r="D96" s="4">
        <v>25036</v>
      </c>
      <c r="E96" s="4"/>
      <c r="F96" s="13">
        <f>IF(D$12=0,0,D96/D$12)</f>
        <v>0.27273299683627111</v>
      </c>
      <c r="G96" s="4"/>
      <c r="H96" s="4">
        <v>147831.71</v>
      </c>
      <c r="I96" s="4"/>
      <c r="J96" s="13">
        <f>IF(H$12=0,0,H96/H$12)</f>
        <v>0.14991848992623391</v>
      </c>
      <c r="K96" s="4"/>
      <c r="L96" s="4">
        <f>+D96-H96</f>
        <v>-122795.70999999999</v>
      </c>
      <c r="M96" s="4"/>
      <c r="N96" s="13">
        <f>IF(H96=0,0,L96/H96)</f>
        <v>-0.83064526548465145</v>
      </c>
      <c r="O96" s="11"/>
      <c r="P96" s="4">
        <v>175423.06</v>
      </c>
      <c r="Q96" s="4"/>
      <c r="R96" s="13">
        <f>IF(P$12=0,0,P96/P$12)</f>
        <v>0.2060915157954549</v>
      </c>
      <c r="S96" s="4"/>
      <c r="T96" s="4">
        <v>969219.79</v>
      </c>
      <c r="U96" s="4"/>
      <c r="V96" s="13">
        <f>IF(T$12=0,0,T96/T$12)</f>
        <v>0.10715242148256801</v>
      </c>
      <c r="W96" s="4"/>
      <c r="X96" s="4">
        <f>+P96-T96</f>
        <v>-793796.73</v>
      </c>
      <c r="Y96" s="4"/>
      <c r="Z96" s="13">
        <f>IF(T96=0,0,X96/T96)</f>
        <v>-0.81900590370735205</v>
      </c>
    </row>
    <row r="97" spans="1:26" x14ac:dyDescent="0.25">
      <c r="A97" s="9"/>
      <c r="B97" s="11"/>
      <c r="C97" s="11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1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4" customFormat="1" ht="15.75" thickBot="1" x14ac:dyDescent="0.3">
      <c r="A98" s="11"/>
      <c r="B98" s="29" t="s">
        <v>125</v>
      </c>
      <c r="C98" s="29"/>
      <c r="D98" s="30">
        <f>+D94-D96</f>
        <v>-200995.91999999995</v>
      </c>
      <c r="E98" s="14"/>
      <c r="F98" s="36">
        <f>IF(D$12=0,0,D98/D$12)</f>
        <v>-2.1895757953931696</v>
      </c>
      <c r="G98" s="14"/>
      <c r="H98" s="30">
        <f>+H94-H96</f>
        <v>12522.920000000013</v>
      </c>
      <c r="I98" s="14"/>
      <c r="J98" s="36">
        <f>IF(H$12=0,0,H98/H$12)</f>
        <v>1.2699692480503915E-2</v>
      </c>
      <c r="K98" s="15"/>
      <c r="L98" s="30">
        <f>D98-H98</f>
        <v>-213518.83999999997</v>
      </c>
      <c r="M98" s="15"/>
      <c r="N98" s="36">
        <f>IF(H98=0,0,L98/H98)</f>
        <v>-17.050243872834749</v>
      </c>
      <c r="O98" s="28"/>
      <c r="P98" s="30">
        <f>+P94-P96</f>
        <v>-1714582.0200000005</v>
      </c>
      <c r="Q98" s="14"/>
      <c r="R98" s="36">
        <f>IF(P$12=0,0,P98/P$12)</f>
        <v>-2.0143349879852348</v>
      </c>
      <c r="S98" s="14"/>
      <c r="T98" s="30">
        <f>+T94-T96</f>
        <v>1362508.4900000002</v>
      </c>
      <c r="U98" s="14"/>
      <c r="V98" s="36">
        <f>IF(T$12=0,0,T98/T$12)</f>
        <v>0.15063258664379656</v>
      </c>
      <c r="W98" s="15"/>
      <c r="X98" s="30">
        <f>P98-T98</f>
        <v>-3077090.5100000007</v>
      </c>
      <c r="Y98" s="15"/>
      <c r="Z98" s="36">
        <f>IF(T98=0,0,X98/T98)</f>
        <v>-2.2584009806793941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4" customFormat="1" ht="15.75" thickBot="1" x14ac:dyDescent="0.3">
      <c r="A101" s="11"/>
      <c r="B101" s="29" t="s">
        <v>293</v>
      </c>
      <c r="C101" s="29"/>
      <c r="D101" s="35">
        <f>SUM(D98:D100)</f>
        <v>-200995.91999999995</v>
      </c>
      <c r="E101" s="14"/>
      <c r="F101" s="34">
        <f>IF(D$12=0,0,D101/D$12)</f>
        <v>-2.1895757953931696</v>
      </c>
      <c r="G101" s="14"/>
      <c r="H101" s="35">
        <f>SUM(H98:H100)</f>
        <v>12522.920000000013</v>
      </c>
      <c r="I101" s="14"/>
      <c r="J101" s="34">
        <f>IF(H$12=0,0,H101/H$12)</f>
        <v>1.2699692480503915E-2</v>
      </c>
      <c r="K101" s="15"/>
      <c r="L101" s="35">
        <f>+D101-H101</f>
        <v>-213518.83999999997</v>
      </c>
      <c r="M101" s="15"/>
      <c r="N101" s="34">
        <f>IF(H101=0,0,L101/H101)</f>
        <v>-17.050243872834749</v>
      </c>
      <c r="O101" s="28"/>
      <c r="P101" s="35">
        <f>SUM(P98:P100)</f>
        <v>-1714582.0200000005</v>
      </c>
      <c r="Q101" s="14"/>
      <c r="R101" s="34">
        <f>IF(P$12=0,0,P101/P$12)</f>
        <v>-2.0143349879852348</v>
      </c>
      <c r="S101" s="14"/>
      <c r="T101" s="35">
        <f>SUM(T98:T100)</f>
        <v>1362508.4900000002</v>
      </c>
      <c r="U101" s="14"/>
      <c r="V101" s="34">
        <f>IF(T$12=0,0,T101/T$12)</f>
        <v>0.15063258664379656</v>
      </c>
      <c r="W101" s="15"/>
      <c r="X101" s="35">
        <f>+P101-T101</f>
        <v>-3077090.5100000007</v>
      </c>
      <c r="Y101" s="15"/>
      <c r="Z101" s="34">
        <f>IF(T101=0,0,X101/T101)</f>
        <v>-2.2584009806793941</v>
      </c>
    </row>
    <row r="102" spans="1:26" ht="15.75" thickTop="1" x14ac:dyDescent="0.25">
      <c r="A102" s="9"/>
      <c r="C102" s="9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4">
        <v>44295.963177928243</v>
      </c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8" t="s">
        <v>56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2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","430", " - ", "Res Hall Management")</f>
        <v>Department 430 - Res Hall Management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17485.55</v>
      </c>
      <c r="E18" s="21"/>
      <c r="F18" s="31">
        <f t="shared" ref="F18:F27" si="0">IF(D$12=0,0,D18/D$12)</f>
        <v>0</v>
      </c>
      <c r="G18" s="21"/>
      <c r="H18" s="21">
        <f>SUM(OSRRefH22x_0)</f>
        <v>17427.299999999996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58.250000000003638</v>
      </c>
      <c r="M18" s="4"/>
      <c r="N18" s="31">
        <f t="shared" ref="N18:N27" si="3">IF(H18=0,0,L18/H18)</f>
        <v>3.3424569497285095E-3</v>
      </c>
      <c r="O18" s="11"/>
      <c r="P18" s="21">
        <f>SUM(OSRRefP22x_0)</f>
        <v>153277.29</v>
      </c>
      <c r="Q18" s="21"/>
      <c r="R18" s="31">
        <f t="shared" ref="R18:R27" si="4">IF(P$12=0,0,P18/P$12)</f>
        <v>0</v>
      </c>
      <c r="S18" s="21"/>
      <c r="T18" s="21">
        <f>SUM(OSRRefT22x_0)</f>
        <v>180145.18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-26867.889999999985</v>
      </c>
      <c r="Y18" s="4"/>
      <c r="Z18" s="31">
        <f t="shared" ref="Z18:Z27" si="7">IF(T18=0,0,X18/T18)</f>
        <v>-0.14914576121326137</v>
      </c>
    </row>
    <row r="19" spans="1:26" s="26" customFormat="1" outlineLevel="1" collapsed="1" x14ac:dyDescent="0.25">
      <c r="A19" s="27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4899.78</v>
      </c>
      <c r="E19" s="1"/>
      <c r="F19" s="5">
        <f t="shared" si="0"/>
        <v>0</v>
      </c>
      <c r="G19" s="1"/>
      <c r="H19" s="1">
        <f>SUM(OSRRefH22_0x_0)</f>
        <v>8323.8399999999983</v>
      </c>
      <c r="I19" s="1"/>
      <c r="J19" s="5">
        <f t="shared" si="1"/>
        <v>0</v>
      </c>
      <c r="K19" s="1"/>
      <c r="L19" s="1">
        <f t="shared" si="2"/>
        <v>-3424.0599999999986</v>
      </c>
      <c r="M19" s="1"/>
      <c r="N19" s="5">
        <f t="shared" si="3"/>
        <v>-0.41135581654620934</v>
      </c>
      <c r="O19" s="12"/>
      <c r="P19" s="1">
        <f>SUM(OSRRefP22_0x_0)</f>
        <v>51680.310000000005</v>
      </c>
      <c r="Q19" s="1"/>
      <c r="R19" s="5">
        <f t="shared" si="4"/>
        <v>0</v>
      </c>
      <c r="S19" s="1"/>
      <c r="T19" s="1">
        <f>SUM(OSRRefT22_0x_0)</f>
        <v>55136.29</v>
      </c>
      <c r="U19" s="1"/>
      <c r="V19" s="5">
        <f t="shared" si="5"/>
        <v>0</v>
      </c>
      <c r="W19" s="1"/>
      <c r="X19" s="1">
        <f t="shared" si="6"/>
        <v>-3455.9799999999959</v>
      </c>
      <c r="Y19" s="1"/>
      <c r="Z19" s="5">
        <f t="shared" si="7"/>
        <v>-6.2680677281695879E-2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691.15</v>
      </c>
      <c r="E20" s="2"/>
      <c r="F20" s="7">
        <f t="shared" si="0"/>
        <v>0</v>
      </c>
      <c r="G20" s="2"/>
      <c r="H20" s="6">
        <v>685.42</v>
      </c>
      <c r="I20" s="2"/>
      <c r="J20" s="7">
        <f t="shared" si="1"/>
        <v>0</v>
      </c>
      <c r="K20" s="2"/>
      <c r="L20" s="6">
        <f t="shared" si="2"/>
        <v>5.7300000000000182</v>
      </c>
      <c r="M20" s="2"/>
      <c r="N20" s="7">
        <f t="shared" si="3"/>
        <v>8.359837763706952E-3</v>
      </c>
      <c r="O20" s="10"/>
      <c r="P20" s="6">
        <v>6745.95</v>
      </c>
      <c r="Q20" s="2"/>
      <c r="R20" s="7">
        <f t="shared" si="4"/>
        <v>0</v>
      </c>
      <c r="S20" s="2"/>
      <c r="T20" s="6">
        <v>6847.16</v>
      </c>
      <c r="U20" s="2"/>
      <c r="V20" s="7">
        <f t="shared" si="5"/>
        <v>0</v>
      </c>
      <c r="W20" s="2"/>
      <c r="X20" s="6">
        <f t="shared" si="6"/>
        <v>-101.21000000000004</v>
      </c>
      <c r="Y20" s="2"/>
      <c r="Z20" s="7">
        <f t="shared" si="7"/>
        <v>-1.4781310791627483E-2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387.58</v>
      </c>
      <c r="E21" s="2"/>
      <c r="F21" s="7">
        <f t="shared" si="0"/>
        <v>0</v>
      </c>
      <c r="G21" s="2"/>
      <c r="H21" s="6">
        <v>347.63</v>
      </c>
      <c r="I21" s="2"/>
      <c r="J21" s="7">
        <f t="shared" si="1"/>
        <v>0</v>
      </c>
      <c r="K21" s="2"/>
      <c r="L21" s="6">
        <f t="shared" si="2"/>
        <v>39.949999999999989</v>
      </c>
      <c r="M21" s="2"/>
      <c r="N21" s="7">
        <f t="shared" si="3"/>
        <v>0.11492103673445903</v>
      </c>
      <c r="O21" s="10"/>
      <c r="P21" s="6">
        <v>3773.51</v>
      </c>
      <c r="Q21" s="2"/>
      <c r="R21" s="7">
        <f t="shared" si="4"/>
        <v>0</v>
      </c>
      <c r="S21" s="2"/>
      <c r="T21" s="6">
        <v>2882.44</v>
      </c>
      <c r="U21" s="2"/>
      <c r="V21" s="7">
        <f t="shared" si="5"/>
        <v>0</v>
      </c>
      <c r="W21" s="2"/>
      <c r="X21" s="6">
        <f t="shared" si="6"/>
        <v>891.07000000000016</v>
      </c>
      <c r="Y21" s="2"/>
      <c r="Z21" s="7">
        <f t="shared" si="7"/>
        <v>0.30913739748268831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2691.73</v>
      </c>
      <c r="E22" s="2"/>
      <c r="F22" s="7">
        <f t="shared" si="0"/>
        <v>0</v>
      </c>
      <c r="G22" s="2"/>
      <c r="H22" s="6">
        <v>2737.9</v>
      </c>
      <c r="I22" s="2"/>
      <c r="J22" s="7">
        <f t="shared" si="1"/>
        <v>0</v>
      </c>
      <c r="K22" s="2"/>
      <c r="L22" s="6">
        <f t="shared" si="2"/>
        <v>-46.170000000000073</v>
      </c>
      <c r="M22" s="2"/>
      <c r="N22" s="7">
        <f t="shared" si="3"/>
        <v>-1.686328938237338E-2</v>
      </c>
      <c r="O22" s="10"/>
      <c r="P22" s="6">
        <v>24502.59</v>
      </c>
      <c r="Q22" s="2"/>
      <c r="R22" s="7">
        <f t="shared" si="4"/>
        <v>0</v>
      </c>
      <c r="S22" s="2"/>
      <c r="T22" s="6">
        <v>24597.3</v>
      </c>
      <c r="U22" s="2"/>
      <c r="V22" s="7">
        <f t="shared" si="5"/>
        <v>0</v>
      </c>
      <c r="W22" s="2"/>
      <c r="X22" s="6">
        <f t="shared" si="6"/>
        <v>-94.709999999999127</v>
      </c>
      <c r="Y22" s="2"/>
      <c r="Z22" s="7">
        <f t="shared" si="7"/>
        <v>-3.8504226073593087E-3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23.49</v>
      </c>
      <c r="E23" s="2"/>
      <c r="F23" s="7">
        <f t="shared" si="0"/>
        <v>0</v>
      </c>
      <c r="G23" s="2"/>
      <c r="H23" s="6">
        <v>23.29</v>
      </c>
      <c r="I23" s="2"/>
      <c r="J23" s="7">
        <f t="shared" si="1"/>
        <v>0</v>
      </c>
      <c r="K23" s="2"/>
      <c r="L23" s="6">
        <f t="shared" si="2"/>
        <v>0.19999999999999929</v>
      </c>
      <c r="M23" s="2"/>
      <c r="N23" s="7">
        <f t="shared" si="3"/>
        <v>8.587376556461971E-3</v>
      </c>
      <c r="O23" s="10"/>
      <c r="P23" s="6">
        <v>228.68</v>
      </c>
      <c r="Q23" s="2"/>
      <c r="R23" s="7">
        <f t="shared" si="4"/>
        <v>0</v>
      </c>
      <c r="S23" s="2"/>
      <c r="T23" s="6">
        <v>232.22</v>
      </c>
      <c r="U23" s="2"/>
      <c r="V23" s="7">
        <f t="shared" si="5"/>
        <v>0</v>
      </c>
      <c r="W23" s="2"/>
      <c r="X23" s="6">
        <f t="shared" si="6"/>
        <v>-3.539999999999992</v>
      </c>
      <c r="Y23" s="2"/>
      <c r="Z23" s="7">
        <f t="shared" si="7"/>
        <v>-1.5244165015933132E-2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692.57</v>
      </c>
      <c r="E24" s="2"/>
      <c r="F24" s="7">
        <f t="shared" si="0"/>
        <v>0</v>
      </c>
      <c r="G24" s="2"/>
      <c r="H24" s="6">
        <v>625.82000000000005</v>
      </c>
      <c r="I24" s="2"/>
      <c r="J24" s="7">
        <f t="shared" si="1"/>
        <v>0</v>
      </c>
      <c r="K24" s="2"/>
      <c r="L24" s="6">
        <f t="shared" si="2"/>
        <v>66.75</v>
      </c>
      <c r="M24" s="2"/>
      <c r="N24" s="7">
        <f t="shared" si="3"/>
        <v>0.10666006199865775</v>
      </c>
      <c r="O24" s="10"/>
      <c r="P24" s="6">
        <v>6925.71</v>
      </c>
      <c r="Q24" s="2"/>
      <c r="R24" s="7">
        <f t="shared" si="4"/>
        <v>0</v>
      </c>
      <c r="S24" s="2"/>
      <c r="T24" s="6">
        <v>5461.73</v>
      </c>
      <c r="U24" s="2"/>
      <c r="V24" s="7">
        <f t="shared" si="5"/>
        <v>0</v>
      </c>
      <c r="W24" s="2"/>
      <c r="X24" s="6">
        <f t="shared" si="6"/>
        <v>1463.9800000000005</v>
      </c>
      <c r="Y24" s="2"/>
      <c r="Z24" s="7">
        <f t="shared" si="7"/>
        <v>0.26804327566540281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/>
      <c r="E25" s="2"/>
      <c r="F25" s="7">
        <f t="shared" si="0"/>
        <v>0</v>
      </c>
      <c r="G25" s="2"/>
      <c r="H25" s="6">
        <v>2451.64</v>
      </c>
      <c r="I25" s="2"/>
      <c r="J25" s="7">
        <f t="shared" si="1"/>
        <v>0</v>
      </c>
      <c r="K25" s="2"/>
      <c r="L25" s="6">
        <f t="shared" si="2"/>
        <v>-2451.64</v>
      </c>
      <c r="M25" s="2"/>
      <c r="N25" s="7">
        <f t="shared" si="3"/>
        <v>-1</v>
      </c>
      <c r="O25" s="10"/>
      <c r="P25" s="6">
        <v>5409.9</v>
      </c>
      <c r="Q25" s="2"/>
      <c r="R25" s="7">
        <f t="shared" si="4"/>
        <v>0</v>
      </c>
      <c r="S25" s="2"/>
      <c r="T25" s="6">
        <v>9187.49</v>
      </c>
      <c r="U25" s="2"/>
      <c r="V25" s="7">
        <f t="shared" si="5"/>
        <v>0</v>
      </c>
      <c r="W25" s="2"/>
      <c r="X25" s="6">
        <f t="shared" si="6"/>
        <v>-3777.59</v>
      </c>
      <c r="Y25" s="2"/>
      <c r="Z25" s="7">
        <f t="shared" si="7"/>
        <v>-0.4111667060317889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>
        <v>413.26</v>
      </c>
      <c r="E26" s="2"/>
      <c r="F26" s="7">
        <f t="shared" si="0"/>
        <v>0</v>
      </c>
      <c r="G26" s="2"/>
      <c r="H26" s="6">
        <v>1279.58</v>
      </c>
      <c r="I26" s="2"/>
      <c r="J26" s="7">
        <f t="shared" si="1"/>
        <v>0</v>
      </c>
      <c r="K26" s="2"/>
      <c r="L26" s="6">
        <f t="shared" si="2"/>
        <v>-866.31999999999994</v>
      </c>
      <c r="M26" s="2"/>
      <c r="N26" s="7">
        <f t="shared" si="3"/>
        <v>-0.67703465199518587</v>
      </c>
      <c r="O26" s="10"/>
      <c r="P26" s="6">
        <v>3925.97</v>
      </c>
      <c r="Q26" s="2"/>
      <c r="R26" s="7">
        <f t="shared" si="4"/>
        <v>0</v>
      </c>
      <c r="S26" s="2"/>
      <c r="T26" s="6">
        <v>4703.3599999999997</v>
      </c>
      <c r="U26" s="2"/>
      <c r="V26" s="7">
        <f t="shared" si="5"/>
        <v>0</v>
      </c>
      <c r="W26" s="2"/>
      <c r="X26" s="6">
        <f t="shared" si="6"/>
        <v>-777.38999999999987</v>
      </c>
      <c r="Y26" s="2"/>
      <c r="Z26" s="7">
        <f t="shared" si="7"/>
        <v>-0.16528396720642263</v>
      </c>
    </row>
    <row r="27" spans="1:26" s="23" customFormat="1" hidden="1" outlineLevel="2" x14ac:dyDescent="0.25">
      <c r="A27" s="25"/>
      <c r="B27" s="10" t="str">
        <f>CONCATENATE("          ", "6156", " - ", "EMPLOYEE MEALS")</f>
        <v xml:space="preserve">          6156 - EMPLOYEE MEALS</v>
      </c>
      <c r="C27" s="10"/>
      <c r="D27" s="6"/>
      <c r="E27" s="2"/>
      <c r="F27" s="7">
        <f t="shared" si="0"/>
        <v>0</v>
      </c>
      <c r="G27" s="2"/>
      <c r="H27" s="6">
        <v>172.56</v>
      </c>
      <c r="I27" s="2"/>
      <c r="J27" s="7">
        <f t="shared" si="1"/>
        <v>0</v>
      </c>
      <c r="K27" s="2"/>
      <c r="L27" s="6">
        <f t="shared" si="2"/>
        <v>-172.56</v>
      </c>
      <c r="M27" s="2"/>
      <c r="N27" s="7">
        <f t="shared" si="3"/>
        <v>-1</v>
      </c>
      <c r="O27" s="10"/>
      <c r="P27" s="6">
        <v>168</v>
      </c>
      <c r="Q27" s="2"/>
      <c r="R27" s="7">
        <f t="shared" si="4"/>
        <v>0</v>
      </c>
      <c r="S27" s="2"/>
      <c r="T27" s="6">
        <v>1224.5899999999999</v>
      </c>
      <c r="U27" s="2"/>
      <c r="V27" s="7">
        <f t="shared" si="5"/>
        <v>0</v>
      </c>
      <c r="W27" s="2"/>
      <c r="X27" s="6">
        <f t="shared" si="6"/>
        <v>-1056.5899999999999</v>
      </c>
      <c r="Y27" s="2"/>
      <c r="Z27" s="7">
        <f t="shared" si="7"/>
        <v>-0.86281122661462206</v>
      </c>
    </row>
    <row r="28" spans="1:26" s="26" customFormat="1" outlineLevel="1" collapsed="1" x14ac:dyDescent="0.25">
      <c r="A28" s="27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9034.5400000000009</v>
      </c>
      <c r="E28" s="1"/>
      <c r="F28" s="5">
        <f t="shared" ref="F28:F36" si="8">IF(D$12=0,0,D28/D$12)</f>
        <v>0</v>
      </c>
      <c r="G28" s="1"/>
      <c r="H28" s="1">
        <f>SUM(OSRRefH22_1x_0)</f>
        <v>8959.5400000000009</v>
      </c>
      <c r="I28" s="1"/>
      <c r="J28" s="5">
        <f t="shared" ref="J28:J36" si="9">IF(H$12=0,0,H28/H$12)</f>
        <v>0</v>
      </c>
      <c r="K28" s="1"/>
      <c r="L28" s="1">
        <f t="shared" ref="L28:L36" si="10">+D28-H28</f>
        <v>75</v>
      </c>
      <c r="M28" s="1"/>
      <c r="N28" s="5">
        <f t="shared" ref="N28:N36" si="11">IF(H28=0,0,L28/H28)</f>
        <v>8.3709654736738703E-3</v>
      </c>
      <c r="O28" s="12"/>
      <c r="P28" s="1">
        <f>SUM(OSRRefP22_1x_0)</f>
        <v>82204.899999999994</v>
      </c>
      <c r="Q28" s="1"/>
      <c r="R28" s="5">
        <f t="shared" ref="R28:R36" si="12">IF(P$12=0,0,P28/P$12)</f>
        <v>0</v>
      </c>
      <c r="S28" s="1"/>
      <c r="T28" s="1">
        <f>SUM(OSRRefT22_1x_0)</f>
        <v>71472.86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10732.039999999994</v>
      </c>
      <c r="Y28" s="1"/>
      <c r="Z28" s="5">
        <f t="shared" ref="Z28:Z36" si="15">IF(T28=0,0,X28/T28)</f>
        <v>0.15015545761006335</v>
      </c>
    </row>
    <row r="29" spans="1:26" s="23" customFormat="1" hidden="1" outlineLevel="2" x14ac:dyDescent="0.25">
      <c r="A29" s="25"/>
      <c r="B29" s="10" t="str">
        <f>CONCATENATE("          ", "6001", " - ", "ADMINISTRATIVE SALARIES")</f>
        <v xml:space="preserve">          6001 - ADMINISTRATIVE SALARIES</v>
      </c>
      <c r="C29" s="10"/>
      <c r="D29" s="6">
        <v>9034.5400000000009</v>
      </c>
      <c r="E29" s="2"/>
      <c r="F29" s="7">
        <f t="shared" si="8"/>
        <v>0</v>
      </c>
      <c r="G29" s="2"/>
      <c r="H29" s="6">
        <v>8959.5400000000009</v>
      </c>
      <c r="I29" s="2"/>
      <c r="J29" s="7">
        <f t="shared" si="9"/>
        <v>0</v>
      </c>
      <c r="K29" s="2"/>
      <c r="L29" s="6">
        <f t="shared" si="10"/>
        <v>75</v>
      </c>
      <c r="M29" s="2"/>
      <c r="N29" s="7">
        <f t="shared" si="11"/>
        <v>8.3709654736738703E-3</v>
      </c>
      <c r="O29" s="10"/>
      <c r="P29" s="6">
        <v>82204.899999999994</v>
      </c>
      <c r="Q29" s="2"/>
      <c r="R29" s="7">
        <f t="shared" si="12"/>
        <v>0</v>
      </c>
      <c r="S29" s="2"/>
      <c r="T29" s="6">
        <v>71472.86</v>
      </c>
      <c r="U29" s="2"/>
      <c r="V29" s="7">
        <f t="shared" si="13"/>
        <v>0</v>
      </c>
      <c r="W29" s="2"/>
      <c r="X29" s="6">
        <f t="shared" si="14"/>
        <v>10732.039999999994</v>
      </c>
      <c r="Y29" s="2"/>
      <c r="Z29" s="7">
        <f t="shared" si="15"/>
        <v>0.15015545761006335</v>
      </c>
    </row>
    <row r="30" spans="1:26" s="26" customFormat="1" outlineLevel="1" collapsed="1" x14ac:dyDescent="0.25">
      <c r="A30" s="27"/>
      <c r="B30" s="12" t="str">
        <f>CONCATENATE("     ","General                                           ")</f>
        <v xml:space="preserve">     General                                           </v>
      </c>
      <c r="C30" s="12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2"/>
      <c r="P30" s="1">
        <f>SUM(OSRRefP22_2x_0)</f>
        <v>1.65</v>
      </c>
      <c r="Q30" s="1"/>
      <c r="R30" s="5">
        <f t="shared" si="12"/>
        <v>0</v>
      </c>
      <c r="S30" s="1"/>
      <c r="T30" s="1">
        <f>SUM(OSRRefT22_2x_0)</f>
        <v>206.82</v>
      </c>
      <c r="U30" s="1"/>
      <c r="V30" s="5">
        <f t="shared" si="13"/>
        <v>0</v>
      </c>
      <c r="W30" s="1"/>
      <c r="X30" s="1">
        <f t="shared" si="14"/>
        <v>-205.17</v>
      </c>
      <c r="Y30" s="1"/>
      <c r="Z30" s="5">
        <f t="shared" si="15"/>
        <v>-0.99202204815781836</v>
      </c>
    </row>
    <row r="31" spans="1:26" s="23" customFormat="1" hidden="1" outlineLevel="2" x14ac:dyDescent="0.25">
      <c r="A31" s="25"/>
      <c r="B31" s="10" t="str">
        <f>CONCATENATE("          ", "6279", " - ", "GENERAL EXPENSE")</f>
        <v xml:space="preserve">          6279 - GENERAL EXPENSE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1.65</v>
      </c>
      <c r="Q31" s="2"/>
      <c r="R31" s="7">
        <f t="shared" si="12"/>
        <v>0</v>
      </c>
      <c r="S31" s="2"/>
      <c r="T31" s="6">
        <v>206.82</v>
      </c>
      <c r="U31" s="2"/>
      <c r="V31" s="7">
        <f t="shared" si="13"/>
        <v>0</v>
      </c>
      <c r="W31" s="2"/>
      <c r="X31" s="6">
        <f t="shared" si="14"/>
        <v>-205.17</v>
      </c>
      <c r="Y31" s="2"/>
      <c r="Z31" s="7">
        <f t="shared" si="15"/>
        <v>-0.99202204815781836</v>
      </c>
    </row>
    <row r="32" spans="1:26" s="26" customFormat="1" outlineLevel="1" collapsed="1" x14ac:dyDescent="0.25">
      <c r="A32" s="27"/>
      <c r="B32" s="12" t="str">
        <f>CONCATENATE("     ","Repair and Maintenance                            ")</f>
        <v xml:space="preserve">     Repair and Maintenance                            </v>
      </c>
      <c r="C32" s="12"/>
      <c r="D32" s="1">
        <f>SUM(OSRRefD22_3x_0)</f>
        <v>3500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3500</v>
      </c>
      <c r="M32" s="1"/>
      <c r="N32" s="5">
        <f t="shared" si="11"/>
        <v>0</v>
      </c>
      <c r="O32" s="12"/>
      <c r="P32" s="1">
        <f>SUM(OSRRefP22_3x_0)</f>
        <v>14000</v>
      </c>
      <c r="Q32" s="1"/>
      <c r="R32" s="5">
        <f t="shared" si="12"/>
        <v>0</v>
      </c>
      <c r="S32" s="1"/>
      <c r="T32" s="1">
        <f>SUM(OSRRefT22_3x_0)</f>
        <v>46585.43</v>
      </c>
      <c r="U32" s="1"/>
      <c r="V32" s="5">
        <f t="shared" si="13"/>
        <v>0</v>
      </c>
      <c r="W32" s="1"/>
      <c r="X32" s="1">
        <f t="shared" si="14"/>
        <v>-32585.43</v>
      </c>
      <c r="Y32" s="1"/>
      <c r="Z32" s="5">
        <f t="shared" si="15"/>
        <v>-0.69947685359993461</v>
      </c>
    </row>
    <row r="33" spans="1:26" s="23" customFormat="1" hidden="1" outlineLevel="2" x14ac:dyDescent="0.25">
      <c r="A33" s="25"/>
      <c r="B33" s="10" t="str">
        <f>CONCATENATE("          ", "6371", " - ", "COMPUTER SOFTWARE MAINTENANCE")</f>
        <v xml:space="preserve">          6371 - COMPUTER SOFTWARE MAINTENANCE</v>
      </c>
      <c r="C33" s="10"/>
      <c r="D33" s="6">
        <v>3500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3500</v>
      </c>
      <c r="M33" s="2"/>
      <c r="N33" s="7">
        <f t="shared" si="11"/>
        <v>0</v>
      </c>
      <c r="O33" s="10"/>
      <c r="P33" s="6">
        <v>14000</v>
      </c>
      <c r="Q33" s="2"/>
      <c r="R33" s="7">
        <f t="shared" si="12"/>
        <v>0</v>
      </c>
      <c r="S33" s="2"/>
      <c r="T33" s="6">
        <v>46585.43</v>
      </c>
      <c r="U33" s="2"/>
      <c r="V33" s="7">
        <f t="shared" si="13"/>
        <v>0</v>
      </c>
      <c r="W33" s="2"/>
      <c r="X33" s="6">
        <f t="shared" si="14"/>
        <v>-32585.43</v>
      </c>
      <c r="Y33" s="2"/>
      <c r="Z33" s="7">
        <f t="shared" si="15"/>
        <v>-0.69947685359993461</v>
      </c>
    </row>
    <row r="34" spans="1:26" s="26" customFormat="1" outlineLevel="1" collapsed="1" x14ac:dyDescent="0.25">
      <c r="A34" s="27"/>
      <c r="B34" s="12" t="str">
        <f>CONCATENATE("     ","Supplies                                          ")</f>
        <v xml:space="preserve">     Supplies                                          </v>
      </c>
      <c r="C34" s="12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93.92</v>
      </c>
      <c r="I34" s="1"/>
      <c r="J34" s="5">
        <f t="shared" si="9"/>
        <v>0</v>
      </c>
      <c r="K34" s="1"/>
      <c r="L34" s="1">
        <f t="shared" si="10"/>
        <v>-93.92</v>
      </c>
      <c r="M34" s="1"/>
      <c r="N34" s="5">
        <f t="shared" si="11"/>
        <v>-1</v>
      </c>
      <c r="O34" s="12"/>
      <c r="P34" s="1">
        <f>SUM(OSRRefP22_4x_0)</f>
        <v>4939.2</v>
      </c>
      <c r="Q34" s="1"/>
      <c r="R34" s="5">
        <f t="shared" si="12"/>
        <v>0</v>
      </c>
      <c r="S34" s="1"/>
      <c r="T34" s="1">
        <f>SUM(OSRRefT22_4x_0)</f>
        <v>3917.81</v>
      </c>
      <c r="U34" s="1"/>
      <c r="V34" s="5">
        <f t="shared" si="13"/>
        <v>0</v>
      </c>
      <c r="W34" s="1"/>
      <c r="X34" s="1">
        <f t="shared" si="14"/>
        <v>1021.3899999999999</v>
      </c>
      <c r="Y34" s="1"/>
      <c r="Z34" s="5">
        <f t="shared" si="15"/>
        <v>0.26070432205747596</v>
      </c>
    </row>
    <row r="35" spans="1:26" s="23" customFormat="1" hidden="1" outlineLevel="2" x14ac:dyDescent="0.25">
      <c r="A35" s="25"/>
      <c r="B35" s="10" t="str">
        <f>CONCATENATE("          ", "6235", " - ", "COVID-19 EXPENSES")</f>
        <v xml:space="preserve">          6235 - COVID-19 EXPENSES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>
        <v>4939.2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4939.2</v>
      </c>
      <c r="Y35" s="2"/>
      <c r="Z35" s="7">
        <f t="shared" si="15"/>
        <v>0</v>
      </c>
    </row>
    <row r="36" spans="1:26" s="23" customFormat="1" hidden="1" outlineLevel="2" x14ac:dyDescent="0.25">
      <c r="A36" s="25"/>
      <c r="B36" s="10" t="str">
        <f>CONCATENATE("          ", "6241", " - ", "OFFICE EXPENSE")</f>
        <v xml:space="preserve">          6241 - OFFICE EXPENSE</v>
      </c>
      <c r="C36" s="10"/>
      <c r="D36" s="6"/>
      <c r="E36" s="2"/>
      <c r="F36" s="7">
        <f t="shared" si="8"/>
        <v>0</v>
      </c>
      <c r="G36" s="2"/>
      <c r="H36" s="6">
        <v>93.92</v>
      </c>
      <c r="I36" s="2"/>
      <c r="J36" s="7">
        <f t="shared" si="9"/>
        <v>0</v>
      </c>
      <c r="K36" s="2"/>
      <c r="L36" s="6">
        <f t="shared" si="10"/>
        <v>-93.92</v>
      </c>
      <c r="M36" s="2"/>
      <c r="N36" s="7">
        <f t="shared" si="11"/>
        <v>-1</v>
      </c>
      <c r="O36" s="10"/>
      <c r="P36" s="6"/>
      <c r="Q36" s="2"/>
      <c r="R36" s="7">
        <f t="shared" si="12"/>
        <v>0</v>
      </c>
      <c r="S36" s="2"/>
      <c r="T36" s="6">
        <v>3917.81</v>
      </c>
      <c r="U36" s="2"/>
      <c r="V36" s="7">
        <f t="shared" si="13"/>
        <v>0</v>
      </c>
      <c r="W36" s="2"/>
      <c r="X36" s="6">
        <f t="shared" si="14"/>
        <v>-3917.81</v>
      </c>
      <c r="Y36" s="2"/>
      <c r="Z36" s="7">
        <f t="shared" si="15"/>
        <v>-1</v>
      </c>
    </row>
    <row r="37" spans="1:26" s="26" customFormat="1" outlineLevel="1" collapsed="1" x14ac:dyDescent="0.25">
      <c r="A37" s="27"/>
      <c r="B37" s="12" t="str">
        <f>CONCATENATE("     ","Telephone/Data Lines                              ")</f>
        <v xml:space="preserve">     Telephone/Data Lines                              </v>
      </c>
      <c r="C37" s="12"/>
      <c r="D37" s="1">
        <f>SUM(OSRRefD22_5x_0)</f>
        <v>0</v>
      </c>
      <c r="E37" s="1"/>
      <c r="F37" s="5">
        <f t="shared" ref="F37:F42" si="16">IF(D$12=0,0,D37/D$12)</f>
        <v>0</v>
      </c>
      <c r="G37" s="1"/>
      <c r="H37" s="1">
        <f>SUM(OSRRefH22_5x_0)</f>
        <v>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-50</v>
      </c>
      <c r="M37" s="1"/>
      <c r="N37" s="5">
        <f t="shared" ref="N37:N42" si="19">IF(H37=0,0,L37/H37)</f>
        <v>-1</v>
      </c>
      <c r="O37" s="12"/>
      <c r="P37" s="1">
        <f>SUM(OSRRefP22_5x_0)</f>
        <v>400</v>
      </c>
      <c r="Q37" s="1"/>
      <c r="R37" s="5">
        <f t="shared" ref="R37:R42" si="20">IF(P$12=0,0,P37/P$12)</f>
        <v>0</v>
      </c>
      <c r="S37" s="1"/>
      <c r="T37" s="1">
        <f>SUM(OSRRefT22_5x_0)</f>
        <v>-450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850</v>
      </c>
      <c r="Y37" s="1"/>
      <c r="Z37" s="5">
        <f t="shared" ref="Z37:Z42" si="23">IF(T37=0,0,X37/T37)</f>
        <v>-1.8888888888888888</v>
      </c>
    </row>
    <row r="38" spans="1:26" s="23" customFormat="1" hidden="1" outlineLevel="2" x14ac:dyDescent="0.25">
      <c r="A38" s="25"/>
      <c r="B38" s="10" t="str">
        <f>CONCATENATE("          ", "6309", " - ", "TELEPHONE")</f>
        <v xml:space="preserve">          6309 - TELEPHONE</v>
      </c>
      <c r="C38" s="10"/>
      <c r="D38" s="6">
        <v>0</v>
      </c>
      <c r="E38" s="2"/>
      <c r="F38" s="7">
        <f t="shared" si="16"/>
        <v>0</v>
      </c>
      <c r="G38" s="2"/>
      <c r="H38" s="6">
        <v>50</v>
      </c>
      <c r="I38" s="2"/>
      <c r="J38" s="7">
        <f t="shared" si="17"/>
        <v>0</v>
      </c>
      <c r="K38" s="2"/>
      <c r="L38" s="6">
        <f t="shared" si="18"/>
        <v>-50</v>
      </c>
      <c r="M38" s="2"/>
      <c r="N38" s="7">
        <f t="shared" si="19"/>
        <v>-1</v>
      </c>
      <c r="O38" s="10"/>
      <c r="P38" s="6">
        <v>400</v>
      </c>
      <c r="Q38" s="2"/>
      <c r="R38" s="7">
        <f t="shared" si="20"/>
        <v>0</v>
      </c>
      <c r="S38" s="2"/>
      <c r="T38" s="6">
        <v>-450</v>
      </c>
      <c r="U38" s="2"/>
      <c r="V38" s="7">
        <f t="shared" si="21"/>
        <v>0</v>
      </c>
      <c r="W38" s="2"/>
      <c r="X38" s="6">
        <f t="shared" si="22"/>
        <v>850</v>
      </c>
      <c r="Y38" s="2"/>
      <c r="Z38" s="7">
        <f t="shared" si="23"/>
        <v>-1.8888888888888888</v>
      </c>
    </row>
    <row r="39" spans="1:26" s="26" customFormat="1" outlineLevel="1" collapsed="1" x14ac:dyDescent="0.25">
      <c r="A39" s="27"/>
      <c r="B39" s="12" t="str">
        <f>CONCATENATE("     ","Training                                          ")</f>
        <v xml:space="preserve">     Training                                          </v>
      </c>
      <c r="C39" s="12"/>
      <c r="D39" s="1">
        <f>SUM(OSRRefD22_6x_0)</f>
        <v>51.23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51.23</v>
      </c>
      <c r="M39" s="1"/>
      <c r="N39" s="5">
        <f t="shared" si="19"/>
        <v>0</v>
      </c>
      <c r="O39" s="12"/>
      <c r="P39" s="1">
        <f>SUM(OSRRefP22_6x_0)</f>
        <v>51.23</v>
      </c>
      <c r="Q39" s="1"/>
      <c r="R39" s="5">
        <f t="shared" si="20"/>
        <v>0</v>
      </c>
      <c r="S39" s="1"/>
      <c r="T39" s="1">
        <f>SUM(OSRRefT22_6x_0)</f>
        <v>2950.22</v>
      </c>
      <c r="U39" s="1"/>
      <c r="V39" s="5">
        <f t="shared" si="21"/>
        <v>0</v>
      </c>
      <c r="W39" s="1"/>
      <c r="X39" s="1">
        <f t="shared" si="22"/>
        <v>-2898.99</v>
      </c>
      <c r="Y39" s="1"/>
      <c r="Z39" s="5">
        <f t="shared" si="23"/>
        <v>-0.98263519330761773</v>
      </c>
    </row>
    <row r="40" spans="1:26" s="23" customFormat="1" hidden="1" outlineLevel="2" x14ac:dyDescent="0.25">
      <c r="A40" s="25"/>
      <c r="B40" s="10" t="str">
        <f>CONCATENATE("          ", "6376", " - ", "TRAINING")</f>
        <v xml:space="preserve">          6376 - TRAINING</v>
      </c>
      <c r="C40" s="10"/>
      <c r="D40" s="6">
        <v>51.23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51.23</v>
      </c>
      <c r="M40" s="2"/>
      <c r="N40" s="7">
        <f t="shared" si="19"/>
        <v>0</v>
      </c>
      <c r="O40" s="10"/>
      <c r="P40" s="6">
        <v>51.23</v>
      </c>
      <c r="Q40" s="2"/>
      <c r="R40" s="7">
        <f t="shared" si="20"/>
        <v>0</v>
      </c>
      <c r="S40" s="2"/>
      <c r="T40" s="6">
        <v>2950.22</v>
      </c>
      <c r="U40" s="2"/>
      <c r="V40" s="7">
        <f t="shared" si="21"/>
        <v>0</v>
      </c>
      <c r="W40" s="2"/>
      <c r="X40" s="6">
        <f t="shared" si="22"/>
        <v>-2898.99</v>
      </c>
      <c r="Y40" s="2"/>
      <c r="Z40" s="7">
        <f t="shared" si="23"/>
        <v>-0.98263519330761773</v>
      </c>
    </row>
    <row r="41" spans="1:26" s="26" customFormat="1" outlineLevel="1" collapsed="1" x14ac:dyDescent="0.25">
      <c r="A41" s="27"/>
      <c r="B41" s="12" t="str">
        <f>CONCATENATE("     ","Travel                                            ")</f>
        <v xml:space="preserve">     Travel                                            </v>
      </c>
      <c r="C41" s="12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2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325.75</v>
      </c>
      <c r="U41" s="1"/>
      <c r="V41" s="5">
        <f t="shared" si="21"/>
        <v>0</v>
      </c>
      <c r="W41" s="1"/>
      <c r="X41" s="1">
        <f t="shared" si="22"/>
        <v>-325.75</v>
      </c>
      <c r="Y41" s="1"/>
      <c r="Z41" s="5">
        <f t="shared" si="23"/>
        <v>-1</v>
      </c>
    </row>
    <row r="42" spans="1:26" s="23" customFormat="1" hidden="1" outlineLevel="2" x14ac:dyDescent="0.25">
      <c r="A42" s="25"/>
      <c r="B42" s="10" t="str">
        <f>CONCATENATE("          ", "6292", " - ", "TRAVEL/CONFERENCE")</f>
        <v xml:space="preserve">          6292 - TRAVEL/CONFERENCE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/>
      <c r="Q42" s="2"/>
      <c r="R42" s="7">
        <f t="shared" si="20"/>
        <v>0</v>
      </c>
      <c r="S42" s="2"/>
      <c r="T42" s="6">
        <v>325.75</v>
      </c>
      <c r="U42" s="2"/>
      <c r="V42" s="7">
        <f t="shared" si="21"/>
        <v>0</v>
      </c>
      <c r="W42" s="2"/>
      <c r="X42" s="6">
        <f t="shared" si="22"/>
        <v>-325.75</v>
      </c>
      <c r="Y42" s="2"/>
      <c r="Z42" s="7">
        <f t="shared" si="23"/>
        <v>-1</v>
      </c>
    </row>
    <row r="43" spans="1:26" s="60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4" customFormat="1" x14ac:dyDescent="0.25">
      <c r="A44" s="11"/>
      <c r="B44" s="28" t="s">
        <v>292</v>
      </c>
      <c r="C44" s="11"/>
      <c r="D44" s="4">
        <f>SUM(0)</f>
        <v>0</v>
      </c>
      <c r="E44" s="4"/>
      <c r="F44" s="13">
        <f>IF(D$12=0,0,D44/D$12)</f>
        <v>0</v>
      </c>
      <c r="G44" s="4"/>
      <c r="H44" s="4">
        <f>SUM(0)</f>
        <v>0</v>
      </c>
      <c r="I44" s="4"/>
      <c r="J44" s="13">
        <f>IF(H$12=0,0,H44/H$12)</f>
        <v>0</v>
      </c>
      <c r="K44" s="4"/>
      <c r="L44" s="4">
        <f>+D44-H44</f>
        <v>0</v>
      </c>
      <c r="M44" s="4"/>
      <c r="N44" s="13">
        <f>IF(H44=0,0,L44/H44)</f>
        <v>0</v>
      </c>
      <c r="O44" s="11"/>
      <c r="P44" s="4">
        <f>SUM(0)</f>
        <v>0</v>
      </c>
      <c r="Q44" s="4"/>
      <c r="R44" s="13">
        <f>IF(P$12=0,0,P44/P$12)</f>
        <v>0</v>
      </c>
      <c r="S44" s="4"/>
      <c r="T44" s="4">
        <f>SUM(0)</f>
        <v>0</v>
      </c>
      <c r="U44" s="4"/>
      <c r="V44" s="13">
        <f>IF(T$12=0,0,T44/T$12)</f>
        <v>0</v>
      </c>
      <c r="W44" s="4"/>
      <c r="X44" s="4">
        <f>+P44-T44</f>
        <v>0</v>
      </c>
      <c r="Y44" s="4"/>
      <c r="Z44" s="13">
        <f>IF(T44=0,0,X44/T44)</f>
        <v>0</v>
      </c>
    </row>
    <row r="45" spans="1:26" x14ac:dyDescent="0.25">
      <c r="A45" s="9"/>
      <c r="B45" s="11"/>
      <c r="C45" s="11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1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4" customFormat="1" x14ac:dyDescent="0.25">
      <c r="A46" s="11"/>
      <c r="B46" s="29" t="s">
        <v>276</v>
      </c>
      <c r="C46" s="29"/>
      <c r="D46" s="22">
        <f>+D16-D18+D44</f>
        <v>-17485.55</v>
      </c>
      <c r="E46" s="14"/>
      <c r="F46" s="20">
        <f>IF(D$12=0,0,D46/D$12)</f>
        <v>0</v>
      </c>
      <c r="G46" s="14"/>
      <c r="H46" s="22">
        <f>+H16-H18+H44</f>
        <v>-17427.299999999996</v>
      </c>
      <c r="I46" s="14"/>
      <c r="J46" s="20">
        <f>IF(H$12=0,0,H46/H$12)</f>
        <v>0</v>
      </c>
      <c r="K46" s="15"/>
      <c r="L46" s="22">
        <f>+D46-H46</f>
        <v>-58.250000000003638</v>
      </c>
      <c r="M46" s="15"/>
      <c r="N46" s="20">
        <f>IF(H46=0,0,L46/H46)</f>
        <v>3.3424569497285095E-3</v>
      </c>
      <c r="O46" s="28"/>
      <c r="P46" s="22">
        <f>+P16-P18+P44</f>
        <v>-153277.29</v>
      </c>
      <c r="Q46" s="14"/>
      <c r="R46" s="20">
        <f>IF(P$12=0,0,P46/P$12)</f>
        <v>0</v>
      </c>
      <c r="S46" s="14"/>
      <c r="T46" s="22">
        <f>+T16-T18+T44</f>
        <v>-180145.18</v>
      </c>
      <c r="U46" s="14"/>
      <c r="V46" s="20">
        <f>IF(T$12=0,0,T46/T$12)</f>
        <v>0</v>
      </c>
      <c r="W46" s="15"/>
      <c r="X46" s="22">
        <f>+P46-T46</f>
        <v>26867.889999999985</v>
      </c>
      <c r="Y46" s="15"/>
      <c r="Z46" s="20">
        <f>IF(T46=0,0,X46/T46)</f>
        <v>-0.14914576121326137</v>
      </c>
    </row>
    <row r="47" spans="1:26" x14ac:dyDescent="0.25">
      <c r="A47" s="9"/>
      <c r="B47" s="11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4" customFormat="1" x14ac:dyDescent="0.25">
      <c r="A48" s="51"/>
      <c r="B48" s="11" t="s">
        <v>127</v>
      </c>
      <c r="C48" s="11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1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1"/>
      <c r="C49" s="11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1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4" customFormat="1" ht="15.75" thickBot="1" x14ac:dyDescent="0.3">
      <c r="A50" s="11"/>
      <c r="B50" s="29" t="s">
        <v>125</v>
      </c>
      <c r="C50" s="29"/>
      <c r="D50" s="30">
        <f>+D46-D48</f>
        <v>-17485.55</v>
      </c>
      <c r="E50" s="14"/>
      <c r="F50" s="36">
        <f>IF(D$12=0,0,D50/D$12)</f>
        <v>0</v>
      </c>
      <c r="G50" s="14"/>
      <c r="H50" s="30">
        <f>+H46-H48</f>
        <v>-17427.299999999996</v>
      </c>
      <c r="I50" s="14"/>
      <c r="J50" s="36">
        <f>IF(H$12=0,0,H50/H$12)</f>
        <v>0</v>
      </c>
      <c r="K50" s="15"/>
      <c r="L50" s="30">
        <f>D50-H50</f>
        <v>-58.250000000003638</v>
      </c>
      <c r="M50" s="15"/>
      <c r="N50" s="36">
        <f>IF(H50=0,0,L50/H50)</f>
        <v>3.3424569497285095E-3</v>
      </c>
      <c r="O50" s="28"/>
      <c r="P50" s="30">
        <f>+P46-P48</f>
        <v>-153277.29</v>
      </c>
      <c r="Q50" s="14"/>
      <c r="R50" s="36">
        <f>IF(P$12=0,0,P50/P$12)</f>
        <v>0</v>
      </c>
      <c r="S50" s="14"/>
      <c r="T50" s="30">
        <f>+T46-T48</f>
        <v>-180145.18</v>
      </c>
      <c r="U50" s="14"/>
      <c r="V50" s="36">
        <f>IF(T$12=0,0,T50/T$12)</f>
        <v>0</v>
      </c>
      <c r="W50" s="15"/>
      <c r="X50" s="30">
        <f>P50-T50</f>
        <v>26867.889999999985</v>
      </c>
      <c r="Y50" s="15"/>
      <c r="Z50" s="36">
        <f>IF(T50=0,0,X50/T50)</f>
        <v>-0.14914576121326137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ht="15.75" thickBot="1" x14ac:dyDescent="0.3">
      <c r="A53" s="11"/>
      <c r="B53" s="29" t="s">
        <v>293</v>
      </c>
      <c r="C53" s="29"/>
      <c r="D53" s="35">
        <f>SUM(D50:D52)</f>
        <v>-17485.55</v>
      </c>
      <c r="E53" s="14"/>
      <c r="F53" s="34">
        <f>IF(D$12=0,0,D53/D$12)</f>
        <v>0</v>
      </c>
      <c r="G53" s="14"/>
      <c r="H53" s="35">
        <f>SUM(H50:H52)</f>
        <v>-17427.299999999996</v>
      </c>
      <c r="I53" s="14"/>
      <c r="J53" s="34">
        <f>IF(H$12=0,0,H53/H$12)</f>
        <v>0</v>
      </c>
      <c r="K53" s="15"/>
      <c r="L53" s="35">
        <f>+D53-H53</f>
        <v>-58.250000000003638</v>
      </c>
      <c r="M53" s="15"/>
      <c r="N53" s="34">
        <f>IF(H53=0,0,L53/H53)</f>
        <v>3.3424569497285095E-3</v>
      </c>
      <c r="O53" s="28"/>
      <c r="P53" s="35">
        <f>SUM(P50:P52)</f>
        <v>-153277.29</v>
      </c>
      <c r="Q53" s="14"/>
      <c r="R53" s="34">
        <f>IF(P$12=0,0,P53/P$12)</f>
        <v>0</v>
      </c>
      <c r="S53" s="14"/>
      <c r="T53" s="35">
        <f>SUM(T50:T52)</f>
        <v>-180145.18</v>
      </c>
      <c r="U53" s="14"/>
      <c r="V53" s="34">
        <f>IF(T$12=0,0,T53/T$12)</f>
        <v>0</v>
      </c>
      <c r="W53" s="15"/>
      <c r="X53" s="35">
        <f>+P53-T53</f>
        <v>26867.889999999985</v>
      </c>
      <c r="Y53" s="15"/>
      <c r="Z53" s="34">
        <f>IF(T53=0,0,X53/T53)</f>
        <v>-0.14914576121326137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4">
        <v>44295.963243634258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8" t="s">
        <v>56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62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","433", " - ", "Hillside Dining Hall")</f>
        <v>Department 433 - Hillside Dining Hall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379688.4</v>
      </c>
      <c r="I12" s="4"/>
      <c r="J12" s="13"/>
      <c r="K12" s="4"/>
      <c r="L12" s="4">
        <f t="shared" ref="L12:L15" si="0">+D12-H12</f>
        <v>-379688.4</v>
      </c>
      <c r="M12" s="4"/>
      <c r="N12" s="13">
        <f t="shared" ref="N12:N15" si="1">IF(H12=0,0,L12/H12)</f>
        <v>-1</v>
      </c>
      <c r="O12" s="11"/>
      <c r="P12" s="4">
        <f>SUM(OSRRefP13x_0)</f>
        <v>23641.919999999998</v>
      </c>
      <c r="Q12" s="4"/>
      <c r="R12" s="13"/>
      <c r="S12" s="4"/>
      <c r="T12" s="4">
        <f>SUM(OSRRefT13x_0)</f>
        <v>3659241.29</v>
      </c>
      <c r="U12" s="4"/>
      <c r="V12" s="13"/>
      <c r="W12" s="4"/>
      <c r="X12" s="4">
        <f t="shared" ref="X12:X15" si="2">+P12-T12</f>
        <v>-3635599.37</v>
      </c>
      <c r="Y12" s="4"/>
      <c r="Z12" s="13">
        <f t="shared" ref="Z12:Z15" si="3">IF(T12=0,0,X12/T12)</f>
        <v>-0.99353911969002739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5" si="4">0</f>
        <v>0</v>
      </c>
      <c r="E13" s="2"/>
      <c r="F13" s="19"/>
      <c r="G13" s="2"/>
      <c r="H13" s="2">
        <f>--2047.2</f>
        <v>2047.2</v>
      </c>
      <c r="I13" s="2"/>
      <c r="J13" s="19"/>
      <c r="K13" s="2"/>
      <c r="L13" s="2">
        <f t="shared" si="0"/>
        <v>-2047.2</v>
      </c>
      <c r="M13" s="2"/>
      <c r="N13" s="19">
        <f t="shared" si="1"/>
        <v>-1</v>
      </c>
      <c r="O13" s="10"/>
      <c r="P13" s="2">
        <f>--217.65</f>
        <v>217.65</v>
      </c>
      <c r="Q13" s="2"/>
      <c r="R13" s="19"/>
      <c r="S13" s="2"/>
      <c r="T13" s="2">
        <f>--21335.12</f>
        <v>21335.119999999999</v>
      </c>
      <c r="U13" s="2"/>
      <c r="V13" s="19"/>
      <c r="W13" s="2"/>
      <c r="X13" s="2">
        <f t="shared" si="2"/>
        <v>-21117.469999999998</v>
      </c>
      <c r="Y13" s="2"/>
      <c r="Z13" s="19">
        <f t="shared" si="3"/>
        <v>-0.98979851062473512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--370496.7</f>
        <v>370496.7</v>
      </c>
      <c r="I14" s="2"/>
      <c r="J14" s="19"/>
      <c r="K14" s="2"/>
      <c r="L14" s="2">
        <f t="shared" si="0"/>
        <v>-370496.7</v>
      </c>
      <c r="M14" s="2"/>
      <c r="N14" s="19">
        <f t="shared" si="1"/>
        <v>-1</v>
      </c>
      <c r="O14" s="10"/>
      <c r="P14" s="2">
        <f>--16096</f>
        <v>16096</v>
      </c>
      <c r="Q14" s="2"/>
      <c r="R14" s="19"/>
      <c r="S14" s="2"/>
      <c r="T14" s="2">
        <f>--3392640.21</f>
        <v>3392640.21</v>
      </c>
      <c r="U14" s="2"/>
      <c r="V14" s="19"/>
      <c r="W14" s="2"/>
      <c r="X14" s="2">
        <f t="shared" si="2"/>
        <v>-3376544.21</v>
      </c>
      <c r="Y14" s="2"/>
      <c r="Z14" s="19">
        <f t="shared" si="3"/>
        <v>-0.99525561244232263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 t="shared" si="4"/>
        <v>0</v>
      </c>
      <c r="E15" s="2"/>
      <c r="F15" s="19"/>
      <c r="G15" s="2"/>
      <c r="H15" s="2">
        <f>--7144.5</f>
        <v>7144.5</v>
      </c>
      <c r="I15" s="2"/>
      <c r="J15" s="19"/>
      <c r="K15" s="2"/>
      <c r="L15" s="2">
        <f t="shared" si="0"/>
        <v>-7144.5</v>
      </c>
      <c r="M15" s="2"/>
      <c r="N15" s="19">
        <f t="shared" si="1"/>
        <v>-1</v>
      </c>
      <c r="O15" s="10"/>
      <c r="P15" s="2">
        <f>--7328.27</f>
        <v>7328.27</v>
      </c>
      <c r="Q15" s="2"/>
      <c r="R15" s="19"/>
      <c r="S15" s="2"/>
      <c r="T15" s="2">
        <f>--245265.96</f>
        <v>245265.96</v>
      </c>
      <c r="U15" s="2"/>
      <c r="V15" s="19"/>
      <c r="W15" s="2"/>
      <c r="X15" s="2">
        <f t="shared" si="2"/>
        <v>-237937.69</v>
      </c>
      <c r="Y15" s="2"/>
      <c r="Z15" s="19">
        <f t="shared" si="3"/>
        <v>-0.97012112891654434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0</v>
      </c>
      <c r="E17" s="4"/>
      <c r="F17" s="13">
        <f t="shared" ref="F17:F19" si="5">IF(D$12=0,0,D17/D$12)</f>
        <v>0</v>
      </c>
      <c r="G17" s="4"/>
      <c r="H17" s="4">
        <f>SUM(OSRRefH16x_0)</f>
        <v>98718.59</v>
      </c>
      <c r="I17" s="4"/>
      <c r="J17" s="13">
        <f t="shared" ref="J17:J19" si="6">IF(H$12=0,0,H17/H$12)</f>
        <v>0.25999896230698644</v>
      </c>
      <c r="K17" s="4"/>
      <c r="L17" s="4">
        <f t="shared" ref="L17:L19" si="7">+D17-H17</f>
        <v>-98718.59</v>
      </c>
      <c r="M17" s="4"/>
      <c r="N17" s="13">
        <f t="shared" ref="N17:N19" si="8">IF(H17=0,0,L17/H17)</f>
        <v>-1</v>
      </c>
      <c r="O17" s="11"/>
      <c r="P17" s="4">
        <f>SUM(OSRRefP16x_0)</f>
        <v>25322.92</v>
      </c>
      <c r="Q17" s="4"/>
      <c r="R17" s="13">
        <f t="shared" ref="R17:R19" si="9">IF(P$12=0,0,P17/P$12)</f>
        <v>1.0711025162084975</v>
      </c>
      <c r="S17" s="4"/>
      <c r="T17" s="4">
        <f>SUM(OSRRefT16x_0)</f>
        <v>885506.82</v>
      </c>
      <c r="U17" s="4"/>
      <c r="V17" s="13">
        <f t="shared" ref="V17:V19" si="10">IF(T$12=0,0,T17/T$12)</f>
        <v>0.24199191849412038</v>
      </c>
      <c r="W17" s="4"/>
      <c r="X17" s="4">
        <f t="shared" ref="X17:X19" si="11">+P17-T17</f>
        <v>-860183.89999999991</v>
      </c>
      <c r="Y17" s="4"/>
      <c r="Z17" s="13">
        <f t="shared" ref="Z17:Z19" si="12">IF(T17=0,0,X17/T17)</f>
        <v>-0.9714029079979305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/>
      <c r="E18" s="2"/>
      <c r="F18" s="19">
        <f t="shared" si="5"/>
        <v>0</v>
      </c>
      <c r="G18" s="2"/>
      <c r="H18" s="2">
        <v>65575.59</v>
      </c>
      <c r="I18" s="2"/>
      <c r="J18" s="19">
        <f t="shared" si="6"/>
        <v>0.17270896345529649</v>
      </c>
      <c r="K18" s="2"/>
      <c r="L18" s="2">
        <f t="shared" si="7"/>
        <v>-65575.59</v>
      </c>
      <c r="M18" s="2"/>
      <c r="N18" s="19">
        <f t="shared" si="8"/>
        <v>-1</v>
      </c>
      <c r="O18" s="10"/>
      <c r="P18" s="2">
        <v>14410.92</v>
      </c>
      <c r="Q18" s="2"/>
      <c r="R18" s="19">
        <f t="shared" si="9"/>
        <v>0.60954947821496741</v>
      </c>
      <c r="S18" s="2"/>
      <c r="T18" s="2">
        <v>873622.82</v>
      </c>
      <c r="U18" s="2"/>
      <c r="V18" s="19">
        <f t="shared" si="10"/>
        <v>0.23874425072417127</v>
      </c>
      <c r="W18" s="2"/>
      <c r="X18" s="2">
        <f t="shared" si="11"/>
        <v>-859211.89999999991</v>
      </c>
      <c r="Y18" s="2"/>
      <c r="Z18" s="19">
        <f t="shared" si="12"/>
        <v>-0.98350441441078651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/>
      <c r="E19" s="2"/>
      <c r="F19" s="19">
        <f t="shared" si="5"/>
        <v>0</v>
      </c>
      <c r="G19" s="2"/>
      <c r="H19" s="2">
        <v>33143</v>
      </c>
      <c r="I19" s="2"/>
      <c r="J19" s="19">
        <f t="shared" si="6"/>
        <v>8.7289998851689962E-2</v>
      </c>
      <c r="K19" s="2"/>
      <c r="L19" s="2">
        <f t="shared" si="7"/>
        <v>-33143</v>
      </c>
      <c r="M19" s="2"/>
      <c r="N19" s="19">
        <f t="shared" si="8"/>
        <v>-1</v>
      </c>
      <c r="O19" s="10"/>
      <c r="P19" s="2">
        <v>10912</v>
      </c>
      <c r="Q19" s="2"/>
      <c r="R19" s="19">
        <f t="shared" si="9"/>
        <v>0.46155303799353015</v>
      </c>
      <c r="S19" s="2"/>
      <c r="T19" s="2">
        <v>11884</v>
      </c>
      <c r="U19" s="2"/>
      <c r="V19" s="19">
        <f t="shared" si="10"/>
        <v>3.2476677699491089E-3</v>
      </c>
      <c r="W19" s="2"/>
      <c r="X19" s="2">
        <f t="shared" si="11"/>
        <v>-972</v>
      </c>
      <c r="Y19" s="2"/>
      <c r="Z19" s="19">
        <f t="shared" si="12"/>
        <v>-8.1790642881184789E-2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9" t="s">
        <v>107</v>
      </c>
      <c r="C21" s="29"/>
      <c r="D21" s="22">
        <f>D12-D17</f>
        <v>0</v>
      </c>
      <c r="E21" s="14"/>
      <c r="F21" s="20">
        <f>IF(D$12=0,0,D21/D$12)</f>
        <v>0</v>
      </c>
      <c r="G21" s="14"/>
      <c r="H21" s="22">
        <f>H12-H17</f>
        <v>280969.81000000006</v>
      </c>
      <c r="I21" s="14"/>
      <c r="J21" s="20">
        <f>IF(H$12=0,0,H21/H$12)</f>
        <v>0.74000103769301362</v>
      </c>
      <c r="K21" s="15"/>
      <c r="L21" s="22">
        <f>+D21-H21</f>
        <v>-280969.81000000006</v>
      </c>
      <c r="M21" s="15"/>
      <c r="N21" s="20">
        <f>IF(H21=0,0,L21/H21)</f>
        <v>-1</v>
      </c>
      <c r="O21" s="28"/>
      <c r="P21" s="22">
        <f>P12-P17</f>
        <v>-1681</v>
      </c>
      <c r="Q21" s="14"/>
      <c r="R21" s="20">
        <f>IF(P$12=0,0,P21/P$12)</f>
        <v>-7.110251620849746E-2</v>
      </c>
      <c r="S21" s="14"/>
      <c r="T21" s="22">
        <f>T12-T17</f>
        <v>2773734.47</v>
      </c>
      <c r="U21" s="14"/>
      <c r="V21" s="20">
        <f>IF(T$12=0,0,T21/T$12)</f>
        <v>0.75800808150587962</v>
      </c>
      <c r="W21" s="15"/>
      <c r="X21" s="22">
        <f>+P21-T21</f>
        <v>-2775415.47</v>
      </c>
      <c r="Y21" s="15"/>
      <c r="Z21" s="20">
        <f>IF(T21=0,0,X21/T21)</f>
        <v>-1.000606042149377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8" t="s">
        <v>294</v>
      </c>
      <c r="C23" s="11"/>
      <c r="D23" s="21">
        <f>SUM(OSRRefD22x_0)</f>
        <v>47743.71</v>
      </c>
      <c r="E23" s="21"/>
      <c r="F23" s="31">
        <f t="shared" ref="F23:F33" si="13">IF(D$12=0,0,D23/D$12)</f>
        <v>0</v>
      </c>
      <c r="G23" s="21"/>
      <c r="H23" s="21">
        <f>SUM(OSRRefH22x_0)</f>
        <v>205654.74000000011</v>
      </c>
      <c r="I23" s="21"/>
      <c r="J23" s="31">
        <f t="shared" ref="J23:J33" si="14">IF(H$12=0,0,H23/H$12)</f>
        <v>0.54164082969087313</v>
      </c>
      <c r="K23" s="4"/>
      <c r="L23" s="21">
        <f t="shared" ref="L23:L33" si="15">+D23-H23</f>
        <v>-157911.03000000012</v>
      </c>
      <c r="M23" s="4"/>
      <c r="N23" s="31">
        <f t="shared" ref="N23:N33" si="16">IF(H23=0,0,L23/H23)</f>
        <v>-0.76784532172708508</v>
      </c>
      <c r="O23" s="11"/>
      <c r="P23" s="21">
        <f>SUM(OSRRefP22x_0)</f>
        <v>462360.48999999993</v>
      </c>
      <c r="Q23" s="21"/>
      <c r="R23" s="31">
        <f t="shared" ref="R23:R33" si="17">IF(P$12=0,0,P23/P$12)</f>
        <v>19.556807991905902</v>
      </c>
      <c r="S23" s="21"/>
      <c r="T23" s="21">
        <f>SUM(OSRRefT22x_0)</f>
        <v>1556737.1199999996</v>
      </c>
      <c r="U23" s="21"/>
      <c r="V23" s="31">
        <f t="shared" ref="V23:V33" si="18">IF(T$12=0,0,T23/T$12)</f>
        <v>0.42542620085050464</v>
      </c>
      <c r="W23" s="4"/>
      <c r="X23" s="21">
        <f t="shared" ref="X23:X33" si="19">+P23-T23</f>
        <v>-1094376.6299999997</v>
      </c>
      <c r="Y23" s="4"/>
      <c r="Z23" s="31">
        <f t="shared" ref="Z23:Z33" si="20">IF(T23=0,0,X23/T23)</f>
        <v>-0.70299385550721616</v>
      </c>
    </row>
    <row r="24" spans="1:26" s="26" customFormat="1" outlineLevel="1" collapsed="1" x14ac:dyDescent="0.25">
      <c r="A24" s="27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20741.009999999998</v>
      </c>
      <c r="E24" s="1"/>
      <c r="F24" s="5">
        <f t="shared" si="13"/>
        <v>0</v>
      </c>
      <c r="G24" s="1"/>
      <c r="H24" s="1">
        <f>SUM(OSRRefH22_0x_0)</f>
        <v>31789.210000000003</v>
      </c>
      <c r="I24" s="1"/>
      <c r="J24" s="5">
        <f t="shared" si="14"/>
        <v>8.3724469854754582E-2</v>
      </c>
      <c r="K24" s="1"/>
      <c r="L24" s="1">
        <f t="shared" si="15"/>
        <v>-11048.200000000004</v>
      </c>
      <c r="M24" s="1"/>
      <c r="N24" s="5">
        <f t="shared" si="16"/>
        <v>-0.34754559801895057</v>
      </c>
      <c r="O24" s="12"/>
      <c r="P24" s="1">
        <f>SUM(OSRRefP22_0x_0)</f>
        <v>187671.32999999996</v>
      </c>
      <c r="Q24" s="1"/>
      <c r="R24" s="5">
        <f t="shared" si="17"/>
        <v>7.9380748264100367</v>
      </c>
      <c r="S24" s="1"/>
      <c r="T24" s="1">
        <f>SUM(OSRRefT22_0x_0)</f>
        <v>255817.82</v>
      </c>
      <c r="U24" s="1"/>
      <c r="V24" s="5">
        <f t="shared" si="18"/>
        <v>6.9910071439973284E-2</v>
      </c>
      <c r="W24" s="1"/>
      <c r="X24" s="1">
        <f t="shared" si="19"/>
        <v>-68146.490000000049</v>
      </c>
      <c r="Y24" s="1"/>
      <c r="Z24" s="5">
        <f t="shared" si="20"/>
        <v>-0.26638679823008438</v>
      </c>
    </row>
    <row r="25" spans="1:26" s="23" customFormat="1" hidden="1" outlineLevel="2" x14ac:dyDescent="0.25">
      <c r="A25" s="25"/>
      <c r="B25" s="10" t="str">
        <f>CONCATENATE("          ", "6111", " - ", "F.I.C.A.")</f>
        <v xml:space="preserve">          6111 - F.I.C.A.</v>
      </c>
      <c r="C25" s="10"/>
      <c r="D25" s="6">
        <v>1844.41</v>
      </c>
      <c r="E25" s="2"/>
      <c r="F25" s="7">
        <f t="shared" si="13"/>
        <v>0</v>
      </c>
      <c r="G25" s="2"/>
      <c r="H25" s="6">
        <v>5490.49</v>
      </c>
      <c r="I25" s="2"/>
      <c r="J25" s="7">
        <f t="shared" si="14"/>
        <v>1.4460515517461159E-2</v>
      </c>
      <c r="K25" s="2"/>
      <c r="L25" s="6">
        <f t="shared" si="15"/>
        <v>-3646.08</v>
      </c>
      <c r="M25" s="2"/>
      <c r="N25" s="7">
        <f t="shared" si="16"/>
        <v>-0.66407187700915582</v>
      </c>
      <c r="O25" s="10"/>
      <c r="P25" s="6">
        <v>17976.580000000002</v>
      </c>
      <c r="Q25" s="2"/>
      <c r="R25" s="7">
        <f t="shared" si="17"/>
        <v>0.76036887021020305</v>
      </c>
      <c r="S25" s="2"/>
      <c r="T25" s="6">
        <v>39933.46</v>
      </c>
      <c r="U25" s="2"/>
      <c r="V25" s="7">
        <f t="shared" si="18"/>
        <v>1.0913043670864349E-2</v>
      </c>
      <c r="W25" s="2"/>
      <c r="X25" s="6">
        <f t="shared" si="19"/>
        <v>-21956.879999999997</v>
      </c>
      <c r="Y25" s="2"/>
      <c r="Z25" s="7">
        <f t="shared" si="20"/>
        <v>-0.54983665327271913</v>
      </c>
    </row>
    <row r="26" spans="1:26" s="23" customFormat="1" hidden="1" outlineLevel="2" x14ac:dyDescent="0.25">
      <c r="A26" s="25"/>
      <c r="B26" s="10" t="str">
        <f>CONCATENATE("          ", "6112", " - ", "COMPENSATION INSURANCE")</f>
        <v xml:space="preserve">          6112 - COMPENSATION INSURANCE</v>
      </c>
      <c r="C26" s="10"/>
      <c r="D26" s="6">
        <v>1032.1099999999999</v>
      </c>
      <c r="E26" s="2"/>
      <c r="F26" s="7">
        <f t="shared" si="13"/>
        <v>0</v>
      </c>
      <c r="G26" s="2"/>
      <c r="H26" s="6">
        <v>5830.48</v>
      </c>
      <c r="I26" s="2"/>
      <c r="J26" s="7">
        <f t="shared" si="14"/>
        <v>1.5355960308505605E-2</v>
      </c>
      <c r="K26" s="2"/>
      <c r="L26" s="6">
        <f t="shared" si="15"/>
        <v>-4798.37</v>
      </c>
      <c r="M26" s="2"/>
      <c r="N26" s="7">
        <f t="shared" si="16"/>
        <v>-0.8229802692059659</v>
      </c>
      <c r="O26" s="10"/>
      <c r="P26" s="6">
        <v>10196.27</v>
      </c>
      <c r="Q26" s="2"/>
      <c r="R26" s="7">
        <f t="shared" si="17"/>
        <v>0.43127927004236549</v>
      </c>
      <c r="S26" s="2"/>
      <c r="T26" s="6">
        <v>27907.759999999998</v>
      </c>
      <c r="U26" s="2"/>
      <c r="V26" s="7">
        <f t="shared" si="18"/>
        <v>7.6266520265461909E-3</v>
      </c>
      <c r="W26" s="2"/>
      <c r="X26" s="6">
        <f t="shared" si="19"/>
        <v>-17711.489999999998</v>
      </c>
      <c r="Y26" s="2"/>
      <c r="Z26" s="7">
        <f t="shared" si="20"/>
        <v>-0.63464391266085129</v>
      </c>
    </row>
    <row r="27" spans="1:26" s="23" customFormat="1" hidden="1" outlineLevel="2" x14ac:dyDescent="0.25">
      <c r="A27" s="25"/>
      <c r="B27" s="10" t="str">
        <f>CONCATENATE("          ", "6113", " - ", "GROUP INSURANCE")</f>
        <v xml:space="preserve">          6113 - GROUP INSURANCE</v>
      </c>
      <c r="C27" s="10"/>
      <c r="D27" s="6">
        <v>12552.45</v>
      </c>
      <c r="E27" s="2"/>
      <c r="F27" s="7">
        <f t="shared" si="13"/>
        <v>0</v>
      </c>
      <c r="G27" s="2"/>
      <c r="H27" s="6">
        <v>13844.04</v>
      </c>
      <c r="I27" s="2"/>
      <c r="J27" s="7">
        <f t="shared" si="14"/>
        <v>3.6461582708347158E-2</v>
      </c>
      <c r="K27" s="2"/>
      <c r="L27" s="6">
        <f t="shared" si="15"/>
        <v>-1291.5900000000001</v>
      </c>
      <c r="M27" s="2"/>
      <c r="N27" s="7">
        <f t="shared" si="16"/>
        <v>-9.329574315012093E-2</v>
      </c>
      <c r="O27" s="10"/>
      <c r="P27" s="6">
        <v>110116.48</v>
      </c>
      <c r="Q27" s="2"/>
      <c r="R27" s="7">
        <f t="shared" si="17"/>
        <v>4.6576792409415146</v>
      </c>
      <c r="S27" s="2"/>
      <c r="T27" s="6">
        <v>117848.29</v>
      </c>
      <c r="U27" s="2"/>
      <c r="V27" s="7">
        <f t="shared" si="18"/>
        <v>3.2205662502239635E-2</v>
      </c>
      <c r="W27" s="2"/>
      <c r="X27" s="6">
        <f t="shared" si="19"/>
        <v>-7731.8099999999977</v>
      </c>
      <c r="Y27" s="2"/>
      <c r="Z27" s="7">
        <f t="shared" si="20"/>
        <v>-6.5608164530855717E-2</v>
      </c>
    </row>
    <row r="28" spans="1:26" s="23" customFormat="1" hidden="1" outlineLevel="2" x14ac:dyDescent="0.25">
      <c r="A28" s="25"/>
      <c r="B28" s="10" t="str">
        <f>CONCATENATE("          ", "6114", " - ", "STATE UNEMPLOYMENT INSURANCE")</f>
        <v xml:space="preserve">          6114 - STATE UNEMPLOYMENT INSURANCE</v>
      </c>
      <c r="C28" s="10"/>
      <c r="D28" s="6">
        <v>62.55</v>
      </c>
      <c r="E28" s="2"/>
      <c r="F28" s="7">
        <f t="shared" si="13"/>
        <v>0</v>
      </c>
      <c r="G28" s="2"/>
      <c r="H28" s="6">
        <v>390.7</v>
      </c>
      <c r="I28" s="2"/>
      <c r="J28" s="7">
        <f t="shared" si="14"/>
        <v>1.0290016761112532E-3</v>
      </c>
      <c r="K28" s="2"/>
      <c r="L28" s="6">
        <f t="shared" si="15"/>
        <v>-328.15</v>
      </c>
      <c r="M28" s="2"/>
      <c r="N28" s="7">
        <f t="shared" si="16"/>
        <v>-0.83990273867417453</v>
      </c>
      <c r="O28" s="10"/>
      <c r="P28" s="6">
        <v>617.95000000000005</v>
      </c>
      <c r="Q28" s="2"/>
      <c r="R28" s="7">
        <f t="shared" si="17"/>
        <v>2.6137894045830459E-2</v>
      </c>
      <c r="S28" s="2"/>
      <c r="T28" s="6">
        <v>2181.34</v>
      </c>
      <c r="U28" s="2"/>
      <c r="V28" s="7">
        <f t="shared" si="18"/>
        <v>5.961181095002347E-4</v>
      </c>
      <c r="W28" s="2"/>
      <c r="X28" s="6">
        <f t="shared" si="19"/>
        <v>-1563.39</v>
      </c>
      <c r="Y28" s="2"/>
      <c r="Z28" s="7">
        <f t="shared" si="20"/>
        <v>-0.71671082912338291</v>
      </c>
    </row>
    <row r="29" spans="1:26" s="23" customFormat="1" hidden="1" outlineLevel="2" x14ac:dyDescent="0.25">
      <c r="A29" s="25"/>
      <c r="B29" s="10" t="str">
        <f>CONCATENATE("          ", "6115", " - ", "P.E.R.S.")</f>
        <v xml:space="preserve">          6115 - P.E.R.S.</v>
      </c>
      <c r="C29" s="10"/>
      <c r="D29" s="6">
        <v>950.04</v>
      </c>
      <c r="E29" s="2"/>
      <c r="F29" s="7">
        <f t="shared" si="13"/>
        <v>0</v>
      </c>
      <c r="G29" s="2"/>
      <c r="H29" s="6">
        <v>1221.6600000000001</v>
      </c>
      <c r="I29" s="2"/>
      <c r="J29" s="7">
        <f t="shared" si="14"/>
        <v>3.2175331139955815E-3</v>
      </c>
      <c r="K29" s="2"/>
      <c r="L29" s="6">
        <f t="shared" si="15"/>
        <v>-271.62000000000012</v>
      </c>
      <c r="M29" s="2"/>
      <c r="N29" s="7">
        <f t="shared" si="16"/>
        <v>-0.22233682039192582</v>
      </c>
      <c r="O29" s="10"/>
      <c r="P29" s="6">
        <v>9580.83</v>
      </c>
      <c r="Q29" s="2"/>
      <c r="R29" s="7">
        <f t="shared" si="17"/>
        <v>0.4052475433467333</v>
      </c>
      <c r="S29" s="2"/>
      <c r="T29" s="6">
        <v>11990.97</v>
      </c>
      <c r="U29" s="2"/>
      <c r="V29" s="7">
        <f t="shared" si="18"/>
        <v>3.2769006058083693E-3</v>
      </c>
      <c r="W29" s="2"/>
      <c r="X29" s="6">
        <f t="shared" si="19"/>
        <v>-2410.1399999999994</v>
      </c>
      <c r="Y29" s="2"/>
      <c r="Z29" s="7">
        <f t="shared" si="20"/>
        <v>-0.20099624967788257</v>
      </c>
    </row>
    <row r="30" spans="1:26" s="23" customFormat="1" hidden="1" outlineLevel="2" x14ac:dyDescent="0.25">
      <c r="A30" s="25"/>
      <c r="B30" s="10" t="str">
        <f>CONCATENATE("          ", "6117", " - ", "RETIREMENT STAFF HOURLY")</f>
        <v xml:space="preserve">          6117 - RETIREMENT STAFF HOURLY</v>
      </c>
      <c r="C30" s="10"/>
      <c r="D30" s="6">
        <v>575.26</v>
      </c>
      <c r="E30" s="2"/>
      <c r="F30" s="7">
        <f t="shared" si="13"/>
        <v>0</v>
      </c>
      <c r="G30" s="2"/>
      <c r="H30" s="6">
        <v>307.88</v>
      </c>
      <c r="I30" s="2"/>
      <c r="J30" s="7">
        <f t="shared" si="14"/>
        <v>8.1087544418001706E-4</v>
      </c>
      <c r="K30" s="2"/>
      <c r="L30" s="6">
        <f t="shared" si="15"/>
        <v>267.38</v>
      </c>
      <c r="M30" s="2"/>
      <c r="N30" s="7">
        <f t="shared" si="16"/>
        <v>0.86845524230219562</v>
      </c>
      <c r="O30" s="10"/>
      <c r="P30" s="6">
        <v>3675.1</v>
      </c>
      <c r="Q30" s="2"/>
      <c r="R30" s="7">
        <f t="shared" si="17"/>
        <v>0.15544845765487744</v>
      </c>
      <c r="S30" s="2"/>
      <c r="T30" s="6">
        <v>4130.24</v>
      </c>
      <c r="U30" s="2"/>
      <c r="V30" s="7">
        <f t="shared" si="18"/>
        <v>1.1287148544391287E-3</v>
      </c>
      <c r="W30" s="2"/>
      <c r="X30" s="6">
        <f t="shared" si="19"/>
        <v>-455.13999999999987</v>
      </c>
      <c r="Y30" s="2"/>
      <c r="Z30" s="7">
        <f t="shared" si="20"/>
        <v>-0.1101969861315565</v>
      </c>
    </row>
    <row r="31" spans="1:26" s="23" customFormat="1" hidden="1" outlineLevel="2" x14ac:dyDescent="0.25">
      <c r="A31" s="25"/>
      <c r="B31" s="10" t="str">
        <f>CONCATENATE("          ", "6118", " - ", "VACATION")</f>
        <v xml:space="preserve">          6118 - VACATION</v>
      </c>
      <c r="C31" s="10"/>
      <c r="D31" s="6">
        <v>1628.16</v>
      </c>
      <c r="E31" s="2"/>
      <c r="F31" s="7">
        <f t="shared" si="13"/>
        <v>0</v>
      </c>
      <c r="G31" s="2"/>
      <c r="H31" s="6">
        <v>2209.12</v>
      </c>
      <c r="I31" s="2"/>
      <c r="J31" s="7">
        <f t="shared" si="14"/>
        <v>5.8182446448192772E-3</v>
      </c>
      <c r="K31" s="2"/>
      <c r="L31" s="6">
        <f t="shared" si="15"/>
        <v>-580.95999999999981</v>
      </c>
      <c r="M31" s="2"/>
      <c r="N31" s="7">
        <f t="shared" si="16"/>
        <v>-0.26298254508582597</v>
      </c>
      <c r="O31" s="10"/>
      <c r="P31" s="6">
        <v>16919.64</v>
      </c>
      <c r="Q31" s="2"/>
      <c r="R31" s="7">
        <f t="shared" si="17"/>
        <v>0.71566268729443294</v>
      </c>
      <c r="S31" s="2"/>
      <c r="T31" s="6">
        <v>22420.91</v>
      </c>
      <c r="U31" s="2"/>
      <c r="V31" s="7">
        <f t="shared" si="18"/>
        <v>6.12720184953969E-3</v>
      </c>
      <c r="W31" s="2"/>
      <c r="X31" s="6">
        <f t="shared" si="19"/>
        <v>-5501.27</v>
      </c>
      <c r="Y31" s="2"/>
      <c r="Z31" s="7">
        <f t="shared" si="20"/>
        <v>-0.24536336839138109</v>
      </c>
    </row>
    <row r="32" spans="1:26" s="23" customFormat="1" hidden="1" outlineLevel="2" x14ac:dyDescent="0.25">
      <c r="A32" s="25"/>
      <c r="B32" s="10" t="str">
        <f>CONCATENATE("          ", "6119", " - ", "SICK LEAVE")</f>
        <v xml:space="preserve">          6119 - SICK LEAVE</v>
      </c>
      <c r="C32" s="10"/>
      <c r="D32" s="6">
        <v>1214.78</v>
      </c>
      <c r="E32" s="2"/>
      <c r="F32" s="7">
        <f t="shared" si="13"/>
        <v>0</v>
      </c>
      <c r="G32" s="2"/>
      <c r="H32" s="6">
        <v>1528.04</v>
      </c>
      <c r="I32" s="2"/>
      <c r="J32" s="7">
        <f t="shared" si="14"/>
        <v>4.0244579502560513E-3</v>
      </c>
      <c r="K32" s="2"/>
      <c r="L32" s="6">
        <f t="shared" si="15"/>
        <v>-313.26</v>
      </c>
      <c r="M32" s="2"/>
      <c r="N32" s="7">
        <f t="shared" si="16"/>
        <v>-0.20500772231093425</v>
      </c>
      <c r="O32" s="10"/>
      <c r="P32" s="6">
        <v>11341.52</v>
      </c>
      <c r="Q32" s="2"/>
      <c r="R32" s="7">
        <f t="shared" si="17"/>
        <v>0.47972076717965384</v>
      </c>
      <c r="S32" s="2"/>
      <c r="T32" s="6">
        <v>19182</v>
      </c>
      <c r="U32" s="2"/>
      <c r="V32" s="7">
        <f t="shared" si="18"/>
        <v>5.2420702762675702E-3</v>
      </c>
      <c r="W32" s="2"/>
      <c r="X32" s="6">
        <f t="shared" si="19"/>
        <v>-7840.48</v>
      </c>
      <c r="Y32" s="2"/>
      <c r="Z32" s="7">
        <f t="shared" si="20"/>
        <v>-0.40874152851631734</v>
      </c>
    </row>
    <row r="33" spans="1:26" s="23" customFormat="1" hidden="1" outlineLevel="2" x14ac:dyDescent="0.25">
      <c r="A33" s="25"/>
      <c r="B33" s="10" t="str">
        <f>CONCATENATE("          ", "6156", " - ", "EMPLOYEE MEALS")</f>
        <v xml:space="preserve">          6156 - EMPLOYEE MEALS</v>
      </c>
      <c r="C33" s="10"/>
      <c r="D33" s="6">
        <v>881.25</v>
      </c>
      <c r="E33" s="2"/>
      <c r="F33" s="7">
        <f t="shared" si="13"/>
        <v>0</v>
      </c>
      <c r="G33" s="2"/>
      <c r="H33" s="6">
        <v>966.8</v>
      </c>
      <c r="I33" s="2"/>
      <c r="J33" s="7">
        <f t="shared" si="14"/>
        <v>2.5462984910784737E-3</v>
      </c>
      <c r="K33" s="2"/>
      <c r="L33" s="6">
        <f t="shared" si="15"/>
        <v>-85.549999999999955</v>
      </c>
      <c r="M33" s="2"/>
      <c r="N33" s="7">
        <f t="shared" si="16"/>
        <v>-8.8487794786925894E-2</v>
      </c>
      <c r="O33" s="10"/>
      <c r="P33" s="6">
        <v>7246.96</v>
      </c>
      <c r="Q33" s="2"/>
      <c r="R33" s="7">
        <f t="shared" si="17"/>
        <v>0.30653009569442757</v>
      </c>
      <c r="S33" s="2"/>
      <c r="T33" s="6">
        <v>10222.85</v>
      </c>
      <c r="U33" s="2"/>
      <c r="V33" s="7">
        <f t="shared" si="18"/>
        <v>2.7937075447681124E-3</v>
      </c>
      <c r="W33" s="2"/>
      <c r="X33" s="6">
        <f t="shared" si="19"/>
        <v>-2975.8900000000003</v>
      </c>
      <c r="Y33" s="2"/>
      <c r="Z33" s="7">
        <f t="shared" si="20"/>
        <v>-0.29110179646576057</v>
      </c>
    </row>
    <row r="34" spans="1:26" s="26" customFormat="1" outlineLevel="1" collapsed="1" x14ac:dyDescent="0.25">
      <c r="A34" s="27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21046.940000000002</v>
      </c>
      <c r="E34" s="1"/>
      <c r="F34" s="5">
        <f t="shared" ref="F34:F40" si="21">IF(D$12=0,0,D34/D$12)</f>
        <v>0</v>
      </c>
      <c r="G34" s="1"/>
      <c r="H34" s="1">
        <f>SUM(OSRRefH22_1x_0)</f>
        <v>120458.82</v>
      </c>
      <c r="I34" s="1"/>
      <c r="J34" s="5">
        <f t="shared" ref="J34:J40" si="22">IF(H$12=0,0,H34/H$12)</f>
        <v>0.31725704551416373</v>
      </c>
      <c r="K34" s="1"/>
      <c r="L34" s="1">
        <f t="shared" ref="L34:L40" si="23">+D34-H34</f>
        <v>-99411.88</v>
      </c>
      <c r="M34" s="1"/>
      <c r="N34" s="5">
        <f t="shared" ref="N34:N40" si="24">IF(H34=0,0,L34/H34)</f>
        <v>-0.82527688715529501</v>
      </c>
      <c r="O34" s="12"/>
      <c r="P34" s="1">
        <f>SUM(OSRRefP22_1x_0)</f>
        <v>200527.66999999998</v>
      </c>
      <c r="Q34" s="1"/>
      <c r="R34" s="5">
        <f t="shared" ref="R34:R40" si="25">IF(P$12=0,0,P34/P$12)</f>
        <v>8.4818690698555788</v>
      </c>
      <c r="S34" s="1"/>
      <c r="T34" s="1">
        <f>SUM(OSRRefT22_1x_0)</f>
        <v>806006.95</v>
      </c>
      <c r="U34" s="1"/>
      <c r="V34" s="5">
        <f t="shared" ref="V34:V40" si="26">IF(T$12=0,0,T34/T$12)</f>
        <v>0.22026613883120016</v>
      </c>
      <c r="W34" s="1"/>
      <c r="X34" s="1">
        <f t="shared" ref="X34:X40" si="27">+P34-T34</f>
        <v>-605479.28</v>
      </c>
      <c r="Y34" s="1"/>
      <c r="Z34" s="5">
        <f t="shared" ref="Z34:Z40" si="28">IF(T34=0,0,X34/T34)</f>
        <v>-0.75120851005068889</v>
      </c>
    </row>
    <row r="35" spans="1:26" s="23" customFormat="1" hidden="1" outlineLevel="2" x14ac:dyDescent="0.25">
      <c r="A35" s="25"/>
      <c r="B35" s="10" t="str">
        <f>CONCATENATE("          ", "6002", " - ", "STAFF SALARIES")</f>
        <v xml:space="preserve">          6002 - STAFF SALARIES</v>
      </c>
      <c r="C35" s="10"/>
      <c r="D35" s="6">
        <v>9349.92</v>
      </c>
      <c r="E35" s="2"/>
      <c r="F35" s="7">
        <f t="shared" si="21"/>
        <v>0</v>
      </c>
      <c r="G35" s="2"/>
      <c r="H35" s="6">
        <v>16834.16</v>
      </c>
      <c r="I35" s="2"/>
      <c r="J35" s="7">
        <f t="shared" si="22"/>
        <v>4.433677720994373E-2</v>
      </c>
      <c r="K35" s="2"/>
      <c r="L35" s="6">
        <f t="shared" si="23"/>
        <v>-7484.24</v>
      </c>
      <c r="M35" s="2"/>
      <c r="N35" s="7">
        <f t="shared" si="24"/>
        <v>-0.44458648367367304</v>
      </c>
      <c r="O35" s="10"/>
      <c r="P35" s="6">
        <v>83155.990000000005</v>
      </c>
      <c r="Q35" s="2"/>
      <c r="R35" s="7">
        <f t="shared" si="25"/>
        <v>3.5173111997671938</v>
      </c>
      <c r="S35" s="2"/>
      <c r="T35" s="6">
        <v>135005.64000000001</v>
      </c>
      <c r="U35" s="2"/>
      <c r="V35" s="7">
        <f t="shared" si="26"/>
        <v>3.6894435020982178E-2</v>
      </c>
      <c r="W35" s="2"/>
      <c r="X35" s="6">
        <f t="shared" si="27"/>
        <v>-51849.650000000009</v>
      </c>
      <c r="Y35" s="2"/>
      <c r="Z35" s="7">
        <f t="shared" si="28"/>
        <v>-0.38405543649880114</v>
      </c>
    </row>
    <row r="36" spans="1:26" s="23" customFormat="1" hidden="1" outlineLevel="2" x14ac:dyDescent="0.25">
      <c r="A36" s="25"/>
      <c r="B36" s="10" t="str">
        <f>CONCATENATE("          ", "6004", " - ", "STAFF HOURLY")</f>
        <v xml:space="preserve">          6004 - STAFF HOURLY</v>
      </c>
      <c r="C36" s="10"/>
      <c r="D36" s="6">
        <v>10857.02</v>
      </c>
      <c r="E36" s="2"/>
      <c r="F36" s="7">
        <f t="shared" si="21"/>
        <v>0</v>
      </c>
      <c r="G36" s="2"/>
      <c r="H36" s="6">
        <v>25020.28</v>
      </c>
      <c r="I36" s="2"/>
      <c r="J36" s="7">
        <f t="shared" si="22"/>
        <v>6.5896877544849922E-2</v>
      </c>
      <c r="K36" s="2"/>
      <c r="L36" s="6">
        <f t="shared" si="23"/>
        <v>-14163.259999999998</v>
      </c>
      <c r="M36" s="2"/>
      <c r="N36" s="7">
        <f t="shared" si="24"/>
        <v>-0.56607120304009384</v>
      </c>
      <c r="O36" s="10"/>
      <c r="P36" s="6">
        <v>114188.68</v>
      </c>
      <c r="Q36" s="2"/>
      <c r="R36" s="7">
        <f t="shared" si="25"/>
        <v>4.8299241347572446</v>
      </c>
      <c r="S36" s="2"/>
      <c r="T36" s="6">
        <v>169714.82</v>
      </c>
      <c r="U36" s="2"/>
      <c r="V36" s="7">
        <f t="shared" si="26"/>
        <v>4.6379783826717806E-2</v>
      </c>
      <c r="W36" s="2"/>
      <c r="X36" s="6">
        <f t="shared" si="27"/>
        <v>-55526.140000000014</v>
      </c>
      <c r="Y36" s="2"/>
      <c r="Z36" s="7">
        <f t="shared" si="28"/>
        <v>-0.32717319559953578</v>
      </c>
    </row>
    <row r="37" spans="1:26" s="23" customFormat="1" hidden="1" outlineLevel="2" x14ac:dyDescent="0.25">
      <c r="A37" s="25"/>
      <c r="B37" s="10" t="str">
        <f>CONCATENATE("          ", "6005", " - ", "TEMPORARY WAGES-HOURLY")</f>
        <v xml:space="preserve">          6005 - TEMPORARY WAGES-HOURLY</v>
      </c>
      <c r="C37" s="10"/>
      <c r="D37" s="6"/>
      <c r="E37" s="2"/>
      <c r="F37" s="7">
        <f t="shared" si="21"/>
        <v>0</v>
      </c>
      <c r="G37" s="2"/>
      <c r="H37" s="6">
        <v>21379.7</v>
      </c>
      <c r="I37" s="2"/>
      <c r="J37" s="7">
        <f t="shared" si="22"/>
        <v>5.6308541425021147E-2</v>
      </c>
      <c r="K37" s="2"/>
      <c r="L37" s="6">
        <f t="shared" si="23"/>
        <v>-21379.7</v>
      </c>
      <c r="M37" s="2"/>
      <c r="N37" s="7">
        <f t="shared" si="24"/>
        <v>-1</v>
      </c>
      <c r="O37" s="10"/>
      <c r="P37" s="6"/>
      <c r="Q37" s="2"/>
      <c r="R37" s="7">
        <f t="shared" si="25"/>
        <v>0</v>
      </c>
      <c r="S37" s="2"/>
      <c r="T37" s="6">
        <v>132250.51</v>
      </c>
      <c r="U37" s="2"/>
      <c r="V37" s="7">
        <f t="shared" si="26"/>
        <v>3.6141511181953245E-2</v>
      </c>
      <c r="W37" s="2"/>
      <c r="X37" s="6">
        <f t="shared" si="27"/>
        <v>-132250.51</v>
      </c>
      <c r="Y37" s="2"/>
      <c r="Z37" s="7">
        <f t="shared" si="28"/>
        <v>-1</v>
      </c>
    </row>
    <row r="38" spans="1:26" s="23" customFormat="1" hidden="1" outlineLevel="2" x14ac:dyDescent="0.25">
      <c r="A38" s="25"/>
      <c r="B38" s="10" t="str">
        <f>CONCATENATE("          ", "6006", " - ", "TEMPORARY PART TIME")</f>
        <v xml:space="preserve">          6006 - TEMPORARY PART TIME</v>
      </c>
      <c r="C38" s="10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0"/>
      <c r="P38" s="6"/>
      <c r="Q38" s="2"/>
      <c r="R38" s="7">
        <f t="shared" si="25"/>
        <v>0</v>
      </c>
      <c r="S38" s="2"/>
      <c r="T38" s="6">
        <v>10133.07</v>
      </c>
      <c r="U38" s="2"/>
      <c r="V38" s="7">
        <f t="shared" si="26"/>
        <v>2.7691724040422596E-3</v>
      </c>
      <c r="W38" s="2"/>
      <c r="X38" s="6">
        <f t="shared" si="27"/>
        <v>-10133.07</v>
      </c>
      <c r="Y38" s="2"/>
      <c r="Z38" s="7">
        <f t="shared" si="28"/>
        <v>-1</v>
      </c>
    </row>
    <row r="39" spans="1:26" s="23" customFormat="1" hidden="1" outlineLevel="2" x14ac:dyDescent="0.25">
      <c r="A39" s="25"/>
      <c r="B39" s="10" t="str">
        <f>CONCATENATE("          ", "6007", " - ", "STUDENT HOURLY")</f>
        <v xml:space="preserve">          6007 - STUDENT HOURLY</v>
      </c>
      <c r="C39" s="10"/>
      <c r="D39" s="6">
        <v>840</v>
      </c>
      <c r="E39" s="2"/>
      <c r="F39" s="7">
        <f t="shared" si="21"/>
        <v>0</v>
      </c>
      <c r="G39" s="2"/>
      <c r="H39" s="6">
        <v>50694.71</v>
      </c>
      <c r="I39" s="2"/>
      <c r="J39" s="7">
        <f t="shared" si="22"/>
        <v>0.13351661520341415</v>
      </c>
      <c r="K39" s="2"/>
      <c r="L39" s="6">
        <f t="shared" si="23"/>
        <v>-49854.71</v>
      </c>
      <c r="M39" s="2"/>
      <c r="N39" s="7">
        <f t="shared" si="24"/>
        <v>-0.9834302237846908</v>
      </c>
      <c r="O39" s="10"/>
      <c r="P39" s="6">
        <v>3183</v>
      </c>
      <c r="Q39" s="2"/>
      <c r="R39" s="7">
        <f t="shared" si="25"/>
        <v>0.13463373533114062</v>
      </c>
      <c r="S39" s="2"/>
      <c r="T39" s="6">
        <v>329049.69</v>
      </c>
      <c r="U39" s="2"/>
      <c r="V39" s="7">
        <f t="shared" si="26"/>
        <v>8.9922927711607675E-2</v>
      </c>
      <c r="W39" s="2"/>
      <c r="X39" s="6">
        <f t="shared" si="27"/>
        <v>-325866.69</v>
      </c>
      <c r="Y39" s="2"/>
      <c r="Z39" s="7">
        <f t="shared" si="28"/>
        <v>-0.99032668895691711</v>
      </c>
    </row>
    <row r="40" spans="1:26" s="23" customFormat="1" hidden="1" outlineLevel="2" x14ac:dyDescent="0.25">
      <c r="A40" s="25"/>
      <c r="B40" s="10" t="str">
        <f>CONCATENATE("          ", "6008", " - ", "STUDENT HOURLY-FICA EXEMPT")</f>
        <v xml:space="preserve">          6008 - STUDENT HOURLY-FICA EXEMPT</v>
      </c>
      <c r="C40" s="10"/>
      <c r="D40" s="6"/>
      <c r="E40" s="2"/>
      <c r="F40" s="7">
        <f t="shared" si="21"/>
        <v>0</v>
      </c>
      <c r="G40" s="2"/>
      <c r="H40" s="6">
        <v>6529.97</v>
      </c>
      <c r="I40" s="2"/>
      <c r="J40" s="7">
        <f t="shared" si="22"/>
        <v>1.7198234130934735E-2</v>
      </c>
      <c r="K40" s="2"/>
      <c r="L40" s="6">
        <f t="shared" si="23"/>
        <v>-6529.97</v>
      </c>
      <c r="M40" s="2"/>
      <c r="N40" s="7">
        <f t="shared" si="24"/>
        <v>-1</v>
      </c>
      <c r="O40" s="10"/>
      <c r="P40" s="6"/>
      <c r="Q40" s="2"/>
      <c r="R40" s="7">
        <f t="shared" si="25"/>
        <v>0</v>
      </c>
      <c r="S40" s="2"/>
      <c r="T40" s="6">
        <v>29853.22</v>
      </c>
      <c r="U40" s="2"/>
      <c r="V40" s="7">
        <f t="shared" si="26"/>
        <v>8.1583086858970158E-3</v>
      </c>
      <c r="W40" s="2"/>
      <c r="X40" s="6">
        <f t="shared" si="27"/>
        <v>-29853.22</v>
      </c>
      <c r="Y40" s="2"/>
      <c r="Z40" s="7">
        <f t="shared" si="28"/>
        <v>-1</v>
      </c>
    </row>
    <row r="41" spans="1:26" s="26" customFormat="1" outlineLevel="1" collapsed="1" x14ac:dyDescent="0.25">
      <c r="A41" s="27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2" si="29">IF(D$12=0,0,D41/D$12)</f>
        <v>0</v>
      </c>
      <c r="G41" s="1"/>
      <c r="H41" s="1">
        <f>SUM(OSRRefH22_2x_0)</f>
        <v>0</v>
      </c>
      <c r="I41" s="1"/>
      <c r="J41" s="5">
        <f t="shared" ref="J41:J62" si="30">IF(H$12=0,0,H41/H$12)</f>
        <v>0</v>
      </c>
      <c r="K41" s="1"/>
      <c r="L41" s="1">
        <f t="shared" ref="L41:L62" si="31">+D41-H41</f>
        <v>0</v>
      </c>
      <c r="M41" s="1"/>
      <c r="N41" s="5">
        <f t="shared" ref="N41:N62" si="32">IF(H41=0,0,L41/H41)</f>
        <v>0</v>
      </c>
      <c r="O41" s="12"/>
      <c r="P41" s="1">
        <f>SUM(OSRRefP22_2x_0)</f>
        <v>204.75</v>
      </c>
      <c r="Q41" s="1"/>
      <c r="R41" s="5">
        <f t="shared" ref="R41:R62" si="33">IF(P$12=0,0,P41/P$12)</f>
        <v>8.660464124741139E-3</v>
      </c>
      <c r="S41" s="1"/>
      <c r="T41" s="1">
        <f>SUM(OSRRefT22_2x_0)</f>
        <v>2828.94</v>
      </c>
      <c r="U41" s="1"/>
      <c r="V41" s="5">
        <f t="shared" ref="V41:V62" si="34">IF(T$12=0,0,T41/T$12)</f>
        <v>7.7309468706831305E-4</v>
      </c>
      <c r="W41" s="1"/>
      <c r="X41" s="1">
        <f t="shared" ref="X41:X62" si="35">+P41-T41</f>
        <v>-2624.19</v>
      </c>
      <c r="Y41" s="1"/>
      <c r="Z41" s="5">
        <f t="shared" ref="Z41:Z62" si="36">IF(T41=0,0,X41/T41)</f>
        <v>-0.9276230672972916</v>
      </c>
    </row>
    <row r="42" spans="1:26" s="23" customFormat="1" hidden="1" outlineLevel="2" x14ac:dyDescent="0.25">
      <c r="A42" s="25"/>
      <c r="B42" s="10" t="str">
        <f>CONCATENATE("          ", "6362", " - ", "ADVERTISING EXPENSE")</f>
        <v xml:space="preserve">          6362 - ADVERTISING EXPENSE</v>
      </c>
      <c r="C42" s="10"/>
      <c r="D42" s="6"/>
      <c r="E42" s="2"/>
      <c r="F42" s="7">
        <f t="shared" si="29"/>
        <v>0</v>
      </c>
      <c r="G42" s="2"/>
      <c r="H42" s="6"/>
      <c r="I42" s="2"/>
      <c r="J42" s="7">
        <f t="shared" si="30"/>
        <v>0</v>
      </c>
      <c r="K42" s="2"/>
      <c r="L42" s="6">
        <f t="shared" si="31"/>
        <v>0</v>
      </c>
      <c r="M42" s="2"/>
      <c r="N42" s="7">
        <f t="shared" si="32"/>
        <v>0</v>
      </c>
      <c r="O42" s="10"/>
      <c r="P42" s="6">
        <v>204.75</v>
      </c>
      <c r="Q42" s="2"/>
      <c r="R42" s="7">
        <f t="shared" si="33"/>
        <v>8.660464124741139E-3</v>
      </c>
      <c r="S42" s="2"/>
      <c r="T42" s="6">
        <v>2828.94</v>
      </c>
      <c r="U42" s="2"/>
      <c r="V42" s="7">
        <f t="shared" si="34"/>
        <v>7.7309468706831305E-4</v>
      </c>
      <c r="W42" s="2"/>
      <c r="X42" s="6">
        <f t="shared" si="35"/>
        <v>-2624.19</v>
      </c>
      <c r="Y42" s="2"/>
      <c r="Z42" s="7">
        <f t="shared" si="36"/>
        <v>-0.9276230672972916</v>
      </c>
    </row>
    <row r="43" spans="1:26" s="26" customFormat="1" outlineLevel="1" collapsed="1" x14ac:dyDescent="0.25">
      <c r="A43" s="27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-0.3</v>
      </c>
      <c r="I43" s="1"/>
      <c r="J43" s="5">
        <f t="shared" si="30"/>
        <v>-7.9012158390933191E-7</v>
      </c>
      <c r="K43" s="1"/>
      <c r="L43" s="1">
        <f t="shared" si="31"/>
        <v>0.3</v>
      </c>
      <c r="M43" s="1"/>
      <c r="N43" s="5">
        <f t="shared" si="32"/>
        <v>-1</v>
      </c>
      <c r="O43" s="12"/>
      <c r="P43" s="1">
        <f>SUM(OSRRefP22_3x_0)</f>
        <v>0</v>
      </c>
      <c r="Q43" s="1"/>
      <c r="R43" s="5">
        <f t="shared" si="33"/>
        <v>0</v>
      </c>
      <c r="S43" s="1"/>
      <c r="T43" s="1">
        <f>SUM(OSRRefT22_3x_0)</f>
        <v>1.65</v>
      </c>
      <c r="U43" s="1"/>
      <c r="V43" s="5">
        <f t="shared" si="34"/>
        <v>4.5091314544059486E-7</v>
      </c>
      <c r="W43" s="1"/>
      <c r="X43" s="1">
        <f t="shared" si="35"/>
        <v>-1.65</v>
      </c>
      <c r="Y43" s="1"/>
      <c r="Z43" s="5">
        <f t="shared" si="36"/>
        <v>-1</v>
      </c>
    </row>
    <row r="44" spans="1:26" s="23" customFormat="1" hidden="1" outlineLevel="2" x14ac:dyDescent="0.25">
      <c r="A44" s="25"/>
      <c r="B44" s="10" t="str">
        <f>CONCATENATE("          ", "6272", " - ", "CASH (OVER/SHORT)")</f>
        <v xml:space="preserve">          6272 - CASH (OVER/SHORT)</v>
      </c>
      <c r="C44" s="10"/>
      <c r="D44" s="6"/>
      <c r="E44" s="2"/>
      <c r="F44" s="7">
        <f t="shared" si="29"/>
        <v>0</v>
      </c>
      <c r="G44" s="2"/>
      <c r="H44" s="6">
        <v>-0.3</v>
      </c>
      <c r="I44" s="2"/>
      <c r="J44" s="7">
        <f t="shared" si="30"/>
        <v>-7.9012158390933191E-7</v>
      </c>
      <c r="K44" s="2"/>
      <c r="L44" s="6">
        <f t="shared" si="31"/>
        <v>0.3</v>
      </c>
      <c r="M44" s="2"/>
      <c r="N44" s="7">
        <f t="shared" si="32"/>
        <v>-1</v>
      </c>
      <c r="O44" s="10"/>
      <c r="P44" s="6">
        <v>0</v>
      </c>
      <c r="Q44" s="2"/>
      <c r="R44" s="7">
        <f t="shared" si="33"/>
        <v>0</v>
      </c>
      <c r="S44" s="2"/>
      <c r="T44" s="6">
        <v>1.65</v>
      </c>
      <c r="U44" s="2"/>
      <c r="V44" s="7">
        <f t="shared" si="34"/>
        <v>4.5091314544059486E-7</v>
      </c>
      <c r="W44" s="2"/>
      <c r="X44" s="6">
        <f t="shared" si="35"/>
        <v>-1.65</v>
      </c>
      <c r="Y44" s="2"/>
      <c r="Z44" s="7">
        <f t="shared" si="36"/>
        <v>-1</v>
      </c>
    </row>
    <row r="45" spans="1:26" s="26" customFormat="1" outlineLevel="1" collapsed="1" x14ac:dyDescent="0.25">
      <c r="A45" s="27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67.39</v>
      </c>
      <c r="I45" s="1"/>
      <c r="J45" s="5">
        <f t="shared" si="30"/>
        <v>1.7748764513216627E-4</v>
      </c>
      <c r="K45" s="1"/>
      <c r="L45" s="1">
        <f t="shared" si="31"/>
        <v>-67.39</v>
      </c>
      <c r="M45" s="1"/>
      <c r="N45" s="5">
        <f t="shared" si="32"/>
        <v>-1</v>
      </c>
      <c r="O45" s="12"/>
      <c r="P45" s="1">
        <f>SUM(OSRRefP22_4x_0)</f>
        <v>0</v>
      </c>
      <c r="Q45" s="1"/>
      <c r="R45" s="5">
        <f t="shared" si="33"/>
        <v>0</v>
      </c>
      <c r="S45" s="1"/>
      <c r="T45" s="1">
        <f>SUM(OSRRefT22_4x_0)</f>
        <v>1830.44</v>
      </c>
      <c r="U45" s="1"/>
      <c r="V45" s="5">
        <f t="shared" si="34"/>
        <v>5.0022391390320154E-4</v>
      </c>
      <c r="W45" s="1"/>
      <c r="X45" s="1">
        <f t="shared" si="35"/>
        <v>-1830.44</v>
      </c>
      <c r="Y45" s="1"/>
      <c r="Z45" s="5">
        <f t="shared" si="36"/>
        <v>-1</v>
      </c>
    </row>
    <row r="46" spans="1:26" s="23" customFormat="1" hidden="1" outlineLevel="2" x14ac:dyDescent="0.25">
      <c r="A46" s="25"/>
      <c r="B46" s="10" t="str">
        <f>CONCATENATE("          ", "6381", " - ", "BANK/CREDIT CARD FEES")</f>
        <v xml:space="preserve">          6381 - BANK/CREDIT CARD FEES</v>
      </c>
      <c r="C46" s="10"/>
      <c r="D46" s="6"/>
      <c r="E46" s="2"/>
      <c r="F46" s="7">
        <f t="shared" si="29"/>
        <v>0</v>
      </c>
      <c r="G46" s="2"/>
      <c r="H46" s="6">
        <v>67.39</v>
      </c>
      <c r="I46" s="2"/>
      <c r="J46" s="7">
        <f t="shared" si="30"/>
        <v>1.7748764513216627E-4</v>
      </c>
      <c r="K46" s="2"/>
      <c r="L46" s="6">
        <f t="shared" si="31"/>
        <v>-67.39</v>
      </c>
      <c r="M46" s="2"/>
      <c r="N46" s="7">
        <f t="shared" si="32"/>
        <v>-1</v>
      </c>
      <c r="O46" s="10"/>
      <c r="P46" s="6"/>
      <c r="Q46" s="2"/>
      <c r="R46" s="7">
        <f t="shared" si="33"/>
        <v>0</v>
      </c>
      <c r="S46" s="2"/>
      <c r="T46" s="6">
        <v>1830.44</v>
      </c>
      <c r="U46" s="2"/>
      <c r="V46" s="7">
        <f t="shared" si="34"/>
        <v>5.0022391390320154E-4</v>
      </c>
      <c r="W46" s="2"/>
      <c r="X46" s="6">
        <f t="shared" si="35"/>
        <v>-1830.44</v>
      </c>
      <c r="Y46" s="2"/>
      <c r="Z46" s="7">
        <f t="shared" si="36"/>
        <v>-1</v>
      </c>
    </row>
    <row r="47" spans="1:26" s="26" customFormat="1" outlineLevel="1" collapsed="1" x14ac:dyDescent="0.25">
      <c r="A47" s="27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272.74</v>
      </c>
      <c r="E47" s="1"/>
      <c r="F47" s="5">
        <f t="shared" si="29"/>
        <v>0</v>
      </c>
      <c r="G47" s="1"/>
      <c r="H47" s="1">
        <f>SUM(OSRRefH22_5x_0)</f>
        <v>0</v>
      </c>
      <c r="I47" s="1"/>
      <c r="J47" s="5">
        <f t="shared" si="30"/>
        <v>0</v>
      </c>
      <c r="K47" s="1"/>
      <c r="L47" s="1">
        <f t="shared" si="31"/>
        <v>272.74</v>
      </c>
      <c r="M47" s="1"/>
      <c r="N47" s="5">
        <f t="shared" si="32"/>
        <v>0</v>
      </c>
      <c r="O47" s="12"/>
      <c r="P47" s="1">
        <f>SUM(OSRRefP22_5x_0)</f>
        <v>2190.44</v>
      </c>
      <c r="Q47" s="1"/>
      <c r="R47" s="5">
        <f t="shared" si="33"/>
        <v>9.2650681501333237E-2</v>
      </c>
      <c r="S47" s="1"/>
      <c r="T47" s="1">
        <f>SUM(OSRRefT22_5x_0)</f>
        <v>0</v>
      </c>
      <c r="U47" s="1"/>
      <c r="V47" s="5">
        <f t="shared" si="34"/>
        <v>0</v>
      </c>
      <c r="W47" s="1"/>
      <c r="X47" s="1">
        <f t="shared" si="35"/>
        <v>2190.44</v>
      </c>
      <c r="Y47" s="1"/>
      <c r="Z47" s="5">
        <f t="shared" si="36"/>
        <v>0</v>
      </c>
    </row>
    <row r="48" spans="1:26" s="23" customFormat="1" hidden="1" outlineLevel="2" x14ac:dyDescent="0.25">
      <c r="A48" s="25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272.74</v>
      </c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272.74</v>
      </c>
      <c r="M48" s="2"/>
      <c r="N48" s="7">
        <f t="shared" si="32"/>
        <v>0</v>
      </c>
      <c r="O48" s="10"/>
      <c r="P48" s="6">
        <v>2190.44</v>
      </c>
      <c r="Q48" s="2"/>
      <c r="R48" s="7">
        <f t="shared" si="33"/>
        <v>9.2650681501333237E-2</v>
      </c>
      <c r="S48" s="2"/>
      <c r="T48" s="6"/>
      <c r="U48" s="2"/>
      <c r="V48" s="7">
        <f t="shared" si="34"/>
        <v>0</v>
      </c>
      <c r="W48" s="2"/>
      <c r="X48" s="6">
        <f t="shared" si="35"/>
        <v>2190.44</v>
      </c>
      <c r="Y48" s="2"/>
      <c r="Z48" s="7">
        <f t="shared" si="36"/>
        <v>0</v>
      </c>
    </row>
    <row r="49" spans="1:26" s="26" customFormat="1" outlineLevel="1" collapsed="1" x14ac:dyDescent="0.25">
      <c r="A49" s="27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8687.7000000000007</v>
      </c>
      <c r="I49" s="1"/>
      <c r="J49" s="5">
        <f t="shared" si="30"/>
        <v>2.2881130948430344E-2</v>
      </c>
      <c r="K49" s="1"/>
      <c r="L49" s="1">
        <f t="shared" si="31"/>
        <v>-8687.7000000000007</v>
      </c>
      <c r="M49" s="1"/>
      <c r="N49" s="5">
        <f t="shared" si="32"/>
        <v>-1</v>
      </c>
      <c r="O49" s="12"/>
      <c r="P49" s="1">
        <f>SUM(OSRRefP22_6x_0)</f>
        <v>0</v>
      </c>
      <c r="Q49" s="1"/>
      <c r="R49" s="5">
        <f t="shared" si="33"/>
        <v>0</v>
      </c>
      <c r="S49" s="1"/>
      <c r="T49" s="1">
        <f>SUM(OSRRefT22_6x_0)</f>
        <v>72144.13</v>
      </c>
      <c r="U49" s="1"/>
      <c r="V49" s="5">
        <f t="shared" si="34"/>
        <v>1.9715597929318294E-2</v>
      </c>
      <c r="W49" s="1"/>
      <c r="X49" s="1">
        <f t="shared" si="35"/>
        <v>-72144.13</v>
      </c>
      <c r="Y49" s="1"/>
      <c r="Z49" s="5">
        <f t="shared" si="36"/>
        <v>-1</v>
      </c>
    </row>
    <row r="50" spans="1:26" s="23" customFormat="1" hidden="1" outlineLevel="2" x14ac:dyDescent="0.25">
      <c r="A50" s="25"/>
      <c r="B50" s="10" t="str">
        <f>CONCATENATE("          ", "6399", " - ", "DONATION-ON CAMPUS")</f>
        <v xml:space="preserve">          6399 - DONATION-ON CAMPUS</v>
      </c>
      <c r="C50" s="10"/>
      <c r="D50" s="6"/>
      <c r="E50" s="2"/>
      <c r="F50" s="7">
        <f t="shared" si="29"/>
        <v>0</v>
      </c>
      <c r="G50" s="2"/>
      <c r="H50" s="6">
        <v>8687.7000000000007</v>
      </c>
      <c r="I50" s="2"/>
      <c r="J50" s="7">
        <f t="shared" si="30"/>
        <v>2.2881130948430344E-2</v>
      </c>
      <c r="K50" s="2"/>
      <c r="L50" s="6">
        <f t="shared" si="31"/>
        <v>-8687.7000000000007</v>
      </c>
      <c r="M50" s="2"/>
      <c r="N50" s="7">
        <f t="shared" si="32"/>
        <v>-1</v>
      </c>
      <c r="O50" s="10"/>
      <c r="P50" s="6"/>
      <c r="Q50" s="2"/>
      <c r="R50" s="7">
        <f t="shared" si="33"/>
        <v>0</v>
      </c>
      <c r="S50" s="2"/>
      <c r="T50" s="6">
        <v>72144.13</v>
      </c>
      <c r="U50" s="2"/>
      <c r="V50" s="7">
        <f t="shared" si="34"/>
        <v>1.9715597929318294E-2</v>
      </c>
      <c r="W50" s="2"/>
      <c r="X50" s="6">
        <f t="shared" si="35"/>
        <v>-72144.13</v>
      </c>
      <c r="Y50" s="2"/>
      <c r="Z50" s="7">
        <f t="shared" si="36"/>
        <v>-1</v>
      </c>
    </row>
    <row r="51" spans="1:26" s="26" customFormat="1" outlineLevel="1" collapsed="1" x14ac:dyDescent="0.25">
      <c r="A51" s="27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0</v>
      </c>
      <c r="E51" s="1"/>
      <c r="F51" s="5">
        <f t="shared" si="29"/>
        <v>0</v>
      </c>
      <c r="G51" s="1"/>
      <c r="H51" s="1">
        <f>SUM(OSRRefH22_7x_0)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2"/>
      <c r="P51" s="1">
        <f>SUM(OSRRefP22_7x_0)</f>
        <v>0</v>
      </c>
      <c r="Q51" s="1"/>
      <c r="R51" s="5">
        <f t="shared" si="33"/>
        <v>0</v>
      </c>
      <c r="S51" s="1"/>
      <c r="T51" s="1">
        <f>SUM(OSRRefT22_7x_0)</f>
        <v>172.29</v>
      </c>
      <c r="U51" s="1"/>
      <c r="V51" s="5">
        <f t="shared" si="34"/>
        <v>4.7083530804824292E-5</v>
      </c>
      <c r="W51" s="1"/>
      <c r="X51" s="1">
        <f t="shared" si="35"/>
        <v>-172.29</v>
      </c>
      <c r="Y51" s="1"/>
      <c r="Z51" s="5">
        <f t="shared" si="36"/>
        <v>-1</v>
      </c>
    </row>
    <row r="52" spans="1:26" s="23" customFormat="1" hidden="1" outlineLevel="2" x14ac:dyDescent="0.25">
      <c r="A52" s="25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0"/>
      <c r="P52" s="6"/>
      <c r="Q52" s="2"/>
      <c r="R52" s="7">
        <f t="shared" si="33"/>
        <v>0</v>
      </c>
      <c r="S52" s="2"/>
      <c r="T52" s="6">
        <v>172.29</v>
      </c>
      <c r="U52" s="2"/>
      <c r="V52" s="7">
        <f t="shared" si="34"/>
        <v>4.7083530804824292E-5</v>
      </c>
      <c r="W52" s="2"/>
      <c r="X52" s="6">
        <f t="shared" si="35"/>
        <v>-172.29</v>
      </c>
      <c r="Y52" s="2"/>
      <c r="Z52" s="7">
        <f t="shared" si="36"/>
        <v>-1</v>
      </c>
    </row>
    <row r="53" spans="1:26" s="26" customFormat="1" outlineLevel="1" collapsed="1" x14ac:dyDescent="0.25">
      <c r="A53" s="27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207.89</v>
      </c>
      <c r="E53" s="1"/>
      <c r="F53" s="5">
        <f t="shared" si="29"/>
        <v>0</v>
      </c>
      <c r="G53" s="1"/>
      <c r="H53" s="1">
        <f>SUM(OSRRefH22_8x_0)</f>
        <v>235.41</v>
      </c>
      <c r="I53" s="1"/>
      <c r="J53" s="5">
        <f t="shared" si="30"/>
        <v>6.2000840689365279E-4</v>
      </c>
      <c r="K53" s="1"/>
      <c r="L53" s="1">
        <f t="shared" si="31"/>
        <v>-27.52000000000001</v>
      </c>
      <c r="M53" s="1"/>
      <c r="N53" s="5">
        <f t="shared" si="32"/>
        <v>-0.11690242555541401</v>
      </c>
      <c r="O53" s="12"/>
      <c r="P53" s="1">
        <f>SUM(OSRRefP22_8x_0)</f>
        <v>1922.13</v>
      </c>
      <c r="Q53" s="1"/>
      <c r="R53" s="5">
        <f t="shared" si="33"/>
        <v>8.1301772444877587E-2</v>
      </c>
      <c r="S53" s="1"/>
      <c r="T53" s="1">
        <f>SUM(OSRRefT22_8x_0)</f>
        <v>2193.62</v>
      </c>
      <c r="U53" s="1"/>
      <c r="V53" s="5">
        <f t="shared" si="34"/>
        <v>5.9947399642508946E-4</v>
      </c>
      <c r="W53" s="1"/>
      <c r="X53" s="1">
        <f t="shared" si="35"/>
        <v>-271.48999999999978</v>
      </c>
      <c r="Y53" s="1"/>
      <c r="Z53" s="5">
        <f t="shared" si="36"/>
        <v>-0.12376345948705783</v>
      </c>
    </row>
    <row r="54" spans="1:26" s="23" customFormat="1" hidden="1" outlineLevel="2" x14ac:dyDescent="0.25">
      <c r="A54" s="25"/>
      <c r="B54" s="10" t="str">
        <f>CONCATENATE("          ", "6351", " - ", "EQUIPMENT RENTAL")</f>
        <v xml:space="preserve">          6351 - EQUIPMENT RENTAL</v>
      </c>
      <c r="C54" s="10"/>
      <c r="D54" s="6">
        <v>207.89</v>
      </c>
      <c r="E54" s="2"/>
      <c r="F54" s="7">
        <f t="shared" si="29"/>
        <v>0</v>
      </c>
      <c r="G54" s="2"/>
      <c r="H54" s="6">
        <v>235.41</v>
      </c>
      <c r="I54" s="2"/>
      <c r="J54" s="7">
        <f t="shared" si="30"/>
        <v>6.2000840689365279E-4</v>
      </c>
      <c r="K54" s="2"/>
      <c r="L54" s="6">
        <f t="shared" si="31"/>
        <v>-27.52000000000001</v>
      </c>
      <c r="M54" s="2"/>
      <c r="N54" s="7">
        <f t="shared" si="32"/>
        <v>-0.11690242555541401</v>
      </c>
      <c r="O54" s="10"/>
      <c r="P54" s="6">
        <v>1922.13</v>
      </c>
      <c r="Q54" s="2"/>
      <c r="R54" s="7">
        <f t="shared" si="33"/>
        <v>8.1301772444877587E-2</v>
      </c>
      <c r="S54" s="2"/>
      <c r="T54" s="6">
        <v>2193.62</v>
      </c>
      <c r="U54" s="2"/>
      <c r="V54" s="7">
        <f t="shared" si="34"/>
        <v>5.9947399642508946E-4</v>
      </c>
      <c r="W54" s="2"/>
      <c r="X54" s="6">
        <f t="shared" si="35"/>
        <v>-271.48999999999978</v>
      </c>
      <c r="Y54" s="2"/>
      <c r="Z54" s="7">
        <f t="shared" si="36"/>
        <v>-0.12376345948705783</v>
      </c>
    </row>
    <row r="55" spans="1:26" s="26" customFormat="1" outlineLevel="1" collapsed="1" x14ac:dyDescent="0.25">
      <c r="A55" s="27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0</v>
      </c>
      <c r="E55" s="1"/>
      <c r="F55" s="5">
        <f t="shared" si="29"/>
        <v>0</v>
      </c>
      <c r="G55" s="1"/>
      <c r="H55" s="1">
        <f>SUM(OSRRefH22_9x_0)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2"/>
      <c r="P55" s="1">
        <f>SUM(OSRRefP22_9x_0)</f>
        <v>3828.45</v>
      </c>
      <c r="Q55" s="1"/>
      <c r="R55" s="5">
        <f t="shared" si="33"/>
        <v>0.16193481747675317</v>
      </c>
      <c r="S55" s="1"/>
      <c r="T55" s="1">
        <f>SUM(OSRRefT22_9x_0)</f>
        <v>2391.19</v>
      </c>
      <c r="U55" s="1"/>
      <c r="V55" s="5">
        <f t="shared" si="34"/>
        <v>6.5346606317945213E-4</v>
      </c>
      <c r="W55" s="1"/>
      <c r="X55" s="1">
        <f t="shared" si="35"/>
        <v>1437.2599999999998</v>
      </c>
      <c r="Y55" s="1"/>
      <c r="Z55" s="5">
        <f t="shared" si="36"/>
        <v>0.60106474182310887</v>
      </c>
    </row>
    <row r="56" spans="1:26" s="23" customFormat="1" hidden="1" outlineLevel="2" x14ac:dyDescent="0.25">
      <c r="A56" s="25"/>
      <c r="B56" s="10" t="str">
        <f>CONCATENATE("          ", "6279", " - ", "GENERAL EXPENSE")</f>
        <v xml:space="preserve">          6279 - GENERAL EXPENSE</v>
      </c>
      <c r="C56" s="10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0"/>
      <c r="P56" s="6">
        <v>3828.45</v>
      </c>
      <c r="Q56" s="2"/>
      <c r="R56" s="7">
        <f t="shared" si="33"/>
        <v>0.16193481747675317</v>
      </c>
      <c r="S56" s="2"/>
      <c r="T56" s="6">
        <v>2391.19</v>
      </c>
      <c r="U56" s="2"/>
      <c r="V56" s="7">
        <f t="shared" si="34"/>
        <v>6.5346606317945213E-4</v>
      </c>
      <c r="W56" s="2"/>
      <c r="X56" s="6">
        <f t="shared" si="35"/>
        <v>1437.2599999999998</v>
      </c>
      <c r="Y56" s="2"/>
      <c r="Z56" s="7">
        <f t="shared" si="36"/>
        <v>0.60106474182310887</v>
      </c>
    </row>
    <row r="57" spans="1:26" s="26" customFormat="1" outlineLevel="1" collapsed="1" x14ac:dyDescent="0.25">
      <c r="A57" s="27"/>
      <c r="B57" s="12" t="str">
        <f>CONCATENATE("     ","R/H Commissions                                   ")</f>
        <v xml:space="preserve">     R/H Commissions                                   </v>
      </c>
      <c r="C57" s="12"/>
      <c r="D57" s="1">
        <f>SUM(OSRRefD22_10x_0)</f>
        <v>0</v>
      </c>
      <c r="E57" s="1"/>
      <c r="F57" s="5">
        <f t="shared" si="29"/>
        <v>0</v>
      </c>
      <c r="G57" s="1"/>
      <c r="H57" s="1">
        <f>SUM(OSRRefH22_10x_0)</f>
        <v>28944.720000000001</v>
      </c>
      <c r="I57" s="1"/>
      <c r="J57" s="5">
        <f t="shared" si="30"/>
        <v>7.6232826707373733E-2</v>
      </c>
      <c r="K57" s="1"/>
      <c r="L57" s="1">
        <f t="shared" si="31"/>
        <v>-28944.720000000001</v>
      </c>
      <c r="M57" s="1"/>
      <c r="N57" s="5">
        <f t="shared" si="32"/>
        <v>-1</v>
      </c>
      <c r="O57" s="12"/>
      <c r="P57" s="1">
        <f>SUM(OSRRefP22_10x_0)</f>
        <v>1899.35</v>
      </c>
      <c r="Q57" s="1"/>
      <c r="R57" s="5">
        <f t="shared" si="33"/>
        <v>8.0338229720767179E-2</v>
      </c>
      <c r="S57" s="1"/>
      <c r="T57" s="1">
        <f>SUM(OSRRefT22_10x_0)</f>
        <v>281366.23</v>
      </c>
      <c r="U57" s="1"/>
      <c r="V57" s="5">
        <f t="shared" si="34"/>
        <v>7.689195866064355E-2</v>
      </c>
      <c r="W57" s="1"/>
      <c r="X57" s="1">
        <f t="shared" si="35"/>
        <v>-279466.88</v>
      </c>
      <c r="Y57" s="1"/>
      <c r="Z57" s="5">
        <f t="shared" si="36"/>
        <v>-0.99324954526348108</v>
      </c>
    </row>
    <row r="58" spans="1:26" s="23" customFormat="1" hidden="1" outlineLevel="2" x14ac:dyDescent="0.25">
      <c r="A58" s="25"/>
      <c r="B58" s="10" t="str">
        <f>CONCATENATE("          ", "6387", " - ", "COMMISSION DUE HOUSING")</f>
        <v xml:space="preserve">          6387 - COMMISSION DUE HOUSING</v>
      </c>
      <c r="C58" s="10"/>
      <c r="D58" s="6"/>
      <c r="E58" s="2"/>
      <c r="F58" s="7">
        <f t="shared" si="29"/>
        <v>0</v>
      </c>
      <c r="G58" s="2"/>
      <c r="H58" s="6">
        <v>28944.720000000001</v>
      </c>
      <c r="I58" s="2"/>
      <c r="J58" s="7">
        <f t="shared" si="30"/>
        <v>7.6232826707373733E-2</v>
      </c>
      <c r="K58" s="2"/>
      <c r="L58" s="6">
        <f t="shared" si="31"/>
        <v>-28944.720000000001</v>
      </c>
      <c r="M58" s="2"/>
      <c r="N58" s="7">
        <f t="shared" si="32"/>
        <v>-1</v>
      </c>
      <c r="O58" s="10"/>
      <c r="P58" s="6">
        <v>1899.35</v>
      </c>
      <c r="Q58" s="2"/>
      <c r="R58" s="7">
        <f t="shared" si="33"/>
        <v>8.0338229720767179E-2</v>
      </c>
      <c r="S58" s="2"/>
      <c r="T58" s="6">
        <v>281366.23</v>
      </c>
      <c r="U58" s="2"/>
      <c r="V58" s="7">
        <f t="shared" si="34"/>
        <v>7.689195866064355E-2</v>
      </c>
      <c r="W58" s="2"/>
      <c r="X58" s="6">
        <f t="shared" si="35"/>
        <v>-279466.88</v>
      </c>
      <c r="Y58" s="2"/>
      <c r="Z58" s="7">
        <f t="shared" si="36"/>
        <v>-0.99324954526348108</v>
      </c>
    </row>
    <row r="59" spans="1:26" s="26" customFormat="1" outlineLevel="1" collapsed="1" x14ac:dyDescent="0.25">
      <c r="A59" s="27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84.4</v>
      </c>
      <c r="E59" s="1"/>
      <c r="F59" s="5">
        <f t="shared" si="29"/>
        <v>0</v>
      </c>
      <c r="G59" s="1"/>
      <c r="H59" s="1">
        <f>SUM(OSRRefH22_11x_0)</f>
        <v>72.349999999999994</v>
      </c>
      <c r="I59" s="1"/>
      <c r="J59" s="5">
        <f t="shared" si="30"/>
        <v>1.9055098865280052E-4</v>
      </c>
      <c r="K59" s="1"/>
      <c r="L59" s="1">
        <f t="shared" si="31"/>
        <v>12.050000000000011</v>
      </c>
      <c r="M59" s="1"/>
      <c r="N59" s="5">
        <f t="shared" si="32"/>
        <v>0.16655148583275761</v>
      </c>
      <c r="O59" s="12"/>
      <c r="P59" s="1">
        <f>SUM(OSRRefP22_11x_0)</f>
        <v>1345.25</v>
      </c>
      <c r="Q59" s="1"/>
      <c r="R59" s="5">
        <f t="shared" si="33"/>
        <v>5.6901046953885308E-2</v>
      </c>
      <c r="S59" s="1"/>
      <c r="T59" s="1">
        <f>SUM(OSRRefT22_11x_0)</f>
        <v>8602.7200000000012</v>
      </c>
      <c r="U59" s="1"/>
      <c r="V59" s="5">
        <f t="shared" si="34"/>
        <v>2.3509572936634636E-3</v>
      </c>
      <c r="W59" s="1"/>
      <c r="X59" s="1">
        <f t="shared" si="35"/>
        <v>-7257.4700000000012</v>
      </c>
      <c r="Y59" s="1"/>
      <c r="Z59" s="5">
        <f t="shared" si="36"/>
        <v>-0.84362503952238366</v>
      </c>
    </row>
    <row r="60" spans="1:26" s="23" customFormat="1" hidden="1" outlineLevel="2" x14ac:dyDescent="0.25">
      <c r="A60" s="25"/>
      <c r="B60" s="10" t="str">
        <f>CONCATENATE("          ", "6371", " - ", "COMPUTER SOFTWARE MAINTENANCE")</f>
        <v xml:space="preserve">          6371 - COMPUTER SOFTWARE MAINTENANCE</v>
      </c>
      <c r="C60" s="10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0"/>
      <c r="P60" s="6"/>
      <c r="Q60" s="2"/>
      <c r="R60" s="7">
        <f t="shared" si="33"/>
        <v>0</v>
      </c>
      <c r="S60" s="2"/>
      <c r="T60" s="6">
        <v>8238.75</v>
      </c>
      <c r="U60" s="2"/>
      <c r="V60" s="7">
        <f t="shared" si="34"/>
        <v>2.2514913193931521E-3</v>
      </c>
      <c r="W60" s="2"/>
      <c r="X60" s="6">
        <f t="shared" si="35"/>
        <v>-8238.75</v>
      </c>
      <c r="Y60" s="2"/>
      <c r="Z60" s="7">
        <f t="shared" si="36"/>
        <v>-1</v>
      </c>
    </row>
    <row r="61" spans="1:26" s="23" customFormat="1" hidden="1" outlineLevel="2" x14ac:dyDescent="0.25">
      <c r="A61" s="25"/>
      <c r="B61" s="10" t="str">
        <f>CONCATENATE("          ", "6373", " - ", "MAINTENANCE CONTRACTS")</f>
        <v xml:space="preserve">          6373 - MAINTENANCE CONTRACTS</v>
      </c>
      <c r="C61" s="10"/>
      <c r="D61" s="6">
        <v>84.4</v>
      </c>
      <c r="E61" s="2"/>
      <c r="F61" s="7">
        <f t="shared" si="29"/>
        <v>0</v>
      </c>
      <c r="G61" s="2"/>
      <c r="H61" s="6">
        <v>72.349999999999994</v>
      </c>
      <c r="I61" s="2"/>
      <c r="J61" s="7">
        <f t="shared" si="30"/>
        <v>1.9055098865280052E-4</v>
      </c>
      <c r="K61" s="2"/>
      <c r="L61" s="6">
        <f t="shared" si="31"/>
        <v>12.050000000000011</v>
      </c>
      <c r="M61" s="2"/>
      <c r="N61" s="7">
        <f t="shared" si="32"/>
        <v>0.16655148583275761</v>
      </c>
      <c r="O61" s="10"/>
      <c r="P61" s="6">
        <v>1326.25</v>
      </c>
      <c r="Q61" s="2"/>
      <c r="R61" s="7">
        <f t="shared" si="33"/>
        <v>5.6097389721308594E-2</v>
      </c>
      <c r="S61" s="2"/>
      <c r="T61" s="6">
        <v>212.19</v>
      </c>
      <c r="U61" s="2"/>
      <c r="V61" s="7">
        <f t="shared" si="34"/>
        <v>5.7987430503660497E-5</v>
      </c>
      <c r="W61" s="2"/>
      <c r="X61" s="6">
        <f t="shared" si="35"/>
        <v>1114.06</v>
      </c>
      <c r="Y61" s="2"/>
      <c r="Z61" s="7">
        <f t="shared" si="36"/>
        <v>5.2502945473396485</v>
      </c>
    </row>
    <row r="62" spans="1:26" s="23" customFormat="1" hidden="1" outlineLevel="2" x14ac:dyDescent="0.25">
      <c r="A62" s="25"/>
      <c r="B62" s="10" t="str">
        <f>CONCATENATE("          ", "6375", " - ", "OUTSIDE REPAIRS &amp; MAINTENANCE")</f>
        <v xml:space="preserve">          6375 - OUTSIDE REPAIRS &amp; MAINTENANCE</v>
      </c>
      <c r="C62" s="10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0"/>
      <c r="P62" s="6">
        <v>19</v>
      </c>
      <c r="Q62" s="2"/>
      <c r="R62" s="7">
        <f t="shared" si="33"/>
        <v>8.036572325767113E-4</v>
      </c>
      <c r="S62" s="2"/>
      <c r="T62" s="6">
        <v>151.78</v>
      </c>
      <c r="U62" s="2"/>
      <c r="V62" s="7">
        <f t="shared" si="34"/>
        <v>4.1478543766650602E-5</v>
      </c>
      <c r="W62" s="2"/>
      <c r="X62" s="6">
        <f t="shared" si="35"/>
        <v>-132.78</v>
      </c>
      <c r="Y62" s="2"/>
      <c r="Z62" s="7">
        <f t="shared" si="36"/>
        <v>-0.87481881670839368</v>
      </c>
    </row>
    <row r="63" spans="1:26" s="26" customFormat="1" outlineLevel="1" collapsed="1" x14ac:dyDescent="0.25">
      <c r="A63" s="27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5301.73</v>
      </c>
      <c r="E63" s="1"/>
      <c r="F63" s="5">
        <f t="shared" ref="F63:F66" si="37">IF(D$12=0,0,D63/D$12)</f>
        <v>0</v>
      </c>
      <c r="G63" s="1"/>
      <c r="H63" s="1">
        <f>SUM(OSRRefH22_12x_0)</f>
        <v>8402.52</v>
      </c>
      <c r="I63" s="1"/>
      <c r="J63" s="5">
        <f t="shared" ref="J63:J66" si="38">IF(H$12=0,0,H63/H$12)</f>
        <v>2.2130041370766133E-2</v>
      </c>
      <c r="K63" s="1"/>
      <c r="L63" s="1">
        <f t="shared" ref="L63:L66" si="39">+D63-H63</f>
        <v>-3100.7900000000009</v>
      </c>
      <c r="M63" s="1"/>
      <c r="N63" s="5">
        <f t="shared" ref="N63:N66" si="40">IF(H63=0,0,L63/H63)</f>
        <v>-0.36903095737945291</v>
      </c>
      <c r="O63" s="12"/>
      <c r="P63" s="1">
        <f>SUM(OSRRefP22_12x_0)</f>
        <v>51458.790000000008</v>
      </c>
      <c r="Q63" s="1"/>
      <c r="R63" s="5">
        <f t="shared" ref="R63:R66" si="41">IF(P$12=0,0,P63/P$12)</f>
        <v>2.1765909875340079</v>
      </c>
      <c r="S63" s="1"/>
      <c r="T63" s="1">
        <f>SUM(OSRRefT22_12x_0)</f>
        <v>59213.619999999995</v>
      </c>
      <c r="U63" s="1"/>
      <c r="V63" s="5">
        <f t="shared" ref="V63:V66" si="42">IF(T$12=0,0,T63/T$12)</f>
        <v>1.6181939180075221E-2</v>
      </c>
      <c r="W63" s="1"/>
      <c r="X63" s="1">
        <f t="shared" ref="X63:X66" si="43">+P63-T63</f>
        <v>-7754.8299999999872</v>
      </c>
      <c r="Y63" s="1"/>
      <c r="Z63" s="5">
        <f t="shared" ref="Z63:Z66" si="44">IF(T63=0,0,X63/T63)</f>
        <v>-0.13096361951861729</v>
      </c>
    </row>
    <row r="64" spans="1:26" s="23" customFormat="1" hidden="1" outlineLevel="2" x14ac:dyDescent="0.25">
      <c r="A64" s="25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417.32</v>
      </c>
      <c r="E64" s="2"/>
      <c r="F64" s="7">
        <f t="shared" si="37"/>
        <v>0</v>
      </c>
      <c r="G64" s="2"/>
      <c r="H64" s="6">
        <v>417.32</v>
      </c>
      <c r="I64" s="2"/>
      <c r="J64" s="7">
        <f t="shared" si="38"/>
        <v>1.0991117979901413E-3</v>
      </c>
      <c r="K64" s="2"/>
      <c r="L64" s="6">
        <f t="shared" si="39"/>
        <v>0</v>
      </c>
      <c r="M64" s="2"/>
      <c r="N64" s="7">
        <f t="shared" si="40"/>
        <v>0</v>
      </c>
      <c r="O64" s="10"/>
      <c r="P64" s="6">
        <v>3426.94</v>
      </c>
      <c r="Q64" s="2"/>
      <c r="R64" s="7">
        <f t="shared" si="41"/>
        <v>0.14495184824244395</v>
      </c>
      <c r="S64" s="2"/>
      <c r="T64" s="6">
        <v>4293.2</v>
      </c>
      <c r="U64" s="2"/>
      <c r="V64" s="7">
        <f t="shared" si="42"/>
        <v>1.1732486763670071E-3</v>
      </c>
      <c r="W64" s="2"/>
      <c r="X64" s="6">
        <f t="shared" si="43"/>
        <v>-866.25999999999976</v>
      </c>
      <c r="Y64" s="2"/>
      <c r="Z64" s="7">
        <f t="shared" si="44"/>
        <v>-0.20177489984160993</v>
      </c>
    </row>
    <row r="65" spans="1:26" s="23" customFormat="1" hidden="1" outlineLevel="2" x14ac:dyDescent="0.25">
      <c r="A65" s="25"/>
      <c r="B65" s="10" t="str">
        <f>CONCATENATE("          ", "6285", " - ", "JANITORIAL SERVICES")</f>
        <v xml:space="preserve">          6285 - JANITORIAL SERVICES</v>
      </c>
      <c r="C65" s="10"/>
      <c r="D65" s="6">
        <v>4532.4799999999996</v>
      </c>
      <c r="E65" s="2"/>
      <c r="F65" s="7">
        <f t="shared" si="37"/>
        <v>0</v>
      </c>
      <c r="G65" s="2"/>
      <c r="H65" s="6">
        <v>6046.45</v>
      </c>
      <c r="I65" s="2"/>
      <c r="J65" s="7">
        <f t="shared" si="38"/>
        <v>1.5924768836761933E-2</v>
      </c>
      <c r="K65" s="2"/>
      <c r="L65" s="6">
        <f t="shared" si="39"/>
        <v>-1513.9700000000003</v>
      </c>
      <c r="M65" s="2"/>
      <c r="N65" s="7">
        <f t="shared" si="40"/>
        <v>-0.25038989820473173</v>
      </c>
      <c r="O65" s="10"/>
      <c r="P65" s="6">
        <v>42489.55</v>
      </c>
      <c r="Q65" s="2"/>
      <c r="R65" s="7">
        <f t="shared" si="41"/>
        <v>1.7972123245489371</v>
      </c>
      <c r="S65" s="2"/>
      <c r="T65" s="6">
        <v>38909.93</v>
      </c>
      <c r="U65" s="2"/>
      <c r="V65" s="7">
        <f t="shared" si="42"/>
        <v>1.0633332681923251E-2</v>
      </c>
      <c r="W65" s="2"/>
      <c r="X65" s="6">
        <f t="shared" si="43"/>
        <v>3579.6200000000026</v>
      </c>
      <c r="Y65" s="2"/>
      <c r="Z65" s="7">
        <f t="shared" si="44"/>
        <v>9.1997595472415469E-2</v>
      </c>
    </row>
    <row r="66" spans="1:26" s="23" customFormat="1" hidden="1" outlineLevel="2" x14ac:dyDescent="0.25">
      <c r="A66" s="25"/>
      <c r="B66" s="10" t="str">
        <f>CONCATENATE("          ", "6286", " - ", "LAUNDRY EXPENSE")</f>
        <v xml:space="preserve">          6286 - LAUNDRY EXPENSE</v>
      </c>
      <c r="C66" s="10"/>
      <c r="D66" s="6">
        <v>351.93</v>
      </c>
      <c r="E66" s="2"/>
      <c r="F66" s="7">
        <f t="shared" si="37"/>
        <v>0</v>
      </c>
      <c r="G66" s="2"/>
      <c r="H66" s="6">
        <v>1938.75</v>
      </c>
      <c r="I66" s="2"/>
      <c r="J66" s="7">
        <f t="shared" si="38"/>
        <v>5.1061607360140572E-3</v>
      </c>
      <c r="K66" s="2"/>
      <c r="L66" s="6">
        <f t="shared" si="39"/>
        <v>-1586.82</v>
      </c>
      <c r="M66" s="2"/>
      <c r="N66" s="7">
        <f t="shared" si="40"/>
        <v>-0.81847582205029012</v>
      </c>
      <c r="O66" s="10"/>
      <c r="P66" s="6">
        <v>5542.3</v>
      </c>
      <c r="Q66" s="2"/>
      <c r="R66" s="7">
        <f t="shared" si="41"/>
        <v>0.23442681474262669</v>
      </c>
      <c r="S66" s="2"/>
      <c r="T66" s="6">
        <v>16010.49</v>
      </c>
      <c r="U66" s="2"/>
      <c r="V66" s="7">
        <f t="shared" si="42"/>
        <v>4.3753578217849637E-3</v>
      </c>
      <c r="W66" s="2"/>
      <c r="X66" s="6">
        <f t="shared" si="43"/>
        <v>-10468.189999999999</v>
      </c>
      <c r="Y66" s="2"/>
      <c r="Z66" s="7">
        <f t="shared" si="44"/>
        <v>-0.65383320560457547</v>
      </c>
    </row>
    <row r="67" spans="1:26" s="26" customFormat="1" outlineLevel="1" collapsed="1" x14ac:dyDescent="0.25">
      <c r="A67" s="27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SUM(OSRRefD22_13x_0)</f>
        <v>0</v>
      </c>
      <c r="E67" s="1"/>
      <c r="F67" s="5">
        <f t="shared" ref="F67:F75" si="45">IF(D$12=0,0,D67/D$12)</f>
        <v>0</v>
      </c>
      <c r="G67" s="1"/>
      <c r="H67" s="1">
        <f>SUM(OSRRefH22_13x_0)</f>
        <v>6807.9199999999992</v>
      </c>
      <c r="I67" s="1"/>
      <c r="J67" s="5">
        <f t="shared" ref="J67:J75" si="46">IF(H$12=0,0,H67/H$12)</f>
        <v>1.7930281778426729E-2</v>
      </c>
      <c r="K67" s="1"/>
      <c r="L67" s="1">
        <f t="shared" ref="L67:L75" si="47">+D67-H67</f>
        <v>-6807.9199999999992</v>
      </c>
      <c r="M67" s="1"/>
      <c r="N67" s="5">
        <f t="shared" ref="N67:N75" si="48">IF(H67=0,0,L67/H67)</f>
        <v>-1</v>
      </c>
      <c r="O67" s="12"/>
      <c r="P67" s="1">
        <f>SUM(OSRRefP22_13x_0)</f>
        <v>10125.33</v>
      </c>
      <c r="Q67" s="1"/>
      <c r="R67" s="5">
        <f t="shared" ref="R67:R75" si="49">IF(P$12=0,0,P67/P$12)</f>
        <v>0.42827866772241852</v>
      </c>
      <c r="S67" s="1"/>
      <c r="T67" s="1">
        <f>SUM(OSRRefT22_13x_0)</f>
        <v>60364.38</v>
      </c>
      <c r="U67" s="1"/>
      <c r="V67" s="5">
        <f t="shared" ref="V67:V75" si="50">IF(T$12=0,0,T67/T$12)</f>
        <v>1.6496419671740203E-2</v>
      </c>
      <c r="W67" s="1"/>
      <c r="X67" s="1">
        <f t="shared" ref="X67:X75" si="51">+P67-T67</f>
        <v>-50239.049999999996</v>
      </c>
      <c r="Y67" s="1"/>
      <c r="Z67" s="5">
        <f t="shared" ref="Z67:Z75" si="52">IF(T67=0,0,X67/T67)</f>
        <v>-0.83226316579413218</v>
      </c>
    </row>
    <row r="68" spans="1:26" s="23" customFormat="1" hidden="1" outlineLevel="2" x14ac:dyDescent="0.25">
      <c r="A68" s="25"/>
      <c r="B68" s="10" t="str">
        <f>CONCATENATE("          ", "6235", " - ", "COVID-19 EXPENSES")</f>
        <v xml:space="preserve">          6235 - COVID-19 EXPENSES</v>
      </c>
      <c r="C68" s="10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0"/>
      <c r="P68" s="6">
        <v>1375.08</v>
      </c>
      <c r="Q68" s="2"/>
      <c r="R68" s="7">
        <f t="shared" si="49"/>
        <v>5.8162788809030738E-2</v>
      </c>
      <c r="S68" s="2"/>
      <c r="T68" s="6"/>
      <c r="U68" s="2"/>
      <c r="V68" s="7">
        <f t="shared" si="50"/>
        <v>0</v>
      </c>
      <c r="W68" s="2"/>
      <c r="X68" s="6">
        <f t="shared" si="51"/>
        <v>1375.08</v>
      </c>
      <c r="Y68" s="2"/>
      <c r="Z68" s="7">
        <f t="shared" si="52"/>
        <v>0</v>
      </c>
    </row>
    <row r="69" spans="1:26" s="23" customFormat="1" hidden="1" outlineLevel="2" x14ac:dyDescent="0.25">
      <c r="A69" s="25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45"/>
        <v>0</v>
      </c>
      <c r="G69" s="2"/>
      <c r="H69" s="6">
        <v>1538.79</v>
      </c>
      <c r="I69" s="2"/>
      <c r="J69" s="7">
        <f t="shared" si="46"/>
        <v>4.0527706403461362E-3</v>
      </c>
      <c r="K69" s="2"/>
      <c r="L69" s="6">
        <f t="shared" si="47"/>
        <v>-1538.79</v>
      </c>
      <c r="M69" s="2"/>
      <c r="N69" s="7">
        <f t="shared" si="48"/>
        <v>-1</v>
      </c>
      <c r="O69" s="10"/>
      <c r="P69" s="6">
        <v>4689.93</v>
      </c>
      <c r="Q69" s="2"/>
      <c r="R69" s="7">
        <f t="shared" si="49"/>
        <v>0.19837348235676294</v>
      </c>
      <c r="S69" s="2"/>
      <c r="T69" s="6">
        <v>25189.96</v>
      </c>
      <c r="U69" s="2"/>
      <c r="V69" s="7">
        <f t="shared" si="50"/>
        <v>6.8839297558319799E-3</v>
      </c>
      <c r="W69" s="2"/>
      <c r="X69" s="6">
        <f t="shared" si="51"/>
        <v>-20500.03</v>
      </c>
      <c r="Y69" s="2"/>
      <c r="Z69" s="7">
        <f t="shared" si="52"/>
        <v>-0.81381748919013763</v>
      </c>
    </row>
    <row r="70" spans="1:26" s="23" customFormat="1" hidden="1" outlineLevel="2" x14ac:dyDescent="0.25">
      <c r="A70" s="25"/>
      <c r="B70" s="10" t="str">
        <f>CONCATENATE("          ", "6239", " - ", "KITCHEN SUPPLIES")</f>
        <v xml:space="preserve">          6239 - KITCHEN SUPPLIES</v>
      </c>
      <c r="C70" s="10"/>
      <c r="D70" s="6"/>
      <c r="E70" s="2"/>
      <c r="F70" s="7">
        <f t="shared" si="45"/>
        <v>0</v>
      </c>
      <c r="G70" s="2"/>
      <c r="H70" s="6">
        <v>50</v>
      </c>
      <c r="I70" s="2"/>
      <c r="J70" s="7">
        <f t="shared" si="46"/>
        <v>1.3168693065155533E-4</v>
      </c>
      <c r="K70" s="2"/>
      <c r="L70" s="6">
        <f t="shared" si="47"/>
        <v>-50</v>
      </c>
      <c r="M70" s="2"/>
      <c r="N70" s="7">
        <f t="shared" si="48"/>
        <v>-1</v>
      </c>
      <c r="O70" s="10"/>
      <c r="P70" s="6">
        <v>1031.07</v>
      </c>
      <c r="Q70" s="2"/>
      <c r="R70" s="7">
        <f t="shared" si="49"/>
        <v>4.3611940146993135E-2</v>
      </c>
      <c r="S70" s="2"/>
      <c r="T70" s="6">
        <v>5675.04</v>
      </c>
      <c r="U70" s="2"/>
      <c r="V70" s="7">
        <f t="shared" si="50"/>
        <v>1.5508788708492082E-3</v>
      </c>
      <c r="W70" s="2"/>
      <c r="X70" s="6">
        <f t="shared" si="51"/>
        <v>-4643.97</v>
      </c>
      <c r="Y70" s="2"/>
      <c r="Z70" s="7">
        <f t="shared" si="52"/>
        <v>-0.81831493698722835</v>
      </c>
    </row>
    <row r="71" spans="1:26" s="23" customFormat="1" hidden="1" outlineLevel="2" x14ac:dyDescent="0.25">
      <c r="A71" s="25"/>
      <c r="B71" s="10" t="str">
        <f>CONCATENATE("          ", "6241", " - ", "OFFICE EXPENSE")</f>
        <v xml:space="preserve">          6241 - OFFICE EXPENSE</v>
      </c>
      <c r="C71" s="10"/>
      <c r="D71" s="6"/>
      <c r="E71" s="2"/>
      <c r="F71" s="7">
        <f t="shared" si="45"/>
        <v>0</v>
      </c>
      <c r="G71" s="2"/>
      <c r="H71" s="6">
        <v>417.14</v>
      </c>
      <c r="I71" s="2"/>
      <c r="J71" s="7">
        <f t="shared" si="46"/>
        <v>1.0986377250397957E-3</v>
      </c>
      <c r="K71" s="2"/>
      <c r="L71" s="6">
        <f t="shared" si="47"/>
        <v>-417.14</v>
      </c>
      <c r="M71" s="2"/>
      <c r="N71" s="7">
        <f t="shared" si="48"/>
        <v>-1</v>
      </c>
      <c r="O71" s="10"/>
      <c r="P71" s="6">
        <v>19.7</v>
      </c>
      <c r="Q71" s="2"/>
      <c r="R71" s="7">
        <f t="shared" si="49"/>
        <v>8.3326565693480064E-4</v>
      </c>
      <c r="S71" s="2"/>
      <c r="T71" s="6">
        <v>2449.29</v>
      </c>
      <c r="U71" s="2"/>
      <c r="V71" s="7">
        <f t="shared" si="50"/>
        <v>6.693436715128452E-4</v>
      </c>
      <c r="W71" s="2"/>
      <c r="X71" s="6">
        <f t="shared" si="51"/>
        <v>-2429.59</v>
      </c>
      <c r="Y71" s="2"/>
      <c r="Z71" s="7">
        <f t="shared" si="52"/>
        <v>-0.99195685280224077</v>
      </c>
    </row>
    <row r="72" spans="1:26" s="23" customFormat="1" hidden="1" outlineLevel="2" x14ac:dyDescent="0.25">
      <c r="A72" s="25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45"/>
        <v>0</v>
      </c>
      <c r="G72" s="2"/>
      <c r="H72" s="6">
        <v>3232.45</v>
      </c>
      <c r="I72" s="2"/>
      <c r="J72" s="7">
        <f t="shared" si="46"/>
        <v>8.513428379692399E-3</v>
      </c>
      <c r="K72" s="2"/>
      <c r="L72" s="6">
        <f t="shared" si="47"/>
        <v>-3232.45</v>
      </c>
      <c r="M72" s="2"/>
      <c r="N72" s="7">
        <f t="shared" si="48"/>
        <v>-1</v>
      </c>
      <c r="O72" s="10"/>
      <c r="P72" s="6">
        <v>3009.55</v>
      </c>
      <c r="Q72" s="2"/>
      <c r="R72" s="7">
        <f t="shared" si="49"/>
        <v>0.12729719075269691</v>
      </c>
      <c r="S72" s="2"/>
      <c r="T72" s="6">
        <v>23004.959999999999</v>
      </c>
      <c r="U72" s="2"/>
      <c r="V72" s="7">
        <f t="shared" si="50"/>
        <v>6.2868114389909493E-3</v>
      </c>
      <c r="W72" s="2"/>
      <c r="X72" s="6">
        <f t="shared" si="51"/>
        <v>-19995.41</v>
      </c>
      <c r="Y72" s="2"/>
      <c r="Z72" s="7">
        <f t="shared" si="52"/>
        <v>-0.86917821200297674</v>
      </c>
    </row>
    <row r="73" spans="1:26" s="23" customFormat="1" hidden="1" outlineLevel="2" x14ac:dyDescent="0.25">
      <c r="A73" s="25"/>
      <c r="B73" s="10" t="str">
        <f>CONCATENATE("          ", "6245", " - ", "PRINTING")</f>
        <v xml:space="preserve">          6245 - PRINTING</v>
      </c>
      <c r="C73" s="10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0"/>
      <c r="P73" s="6"/>
      <c r="Q73" s="2"/>
      <c r="R73" s="7">
        <f t="shared" si="49"/>
        <v>0</v>
      </c>
      <c r="S73" s="2"/>
      <c r="T73" s="6">
        <v>441</v>
      </c>
      <c r="U73" s="2"/>
      <c r="V73" s="7">
        <f t="shared" si="50"/>
        <v>1.2051678614503172E-4</v>
      </c>
      <c r="W73" s="2"/>
      <c r="X73" s="6">
        <f t="shared" si="51"/>
        <v>-441</v>
      </c>
      <c r="Y73" s="2"/>
      <c r="Z73" s="7">
        <f t="shared" si="52"/>
        <v>-1</v>
      </c>
    </row>
    <row r="74" spans="1:26" s="23" customFormat="1" hidden="1" outlineLevel="2" x14ac:dyDescent="0.25">
      <c r="A74" s="25"/>
      <c r="B74" s="10" t="str">
        <f>CONCATENATE("          ", "6247", " - ", "STORE SUPPLIES")</f>
        <v xml:space="preserve">          6247 - STORE SUPPLIES</v>
      </c>
      <c r="C74" s="10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0"/>
      <c r="P74" s="6"/>
      <c r="Q74" s="2"/>
      <c r="R74" s="7">
        <f t="shared" si="49"/>
        <v>0</v>
      </c>
      <c r="S74" s="2"/>
      <c r="T74" s="6">
        <v>82.5</v>
      </c>
      <c r="U74" s="2"/>
      <c r="V74" s="7">
        <f t="shared" si="50"/>
        <v>2.2545657272029743E-5</v>
      </c>
      <c r="W74" s="2"/>
      <c r="X74" s="6">
        <f t="shared" si="51"/>
        <v>-82.5</v>
      </c>
      <c r="Y74" s="2"/>
      <c r="Z74" s="7">
        <f t="shared" si="52"/>
        <v>-1</v>
      </c>
    </row>
    <row r="75" spans="1:26" s="23" customFormat="1" hidden="1" outlineLevel="2" x14ac:dyDescent="0.25">
      <c r="A75" s="25"/>
      <c r="B75" s="10" t="str">
        <f>CONCATENATE("          ", "6248", " - ", "UNIFORMS")</f>
        <v xml:space="preserve">          6248 - UNIFORMS</v>
      </c>
      <c r="C75" s="10"/>
      <c r="D75" s="6"/>
      <c r="E75" s="2"/>
      <c r="F75" s="7">
        <f t="shared" si="45"/>
        <v>0</v>
      </c>
      <c r="G75" s="2"/>
      <c r="H75" s="6">
        <v>1569.54</v>
      </c>
      <c r="I75" s="2"/>
      <c r="J75" s="7">
        <f t="shared" si="46"/>
        <v>4.1337581026968427E-3</v>
      </c>
      <c r="K75" s="2"/>
      <c r="L75" s="6">
        <f t="shared" si="47"/>
        <v>-1569.54</v>
      </c>
      <c r="M75" s="2"/>
      <c r="N75" s="7">
        <f t="shared" si="48"/>
        <v>-1</v>
      </c>
      <c r="O75" s="10"/>
      <c r="P75" s="6"/>
      <c r="Q75" s="2"/>
      <c r="R75" s="7">
        <f t="shared" si="49"/>
        <v>0</v>
      </c>
      <c r="S75" s="2"/>
      <c r="T75" s="6">
        <v>3521.63</v>
      </c>
      <c r="U75" s="2"/>
      <c r="V75" s="7">
        <f t="shared" si="50"/>
        <v>9.6239349113815887E-4</v>
      </c>
      <c r="W75" s="2"/>
      <c r="X75" s="6">
        <f t="shared" si="51"/>
        <v>-3521.63</v>
      </c>
      <c r="Y75" s="2"/>
      <c r="Z75" s="7">
        <f t="shared" si="52"/>
        <v>-1</v>
      </c>
    </row>
    <row r="76" spans="1:26" s="26" customFormat="1" outlineLevel="1" collapsed="1" x14ac:dyDescent="0.25">
      <c r="A76" s="27"/>
      <c r="B76" s="12" t="str">
        <f>CONCATENATE("     ","Telephone/Data Lines                              ")</f>
        <v xml:space="preserve">     Telephone/Data Lines                              </v>
      </c>
      <c r="C76" s="12"/>
      <c r="D76" s="1">
        <f>SUM(OSRRefD22_14x_0)</f>
        <v>89</v>
      </c>
      <c r="E76" s="1"/>
      <c r="F76" s="5">
        <f t="shared" ref="F76:F81" si="53">IF(D$12=0,0,D76/D$12)</f>
        <v>0</v>
      </c>
      <c r="G76" s="1"/>
      <c r="H76" s="1">
        <f>SUM(OSRRefH22_14x_0)</f>
        <v>189</v>
      </c>
      <c r="I76" s="1"/>
      <c r="J76" s="5">
        <f t="shared" ref="J76:J81" si="54">IF(H$12=0,0,H76/H$12)</f>
        <v>4.9777659786287912E-4</v>
      </c>
      <c r="K76" s="1"/>
      <c r="L76" s="1">
        <f t="shared" ref="L76:L81" si="55">+D76-H76</f>
        <v>-100</v>
      </c>
      <c r="M76" s="1"/>
      <c r="N76" s="5">
        <f t="shared" ref="N76:N81" si="56">IF(H76=0,0,L76/H76)</f>
        <v>-0.52910052910052907</v>
      </c>
      <c r="O76" s="12"/>
      <c r="P76" s="1">
        <f>SUM(OSRRefP22_14x_0)</f>
        <v>1187</v>
      </c>
      <c r="Q76" s="1"/>
      <c r="R76" s="5">
        <f t="shared" ref="R76:R81" si="57">IF(P$12=0,0,P76/P$12)</f>
        <v>5.0207428161502962E-2</v>
      </c>
      <c r="S76" s="1"/>
      <c r="T76" s="1">
        <f>SUM(OSRRefT22_14x_0)</f>
        <v>1694.8</v>
      </c>
      <c r="U76" s="1"/>
      <c r="V76" s="5">
        <f t="shared" ref="V76:V81" si="58">IF(T$12=0,0,T76/T$12)</f>
        <v>4.6315612054104253E-4</v>
      </c>
      <c r="W76" s="1"/>
      <c r="X76" s="1">
        <f t="shared" ref="X76:X81" si="59">+P76-T76</f>
        <v>-507.79999999999995</v>
      </c>
      <c r="Y76" s="1"/>
      <c r="Z76" s="5">
        <f t="shared" ref="Z76:Z81" si="60">IF(T76=0,0,X76/T76)</f>
        <v>-0.29962237432145383</v>
      </c>
    </row>
    <row r="77" spans="1:26" s="23" customFormat="1" hidden="1" outlineLevel="2" x14ac:dyDescent="0.25">
      <c r="A77" s="25"/>
      <c r="B77" s="10" t="str">
        <f>CONCATENATE("          ", "6309", " - ", "TELEPHONE")</f>
        <v xml:space="preserve">          6309 - TELEPHONE</v>
      </c>
      <c r="C77" s="10"/>
      <c r="D77" s="6">
        <v>89</v>
      </c>
      <c r="E77" s="2"/>
      <c r="F77" s="7">
        <f t="shared" si="53"/>
        <v>0</v>
      </c>
      <c r="G77" s="2"/>
      <c r="H77" s="6">
        <v>189</v>
      </c>
      <c r="I77" s="2"/>
      <c r="J77" s="7">
        <f t="shared" si="54"/>
        <v>4.9777659786287912E-4</v>
      </c>
      <c r="K77" s="2"/>
      <c r="L77" s="6">
        <f t="shared" si="55"/>
        <v>-100</v>
      </c>
      <c r="M77" s="2"/>
      <c r="N77" s="7">
        <f t="shared" si="56"/>
        <v>-0.52910052910052907</v>
      </c>
      <c r="O77" s="10"/>
      <c r="P77" s="6">
        <v>1187</v>
      </c>
      <c r="Q77" s="2"/>
      <c r="R77" s="7">
        <f t="shared" si="57"/>
        <v>5.0207428161502962E-2</v>
      </c>
      <c r="S77" s="2"/>
      <c r="T77" s="6">
        <v>1694.8</v>
      </c>
      <c r="U77" s="2"/>
      <c r="V77" s="7">
        <f t="shared" si="58"/>
        <v>4.6315612054104253E-4</v>
      </c>
      <c r="W77" s="2"/>
      <c r="X77" s="6">
        <f t="shared" si="59"/>
        <v>-507.79999999999995</v>
      </c>
      <c r="Y77" s="2"/>
      <c r="Z77" s="7">
        <f t="shared" si="60"/>
        <v>-0.29962237432145383</v>
      </c>
    </row>
    <row r="78" spans="1:26" s="26" customFormat="1" outlineLevel="1" collapsed="1" x14ac:dyDescent="0.25">
      <c r="A78" s="27"/>
      <c r="B78" s="12" t="str">
        <f>CONCATENATE("     ","Training                                          ")</f>
        <v xml:space="preserve">     Training                                          </v>
      </c>
      <c r="C78" s="12"/>
      <c r="D78" s="1">
        <f>SUM(OSRRefD22_15x_0)</f>
        <v>0</v>
      </c>
      <c r="E78" s="1"/>
      <c r="F78" s="5">
        <f t="shared" si="53"/>
        <v>0</v>
      </c>
      <c r="G78" s="1"/>
      <c r="H78" s="1">
        <f>SUM(OSRRefH22_15x_0)</f>
        <v>0</v>
      </c>
      <c r="I78" s="1"/>
      <c r="J78" s="5">
        <f t="shared" si="54"/>
        <v>0</v>
      </c>
      <c r="K78" s="1"/>
      <c r="L78" s="1">
        <f t="shared" si="55"/>
        <v>0</v>
      </c>
      <c r="M78" s="1"/>
      <c r="N78" s="5">
        <f t="shared" si="56"/>
        <v>0</v>
      </c>
      <c r="O78" s="12"/>
      <c r="P78" s="1">
        <f>SUM(OSRRefP22_15x_0)</f>
        <v>0</v>
      </c>
      <c r="Q78" s="1"/>
      <c r="R78" s="5">
        <f t="shared" si="57"/>
        <v>0</v>
      </c>
      <c r="S78" s="1"/>
      <c r="T78" s="1">
        <f>SUM(OSRRefT22_15x_0)</f>
        <v>678.48</v>
      </c>
      <c r="U78" s="1"/>
      <c r="V78" s="5">
        <f t="shared" si="58"/>
        <v>1.8541548540517263E-4</v>
      </c>
      <c r="W78" s="1"/>
      <c r="X78" s="1">
        <f t="shared" si="59"/>
        <v>-678.48</v>
      </c>
      <c r="Y78" s="1"/>
      <c r="Z78" s="5">
        <f t="shared" si="60"/>
        <v>-1</v>
      </c>
    </row>
    <row r="79" spans="1:26" s="23" customFormat="1" hidden="1" outlineLevel="2" x14ac:dyDescent="0.25">
      <c r="A79" s="25"/>
      <c r="B79" s="10" t="str">
        <f>CONCATENATE("          ", "6376", " - ", "TRAINING")</f>
        <v xml:space="preserve">          6376 - TRAINING</v>
      </c>
      <c r="C79" s="10"/>
      <c r="D79" s="6"/>
      <c r="E79" s="2"/>
      <c r="F79" s="7">
        <f t="shared" si="53"/>
        <v>0</v>
      </c>
      <c r="G79" s="2"/>
      <c r="H79" s="6"/>
      <c r="I79" s="2"/>
      <c r="J79" s="7">
        <f t="shared" si="54"/>
        <v>0</v>
      </c>
      <c r="K79" s="2"/>
      <c r="L79" s="6">
        <f t="shared" si="55"/>
        <v>0</v>
      </c>
      <c r="M79" s="2"/>
      <c r="N79" s="7">
        <f t="shared" si="56"/>
        <v>0</v>
      </c>
      <c r="O79" s="10"/>
      <c r="P79" s="6"/>
      <c r="Q79" s="2"/>
      <c r="R79" s="7">
        <f t="shared" si="57"/>
        <v>0</v>
      </c>
      <c r="S79" s="2"/>
      <c r="T79" s="6">
        <v>678.48</v>
      </c>
      <c r="U79" s="2"/>
      <c r="V79" s="7">
        <f t="shared" si="58"/>
        <v>1.8541548540517263E-4</v>
      </c>
      <c r="W79" s="2"/>
      <c r="X79" s="6">
        <f t="shared" si="59"/>
        <v>-678.48</v>
      </c>
      <c r="Y79" s="2"/>
      <c r="Z79" s="7">
        <f t="shared" si="60"/>
        <v>-1</v>
      </c>
    </row>
    <row r="80" spans="1:26" s="26" customFormat="1" outlineLevel="1" collapsed="1" x14ac:dyDescent="0.25">
      <c r="A80" s="27"/>
      <c r="B80" s="12" t="str">
        <f>CONCATENATE("     ","Travel                                            ")</f>
        <v xml:space="preserve">     Travel                                            </v>
      </c>
      <c r="C80" s="12"/>
      <c r="D80" s="1">
        <f>SUM(OSRRefD22_16x_0)</f>
        <v>0</v>
      </c>
      <c r="E80" s="1"/>
      <c r="F80" s="5">
        <f t="shared" si="53"/>
        <v>0</v>
      </c>
      <c r="G80" s="1"/>
      <c r="H80" s="1">
        <f>SUM(OSRRefH22_16x_0)</f>
        <v>0</v>
      </c>
      <c r="I80" s="1"/>
      <c r="J80" s="5">
        <f t="shared" si="54"/>
        <v>0</v>
      </c>
      <c r="K80" s="1"/>
      <c r="L80" s="1">
        <f t="shared" si="55"/>
        <v>0</v>
      </c>
      <c r="M80" s="1"/>
      <c r="N80" s="5">
        <f t="shared" si="56"/>
        <v>0</v>
      </c>
      <c r="O80" s="12"/>
      <c r="P80" s="1">
        <f>SUM(OSRRefP22_16x_0)</f>
        <v>0</v>
      </c>
      <c r="Q80" s="1"/>
      <c r="R80" s="5">
        <f t="shared" si="57"/>
        <v>0</v>
      </c>
      <c r="S80" s="1"/>
      <c r="T80" s="1">
        <f>SUM(OSRRefT22_16x_0)</f>
        <v>1429.86</v>
      </c>
      <c r="U80" s="1"/>
      <c r="V80" s="5">
        <f t="shared" si="58"/>
        <v>3.9075313341799332E-4</v>
      </c>
      <c r="W80" s="1"/>
      <c r="X80" s="1">
        <f t="shared" si="59"/>
        <v>-1429.86</v>
      </c>
      <c r="Y80" s="1"/>
      <c r="Z80" s="5">
        <f t="shared" si="60"/>
        <v>-1</v>
      </c>
    </row>
    <row r="81" spans="1:26" s="23" customFormat="1" hidden="1" outlineLevel="2" x14ac:dyDescent="0.25">
      <c r="A81" s="25"/>
      <c r="B81" s="10" t="str">
        <f>CONCATENATE("          ", "6292", " - ", "TRAVEL/CONFERENCE")</f>
        <v xml:space="preserve">          6292 - TRAVEL/CONFERENCE</v>
      </c>
      <c r="C81" s="10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0"/>
      <c r="P81" s="6"/>
      <c r="Q81" s="2"/>
      <c r="R81" s="7">
        <f t="shared" si="57"/>
        <v>0</v>
      </c>
      <c r="S81" s="2"/>
      <c r="T81" s="6">
        <v>1429.86</v>
      </c>
      <c r="U81" s="2"/>
      <c r="V81" s="7">
        <f t="shared" si="58"/>
        <v>3.9075313341799332E-4</v>
      </c>
      <c r="W81" s="2"/>
      <c r="X81" s="6">
        <f t="shared" si="59"/>
        <v>-1429.86</v>
      </c>
      <c r="Y81" s="2"/>
      <c r="Z81" s="7">
        <f t="shared" si="60"/>
        <v>-1</v>
      </c>
    </row>
    <row r="82" spans="1:26" s="60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4" customFormat="1" x14ac:dyDescent="0.25">
      <c r="A83" s="11"/>
      <c r="B83" s="28" t="s">
        <v>292</v>
      </c>
      <c r="C83" s="11"/>
      <c r="D83" s="4">
        <f>SUM(0)</f>
        <v>0</v>
      </c>
      <c r="E83" s="4"/>
      <c r="F83" s="13">
        <f>IF(D$12=0,0,D83/D$12)</f>
        <v>0</v>
      </c>
      <c r="G83" s="4"/>
      <c r="H83" s="4">
        <f>SUM(0)</f>
        <v>0</v>
      </c>
      <c r="I83" s="4"/>
      <c r="J83" s="13">
        <f>IF(H$12=0,0,H83/H$12)</f>
        <v>0</v>
      </c>
      <c r="K83" s="4"/>
      <c r="L83" s="4">
        <f>+D83-H83</f>
        <v>0</v>
      </c>
      <c r="M83" s="4"/>
      <c r="N83" s="13">
        <f>IF(H83=0,0,L83/H83)</f>
        <v>0</v>
      </c>
      <c r="O83" s="11"/>
      <c r="P83" s="4">
        <f>SUM(0)</f>
        <v>0</v>
      </c>
      <c r="Q83" s="4"/>
      <c r="R83" s="13">
        <f>IF(P$12=0,0,P83/P$12)</f>
        <v>0</v>
      </c>
      <c r="S83" s="4"/>
      <c r="T83" s="4">
        <f>SUM(0)</f>
        <v>0</v>
      </c>
      <c r="U83" s="4"/>
      <c r="V83" s="13">
        <f>IF(T$12=0,0,T83/T$12)</f>
        <v>0</v>
      </c>
      <c r="W83" s="4"/>
      <c r="X83" s="4">
        <f>+P83-T83</f>
        <v>0</v>
      </c>
      <c r="Y83" s="4"/>
      <c r="Z83" s="13">
        <f>IF(T83=0,0,X83/T83)</f>
        <v>0</v>
      </c>
    </row>
    <row r="84" spans="1:26" x14ac:dyDescent="0.25">
      <c r="A84" s="9"/>
      <c r="B84" s="11"/>
      <c r="C84" s="11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1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11"/>
      <c r="B85" s="29" t="s">
        <v>276</v>
      </c>
      <c r="C85" s="29"/>
      <c r="D85" s="22">
        <f>+D21-D23+D83</f>
        <v>-47743.71</v>
      </c>
      <c r="E85" s="14"/>
      <c r="F85" s="20">
        <f>IF(D$12=0,0,D85/D$12)</f>
        <v>0</v>
      </c>
      <c r="G85" s="14"/>
      <c r="H85" s="22">
        <f>+H21-H23+H83</f>
        <v>75315.069999999949</v>
      </c>
      <c r="I85" s="14"/>
      <c r="J85" s="20">
        <f>IF(H$12=0,0,H85/H$12)</f>
        <v>0.19836020800214055</v>
      </c>
      <c r="K85" s="15"/>
      <c r="L85" s="22">
        <f>+D85-H85</f>
        <v>-123058.77999999994</v>
      </c>
      <c r="M85" s="15"/>
      <c r="N85" s="20">
        <f>IF(H85=0,0,L85/H85)</f>
        <v>-1.6339197454108456</v>
      </c>
      <c r="O85" s="28"/>
      <c r="P85" s="22">
        <f>+P21-P23+P83</f>
        <v>-464041.48999999993</v>
      </c>
      <c r="Q85" s="14"/>
      <c r="R85" s="20">
        <f>IF(P$12=0,0,P85/P$12)</f>
        <v>-19.6279105081144</v>
      </c>
      <c r="S85" s="14"/>
      <c r="T85" s="22">
        <f>+T21-T23+T83</f>
        <v>1216997.3500000006</v>
      </c>
      <c r="U85" s="14"/>
      <c r="V85" s="20">
        <f>IF(T$12=0,0,T85/T$12)</f>
        <v>0.33258188065537503</v>
      </c>
      <c r="W85" s="15"/>
      <c r="X85" s="22">
        <f>+P85-T85</f>
        <v>-1681038.8400000005</v>
      </c>
      <c r="Y85" s="15"/>
      <c r="Z85" s="20">
        <f>IF(T85=0,0,X85/T85)</f>
        <v>-1.3813003290434442</v>
      </c>
    </row>
    <row r="86" spans="1:26" x14ac:dyDescent="0.25">
      <c r="A86" s="9"/>
      <c r="B86" s="11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x14ac:dyDescent="0.25">
      <c r="A87" s="51"/>
      <c r="B87" s="11" t="s">
        <v>127</v>
      </c>
      <c r="C87" s="11"/>
      <c r="D87" s="4">
        <v>190.45</v>
      </c>
      <c r="E87" s="4"/>
      <c r="F87" s="13">
        <f>IF(D$12=0,0,D87/D$12)</f>
        <v>0</v>
      </c>
      <c r="G87" s="4"/>
      <c r="H87" s="4">
        <v>57845.279999999999</v>
      </c>
      <c r="I87" s="4"/>
      <c r="J87" s="13">
        <f>IF(H$12=0,0,H87/H$12)</f>
        <v>0.15234934751759599</v>
      </c>
      <c r="K87" s="4"/>
      <c r="L87" s="4">
        <f>+D87-H87</f>
        <v>-57654.83</v>
      </c>
      <c r="M87" s="4"/>
      <c r="N87" s="13">
        <f>IF(H87=0,0,L87/H87)</f>
        <v>-0.99670759654028818</v>
      </c>
      <c r="O87" s="11"/>
      <c r="P87" s="4">
        <v>4872.3999999999996</v>
      </c>
      <c r="Q87" s="4"/>
      <c r="R87" s="13">
        <f>IF(P$12=0,0,P87/P$12)</f>
        <v>0.20609155263193513</v>
      </c>
      <c r="S87" s="4"/>
      <c r="T87" s="4">
        <v>392096.57</v>
      </c>
      <c r="U87" s="4"/>
      <c r="V87" s="13">
        <f>IF(T$12=0,0,T87/T$12)</f>
        <v>0.10715242284555659</v>
      </c>
      <c r="W87" s="4"/>
      <c r="X87" s="4">
        <f>+P87-T87</f>
        <v>-387224.17</v>
      </c>
      <c r="Y87" s="4"/>
      <c r="Z87" s="13">
        <f>IF(T87=0,0,X87/T87)</f>
        <v>-0.98757346946442293</v>
      </c>
    </row>
    <row r="88" spans="1:26" x14ac:dyDescent="0.25">
      <c r="A88" s="9"/>
      <c r="B88" s="11"/>
      <c r="C88" s="11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1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ht="15.75" thickBot="1" x14ac:dyDescent="0.3">
      <c r="A89" s="11"/>
      <c r="B89" s="29" t="s">
        <v>125</v>
      </c>
      <c r="C89" s="29"/>
      <c r="D89" s="30">
        <f>+D85-D87</f>
        <v>-47934.159999999996</v>
      </c>
      <c r="E89" s="14"/>
      <c r="F89" s="36">
        <f>IF(D$12=0,0,D89/D$12)</f>
        <v>0</v>
      </c>
      <c r="G89" s="14"/>
      <c r="H89" s="30">
        <f>+H85-H87</f>
        <v>17469.78999999995</v>
      </c>
      <c r="I89" s="14"/>
      <c r="J89" s="36">
        <f>IF(H$12=0,0,H89/H$12)</f>
        <v>4.6010860484544558E-2</v>
      </c>
      <c r="K89" s="15"/>
      <c r="L89" s="30">
        <f>D89-H89</f>
        <v>-65403.949999999946</v>
      </c>
      <c r="M89" s="15"/>
      <c r="N89" s="36">
        <f>IF(H89=0,0,L89/H89)</f>
        <v>-3.7438314942538025</v>
      </c>
      <c r="O89" s="28"/>
      <c r="P89" s="30">
        <f>+P85-P87</f>
        <v>-468913.88999999996</v>
      </c>
      <c r="Q89" s="14"/>
      <c r="R89" s="36">
        <f>IF(P$12=0,0,P89/P$12)</f>
        <v>-19.834002060746336</v>
      </c>
      <c r="S89" s="14"/>
      <c r="T89" s="30">
        <f>+T85-T87</f>
        <v>824900.78000000049</v>
      </c>
      <c r="U89" s="14"/>
      <c r="V89" s="36">
        <f>IF(T$12=0,0,T89/T$12)</f>
        <v>0.22542945780981841</v>
      </c>
      <c r="W89" s="15"/>
      <c r="X89" s="30">
        <f>P89-T89</f>
        <v>-1293814.6700000004</v>
      </c>
      <c r="Y89" s="15"/>
      <c r="Z89" s="36">
        <f>IF(T89=0,0,X89/T89)</f>
        <v>-1.5684488381742101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ht="15.75" thickBot="1" x14ac:dyDescent="0.3">
      <c r="A92" s="11"/>
      <c r="B92" s="29" t="s">
        <v>293</v>
      </c>
      <c r="C92" s="29"/>
      <c r="D92" s="35">
        <f>SUM(D89:D91)</f>
        <v>-47934.159999999996</v>
      </c>
      <c r="E92" s="14"/>
      <c r="F92" s="34">
        <f>IF(D$12=0,0,D92/D$12)</f>
        <v>0</v>
      </c>
      <c r="G92" s="14"/>
      <c r="H92" s="35">
        <f>SUM(H89:H91)</f>
        <v>17469.78999999995</v>
      </c>
      <c r="I92" s="14"/>
      <c r="J92" s="34">
        <f>IF(H$12=0,0,H92/H$12)</f>
        <v>4.6010860484544558E-2</v>
      </c>
      <c r="K92" s="15"/>
      <c r="L92" s="35">
        <f>+D92-H92</f>
        <v>-65403.949999999946</v>
      </c>
      <c r="M92" s="15"/>
      <c r="N92" s="34">
        <f>IF(H92=0,0,L92/H92)</f>
        <v>-3.7438314942538025</v>
      </c>
      <c r="O92" s="28"/>
      <c r="P92" s="35">
        <f>SUM(P89:P91)</f>
        <v>-468913.88999999996</v>
      </c>
      <c r="Q92" s="14"/>
      <c r="R92" s="34">
        <f>IF(P$12=0,0,P92/P$12)</f>
        <v>-19.834002060746336</v>
      </c>
      <c r="S92" s="14"/>
      <c r="T92" s="35">
        <f>SUM(T89:T91)</f>
        <v>824900.78000000049</v>
      </c>
      <c r="U92" s="14"/>
      <c r="V92" s="34">
        <f>IF(T$12=0,0,T92/T$12)</f>
        <v>0.22542945780981841</v>
      </c>
      <c r="W92" s="15"/>
      <c r="X92" s="35">
        <f>+P92-T92</f>
        <v>-1293814.6700000004</v>
      </c>
      <c r="Y92" s="15"/>
      <c r="Z92" s="34">
        <f>IF(T92=0,0,X92/T92)</f>
        <v>-1.5684488381742101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4">
        <v>44295.963243634258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8" t="s">
        <v>56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2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","435", " - ", "Ground Floor Coffee House")</f>
        <v>Department 435 - Ground Floor Coffee House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5" si="0">+D12-H12</f>
        <v>0</v>
      </c>
      <c r="M12" s="4"/>
      <c r="N12" s="13">
        <f t="shared" ref="N12:N15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5179.0200000000004</v>
      </c>
      <c r="U12" s="4"/>
      <c r="V12" s="13"/>
      <c r="W12" s="4"/>
      <c r="X12" s="4">
        <f t="shared" ref="X12:X15" si="2">+P12-T12</f>
        <v>-5179.0200000000004</v>
      </c>
      <c r="Y12" s="4"/>
      <c r="Z12" s="13">
        <f t="shared" ref="Z12:Z15" si="3">IF(T12=0,0,X12/T12)</f>
        <v>-1</v>
      </c>
    </row>
    <row r="13" spans="1:26" s="23" customFormat="1" hidden="1" outlineLevel="1" x14ac:dyDescent="0.25">
      <c r="A13" s="44"/>
      <c r="B13" s="10" t="str">
        <f>CONCATENATE("          ", "4055", " - ", "TAXABLE SALES-FOOD")</f>
        <v xml:space="preserve">          4055 - TAXABLE SALES-FOOD</v>
      </c>
      <c r="C13" s="10"/>
      <c r="D13" s="2">
        <f t="shared" ref="D13:D15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5" si="6">0</f>
        <v>0</v>
      </c>
      <c r="Q13" s="2"/>
      <c r="R13" s="19"/>
      <c r="S13" s="2"/>
      <c r="T13" s="2">
        <f>--973.49</f>
        <v>973.49</v>
      </c>
      <c r="U13" s="2"/>
      <c r="V13" s="19"/>
      <c r="W13" s="2"/>
      <c r="X13" s="2">
        <f t="shared" si="2"/>
        <v>-973.49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"4153", " - ", "NON-TAXABLE SALES-FOOD")</f>
        <v xml:space="preserve">          4153 -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--471.63</f>
        <v>471.63</v>
      </c>
      <c r="U14" s="2"/>
      <c r="V14" s="19"/>
      <c r="W14" s="2"/>
      <c r="X14" s="2">
        <f t="shared" si="2"/>
        <v>-471.63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"4155", " - ", "NON-TAXABLE SALES-FOOD")</f>
        <v xml:space="preserve">          4155 - NON-TAXABLE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--3733.9</f>
        <v>3733.9</v>
      </c>
      <c r="U15" s="2"/>
      <c r="V15" s="19"/>
      <c r="W15" s="2"/>
      <c r="X15" s="2">
        <f t="shared" si="2"/>
        <v>-3733.9</v>
      </c>
      <c r="Y15" s="2"/>
      <c r="Z15" s="19">
        <f t="shared" si="3"/>
        <v>-1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0</v>
      </c>
      <c r="E17" s="4"/>
      <c r="F17" s="13">
        <f t="shared" ref="F17:F19" si="7">IF(D$12=0,0,D17/D$12)</f>
        <v>0</v>
      </c>
      <c r="G17" s="4"/>
      <c r="H17" s="4">
        <f>SUM(OSRRefH16x_0)</f>
        <v>0</v>
      </c>
      <c r="I17" s="4"/>
      <c r="J17" s="13">
        <f t="shared" ref="J17:J19" si="8">IF(H$12=0,0,H17/H$12)</f>
        <v>0</v>
      </c>
      <c r="K17" s="4"/>
      <c r="L17" s="4">
        <f t="shared" ref="L17:L19" si="9">+D17-H17</f>
        <v>0</v>
      </c>
      <c r="M17" s="4"/>
      <c r="N17" s="13">
        <f t="shared" ref="N17:N19" si="10">IF(H17=0,0,L17/H17)</f>
        <v>0</v>
      </c>
      <c r="O17" s="11"/>
      <c r="P17" s="4">
        <f>SUM(OSRRefP16x_0)</f>
        <v>0</v>
      </c>
      <c r="Q17" s="4"/>
      <c r="R17" s="13">
        <f t="shared" ref="R17:R19" si="11">IF(P$12=0,0,P17/P$12)</f>
        <v>0</v>
      </c>
      <c r="S17" s="4"/>
      <c r="T17" s="4">
        <f>SUM(OSRRefT16x_0)</f>
        <v>1954.47</v>
      </c>
      <c r="U17" s="4"/>
      <c r="V17" s="13">
        <f t="shared" ref="V17:V19" si="12">IF(T$12=0,0,T17/T$12)</f>
        <v>0.37738220744465167</v>
      </c>
      <c r="W17" s="4"/>
      <c r="X17" s="4">
        <f t="shared" ref="X17:X19" si="13">+P17-T17</f>
        <v>-1954.47</v>
      </c>
      <c r="Y17" s="4"/>
      <c r="Z17" s="13">
        <f t="shared" ref="Z17:Z19" si="14">IF(T17=0,0,X17/T17)</f>
        <v>-1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3948.48</v>
      </c>
      <c r="U18" s="2"/>
      <c r="V18" s="19">
        <f t="shared" si="12"/>
        <v>0.762399063915567</v>
      </c>
      <c r="W18" s="2"/>
      <c r="X18" s="2">
        <f t="shared" si="13"/>
        <v>-3948.48</v>
      </c>
      <c r="Y18" s="2"/>
      <c r="Z18" s="19">
        <f t="shared" si="14"/>
        <v>-1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/>
      <c r="E19" s="2"/>
      <c r="F19" s="19">
        <f t="shared" si="7"/>
        <v>0</v>
      </c>
      <c r="G19" s="2"/>
      <c r="H19" s="2"/>
      <c r="I19" s="2"/>
      <c r="J19" s="19">
        <f t="shared" si="8"/>
        <v>0</v>
      </c>
      <c r="K19" s="2"/>
      <c r="L19" s="2">
        <f t="shared" si="9"/>
        <v>0</v>
      </c>
      <c r="M19" s="2"/>
      <c r="N19" s="19">
        <f t="shared" si="10"/>
        <v>0</v>
      </c>
      <c r="O19" s="10"/>
      <c r="P19" s="2"/>
      <c r="Q19" s="2"/>
      <c r="R19" s="19">
        <f t="shared" si="11"/>
        <v>0</v>
      </c>
      <c r="S19" s="2"/>
      <c r="T19" s="2">
        <v>-1994.01</v>
      </c>
      <c r="U19" s="2"/>
      <c r="V19" s="19">
        <f t="shared" si="12"/>
        <v>-0.38501685647091533</v>
      </c>
      <c r="W19" s="2"/>
      <c r="X19" s="2">
        <f t="shared" si="13"/>
        <v>1994.01</v>
      </c>
      <c r="Y19" s="2"/>
      <c r="Z19" s="19">
        <f t="shared" si="14"/>
        <v>-1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9" t="s">
        <v>107</v>
      </c>
      <c r="C21" s="29"/>
      <c r="D21" s="22">
        <f>D12-D17</f>
        <v>0</v>
      </c>
      <c r="E21" s="14"/>
      <c r="F21" s="20">
        <f>IF(D$12=0,0,D21/D$12)</f>
        <v>0</v>
      </c>
      <c r="G21" s="14"/>
      <c r="H21" s="22">
        <f>H12-H17</f>
        <v>0</v>
      </c>
      <c r="I21" s="14"/>
      <c r="J21" s="20">
        <f>IF(H$12=0,0,H21/H$12)</f>
        <v>0</v>
      </c>
      <c r="K21" s="15"/>
      <c r="L21" s="22">
        <f>+D21-H21</f>
        <v>0</v>
      </c>
      <c r="M21" s="15"/>
      <c r="N21" s="20">
        <f>IF(H21=0,0,L21/H21)</f>
        <v>0</v>
      </c>
      <c r="O21" s="28"/>
      <c r="P21" s="22">
        <f>P12-P17</f>
        <v>0</v>
      </c>
      <c r="Q21" s="14"/>
      <c r="R21" s="20">
        <f>IF(P$12=0,0,P21/P$12)</f>
        <v>0</v>
      </c>
      <c r="S21" s="14"/>
      <c r="T21" s="22">
        <f>T12-T17</f>
        <v>3224.55</v>
      </c>
      <c r="U21" s="14"/>
      <c r="V21" s="20">
        <f>IF(T$12=0,0,T21/T$12)</f>
        <v>0.62261779255534833</v>
      </c>
      <c r="W21" s="15"/>
      <c r="X21" s="22">
        <f>+P21-T21</f>
        <v>-3224.55</v>
      </c>
      <c r="Y21" s="15"/>
      <c r="Z21" s="20">
        <f>IF(T21=0,0,X21/T21)</f>
        <v>-1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8" t="s">
        <v>294</v>
      </c>
      <c r="C23" s="11"/>
      <c r="D23" s="21">
        <f>SUM(OSRRefD22x_0)</f>
        <v>0</v>
      </c>
      <c r="E23" s="21"/>
      <c r="F23" s="31">
        <f t="shared" ref="F23:F27" si="15">IF(D$12=0,0,D23/D$12)</f>
        <v>0</v>
      </c>
      <c r="G23" s="21"/>
      <c r="H23" s="21">
        <f>SUM(OSRRefH22x_0)</f>
        <v>75.5</v>
      </c>
      <c r="I23" s="21"/>
      <c r="J23" s="31">
        <f t="shared" ref="J23:J27" si="16">IF(H$12=0,0,H23/H$12)</f>
        <v>0</v>
      </c>
      <c r="K23" s="4"/>
      <c r="L23" s="21">
        <f t="shared" ref="L23:L27" si="17">+D23-H23</f>
        <v>-75.5</v>
      </c>
      <c r="M23" s="4"/>
      <c r="N23" s="31">
        <f t="shared" ref="N23:N27" si="18">IF(H23=0,0,L23/H23)</f>
        <v>-1</v>
      </c>
      <c r="O23" s="11"/>
      <c r="P23" s="21">
        <f>SUM(OSRRefP22x_0)</f>
        <v>178.69</v>
      </c>
      <c r="Q23" s="21"/>
      <c r="R23" s="31">
        <f t="shared" ref="R23:R27" si="19">IF(P$12=0,0,P23/P$12)</f>
        <v>0</v>
      </c>
      <c r="S23" s="21"/>
      <c r="T23" s="21">
        <f>SUM(OSRRefT22x_0)</f>
        <v>15738.219999999998</v>
      </c>
      <c r="U23" s="21"/>
      <c r="V23" s="31">
        <f t="shared" ref="V23:V27" si="20">IF(T$12=0,0,T23/T$12)</f>
        <v>3.0388413251927964</v>
      </c>
      <c r="W23" s="4"/>
      <c r="X23" s="21">
        <f t="shared" ref="X23:X27" si="21">+P23-T23</f>
        <v>-15559.529999999997</v>
      </c>
      <c r="Y23" s="4"/>
      <c r="Z23" s="31">
        <f t="shared" ref="Z23:Z27" si="22">IF(T23=0,0,X23/T23)</f>
        <v>-0.98864611118665258</v>
      </c>
    </row>
    <row r="24" spans="1:26" s="26" customFormat="1" outlineLevel="1" collapsed="1" x14ac:dyDescent="0.25">
      <c r="A24" s="27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0</v>
      </c>
      <c r="E24" s="1"/>
      <c r="F24" s="5">
        <f t="shared" si="15"/>
        <v>0</v>
      </c>
      <c r="G24" s="1"/>
      <c r="H24" s="1">
        <f>SUM(OSRRefH22_0x_0)</f>
        <v>0</v>
      </c>
      <c r="I24" s="1"/>
      <c r="J24" s="5">
        <f t="shared" si="16"/>
        <v>0</v>
      </c>
      <c r="K24" s="1"/>
      <c r="L24" s="1">
        <f t="shared" si="17"/>
        <v>0</v>
      </c>
      <c r="M24" s="1"/>
      <c r="N24" s="5">
        <f t="shared" si="18"/>
        <v>0</v>
      </c>
      <c r="O24" s="12"/>
      <c r="P24" s="1">
        <f>SUM(OSRRefP22_0x_0)</f>
        <v>0</v>
      </c>
      <c r="Q24" s="1"/>
      <c r="R24" s="5">
        <f t="shared" si="19"/>
        <v>0</v>
      </c>
      <c r="S24" s="1"/>
      <c r="T24" s="1">
        <f>SUM(OSRRefT22_0x_0)</f>
        <v>858.58</v>
      </c>
      <c r="U24" s="1"/>
      <c r="V24" s="5">
        <f t="shared" si="20"/>
        <v>0.16578039860823091</v>
      </c>
      <c r="W24" s="1"/>
      <c r="X24" s="1">
        <f t="shared" si="21"/>
        <v>-858.58</v>
      </c>
      <c r="Y24" s="1"/>
      <c r="Z24" s="5">
        <f t="shared" si="22"/>
        <v>-1</v>
      </c>
    </row>
    <row r="25" spans="1:26" s="23" customFormat="1" hidden="1" outlineLevel="2" x14ac:dyDescent="0.25">
      <c r="A25" s="25"/>
      <c r="B25" s="10" t="str">
        <f>CONCATENATE("          ", "6111", " - ", "F.I.C.A.")</f>
        <v xml:space="preserve">          6111 - F.I.C.A.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602.38</v>
      </c>
      <c r="U25" s="2"/>
      <c r="V25" s="7">
        <f t="shared" si="20"/>
        <v>0.11631158018312343</v>
      </c>
      <c r="W25" s="2"/>
      <c r="X25" s="6">
        <f t="shared" si="21"/>
        <v>-602.38</v>
      </c>
      <c r="Y25" s="2"/>
      <c r="Z25" s="7">
        <f t="shared" si="22"/>
        <v>-1</v>
      </c>
    </row>
    <row r="26" spans="1:26" s="23" customFormat="1" hidden="1" outlineLevel="2" x14ac:dyDescent="0.25">
      <c r="A26" s="25"/>
      <c r="B26" s="10" t="str">
        <f>CONCATENATE("          ", "6112", " - ", "COMPENSATION INSURANCE")</f>
        <v xml:space="preserve">          6112 - COMPENSATION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221.3</v>
      </c>
      <c r="U26" s="2"/>
      <c r="V26" s="7">
        <f t="shared" si="20"/>
        <v>4.2730091793428099E-2</v>
      </c>
      <c r="W26" s="2"/>
      <c r="X26" s="6">
        <f t="shared" si="21"/>
        <v>-221.3</v>
      </c>
      <c r="Y26" s="2"/>
      <c r="Z26" s="7">
        <f t="shared" si="22"/>
        <v>-1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34.9</v>
      </c>
      <c r="U27" s="2"/>
      <c r="V27" s="7">
        <f t="shared" si="20"/>
        <v>6.7387266316793516E-3</v>
      </c>
      <c r="W27" s="2"/>
      <c r="X27" s="6">
        <f t="shared" si="21"/>
        <v>-34.9</v>
      </c>
      <c r="Y27" s="2"/>
      <c r="Z27" s="7">
        <f t="shared" si="22"/>
        <v>-1</v>
      </c>
    </row>
    <row r="28" spans="1:26" s="26" customFormat="1" outlineLevel="1" collapsed="1" x14ac:dyDescent="0.25">
      <c r="A28" s="27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0</v>
      </c>
      <c r="E28" s="1"/>
      <c r="F28" s="5">
        <f t="shared" ref="F28:F31" si="23">IF(D$12=0,0,D28/D$12)</f>
        <v>0</v>
      </c>
      <c r="G28" s="1"/>
      <c r="H28" s="1">
        <f>SUM(OSRRefH22_1x_0)</f>
        <v>0</v>
      </c>
      <c r="I28" s="1"/>
      <c r="J28" s="5">
        <f t="shared" ref="J28:J31" si="24">IF(H$12=0,0,H28/H$12)</f>
        <v>0</v>
      </c>
      <c r="K28" s="1"/>
      <c r="L28" s="1">
        <f t="shared" ref="L28:L31" si="25">+D28-H28</f>
        <v>0</v>
      </c>
      <c r="M28" s="1"/>
      <c r="N28" s="5">
        <f t="shared" ref="N28:N31" si="26">IF(H28=0,0,L28/H28)</f>
        <v>0</v>
      </c>
      <c r="O28" s="12"/>
      <c r="P28" s="1">
        <f>SUM(OSRRefP22_1x_0)</f>
        <v>0</v>
      </c>
      <c r="Q28" s="1"/>
      <c r="R28" s="5">
        <f t="shared" ref="R28:R31" si="27">IF(P$12=0,0,P28/P$12)</f>
        <v>0</v>
      </c>
      <c r="S28" s="1"/>
      <c r="T28" s="1">
        <f>SUM(OSRRefT22_1x_0)</f>
        <v>10914.98</v>
      </c>
      <c r="U28" s="1"/>
      <c r="V28" s="5">
        <f t="shared" ref="V28:V31" si="28">IF(T$12=0,0,T28/T$12)</f>
        <v>2.1075377194913321</v>
      </c>
      <c r="W28" s="1"/>
      <c r="X28" s="1">
        <f t="shared" ref="X28:X31" si="29">+P28-T28</f>
        <v>-10914.98</v>
      </c>
      <c r="Y28" s="1"/>
      <c r="Z28" s="5">
        <f t="shared" ref="Z28:Z31" si="30">IF(T28=0,0,X28/T28)</f>
        <v>-1</v>
      </c>
    </row>
    <row r="29" spans="1:26" s="23" customFormat="1" hidden="1" outlineLevel="2" x14ac:dyDescent="0.25">
      <c r="A29" s="25"/>
      <c r="B29" s="10" t="str">
        <f>CONCATENATE("          ", "6005", " - ", "TEMPORARY WAGES-HOURLY")</f>
        <v xml:space="preserve">          6005 - TEMPORARY WAGES-HOURLY</v>
      </c>
      <c r="C29" s="10"/>
      <c r="D29" s="6"/>
      <c r="E29" s="2"/>
      <c r="F29" s="7">
        <f t="shared" si="23"/>
        <v>0</v>
      </c>
      <c r="G29" s="2"/>
      <c r="H29" s="6"/>
      <c r="I29" s="2"/>
      <c r="J29" s="7">
        <f t="shared" si="24"/>
        <v>0</v>
      </c>
      <c r="K29" s="2"/>
      <c r="L29" s="6">
        <f t="shared" si="25"/>
        <v>0</v>
      </c>
      <c r="M29" s="2"/>
      <c r="N29" s="7">
        <f t="shared" si="26"/>
        <v>0</v>
      </c>
      <c r="O29" s="10"/>
      <c r="P29" s="6"/>
      <c r="Q29" s="2"/>
      <c r="R29" s="7">
        <f t="shared" si="27"/>
        <v>0</v>
      </c>
      <c r="S29" s="2"/>
      <c r="T29" s="6">
        <v>7765.17</v>
      </c>
      <c r="U29" s="2"/>
      <c r="V29" s="7">
        <f t="shared" si="28"/>
        <v>1.4993512286108182</v>
      </c>
      <c r="W29" s="2"/>
      <c r="X29" s="6">
        <f t="shared" si="29"/>
        <v>-7765.17</v>
      </c>
      <c r="Y29" s="2"/>
      <c r="Z29" s="7">
        <f t="shared" si="30"/>
        <v>-1</v>
      </c>
    </row>
    <row r="30" spans="1:26" s="23" customFormat="1" hidden="1" outlineLevel="2" x14ac:dyDescent="0.25">
      <c r="A30" s="25"/>
      <c r="B30" s="10" t="str">
        <f>CONCATENATE("          ", "6006", " - ", "TEMPORARY PART TIME")</f>
        <v xml:space="preserve">          6006 - TEMPORARY PART TIME</v>
      </c>
      <c r="C30" s="10"/>
      <c r="D30" s="6"/>
      <c r="E30" s="2"/>
      <c r="F30" s="7">
        <f t="shared" si="23"/>
        <v>0</v>
      </c>
      <c r="G30" s="2"/>
      <c r="H30" s="6"/>
      <c r="I30" s="2"/>
      <c r="J30" s="7">
        <f t="shared" si="24"/>
        <v>0</v>
      </c>
      <c r="K30" s="2"/>
      <c r="L30" s="6">
        <f t="shared" si="25"/>
        <v>0</v>
      </c>
      <c r="M30" s="2"/>
      <c r="N30" s="7">
        <f t="shared" si="26"/>
        <v>0</v>
      </c>
      <c r="O30" s="10"/>
      <c r="P30" s="6"/>
      <c r="Q30" s="2"/>
      <c r="R30" s="7">
        <f t="shared" si="27"/>
        <v>0</v>
      </c>
      <c r="S30" s="2"/>
      <c r="T30" s="6">
        <v>73.31</v>
      </c>
      <c r="U30" s="2"/>
      <c r="V30" s="7">
        <f t="shared" si="28"/>
        <v>1.4155187660986054E-2</v>
      </c>
      <c r="W30" s="2"/>
      <c r="X30" s="6">
        <f t="shared" si="29"/>
        <v>-73.31</v>
      </c>
      <c r="Y30" s="2"/>
      <c r="Z30" s="7">
        <f t="shared" si="30"/>
        <v>-1</v>
      </c>
    </row>
    <row r="31" spans="1:26" s="23" customFormat="1" hidden="1" outlineLevel="2" x14ac:dyDescent="0.25">
      <c r="A31" s="25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23"/>
        <v>0</v>
      </c>
      <c r="G31" s="2"/>
      <c r="H31" s="6"/>
      <c r="I31" s="2"/>
      <c r="J31" s="7">
        <f t="shared" si="24"/>
        <v>0</v>
      </c>
      <c r="K31" s="2"/>
      <c r="L31" s="6">
        <f t="shared" si="25"/>
        <v>0</v>
      </c>
      <c r="M31" s="2"/>
      <c r="N31" s="7">
        <f t="shared" si="26"/>
        <v>0</v>
      </c>
      <c r="O31" s="10"/>
      <c r="P31" s="6"/>
      <c r="Q31" s="2"/>
      <c r="R31" s="7">
        <f t="shared" si="27"/>
        <v>0</v>
      </c>
      <c r="S31" s="2"/>
      <c r="T31" s="6">
        <v>3076.5</v>
      </c>
      <c r="U31" s="2"/>
      <c r="V31" s="7">
        <f t="shared" si="28"/>
        <v>0.59403130321952802</v>
      </c>
      <c r="W31" s="2"/>
      <c r="X31" s="6">
        <f t="shared" si="29"/>
        <v>-3076.5</v>
      </c>
      <c r="Y31" s="2"/>
      <c r="Z31" s="7">
        <f t="shared" si="30"/>
        <v>-1</v>
      </c>
    </row>
    <row r="32" spans="1:26" s="26" customFormat="1" outlineLevel="1" collapsed="1" x14ac:dyDescent="0.25">
      <c r="A32" s="27"/>
      <c r="B32" s="12" t="str">
        <f>CONCATENATE("     ","Bad Debts/Over/Short                              ")</f>
        <v xml:space="preserve">     Bad Debts/Over/Short                              </v>
      </c>
      <c r="C32" s="12"/>
      <c r="D32" s="1">
        <f>SUM(OSRRefD22_2x_0)</f>
        <v>0</v>
      </c>
      <c r="E32" s="1"/>
      <c r="F32" s="5">
        <f t="shared" ref="F32:F45" si="31">IF(D$12=0,0,D32/D$12)</f>
        <v>0</v>
      </c>
      <c r="G32" s="1"/>
      <c r="H32" s="1">
        <f>SUM(OSRRefH22_2x_0)</f>
        <v>0</v>
      </c>
      <c r="I32" s="1"/>
      <c r="J32" s="5">
        <f t="shared" ref="J32:J45" si="32">IF(H$12=0,0,H32/H$12)</f>
        <v>0</v>
      </c>
      <c r="K32" s="1"/>
      <c r="L32" s="1">
        <f t="shared" ref="L32:L45" si="33">+D32-H32</f>
        <v>0</v>
      </c>
      <c r="M32" s="1"/>
      <c r="N32" s="5">
        <f t="shared" ref="N32:N45" si="34">IF(H32=0,0,L32/H32)</f>
        <v>0</v>
      </c>
      <c r="O32" s="12"/>
      <c r="P32" s="1">
        <f>SUM(OSRRefP22_2x_0)</f>
        <v>0</v>
      </c>
      <c r="Q32" s="1"/>
      <c r="R32" s="5">
        <f t="shared" ref="R32:R45" si="35">IF(P$12=0,0,P32/P$12)</f>
        <v>0</v>
      </c>
      <c r="S32" s="1"/>
      <c r="T32" s="1">
        <f>SUM(OSRRefT22_2x_0)</f>
        <v>-1.41</v>
      </c>
      <c r="U32" s="1"/>
      <c r="V32" s="5">
        <f t="shared" ref="V32:V45" si="36">IF(T$12=0,0,T32/T$12)</f>
        <v>-2.7225227938876463E-4</v>
      </c>
      <c r="W32" s="1"/>
      <c r="X32" s="1">
        <f t="shared" ref="X32:X45" si="37">+P32-T32</f>
        <v>1.41</v>
      </c>
      <c r="Y32" s="1"/>
      <c r="Z32" s="5">
        <f t="shared" ref="Z32:Z45" si="38">IF(T32=0,0,X32/T32)</f>
        <v>-1</v>
      </c>
    </row>
    <row r="33" spans="1:26" s="23" customFormat="1" hidden="1" outlineLevel="2" x14ac:dyDescent="0.25">
      <c r="A33" s="25"/>
      <c r="B33" s="10" t="str">
        <f>CONCATENATE("          ", "6272", " - ", "CASH (OVER/SHORT)")</f>
        <v xml:space="preserve">          6272 - CASH (OVER/SHORT)</v>
      </c>
      <c r="C33" s="10"/>
      <c r="D33" s="6"/>
      <c r="E33" s="2"/>
      <c r="F33" s="7">
        <f t="shared" si="31"/>
        <v>0</v>
      </c>
      <c r="G33" s="2"/>
      <c r="H33" s="6"/>
      <c r="I33" s="2"/>
      <c r="J33" s="7">
        <f t="shared" si="32"/>
        <v>0</v>
      </c>
      <c r="K33" s="2"/>
      <c r="L33" s="6">
        <f t="shared" si="33"/>
        <v>0</v>
      </c>
      <c r="M33" s="2"/>
      <c r="N33" s="7">
        <f t="shared" si="34"/>
        <v>0</v>
      </c>
      <c r="O33" s="10"/>
      <c r="P33" s="6"/>
      <c r="Q33" s="2"/>
      <c r="R33" s="7">
        <f t="shared" si="35"/>
        <v>0</v>
      </c>
      <c r="S33" s="2"/>
      <c r="T33" s="6">
        <v>-1.41</v>
      </c>
      <c r="U33" s="2"/>
      <c r="V33" s="7">
        <f t="shared" si="36"/>
        <v>-2.7225227938876463E-4</v>
      </c>
      <c r="W33" s="2"/>
      <c r="X33" s="6">
        <f t="shared" si="37"/>
        <v>1.41</v>
      </c>
      <c r="Y33" s="2"/>
      <c r="Z33" s="7">
        <f t="shared" si="38"/>
        <v>-1</v>
      </c>
    </row>
    <row r="34" spans="1:26" s="26" customFormat="1" outlineLevel="1" collapsed="1" x14ac:dyDescent="0.25">
      <c r="A34" s="27"/>
      <c r="B34" s="12" t="str">
        <f>CONCATENATE("     ","Bank/card Fees                                    ")</f>
        <v xml:space="preserve">     Bank/card Fees                                    </v>
      </c>
      <c r="C34" s="12"/>
      <c r="D34" s="1">
        <f>SUM(OSRRefD22_3x_0)</f>
        <v>0</v>
      </c>
      <c r="E34" s="1"/>
      <c r="F34" s="5">
        <f t="shared" si="31"/>
        <v>0</v>
      </c>
      <c r="G34" s="1"/>
      <c r="H34" s="1">
        <f>SUM(OSRRefH22_3x_0)</f>
        <v>0</v>
      </c>
      <c r="I34" s="1"/>
      <c r="J34" s="5">
        <f t="shared" si="32"/>
        <v>0</v>
      </c>
      <c r="K34" s="1"/>
      <c r="L34" s="1">
        <f t="shared" si="33"/>
        <v>0</v>
      </c>
      <c r="M34" s="1"/>
      <c r="N34" s="5">
        <f t="shared" si="34"/>
        <v>0</v>
      </c>
      <c r="O34" s="12"/>
      <c r="P34" s="1">
        <f>SUM(OSRRefP22_3x_0)</f>
        <v>0</v>
      </c>
      <c r="Q34" s="1"/>
      <c r="R34" s="5">
        <f t="shared" si="35"/>
        <v>0</v>
      </c>
      <c r="S34" s="1"/>
      <c r="T34" s="1">
        <f>SUM(OSRRefT22_3x_0)</f>
        <v>125.26</v>
      </c>
      <c r="U34" s="1"/>
      <c r="V34" s="5">
        <f t="shared" si="36"/>
        <v>2.418604291931678E-2</v>
      </c>
      <c r="W34" s="1"/>
      <c r="X34" s="1">
        <f t="shared" si="37"/>
        <v>-125.26</v>
      </c>
      <c r="Y34" s="1"/>
      <c r="Z34" s="5">
        <f t="shared" si="38"/>
        <v>-1</v>
      </c>
    </row>
    <row r="35" spans="1:26" s="23" customFormat="1" hidden="1" outlineLevel="2" x14ac:dyDescent="0.25">
      <c r="A35" s="25"/>
      <c r="B35" s="10" t="str">
        <f>CONCATENATE("          ", "6381", " - ", "BANK/CREDIT CARD FEES")</f>
        <v xml:space="preserve">          6381 - BANK/CREDIT CARD FEES</v>
      </c>
      <c r="C35" s="10"/>
      <c r="D35" s="6"/>
      <c r="E35" s="2"/>
      <c r="F35" s="7">
        <f t="shared" si="31"/>
        <v>0</v>
      </c>
      <c r="G35" s="2"/>
      <c r="H35" s="6"/>
      <c r="I35" s="2"/>
      <c r="J35" s="7">
        <f t="shared" si="32"/>
        <v>0</v>
      </c>
      <c r="K35" s="2"/>
      <c r="L35" s="6">
        <f t="shared" si="33"/>
        <v>0</v>
      </c>
      <c r="M35" s="2"/>
      <c r="N35" s="7">
        <f t="shared" si="34"/>
        <v>0</v>
      </c>
      <c r="O35" s="10"/>
      <c r="P35" s="6"/>
      <c r="Q35" s="2"/>
      <c r="R35" s="7">
        <f t="shared" si="35"/>
        <v>0</v>
      </c>
      <c r="S35" s="2"/>
      <c r="T35" s="6">
        <v>125.26</v>
      </c>
      <c r="U35" s="2"/>
      <c r="V35" s="7">
        <f t="shared" si="36"/>
        <v>2.418604291931678E-2</v>
      </c>
      <c r="W35" s="2"/>
      <c r="X35" s="6">
        <f t="shared" si="37"/>
        <v>-125.26</v>
      </c>
      <c r="Y35" s="2"/>
      <c r="Z35" s="7">
        <f t="shared" si="38"/>
        <v>-1</v>
      </c>
    </row>
    <row r="36" spans="1:26" s="26" customFormat="1" outlineLevel="1" collapsed="1" x14ac:dyDescent="0.25">
      <c r="A36" s="27"/>
      <c r="B36" s="12" t="str">
        <f>CONCATENATE("     ","Employees' Appreciation                           ")</f>
        <v xml:space="preserve">     Employees' Appreciation                           </v>
      </c>
      <c r="C36" s="12"/>
      <c r="D36" s="1">
        <f>SUM(OSRRefD22_4x_0)</f>
        <v>0</v>
      </c>
      <c r="E36" s="1"/>
      <c r="F36" s="5">
        <f t="shared" si="31"/>
        <v>0</v>
      </c>
      <c r="G36" s="1"/>
      <c r="H36" s="1">
        <f>SUM(OSRRefH22_4x_0)</f>
        <v>0</v>
      </c>
      <c r="I36" s="1"/>
      <c r="J36" s="5">
        <f t="shared" si="32"/>
        <v>0</v>
      </c>
      <c r="K36" s="1"/>
      <c r="L36" s="1">
        <f t="shared" si="33"/>
        <v>0</v>
      </c>
      <c r="M36" s="1"/>
      <c r="N36" s="5">
        <f t="shared" si="34"/>
        <v>0</v>
      </c>
      <c r="O36" s="12"/>
      <c r="P36" s="1">
        <f>SUM(OSRRefP22_4x_0)</f>
        <v>0</v>
      </c>
      <c r="Q36" s="1"/>
      <c r="R36" s="5">
        <f t="shared" si="35"/>
        <v>0</v>
      </c>
      <c r="S36" s="1"/>
      <c r="T36" s="1">
        <f>SUM(OSRRefT22_4x_0)</f>
        <v>40.799999999999997</v>
      </c>
      <c r="U36" s="1"/>
      <c r="V36" s="5">
        <f t="shared" si="36"/>
        <v>7.877938297206807E-3</v>
      </c>
      <c r="W36" s="1"/>
      <c r="X36" s="1">
        <f t="shared" si="37"/>
        <v>-40.799999999999997</v>
      </c>
      <c r="Y36" s="1"/>
      <c r="Z36" s="5">
        <f t="shared" si="38"/>
        <v>-1</v>
      </c>
    </row>
    <row r="37" spans="1:26" s="23" customFormat="1" hidden="1" outlineLevel="2" x14ac:dyDescent="0.25">
      <c r="A37" s="25"/>
      <c r="B37" s="10" t="str">
        <f>CONCATENATE("          ", "6277", " - ", "EMPLOYEE APPRECIATION")</f>
        <v xml:space="preserve">          6277 - EMPLOYEE APPRECIATION</v>
      </c>
      <c r="C37" s="10"/>
      <c r="D37" s="6"/>
      <c r="E37" s="2"/>
      <c r="F37" s="7">
        <f t="shared" si="31"/>
        <v>0</v>
      </c>
      <c r="G37" s="2"/>
      <c r="H37" s="6"/>
      <c r="I37" s="2"/>
      <c r="J37" s="7">
        <f t="shared" si="32"/>
        <v>0</v>
      </c>
      <c r="K37" s="2"/>
      <c r="L37" s="6">
        <f t="shared" si="33"/>
        <v>0</v>
      </c>
      <c r="M37" s="2"/>
      <c r="N37" s="7">
        <f t="shared" si="34"/>
        <v>0</v>
      </c>
      <c r="O37" s="10"/>
      <c r="P37" s="6"/>
      <c r="Q37" s="2"/>
      <c r="R37" s="7">
        <f t="shared" si="35"/>
        <v>0</v>
      </c>
      <c r="S37" s="2"/>
      <c r="T37" s="6">
        <v>40.799999999999997</v>
      </c>
      <c r="U37" s="2"/>
      <c r="V37" s="7">
        <f t="shared" si="36"/>
        <v>7.877938297206807E-3</v>
      </c>
      <c r="W37" s="2"/>
      <c r="X37" s="6">
        <f t="shared" si="37"/>
        <v>-40.799999999999997</v>
      </c>
      <c r="Y37" s="2"/>
      <c r="Z37" s="7">
        <f t="shared" si="38"/>
        <v>-1</v>
      </c>
    </row>
    <row r="38" spans="1:26" s="26" customFormat="1" outlineLevel="1" collapsed="1" x14ac:dyDescent="0.25">
      <c r="A38" s="27"/>
      <c r="B38" s="12" t="str">
        <f>CONCATENATE("     ","General                                           ")</f>
        <v xml:space="preserve">     General                                           </v>
      </c>
      <c r="C38" s="12"/>
      <c r="D38" s="1">
        <f>SUM(OSRRefD22_5x_0)</f>
        <v>0</v>
      </c>
      <c r="E38" s="1"/>
      <c r="F38" s="5">
        <f t="shared" si="31"/>
        <v>0</v>
      </c>
      <c r="G38" s="1"/>
      <c r="H38" s="1">
        <f>SUM(OSRRefH22_5x_0)</f>
        <v>0</v>
      </c>
      <c r="I38" s="1"/>
      <c r="J38" s="5">
        <f t="shared" si="32"/>
        <v>0</v>
      </c>
      <c r="K38" s="1"/>
      <c r="L38" s="1">
        <f t="shared" si="33"/>
        <v>0</v>
      </c>
      <c r="M38" s="1"/>
      <c r="N38" s="5">
        <f t="shared" si="34"/>
        <v>0</v>
      </c>
      <c r="O38" s="12"/>
      <c r="P38" s="1">
        <f>SUM(OSRRefP22_5x_0)</f>
        <v>0</v>
      </c>
      <c r="Q38" s="1"/>
      <c r="R38" s="5">
        <f t="shared" si="35"/>
        <v>0</v>
      </c>
      <c r="S38" s="1"/>
      <c r="T38" s="1">
        <f>SUM(OSRRefT22_5x_0)</f>
        <v>1154.05</v>
      </c>
      <c r="U38" s="1"/>
      <c r="V38" s="5">
        <f t="shared" si="36"/>
        <v>0.22283173264439987</v>
      </c>
      <c r="W38" s="1"/>
      <c r="X38" s="1">
        <f t="shared" si="37"/>
        <v>-1154.05</v>
      </c>
      <c r="Y38" s="1"/>
      <c r="Z38" s="5">
        <f t="shared" si="38"/>
        <v>-1</v>
      </c>
    </row>
    <row r="39" spans="1:26" s="23" customFormat="1" hidden="1" outlineLevel="2" x14ac:dyDescent="0.25">
      <c r="A39" s="25"/>
      <c r="B39" s="10" t="str">
        <f>CONCATENATE("          ", "6279", " - ", "GENERAL EXPENSE")</f>
        <v xml:space="preserve">          6279 - GENERAL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1154.05</v>
      </c>
      <c r="U39" s="2"/>
      <c r="V39" s="7">
        <f t="shared" si="36"/>
        <v>0.22283173264439987</v>
      </c>
      <c r="W39" s="2"/>
      <c r="X39" s="6">
        <f t="shared" si="37"/>
        <v>-1154.05</v>
      </c>
      <c r="Y39" s="2"/>
      <c r="Z39" s="7">
        <f t="shared" si="38"/>
        <v>-1</v>
      </c>
    </row>
    <row r="40" spans="1:26" s="26" customFormat="1" outlineLevel="1" collapsed="1" x14ac:dyDescent="0.25">
      <c r="A40" s="27"/>
      <c r="B40" s="12" t="str">
        <f>CONCATENATE("     ","R/H Commissions                                   ")</f>
        <v xml:space="preserve">     R/H Commissions                                   </v>
      </c>
      <c r="C40" s="12"/>
      <c r="D40" s="1">
        <f>SUM(OSRRefD22_6x_0)</f>
        <v>0</v>
      </c>
      <c r="E40" s="1"/>
      <c r="F40" s="5">
        <f t="shared" si="31"/>
        <v>0</v>
      </c>
      <c r="G40" s="1"/>
      <c r="H40" s="1">
        <f>SUM(OSRRefH22_6x_0)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SUM(OSRRefP22_6x_0)</f>
        <v>0</v>
      </c>
      <c r="Q40" s="1"/>
      <c r="R40" s="5">
        <f t="shared" si="35"/>
        <v>0</v>
      </c>
      <c r="S40" s="1"/>
      <c r="T40" s="1">
        <f>SUM(OSRRefT22_6x_0)</f>
        <v>414.32</v>
      </c>
      <c r="U40" s="1"/>
      <c r="V40" s="5">
        <f t="shared" si="36"/>
        <v>7.9999691061243244E-2</v>
      </c>
      <c r="W40" s="1"/>
      <c r="X40" s="1">
        <f t="shared" si="37"/>
        <v>-414.32</v>
      </c>
      <c r="Y40" s="1"/>
      <c r="Z40" s="5">
        <f t="shared" si="38"/>
        <v>-1</v>
      </c>
    </row>
    <row r="41" spans="1:26" s="23" customFormat="1" hidden="1" outlineLevel="2" x14ac:dyDescent="0.25">
      <c r="A41" s="25"/>
      <c r="B41" s="10" t="str">
        <f>CONCATENATE("          ", "6387", " - ", "COMMISSION DUE HOUSING")</f>
        <v xml:space="preserve">          6387 - COMMISSION DUE HOUSING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414.32</v>
      </c>
      <c r="U41" s="2"/>
      <c r="V41" s="7">
        <f t="shared" si="36"/>
        <v>7.9999691061243244E-2</v>
      </c>
      <c r="W41" s="2"/>
      <c r="X41" s="6">
        <f t="shared" si="37"/>
        <v>-414.32</v>
      </c>
      <c r="Y41" s="2"/>
      <c r="Z41" s="7">
        <f t="shared" si="38"/>
        <v>-1</v>
      </c>
    </row>
    <row r="42" spans="1:26" s="26" customFormat="1" outlineLevel="1" collapsed="1" x14ac:dyDescent="0.25">
      <c r="A42" s="27"/>
      <c r="B42" s="12" t="str">
        <f>CONCATENATE("     ","Supplies                                          ")</f>
        <v xml:space="preserve">     Supplies                                          </v>
      </c>
      <c r="C42" s="12"/>
      <c r="D42" s="1">
        <f>SUM(OSRRefD22_7x_0)</f>
        <v>0</v>
      </c>
      <c r="E42" s="1"/>
      <c r="F42" s="5">
        <f t="shared" si="31"/>
        <v>0</v>
      </c>
      <c r="G42" s="1"/>
      <c r="H42" s="1">
        <f>SUM(OSRRefH22_7x_0)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SUM(OSRRefP22_7x_0)</f>
        <v>0</v>
      </c>
      <c r="Q42" s="1"/>
      <c r="R42" s="5">
        <f t="shared" si="35"/>
        <v>0</v>
      </c>
      <c r="S42" s="1"/>
      <c r="T42" s="1">
        <f>SUM(OSRRefT22_7x_0)</f>
        <v>1592.1399999999999</v>
      </c>
      <c r="U42" s="1"/>
      <c r="V42" s="5">
        <f t="shared" si="36"/>
        <v>0.30742109511065796</v>
      </c>
      <c r="W42" s="1"/>
      <c r="X42" s="1">
        <f t="shared" si="37"/>
        <v>-1592.1399999999999</v>
      </c>
      <c r="Y42" s="1"/>
      <c r="Z42" s="5">
        <f t="shared" si="38"/>
        <v>-1</v>
      </c>
    </row>
    <row r="43" spans="1:26" s="23" customFormat="1" hidden="1" outlineLevel="2" x14ac:dyDescent="0.25">
      <c r="A43" s="25"/>
      <c r="B43" s="10" t="str">
        <f>CONCATENATE("          ", "6237", " - ", "JANITORIAL SUPPLIES")</f>
        <v xml:space="preserve">          6237 - JANITORIAL SUPPLIES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47.13</v>
      </c>
      <c r="U43" s="2"/>
      <c r="V43" s="7">
        <f t="shared" si="36"/>
        <v>9.1001772536116864E-3</v>
      </c>
      <c r="W43" s="2"/>
      <c r="X43" s="6">
        <f t="shared" si="37"/>
        <v>-47.13</v>
      </c>
      <c r="Y43" s="2"/>
      <c r="Z43" s="7">
        <f t="shared" si="38"/>
        <v>-1</v>
      </c>
    </row>
    <row r="44" spans="1:26" s="23" customFormat="1" hidden="1" outlineLevel="2" x14ac:dyDescent="0.25">
      <c r="A44" s="25"/>
      <c r="B44" s="10" t="str">
        <f>CONCATENATE("          ", "6247", " - ", "STORE SUPPLIES")</f>
        <v xml:space="preserve">          6247 - STORE SUPPLIES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431.41</v>
      </c>
      <c r="U44" s="2"/>
      <c r="V44" s="7">
        <f t="shared" si="36"/>
        <v>8.3299543156813455E-2</v>
      </c>
      <c r="W44" s="2"/>
      <c r="X44" s="6">
        <f t="shared" si="37"/>
        <v>-431.41</v>
      </c>
      <c r="Y44" s="2"/>
      <c r="Z44" s="7">
        <f t="shared" si="38"/>
        <v>-1</v>
      </c>
    </row>
    <row r="45" spans="1:26" s="23" customFormat="1" hidden="1" outlineLevel="2" x14ac:dyDescent="0.25">
      <c r="A45" s="25"/>
      <c r="B45" s="10" t="str">
        <f>CONCATENATE("          ", "6248", " - ", "UNIFORMS")</f>
        <v xml:space="preserve">          6248 - UNIFORMS</v>
      </c>
      <c r="C45" s="10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/>
      <c r="Q45" s="2"/>
      <c r="R45" s="7">
        <f t="shared" si="35"/>
        <v>0</v>
      </c>
      <c r="S45" s="2"/>
      <c r="T45" s="6">
        <v>1113.5999999999999</v>
      </c>
      <c r="U45" s="2"/>
      <c r="V45" s="7">
        <f t="shared" si="36"/>
        <v>0.21502137470023283</v>
      </c>
      <c r="W45" s="2"/>
      <c r="X45" s="6">
        <f t="shared" si="37"/>
        <v>-1113.5999999999999</v>
      </c>
      <c r="Y45" s="2"/>
      <c r="Z45" s="7">
        <f t="shared" si="38"/>
        <v>-1</v>
      </c>
    </row>
    <row r="46" spans="1:26" s="26" customFormat="1" outlineLevel="1" collapsed="1" x14ac:dyDescent="0.25">
      <c r="A46" s="27"/>
      <c r="B46" s="12" t="str">
        <f>CONCATENATE("     ","Telephone/Data Lines                              ")</f>
        <v xml:space="preserve">     Telephone/Data Lines                              </v>
      </c>
      <c r="C46" s="12"/>
      <c r="D46" s="1">
        <f>SUM(OSRRefD22_8x_0)</f>
        <v>0</v>
      </c>
      <c r="E46" s="1"/>
      <c r="F46" s="5">
        <f t="shared" ref="F46:F47" si="39">IF(D$12=0,0,D46/D$12)</f>
        <v>0</v>
      </c>
      <c r="G46" s="1"/>
      <c r="H46" s="1">
        <f>SUM(OSRRefH22_8x_0)</f>
        <v>75.5</v>
      </c>
      <c r="I46" s="1"/>
      <c r="J46" s="5">
        <f t="shared" ref="J46:J47" si="40">IF(H$12=0,0,H46/H$12)</f>
        <v>0</v>
      </c>
      <c r="K46" s="1"/>
      <c r="L46" s="1">
        <f t="shared" ref="L46:L47" si="41">+D46-H46</f>
        <v>-75.5</v>
      </c>
      <c r="M46" s="1"/>
      <c r="N46" s="5">
        <f t="shared" ref="N46:N47" si="42">IF(H46=0,0,L46/H46)</f>
        <v>-1</v>
      </c>
      <c r="O46" s="12"/>
      <c r="P46" s="1">
        <f>SUM(OSRRefP22_8x_0)</f>
        <v>178.69</v>
      </c>
      <c r="Q46" s="1"/>
      <c r="R46" s="5">
        <f t="shared" ref="R46:R47" si="43">IF(P$12=0,0,P46/P$12)</f>
        <v>0</v>
      </c>
      <c r="S46" s="1"/>
      <c r="T46" s="1">
        <f>SUM(OSRRefT22_8x_0)</f>
        <v>639.5</v>
      </c>
      <c r="U46" s="1"/>
      <c r="V46" s="5">
        <f t="shared" ref="V46:V47" si="44">IF(T$12=0,0,T46/T$12)</f>
        <v>0.12347895933979787</v>
      </c>
      <c r="W46" s="1"/>
      <c r="X46" s="1">
        <f t="shared" ref="X46:X47" si="45">+P46-T46</f>
        <v>-460.81</v>
      </c>
      <c r="Y46" s="1"/>
      <c r="Z46" s="5">
        <f t="shared" ref="Z46:Z47" si="46">IF(T46=0,0,X46/T46)</f>
        <v>-0.72057857701329164</v>
      </c>
    </row>
    <row r="47" spans="1:26" s="23" customFormat="1" hidden="1" outlineLevel="2" x14ac:dyDescent="0.25">
      <c r="A47" s="25"/>
      <c r="B47" s="10" t="str">
        <f>CONCATENATE("          ", "6309", " - ", "TELEPHONE")</f>
        <v xml:space="preserve">          6309 - TELEPHONE</v>
      </c>
      <c r="C47" s="10"/>
      <c r="D47" s="6"/>
      <c r="E47" s="2"/>
      <c r="F47" s="7">
        <f t="shared" si="39"/>
        <v>0</v>
      </c>
      <c r="G47" s="2"/>
      <c r="H47" s="6">
        <v>75.5</v>
      </c>
      <c r="I47" s="2"/>
      <c r="J47" s="7">
        <f t="shared" si="40"/>
        <v>0</v>
      </c>
      <c r="K47" s="2"/>
      <c r="L47" s="6">
        <f t="shared" si="41"/>
        <v>-75.5</v>
      </c>
      <c r="M47" s="2"/>
      <c r="N47" s="7">
        <f t="shared" si="42"/>
        <v>-1</v>
      </c>
      <c r="O47" s="10"/>
      <c r="P47" s="6">
        <v>178.69</v>
      </c>
      <c r="Q47" s="2"/>
      <c r="R47" s="7">
        <f t="shared" si="43"/>
        <v>0</v>
      </c>
      <c r="S47" s="2"/>
      <c r="T47" s="6">
        <v>639.5</v>
      </c>
      <c r="U47" s="2"/>
      <c r="V47" s="7">
        <f t="shared" si="44"/>
        <v>0.12347895933979787</v>
      </c>
      <c r="W47" s="2"/>
      <c r="X47" s="6">
        <f t="shared" si="45"/>
        <v>-460.81</v>
      </c>
      <c r="Y47" s="2"/>
      <c r="Z47" s="7">
        <f t="shared" si="46"/>
        <v>-0.72057857701329164</v>
      </c>
    </row>
    <row r="48" spans="1:26" s="60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8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9" t="s">
        <v>276</v>
      </c>
      <c r="C51" s="29"/>
      <c r="D51" s="22">
        <f>+D21-D23+D49</f>
        <v>0</v>
      </c>
      <c r="E51" s="14"/>
      <c r="F51" s="20">
        <f>IF(D$12=0,0,D51/D$12)</f>
        <v>0</v>
      </c>
      <c r="G51" s="14"/>
      <c r="H51" s="22">
        <f>+H21-H23+H49</f>
        <v>-75.5</v>
      </c>
      <c r="I51" s="14"/>
      <c r="J51" s="20">
        <f>IF(H$12=0,0,H51/H$12)</f>
        <v>0</v>
      </c>
      <c r="K51" s="15"/>
      <c r="L51" s="22">
        <f>+D51-H51</f>
        <v>75.5</v>
      </c>
      <c r="M51" s="15"/>
      <c r="N51" s="20">
        <f>IF(H51=0,0,L51/H51)</f>
        <v>-1</v>
      </c>
      <c r="O51" s="28"/>
      <c r="P51" s="22">
        <f>+P21-P23+P49</f>
        <v>-178.69</v>
      </c>
      <c r="Q51" s="14"/>
      <c r="R51" s="20">
        <f>IF(P$12=0,0,P51/P$12)</f>
        <v>0</v>
      </c>
      <c r="S51" s="14"/>
      <c r="T51" s="22">
        <f>+T21-T23+T49</f>
        <v>-12513.669999999998</v>
      </c>
      <c r="U51" s="14"/>
      <c r="V51" s="20">
        <f>IF(T$12=0,0,T51/T$12)</f>
        <v>-2.4162235326374484</v>
      </c>
      <c r="W51" s="15"/>
      <c r="X51" s="22">
        <f>+P51-T51</f>
        <v>12334.979999999998</v>
      </c>
      <c r="Y51" s="15"/>
      <c r="Z51" s="20">
        <f>IF(T51=0,0,X51/T51)</f>
        <v>-0.98572041615289518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>
        <v>27.1</v>
      </c>
      <c r="I53" s="4"/>
      <c r="J53" s="13">
        <f>IF(H$12=0,0,H53/H$12)</f>
        <v>0</v>
      </c>
      <c r="K53" s="4"/>
      <c r="L53" s="4">
        <f>+D53-H53</f>
        <v>-27.1</v>
      </c>
      <c r="M53" s="4"/>
      <c r="N53" s="13">
        <f>IF(H53=0,0,L53/H53)</f>
        <v>-1</v>
      </c>
      <c r="O53" s="11"/>
      <c r="P53" s="4"/>
      <c r="Q53" s="4"/>
      <c r="R53" s="13">
        <f>IF(P$12=0,0,P53/P$12)</f>
        <v>0</v>
      </c>
      <c r="S53" s="4"/>
      <c r="T53" s="4">
        <v>554.94000000000005</v>
      </c>
      <c r="U53" s="4"/>
      <c r="V53" s="13">
        <f>IF(T$12=0,0,T53/T$12)</f>
        <v>0.10715154604539083</v>
      </c>
      <c r="W53" s="4"/>
      <c r="X53" s="4">
        <f>+P53-T53</f>
        <v>-554.94000000000005</v>
      </c>
      <c r="Y53" s="4"/>
      <c r="Z53" s="13">
        <f>IF(T53=0,0,X53/T53)</f>
        <v>-1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9" t="s">
        <v>125</v>
      </c>
      <c r="C55" s="29"/>
      <c r="D55" s="30">
        <f>+D51-D53</f>
        <v>0</v>
      </c>
      <c r="E55" s="14"/>
      <c r="F55" s="36">
        <f>IF(D$12=0,0,D55/D$12)</f>
        <v>0</v>
      </c>
      <c r="G55" s="14"/>
      <c r="H55" s="30">
        <f>+H51-H53</f>
        <v>-102.6</v>
      </c>
      <c r="I55" s="14"/>
      <c r="J55" s="36">
        <f>IF(H$12=0,0,H55/H$12)</f>
        <v>0</v>
      </c>
      <c r="K55" s="15"/>
      <c r="L55" s="30">
        <f>D55-H55</f>
        <v>102.6</v>
      </c>
      <c r="M55" s="15"/>
      <c r="N55" s="36">
        <f>IF(H55=0,0,L55/H55)</f>
        <v>-1</v>
      </c>
      <c r="O55" s="28"/>
      <c r="P55" s="30">
        <f>+P51-P53</f>
        <v>-178.69</v>
      </c>
      <c r="Q55" s="14"/>
      <c r="R55" s="36">
        <f>IF(P$12=0,0,P55/P$12)</f>
        <v>0</v>
      </c>
      <c r="S55" s="14"/>
      <c r="T55" s="30">
        <f>+T51-T53</f>
        <v>-13068.609999999999</v>
      </c>
      <c r="U55" s="14"/>
      <c r="V55" s="36">
        <f>IF(T$12=0,0,T55/T$12)</f>
        <v>-2.5233750786828391</v>
      </c>
      <c r="W55" s="15"/>
      <c r="X55" s="30">
        <f>P55-T55</f>
        <v>12889.919999999998</v>
      </c>
      <c r="Y55" s="15"/>
      <c r="Z55" s="36">
        <f>IF(T55=0,0,X55/T55)</f>
        <v>-0.98632677844085936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9" t="s">
        <v>293</v>
      </c>
      <c r="C58" s="29"/>
      <c r="D58" s="35">
        <f>SUM(D55:D57)</f>
        <v>0</v>
      </c>
      <c r="E58" s="14"/>
      <c r="F58" s="34">
        <f>IF(D$12=0,0,D58/D$12)</f>
        <v>0</v>
      </c>
      <c r="G58" s="14"/>
      <c r="H58" s="35">
        <f>SUM(H55:H57)</f>
        <v>-102.6</v>
      </c>
      <c r="I58" s="14"/>
      <c r="J58" s="34">
        <f>IF(H$12=0,0,H58/H$12)</f>
        <v>0</v>
      </c>
      <c r="K58" s="15"/>
      <c r="L58" s="35">
        <f>+D58-H58</f>
        <v>102.6</v>
      </c>
      <c r="M58" s="15"/>
      <c r="N58" s="34">
        <f>IF(H58=0,0,L58/H58)</f>
        <v>-1</v>
      </c>
      <c r="O58" s="28"/>
      <c r="P58" s="35">
        <f>SUM(P55:P57)</f>
        <v>-178.69</v>
      </c>
      <c r="Q58" s="14"/>
      <c r="R58" s="34">
        <f>IF(P$12=0,0,P58/P$12)</f>
        <v>0</v>
      </c>
      <c r="S58" s="14"/>
      <c r="T58" s="35">
        <f>SUM(T55:T57)</f>
        <v>-13068.609999999999</v>
      </c>
      <c r="U58" s="14"/>
      <c r="V58" s="34">
        <f>IF(T$12=0,0,T58/T$12)</f>
        <v>-2.5233750786828391</v>
      </c>
      <c r="W58" s="15"/>
      <c r="X58" s="35">
        <f>+P58-T58</f>
        <v>12889.919999999998</v>
      </c>
      <c r="Y58" s="15"/>
      <c r="Z58" s="34">
        <f>IF(T58=0,0,X58/T58)</f>
        <v>-0.98632677844085936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4">
        <v>44295.963243634258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8" t="s">
        <v>56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62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","444", " - ", "Parkside Dining Hall")</f>
        <v>Department 444 - Parkside Dining Hall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91796.739999999991</v>
      </c>
      <c r="E12" s="4"/>
      <c r="F12" s="13"/>
      <c r="G12" s="4"/>
      <c r="H12" s="4">
        <f>SUM(OSRRefH13x_0)</f>
        <v>369908.71</v>
      </c>
      <c r="I12" s="4"/>
      <c r="J12" s="13"/>
      <c r="K12" s="4"/>
      <c r="L12" s="4">
        <f t="shared" ref="L12:L15" si="0">+D12-H12</f>
        <v>-278111.97000000003</v>
      </c>
      <c r="M12" s="4"/>
      <c r="N12" s="13">
        <f t="shared" ref="N12:N15" si="1">IF(H12=0,0,L12/H12)</f>
        <v>-0.75183947412322361</v>
      </c>
      <c r="O12" s="11"/>
      <c r="P12" s="4">
        <f>SUM(OSRRefP13x_0)</f>
        <v>827548.19</v>
      </c>
      <c r="Q12" s="4"/>
      <c r="R12" s="13"/>
      <c r="S12" s="4"/>
      <c r="T12" s="4">
        <f>SUM(OSRRefT13x_0)</f>
        <v>3384443.28</v>
      </c>
      <c r="U12" s="4"/>
      <c r="V12" s="13"/>
      <c r="W12" s="4"/>
      <c r="X12" s="4">
        <f t="shared" ref="X12:X15" si="2">+P12-T12</f>
        <v>-2556895.09</v>
      </c>
      <c r="Y12" s="4"/>
      <c r="Z12" s="13">
        <f t="shared" ref="Z12:Z15" si="3">IF(T12=0,0,X12/T12)</f>
        <v>-0.75548469230070836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>--163.51</f>
        <v>163.51</v>
      </c>
      <c r="E13" s="2"/>
      <c r="F13" s="19"/>
      <c r="G13" s="2"/>
      <c r="H13" s="2">
        <f>--1174.46</f>
        <v>1174.46</v>
      </c>
      <c r="I13" s="2"/>
      <c r="J13" s="19"/>
      <c r="K13" s="2"/>
      <c r="L13" s="2">
        <f t="shared" si="0"/>
        <v>-1010.95</v>
      </c>
      <c r="M13" s="2"/>
      <c r="N13" s="19">
        <f t="shared" si="1"/>
        <v>-0.86077857057711626</v>
      </c>
      <c r="O13" s="10"/>
      <c r="P13" s="2">
        <f>--706.07</f>
        <v>706.07</v>
      </c>
      <c r="Q13" s="2"/>
      <c r="R13" s="19"/>
      <c r="S13" s="2"/>
      <c r="T13" s="2">
        <f>--4314.79</f>
        <v>4314.79</v>
      </c>
      <c r="U13" s="2"/>
      <c r="V13" s="19"/>
      <c r="W13" s="2"/>
      <c r="X13" s="2">
        <f t="shared" si="2"/>
        <v>-3608.72</v>
      </c>
      <c r="Y13" s="2"/>
      <c r="Z13" s="19">
        <f t="shared" si="3"/>
        <v>-0.83636051812486811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>--86462.44</f>
        <v>86462.44</v>
      </c>
      <c r="E14" s="2"/>
      <c r="F14" s="19"/>
      <c r="G14" s="2"/>
      <c r="H14" s="2">
        <f>--365188.74</f>
        <v>365188.74</v>
      </c>
      <c r="I14" s="2"/>
      <c r="J14" s="19"/>
      <c r="K14" s="2"/>
      <c r="L14" s="2">
        <f t="shared" si="0"/>
        <v>-278726.3</v>
      </c>
      <c r="M14" s="2"/>
      <c r="N14" s="19">
        <f t="shared" si="1"/>
        <v>-0.76323903086387601</v>
      </c>
      <c r="O14" s="10"/>
      <c r="P14" s="2">
        <f>--791165.03</f>
        <v>791165.03</v>
      </c>
      <c r="Q14" s="2"/>
      <c r="R14" s="19"/>
      <c r="S14" s="2"/>
      <c r="T14" s="2">
        <f>--3334016.05</f>
        <v>3334016.05</v>
      </c>
      <c r="U14" s="2"/>
      <c r="V14" s="19"/>
      <c r="W14" s="2"/>
      <c r="X14" s="2">
        <f t="shared" si="2"/>
        <v>-2542851.0199999996</v>
      </c>
      <c r="Y14" s="2"/>
      <c r="Z14" s="19">
        <f t="shared" si="3"/>
        <v>-0.76269909378510636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>--5170.79</f>
        <v>5170.79</v>
      </c>
      <c r="E15" s="2"/>
      <c r="F15" s="19"/>
      <c r="G15" s="2"/>
      <c r="H15" s="2">
        <f>--3545.51</f>
        <v>3545.51</v>
      </c>
      <c r="I15" s="2"/>
      <c r="J15" s="19"/>
      <c r="K15" s="2"/>
      <c r="L15" s="2">
        <f t="shared" si="0"/>
        <v>1625.2799999999997</v>
      </c>
      <c r="M15" s="2"/>
      <c r="N15" s="19">
        <f t="shared" si="1"/>
        <v>0.45840513776579384</v>
      </c>
      <c r="O15" s="10"/>
      <c r="P15" s="2">
        <f>--35677.09</f>
        <v>35677.089999999997</v>
      </c>
      <c r="Q15" s="2"/>
      <c r="R15" s="19"/>
      <c r="S15" s="2"/>
      <c r="T15" s="2">
        <f>--46112.44</f>
        <v>46112.44</v>
      </c>
      <c r="U15" s="2"/>
      <c r="V15" s="19"/>
      <c r="W15" s="2"/>
      <c r="X15" s="2">
        <f t="shared" si="2"/>
        <v>-10435.350000000006</v>
      </c>
      <c r="Y15" s="2"/>
      <c r="Z15" s="19">
        <f t="shared" si="3"/>
        <v>-0.22630227331279815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43894.04</v>
      </c>
      <c r="E17" s="4"/>
      <c r="F17" s="13">
        <f t="shared" ref="F17:F19" si="4">IF(D$12=0,0,D17/D$12)</f>
        <v>0.47816556448518766</v>
      </c>
      <c r="G17" s="4"/>
      <c r="H17" s="4">
        <f>SUM(OSRRefH16x_0)</f>
        <v>78444.97</v>
      </c>
      <c r="I17" s="4"/>
      <c r="J17" s="13">
        <f t="shared" ref="J17:J19" si="5">IF(H$12=0,0,H17/H$12)</f>
        <v>0.21206575535893707</v>
      </c>
      <c r="K17" s="4"/>
      <c r="L17" s="4">
        <f t="shared" ref="L17:L19" si="6">+D17-H17</f>
        <v>-34550.93</v>
      </c>
      <c r="M17" s="4"/>
      <c r="N17" s="13">
        <f t="shared" ref="N17:N19" si="7">IF(H17=0,0,L17/H17)</f>
        <v>-0.44044799813168389</v>
      </c>
      <c r="O17" s="11"/>
      <c r="P17" s="4">
        <f>SUM(OSRRefP16x_0)</f>
        <v>343660.45</v>
      </c>
      <c r="Q17" s="4"/>
      <c r="R17" s="13">
        <f t="shared" ref="R17:R19" si="8">IF(P$12=0,0,P17/P$12)</f>
        <v>0.41527545362645291</v>
      </c>
      <c r="S17" s="4"/>
      <c r="T17" s="4">
        <f>SUM(OSRRefT16x_0)</f>
        <v>834754.55</v>
      </c>
      <c r="U17" s="4"/>
      <c r="V17" s="13">
        <f t="shared" ref="V17:V19" si="9">IF(T$12=0,0,T17/T$12)</f>
        <v>0.24664456778841337</v>
      </c>
      <c r="W17" s="4"/>
      <c r="X17" s="4">
        <f t="shared" ref="X17:X19" si="10">+P17-T17</f>
        <v>-491094.10000000003</v>
      </c>
      <c r="Y17" s="4"/>
      <c r="Z17" s="13">
        <f t="shared" ref="Z17:Z19" si="11">IF(T17=0,0,X17/T17)</f>
        <v>-0.58830958154106494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>
        <v>38259.040000000001</v>
      </c>
      <c r="E18" s="2"/>
      <c r="F18" s="19">
        <f t="shared" si="4"/>
        <v>0.41677994229424709</v>
      </c>
      <c r="G18" s="2"/>
      <c r="H18" s="2">
        <v>63368.97</v>
      </c>
      <c r="I18" s="2"/>
      <c r="J18" s="19">
        <f t="shared" si="5"/>
        <v>0.17130975369571588</v>
      </c>
      <c r="K18" s="2"/>
      <c r="L18" s="2">
        <f t="shared" si="6"/>
        <v>-25109.93</v>
      </c>
      <c r="M18" s="2"/>
      <c r="N18" s="19">
        <f t="shared" si="7"/>
        <v>-0.39624961554527399</v>
      </c>
      <c r="O18" s="10"/>
      <c r="P18" s="2">
        <v>358847.15</v>
      </c>
      <c r="Q18" s="2"/>
      <c r="R18" s="19">
        <f t="shared" si="8"/>
        <v>0.43362689247136177</v>
      </c>
      <c r="S18" s="2"/>
      <c r="T18" s="2">
        <v>830847.8</v>
      </c>
      <c r="U18" s="2"/>
      <c r="V18" s="19">
        <f t="shared" si="9"/>
        <v>0.24549024204654424</v>
      </c>
      <c r="W18" s="2"/>
      <c r="X18" s="2">
        <f t="shared" si="10"/>
        <v>-472000.65</v>
      </c>
      <c r="Y18" s="2"/>
      <c r="Z18" s="19">
        <f t="shared" si="11"/>
        <v>-0.56809520347770071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>
        <v>5635</v>
      </c>
      <c r="E19" s="2"/>
      <c r="F19" s="19">
        <f t="shared" si="4"/>
        <v>6.1385622190940556E-2</v>
      </c>
      <c r="G19" s="2"/>
      <c r="H19" s="2">
        <v>15076</v>
      </c>
      <c r="I19" s="2"/>
      <c r="J19" s="19">
        <f t="shared" si="5"/>
        <v>4.0756001663221172E-2</v>
      </c>
      <c r="K19" s="2"/>
      <c r="L19" s="2">
        <f t="shared" si="6"/>
        <v>-9441</v>
      </c>
      <c r="M19" s="2"/>
      <c r="N19" s="19">
        <f t="shared" si="7"/>
        <v>-0.62622711594587421</v>
      </c>
      <c r="O19" s="10"/>
      <c r="P19" s="2">
        <v>-15186.7</v>
      </c>
      <c r="Q19" s="2"/>
      <c r="R19" s="19">
        <f t="shared" si="8"/>
        <v>-1.8351438844908842E-2</v>
      </c>
      <c r="S19" s="2"/>
      <c r="T19" s="2">
        <v>3906.75</v>
      </c>
      <c r="U19" s="2"/>
      <c r="V19" s="19">
        <f t="shared" si="9"/>
        <v>1.1543257418691326E-3</v>
      </c>
      <c r="W19" s="2"/>
      <c r="X19" s="2">
        <f t="shared" si="10"/>
        <v>-19093.45</v>
      </c>
      <c r="Y19" s="2"/>
      <c r="Z19" s="19">
        <f t="shared" si="11"/>
        <v>-4.8872976259038845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9" t="s">
        <v>107</v>
      </c>
      <c r="C21" s="29"/>
      <c r="D21" s="22">
        <f>D12-D17</f>
        <v>47902.69999999999</v>
      </c>
      <c r="E21" s="14"/>
      <c r="F21" s="20">
        <f>IF(D$12=0,0,D21/D$12)</f>
        <v>0.52183443551481234</v>
      </c>
      <c r="G21" s="14"/>
      <c r="H21" s="22">
        <f>H12-H17</f>
        <v>291463.74</v>
      </c>
      <c r="I21" s="14"/>
      <c r="J21" s="20">
        <f>IF(H$12=0,0,H21/H$12)</f>
        <v>0.78793424464106288</v>
      </c>
      <c r="K21" s="15"/>
      <c r="L21" s="22">
        <f>+D21-H21</f>
        <v>-243561.04</v>
      </c>
      <c r="M21" s="15"/>
      <c r="N21" s="20">
        <f>IF(H21=0,0,L21/H21)</f>
        <v>-0.83564782363665546</v>
      </c>
      <c r="O21" s="28"/>
      <c r="P21" s="22">
        <f>P12-P17</f>
        <v>483887.73999999993</v>
      </c>
      <c r="Q21" s="14"/>
      <c r="R21" s="20">
        <f>IF(P$12=0,0,P21/P$12)</f>
        <v>0.58472454637354709</v>
      </c>
      <c r="S21" s="14"/>
      <c r="T21" s="22">
        <f>T12-T17</f>
        <v>2549688.7299999995</v>
      </c>
      <c r="U21" s="14"/>
      <c r="V21" s="20">
        <f>IF(T$12=0,0,T21/T$12)</f>
        <v>0.75335543221158652</v>
      </c>
      <c r="W21" s="15"/>
      <c r="X21" s="22">
        <f>+P21-T21</f>
        <v>-2065800.9899999995</v>
      </c>
      <c r="Y21" s="15"/>
      <c r="Z21" s="20">
        <f>IF(T21=0,0,X21/T21)</f>
        <v>-0.81021693577474452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8" t="s">
        <v>294</v>
      </c>
      <c r="C23" s="11"/>
      <c r="D23" s="21">
        <f>SUM(OSRRefD22x_0)</f>
        <v>116953.97</v>
      </c>
      <c r="E23" s="21"/>
      <c r="F23" s="31">
        <f t="shared" ref="F23:F33" si="12">IF(D$12=0,0,D23/D$12)</f>
        <v>1.2740536319699372</v>
      </c>
      <c r="G23" s="21"/>
      <c r="H23" s="21">
        <f>SUM(OSRRefH22x_0)</f>
        <v>204782.17</v>
      </c>
      <c r="I23" s="21"/>
      <c r="J23" s="31">
        <f t="shared" ref="J23:J33" si="13">IF(H$12=0,0,H23/H$12)</f>
        <v>0.55360191437503592</v>
      </c>
      <c r="K23" s="4"/>
      <c r="L23" s="21">
        <f t="shared" ref="L23:L33" si="14">+D23-H23</f>
        <v>-87828.200000000012</v>
      </c>
      <c r="M23" s="4"/>
      <c r="N23" s="31">
        <f t="shared" ref="N23:N33" si="15">IF(H23=0,0,L23/H23)</f>
        <v>-0.42888597185975713</v>
      </c>
      <c r="O23" s="11"/>
      <c r="P23" s="21">
        <f>SUM(OSRRefP22x_0)</f>
        <v>1036285.3200000001</v>
      </c>
      <c r="Q23" s="21"/>
      <c r="R23" s="31">
        <f t="shared" ref="R23:R33" si="16">IF(P$12=0,0,P23/P$12)</f>
        <v>1.2522356190519854</v>
      </c>
      <c r="S23" s="21"/>
      <c r="T23" s="21">
        <f>SUM(OSRRefT22x_0)</f>
        <v>1620069.47</v>
      </c>
      <c r="U23" s="21"/>
      <c r="V23" s="31">
        <f t="shared" ref="V23:V33" si="17">IF(T$12=0,0,T23/T$12)</f>
        <v>0.47868122936898505</v>
      </c>
      <c r="W23" s="4"/>
      <c r="X23" s="21">
        <f t="shared" ref="X23:X33" si="18">+P23-T23</f>
        <v>-583784.14999999991</v>
      </c>
      <c r="Y23" s="4"/>
      <c r="Z23" s="31">
        <f t="shared" ref="Z23:Z33" si="19">IF(T23=0,0,X23/T23)</f>
        <v>-0.36034513384169875</v>
      </c>
    </row>
    <row r="24" spans="1:26" s="26" customFormat="1" outlineLevel="1" collapsed="1" x14ac:dyDescent="0.25">
      <c r="A24" s="27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31027.86</v>
      </c>
      <c r="E24" s="1"/>
      <c r="F24" s="5">
        <f t="shared" si="12"/>
        <v>0.33800612091453358</v>
      </c>
      <c r="G24" s="1"/>
      <c r="H24" s="1">
        <f>SUM(OSRRefH22_0x_0)</f>
        <v>36679.61</v>
      </c>
      <c r="I24" s="1"/>
      <c r="J24" s="5">
        <f t="shared" si="13"/>
        <v>9.915854644244522E-2</v>
      </c>
      <c r="K24" s="1"/>
      <c r="L24" s="1">
        <f t="shared" si="14"/>
        <v>-5651.75</v>
      </c>
      <c r="M24" s="1"/>
      <c r="N24" s="5">
        <f t="shared" si="15"/>
        <v>-0.15408424462528364</v>
      </c>
      <c r="O24" s="12"/>
      <c r="P24" s="1">
        <f>SUM(OSRRefP22_0x_0)</f>
        <v>276985.28999999998</v>
      </c>
      <c r="Q24" s="1"/>
      <c r="R24" s="5">
        <f t="shared" si="16"/>
        <v>0.33470593416438987</v>
      </c>
      <c r="S24" s="1"/>
      <c r="T24" s="1">
        <f>SUM(OSRRefT22_0x_0)</f>
        <v>309770.71000000002</v>
      </c>
      <c r="U24" s="1"/>
      <c r="V24" s="5">
        <f t="shared" si="17"/>
        <v>9.1527818424541607E-2</v>
      </c>
      <c r="W24" s="1"/>
      <c r="X24" s="1">
        <f t="shared" si="18"/>
        <v>-32785.420000000042</v>
      </c>
      <c r="Y24" s="1"/>
      <c r="Z24" s="5">
        <f t="shared" si="19"/>
        <v>-0.10583770169878243</v>
      </c>
    </row>
    <row r="25" spans="1:26" s="23" customFormat="1" hidden="1" outlineLevel="2" x14ac:dyDescent="0.25">
      <c r="A25" s="25"/>
      <c r="B25" s="10" t="str">
        <f>CONCATENATE("          ", "6111", " - ", "F.I.C.A.")</f>
        <v xml:space="preserve">          6111 - F.I.C.A.</v>
      </c>
      <c r="C25" s="10"/>
      <c r="D25" s="6">
        <v>3344.8</v>
      </c>
      <c r="E25" s="2"/>
      <c r="F25" s="7">
        <f t="shared" si="12"/>
        <v>3.6437023798448619E-2</v>
      </c>
      <c r="G25" s="2"/>
      <c r="H25" s="6">
        <v>5069.4399999999996</v>
      </c>
      <c r="I25" s="2"/>
      <c r="J25" s="7">
        <f t="shared" si="13"/>
        <v>1.3704570514168211E-2</v>
      </c>
      <c r="K25" s="2"/>
      <c r="L25" s="6">
        <f t="shared" si="14"/>
        <v>-1724.6399999999994</v>
      </c>
      <c r="M25" s="2"/>
      <c r="N25" s="7">
        <f t="shared" si="15"/>
        <v>-0.34020325716449934</v>
      </c>
      <c r="O25" s="10"/>
      <c r="P25" s="6">
        <v>31466.33</v>
      </c>
      <c r="Q25" s="2"/>
      <c r="R25" s="7">
        <f t="shared" si="16"/>
        <v>3.8023562108207863E-2</v>
      </c>
      <c r="S25" s="2"/>
      <c r="T25" s="6">
        <v>42469.97</v>
      </c>
      <c r="U25" s="2"/>
      <c r="V25" s="7">
        <f t="shared" si="17"/>
        <v>1.2548583765894876E-2</v>
      </c>
      <c r="W25" s="2"/>
      <c r="X25" s="6">
        <f t="shared" si="18"/>
        <v>-11003.64</v>
      </c>
      <c r="Y25" s="2"/>
      <c r="Z25" s="7">
        <f t="shared" si="19"/>
        <v>-0.2590922480048844</v>
      </c>
    </row>
    <row r="26" spans="1:26" s="23" customFormat="1" hidden="1" outlineLevel="2" x14ac:dyDescent="0.25">
      <c r="A26" s="25"/>
      <c r="B26" s="10" t="str">
        <f>CONCATENATE("          ", "6112", " - ", "COMPENSATION INSURANCE")</f>
        <v xml:space="preserve">          6112 - COMPENSATION INSURANCE</v>
      </c>
      <c r="C26" s="10"/>
      <c r="D26" s="6">
        <v>2358.86</v>
      </c>
      <c r="E26" s="2"/>
      <c r="F26" s="7">
        <f t="shared" si="12"/>
        <v>2.569655523714677E-2</v>
      </c>
      <c r="G26" s="2"/>
      <c r="H26" s="6">
        <v>5078.2700000000004</v>
      </c>
      <c r="I26" s="2"/>
      <c r="J26" s="7">
        <f t="shared" si="13"/>
        <v>1.3728441268657882E-2</v>
      </c>
      <c r="K26" s="2"/>
      <c r="L26" s="6">
        <f t="shared" si="14"/>
        <v>-2719.4100000000003</v>
      </c>
      <c r="M26" s="2"/>
      <c r="N26" s="7">
        <f t="shared" si="15"/>
        <v>-0.53549929405092678</v>
      </c>
      <c r="O26" s="10"/>
      <c r="P26" s="6">
        <v>22044.080000000002</v>
      </c>
      <c r="Q26" s="2"/>
      <c r="R26" s="7">
        <f t="shared" si="16"/>
        <v>2.6637820330439009E-2</v>
      </c>
      <c r="S26" s="2"/>
      <c r="T26" s="6">
        <v>29035.69</v>
      </c>
      <c r="U26" s="2"/>
      <c r="V26" s="7">
        <f t="shared" si="17"/>
        <v>8.579162833539938E-3</v>
      </c>
      <c r="W26" s="2"/>
      <c r="X26" s="6">
        <f t="shared" si="18"/>
        <v>-6991.6099999999969</v>
      </c>
      <c r="Y26" s="2"/>
      <c r="Z26" s="7">
        <f t="shared" si="19"/>
        <v>-0.24079365773639261</v>
      </c>
    </row>
    <row r="27" spans="1:26" s="23" customFormat="1" hidden="1" outlineLevel="2" x14ac:dyDescent="0.25">
      <c r="A27" s="25"/>
      <c r="B27" s="10" t="str">
        <f>CONCATENATE("          ", "6113", " - ", "GROUP INSURANCE")</f>
        <v xml:space="preserve">          6113 - GROUP INSURANCE</v>
      </c>
      <c r="C27" s="10"/>
      <c r="D27" s="6">
        <v>17691.580000000002</v>
      </c>
      <c r="E27" s="2"/>
      <c r="F27" s="7">
        <f t="shared" si="12"/>
        <v>0.19272558045089622</v>
      </c>
      <c r="G27" s="2"/>
      <c r="H27" s="6">
        <v>19108.37</v>
      </c>
      <c r="I27" s="2"/>
      <c r="J27" s="7">
        <f t="shared" si="13"/>
        <v>5.1656988558068821E-2</v>
      </c>
      <c r="K27" s="2"/>
      <c r="L27" s="6">
        <f t="shared" si="14"/>
        <v>-1416.7899999999972</v>
      </c>
      <c r="M27" s="2"/>
      <c r="N27" s="7">
        <f t="shared" si="15"/>
        <v>-7.4144995099006211E-2</v>
      </c>
      <c r="O27" s="10"/>
      <c r="P27" s="6">
        <v>156078.54</v>
      </c>
      <c r="Q27" s="2"/>
      <c r="R27" s="7">
        <f t="shared" si="16"/>
        <v>0.18860356639774659</v>
      </c>
      <c r="S27" s="2"/>
      <c r="T27" s="6">
        <v>160605.75</v>
      </c>
      <c r="U27" s="2"/>
      <c r="V27" s="7">
        <f t="shared" si="17"/>
        <v>4.7454111862084453E-2</v>
      </c>
      <c r="W27" s="2"/>
      <c r="X27" s="6">
        <f t="shared" si="18"/>
        <v>-4527.2099999999919</v>
      </c>
      <c r="Y27" s="2"/>
      <c r="Z27" s="7">
        <f t="shared" si="19"/>
        <v>-2.8188343194437259E-2</v>
      </c>
    </row>
    <row r="28" spans="1:26" s="23" customFormat="1" hidden="1" outlineLevel="2" x14ac:dyDescent="0.25">
      <c r="A28" s="25"/>
      <c r="B28" s="10" t="str">
        <f>CONCATENATE("          ", "6114", " - ", "STATE UNEMPLOYMENT INSURANCE")</f>
        <v xml:space="preserve">          6114 - STATE UNEMPLOYMENT INSURANCE</v>
      </c>
      <c r="C28" s="10"/>
      <c r="D28" s="6">
        <v>147.01</v>
      </c>
      <c r="E28" s="2"/>
      <c r="F28" s="7">
        <f t="shared" si="12"/>
        <v>1.6014729934853897E-3</v>
      </c>
      <c r="G28" s="2"/>
      <c r="H28" s="6">
        <v>340.3</v>
      </c>
      <c r="I28" s="2"/>
      <c r="J28" s="7">
        <f t="shared" si="13"/>
        <v>9.1995671040024979E-4</v>
      </c>
      <c r="K28" s="2"/>
      <c r="L28" s="6">
        <f t="shared" si="14"/>
        <v>-193.29000000000002</v>
      </c>
      <c r="M28" s="2"/>
      <c r="N28" s="7">
        <f t="shared" si="15"/>
        <v>-0.56799882456655892</v>
      </c>
      <c r="O28" s="10"/>
      <c r="P28" s="6">
        <v>1415.26</v>
      </c>
      <c r="Q28" s="2"/>
      <c r="R28" s="7">
        <f t="shared" si="16"/>
        <v>1.7101843942163659E-3</v>
      </c>
      <c r="S28" s="2"/>
      <c r="T28" s="6">
        <v>2323.98</v>
      </c>
      <c r="U28" s="2"/>
      <c r="V28" s="7">
        <f t="shared" si="17"/>
        <v>6.8666537085532132E-4</v>
      </c>
      <c r="W28" s="2"/>
      <c r="X28" s="6">
        <f t="shared" si="18"/>
        <v>-908.72</v>
      </c>
      <c r="Y28" s="2"/>
      <c r="Z28" s="7">
        <f t="shared" si="19"/>
        <v>-0.39101885558395511</v>
      </c>
    </row>
    <row r="29" spans="1:26" s="23" customFormat="1" hidden="1" outlineLevel="2" x14ac:dyDescent="0.25">
      <c r="A29" s="25"/>
      <c r="B29" s="10" t="str">
        <f>CONCATENATE("          ", "6115", " - ", "P.E.R.S.")</f>
        <v xml:space="preserve">          6115 - P.E.R.S.</v>
      </c>
      <c r="C29" s="10"/>
      <c r="D29" s="6">
        <v>1457.5</v>
      </c>
      <c r="E29" s="2"/>
      <c r="F29" s="7">
        <f t="shared" si="12"/>
        <v>1.5877470158526329E-2</v>
      </c>
      <c r="G29" s="2"/>
      <c r="H29" s="6">
        <v>1317.71</v>
      </c>
      <c r="I29" s="2"/>
      <c r="J29" s="7">
        <f t="shared" si="13"/>
        <v>3.5622572931575469E-3</v>
      </c>
      <c r="K29" s="2"/>
      <c r="L29" s="6">
        <f t="shared" si="14"/>
        <v>139.78999999999996</v>
      </c>
      <c r="M29" s="2"/>
      <c r="N29" s="7">
        <f t="shared" si="15"/>
        <v>0.10608555752024343</v>
      </c>
      <c r="O29" s="10"/>
      <c r="P29" s="6">
        <v>14641.56</v>
      </c>
      <c r="Q29" s="2"/>
      <c r="R29" s="7">
        <f t="shared" si="16"/>
        <v>1.7692697750930977E-2</v>
      </c>
      <c r="S29" s="2"/>
      <c r="T29" s="6">
        <v>12450.16</v>
      </c>
      <c r="U29" s="2"/>
      <c r="V29" s="7">
        <f t="shared" si="17"/>
        <v>3.6786434193100143E-3</v>
      </c>
      <c r="W29" s="2"/>
      <c r="X29" s="6">
        <f t="shared" si="18"/>
        <v>2191.3999999999996</v>
      </c>
      <c r="Y29" s="2"/>
      <c r="Z29" s="7">
        <f t="shared" si="19"/>
        <v>0.17601380223226043</v>
      </c>
    </row>
    <row r="30" spans="1:26" s="23" customFormat="1" hidden="1" outlineLevel="2" x14ac:dyDescent="0.25">
      <c r="A30" s="25"/>
      <c r="B30" s="10" t="str">
        <f>CONCATENATE("          ", "6117", " - ", "RETIREMENT STAFF HOURLY")</f>
        <v xml:space="preserve">          6117 - RETIREMENT STAFF HOURLY</v>
      </c>
      <c r="C30" s="10"/>
      <c r="D30" s="6">
        <v>719.11</v>
      </c>
      <c r="E30" s="2"/>
      <c r="F30" s="7">
        <f t="shared" si="12"/>
        <v>7.8337204567395322E-3</v>
      </c>
      <c r="G30" s="2"/>
      <c r="H30" s="6">
        <v>314.27</v>
      </c>
      <c r="I30" s="2"/>
      <c r="J30" s="7">
        <f t="shared" si="13"/>
        <v>8.4958799699525855E-4</v>
      </c>
      <c r="K30" s="2"/>
      <c r="L30" s="6">
        <f t="shared" si="14"/>
        <v>404.84000000000003</v>
      </c>
      <c r="M30" s="2"/>
      <c r="N30" s="7">
        <f t="shared" si="15"/>
        <v>1.2881916823113884</v>
      </c>
      <c r="O30" s="10"/>
      <c r="P30" s="6">
        <v>4936.6099999999997</v>
      </c>
      <c r="Q30" s="2"/>
      <c r="R30" s="7">
        <f t="shared" si="16"/>
        <v>5.9653444471916492E-3</v>
      </c>
      <c r="S30" s="2"/>
      <c r="T30" s="6">
        <v>6126.47</v>
      </c>
      <c r="U30" s="2"/>
      <c r="V30" s="7">
        <f t="shared" si="17"/>
        <v>1.810185455375692E-3</v>
      </c>
      <c r="W30" s="2"/>
      <c r="X30" s="6">
        <f t="shared" si="18"/>
        <v>-1189.8600000000006</v>
      </c>
      <c r="Y30" s="2"/>
      <c r="Z30" s="7">
        <f t="shared" si="19"/>
        <v>-0.19421624524399866</v>
      </c>
    </row>
    <row r="31" spans="1:26" s="23" customFormat="1" hidden="1" outlineLevel="2" x14ac:dyDescent="0.25">
      <c r="A31" s="25"/>
      <c r="B31" s="10" t="str">
        <f>CONCATENATE("          ", "6118", " - ", "VACATION")</f>
        <v xml:space="preserve">          6118 - VACATION</v>
      </c>
      <c r="C31" s="10"/>
      <c r="D31" s="6">
        <v>2606.96</v>
      </c>
      <c r="E31" s="2"/>
      <c r="F31" s="7">
        <f t="shared" si="12"/>
        <v>2.8399265594834851E-2</v>
      </c>
      <c r="G31" s="2"/>
      <c r="H31" s="6">
        <v>2671.07</v>
      </c>
      <c r="I31" s="2"/>
      <c r="J31" s="7">
        <f t="shared" si="13"/>
        <v>7.2208897162762131E-3</v>
      </c>
      <c r="K31" s="2"/>
      <c r="L31" s="6">
        <f t="shared" si="14"/>
        <v>-64.110000000000127</v>
      </c>
      <c r="M31" s="2"/>
      <c r="N31" s="7">
        <f t="shared" si="15"/>
        <v>-2.4001617329384901E-2</v>
      </c>
      <c r="O31" s="10"/>
      <c r="P31" s="6">
        <v>23853.82</v>
      </c>
      <c r="Q31" s="2"/>
      <c r="R31" s="7">
        <f t="shared" si="16"/>
        <v>2.8824689955517881E-2</v>
      </c>
      <c r="S31" s="2"/>
      <c r="T31" s="6">
        <v>26293.14</v>
      </c>
      <c r="U31" s="2"/>
      <c r="V31" s="7">
        <f t="shared" si="17"/>
        <v>7.7688227648477536E-3</v>
      </c>
      <c r="W31" s="2"/>
      <c r="X31" s="6">
        <f t="shared" si="18"/>
        <v>-2439.3199999999997</v>
      </c>
      <c r="Y31" s="2"/>
      <c r="Z31" s="7">
        <f t="shared" si="19"/>
        <v>-9.2774008733837024E-2</v>
      </c>
    </row>
    <row r="32" spans="1:26" s="23" customFormat="1" hidden="1" outlineLevel="2" x14ac:dyDescent="0.25">
      <c r="A32" s="25"/>
      <c r="B32" s="10" t="str">
        <f>CONCATENATE("          ", "6119", " - ", "SICK LEAVE")</f>
        <v xml:space="preserve">          6119 - SICK LEAVE</v>
      </c>
      <c r="C32" s="10"/>
      <c r="D32" s="6">
        <v>1633.22</v>
      </c>
      <c r="E32" s="2"/>
      <c r="F32" s="7">
        <f t="shared" si="12"/>
        <v>1.7791699356643823E-2</v>
      </c>
      <c r="G32" s="2"/>
      <c r="H32" s="6">
        <v>1751.41</v>
      </c>
      <c r="I32" s="2"/>
      <c r="J32" s="7">
        <f t="shared" si="13"/>
        <v>4.7347087339468163E-3</v>
      </c>
      <c r="K32" s="2"/>
      <c r="L32" s="6">
        <f t="shared" si="14"/>
        <v>-118.19000000000005</v>
      </c>
      <c r="M32" s="2"/>
      <c r="N32" s="7">
        <f t="shared" si="15"/>
        <v>-6.7482771024488866E-2</v>
      </c>
      <c r="O32" s="10"/>
      <c r="P32" s="6">
        <v>14965.42</v>
      </c>
      <c r="Q32" s="2"/>
      <c r="R32" s="7">
        <f t="shared" si="16"/>
        <v>1.8084046561687241E-2</v>
      </c>
      <c r="S32" s="2"/>
      <c r="T32" s="6">
        <v>18233.849999999999</v>
      </c>
      <c r="U32" s="2"/>
      <c r="V32" s="7">
        <f t="shared" si="17"/>
        <v>5.3875478155450129E-3</v>
      </c>
      <c r="W32" s="2"/>
      <c r="X32" s="6">
        <f t="shared" si="18"/>
        <v>-3268.4299999999985</v>
      </c>
      <c r="Y32" s="2"/>
      <c r="Z32" s="7">
        <f t="shared" si="19"/>
        <v>-0.17925067936831765</v>
      </c>
    </row>
    <row r="33" spans="1:26" s="23" customFormat="1" hidden="1" outlineLevel="2" x14ac:dyDescent="0.25">
      <c r="A33" s="25"/>
      <c r="B33" s="10" t="str">
        <f>CONCATENATE("          ", "6156", " - ", "EMPLOYEE MEALS")</f>
        <v xml:space="preserve">          6156 - EMPLOYEE MEALS</v>
      </c>
      <c r="C33" s="10"/>
      <c r="D33" s="6">
        <v>1068.82</v>
      </c>
      <c r="E33" s="2"/>
      <c r="F33" s="7">
        <f t="shared" si="12"/>
        <v>1.1643332867812082E-2</v>
      </c>
      <c r="G33" s="2"/>
      <c r="H33" s="6">
        <v>1028.77</v>
      </c>
      <c r="I33" s="2"/>
      <c r="J33" s="7">
        <f t="shared" si="13"/>
        <v>2.7811456507742137E-3</v>
      </c>
      <c r="K33" s="2"/>
      <c r="L33" s="6">
        <f t="shared" si="14"/>
        <v>40.049999999999955</v>
      </c>
      <c r="M33" s="2"/>
      <c r="N33" s="7">
        <f t="shared" si="15"/>
        <v>3.8929984350243453E-2</v>
      </c>
      <c r="O33" s="10"/>
      <c r="P33" s="6">
        <v>7583.67</v>
      </c>
      <c r="Q33" s="2"/>
      <c r="R33" s="7">
        <f t="shared" si="16"/>
        <v>9.1640222184523178E-3</v>
      </c>
      <c r="S33" s="2"/>
      <c r="T33" s="6">
        <v>12231.7</v>
      </c>
      <c r="U33" s="2"/>
      <c r="V33" s="7">
        <f t="shared" si="17"/>
        <v>3.614095137088544E-3</v>
      </c>
      <c r="W33" s="2"/>
      <c r="X33" s="6">
        <f t="shared" si="18"/>
        <v>-4648.0300000000007</v>
      </c>
      <c r="Y33" s="2"/>
      <c r="Z33" s="7">
        <f t="shared" si="19"/>
        <v>-0.37999869192344488</v>
      </c>
    </row>
    <row r="34" spans="1:26" s="26" customFormat="1" outlineLevel="1" collapsed="1" x14ac:dyDescent="0.25">
      <c r="A34" s="27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54784.21</v>
      </c>
      <c r="E34" s="1"/>
      <c r="F34" s="5">
        <f t="shared" ref="F34:F40" si="20">IF(D$12=0,0,D34/D$12)</f>
        <v>0.59679908022877504</v>
      </c>
      <c r="G34" s="1"/>
      <c r="H34" s="1">
        <f>SUM(OSRRefH22_1x_0)</f>
        <v>123498.88</v>
      </c>
      <c r="I34" s="1"/>
      <c r="J34" s="5">
        <f t="shared" ref="J34:J40" si="21">IF(H$12=0,0,H34/H$12)</f>
        <v>0.33386313071676521</v>
      </c>
      <c r="K34" s="1"/>
      <c r="L34" s="1">
        <f t="shared" ref="L34:L40" si="22">+D34-H34</f>
        <v>-68714.670000000013</v>
      </c>
      <c r="M34" s="1"/>
      <c r="N34" s="5">
        <f t="shared" ref="N34:N40" si="23">IF(H34=0,0,L34/H34)</f>
        <v>-0.55639913495571791</v>
      </c>
      <c r="O34" s="12"/>
      <c r="P34" s="1">
        <f>SUM(OSRRefP22_1x_0)</f>
        <v>484184.99</v>
      </c>
      <c r="Q34" s="1"/>
      <c r="R34" s="5">
        <f t="shared" ref="R34:R40" si="24">IF(P$12=0,0,P34/P$12)</f>
        <v>0.5850837399571861</v>
      </c>
      <c r="S34" s="1"/>
      <c r="T34" s="1">
        <f>SUM(OSRRefT22_1x_0)</f>
        <v>861799.24</v>
      </c>
      <c r="U34" s="1"/>
      <c r="V34" s="5">
        <f t="shared" ref="V34:V40" si="25">IF(T$12=0,0,T34/T$12)</f>
        <v>0.2546354507084545</v>
      </c>
      <c r="W34" s="1"/>
      <c r="X34" s="1">
        <f t="shared" ref="X34:X40" si="26">+P34-T34</f>
        <v>-377614.25</v>
      </c>
      <c r="Y34" s="1"/>
      <c r="Z34" s="5">
        <f t="shared" ref="Z34:Z40" si="27">IF(T34=0,0,X34/T34)</f>
        <v>-0.43816962521340819</v>
      </c>
    </row>
    <row r="35" spans="1:26" s="23" customFormat="1" hidden="1" outlineLevel="2" x14ac:dyDescent="0.25">
      <c r="A35" s="25"/>
      <c r="B35" s="10" t="str">
        <f>CONCATENATE("          ", "6002", " - ", "STAFF SALARIES")</f>
        <v xml:space="preserve">          6002 - STAFF SALARIES</v>
      </c>
      <c r="C35" s="10"/>
      <c r="D35" s="6">
        <v>14347.27</v>
      </c>
      <c r="E35" s="2"/>
      <c r="F35" s="7">
        <f t="shared" si="20"/>
        <v>0.15629389453263812</v>
      </c>
      <c r="G35" s="2"/>
      <c r="H35" s="6">
        <v>15241.04</v>
      </c>
      <c r="I35" s="2"/>
      <c r="J35" s="7">
        <f t="shared" si="21"/>
        <v>4.1202165799231923E-2</v>
      </c>
      <c r="K35" s="2"/>
      <c r="L35" s="6">
        <f t="shared" si="22"/>
        <v>-893.77000000000044</v>
      </c>
      <c r="M35" s="2"/>
      <c r="N35" s="7">
        <f t="shared" si="23"/>
        <v>-5.8642323620960272E-2</v>
      </c>
      <c r="O35" s="10"/>
      <c r="P35" s="6">
        <v>137079.89000000001</v>
      </c>
      <c r="Q35" s="2"/>
      <c r="R35" s="7">
        <f t="shared" si="24"/>
        <v>0.1656458097020308</v>
      </c>
      <c r="S35" s="2"/>
      <c r="T35" s="6">
        <v>136899.88</v>
      </c>
      <c r="U35" s="2"/>
      <c r="V35" s="7">
        <f t="shared" si="25"/>
        <v>4.0449748651128235E-2</v>
      </c>
      <c r="W35" s="2"/>
      <c r="X35" s="6">
        <f t="shared" si="26"/>
        <v>180.01000000000931</v>
      </c>
      <c r="Y35" s="2"/>
      <c r="Z35" s="7">
        <f t="shared" si="27"/>
        <v>1.3149025404551801E-3</v>
      </c>
    </row>
    <row r="36" spans="1:26" s="23" customFormat="1" hidden="1" outlineLevel="2" x14ac:dyDescent="0.25">
      <c r="A36" s="25"/>
      <c r="B36" s="10" t="str">
        <f>CONCATENATE("          ", "6004", " - ", "STAFF HOURLY")</f>
        <v xml:space="preserve">          6004 - STAFF HOURLY</v>
      </c>
      <c r="C36" s="10"/>
      <c r="D36" s="6">
        <v>17885.939999999999</v>
      </c>
      <c r="E36" s="2"/>
      <c r="F36" s="7">
        <f t="shared" si="20"/>
        <v>0.19484286696891415</v>
      </c>
      <c r="G36" s="2"/>
      <c r="H36" s="6">
        <v>28516.59</v>
      </c>
      <c r="I36" s="2"/>
      <c r="J36" s="7">
        <f t="shared" si="21"/>
        <v>7.709088547820353E-2</v>
      </c>
      <c r="K36" s="2"/>
      <c r="L36" s="6">
        <f t="shared" si="22"/>
        <v>-10630.650000000001</v>
      </c>
      <c r="M36" s="2"/>
      <c r="N36" s="7">
        <f t="shared" si="23"/>
        <v>-0.37278826114903646</v>
      </c>
      <c r="O36" s="10"/>
      <c r="P36" s="6">
        <v>140441.98000000001</v>
      </c>
      <c r="Q36" s="2"/>
      <c r="R36" s="7">
        <f t="shared" si="24"/>
        <v>0.16970852174783926</v>
      </c>
      <c r="S36" s="2"/>
      <c r="T36" s="6">
        <v>189184.4</v>
      </c>
      <c r="U36" s="2"/>
      <c r="V36" s="7">
        <f t="shared" si="25"/>
        <v>5.58982332834368E-2</v>
      </c>
      <c r="W36" s="2"/>
      <c r="X36" s="6">
        <f t="shared" si="26"/>
        <v>-48742.419999999984</v>
      </c>
      <c r="Y36" s="2"/>
      <c r="Z36" s="7">
        <f t="shared" si="27"/>
        <v>-0.25764502781413257</v>
      </c>
    </row>
    <row r="37" spans="1:26" s="23" customFormat="1" hidden="1" outlineLevel="2" x14ac:dyDescent="0.25">
      <c r="A37" s="25"/>
      <c r="B37" s="10" t="str">
        <f>CONCATENATE("          ", "6005", " - ", "TEMPORARY WAGES-HOURLY")</f>
        <v xml:space="preserve">          6005 - TEMPORARY WAGES-HOURLY</v>
      </c>
      <c r="C37" s="10"/>
      <c r="D37" s="6">
        <v>8953.15</v>
      </c>
      <c r="E37" s="2"/>
      <c r="F37" s="7">
        <f t="shared" si="20"/>
        <v>9.7532330668823317E-2</v>
      </c>
      <c r="G37" s="2"/>
      <c r="H37" s="6">
        <v>17534.669999999998</v>
      </c>
      <c r="I37" s="2"/>
      <c r="J37" s="7">
        <f t="shared" si="21"/>
        <v>4.7402695654287237E-2</v>
      </c>
      <c r="K37" s="2"/>
      <c r="L37" s="6">
        <f t="shared" si="22"/>
        <v>-8581.5199999999986</v>
      </c>
      <c r="M37" s="2"/>
      <c r="N37" s="7">
        <f t="shared" si="23"/>
        <v>-0.48940299418238264</v>
      </c>
      <c r="O37" s="10"/>
      <c r="P37" s="6">
        <v>89359.19</v>
      </c>
      <c r="Q37" s="2"/>
      <c r="R37" s="7">
        <f t="shared" si="24"/>
        <v>0.10798064823270292</v>
      </c>
      <c r="S37" s="2"/>
      <c r="T37" s="6">
        <v>146126.23000000001</v>
      </c>
      <c r="U37" s="2"/>
      <c r="V37" s="7">
        <f t="shared" si="25"/>
        <v>4.317585431657759E-2</v>
      </c>
      <c r="W37" s="2"/>
      <c r="X37" s="6">
        <f t="shared" si="26"/>
        <v>-56767.040000000008</v>
      </c>
      <c r="Y37" s="2"/>
      <c r="Z37" s="7">
        <f t="shared" si="27"/>
        <v>-0.38847946737556976</v>
      </c>
    </row>
    <row r="38" spans="1:26" s="23" customFormat="1" hidden="1" outlineLevel="2" x14ac:dyDescent="0.25">
      <c r="A38" s="25"/>
      <c r="B38" s="10" t="str">
        <f>CONCATENATE("          ", "6006", " - ", "TEMPORARY PART TIME")</f>
        <v xml:space="preserve">          6006 - TEMPORARY PART TIME</v>
      </c>
      <c r="C38" s="10"/>
      <c r="D38" s="6">
        <v>717.96</v>
      </c>
      <c r="E38" s="2"/>
      <c r="F38" s="7">
        <f t="shared" si="20"/>
        <v>7.8211927787413815E-3</v>
      </c>
      <c r="G38" s="2"/>
      <c r="H38" s="6">
        <v>2129.79</v>
      </c>
      <c r="I38" s="2"/>
      <c r="J38" s="7">
        <f t="shared" si="21"/>
        <v>5.7576097626898266E-3</v>
      </c>
      <c r="K38" s="2"/>
      <c r="L38" s="6">
        <f t="shared" si="22"/>
        <v>-1411.83</v>
      </c>
      <c r="M38" s="2"/>
      <c r="N38" s="7">
        <f t="shared" si="23"/>
        <v>-0.66289634189286262</v>
      </c>
      <c r="O38" s="10"/>
      <c r="P38" s="6">
        <v>1326.96</v>
      </c>
      <c r="Q38" s="2"/>
      <c r="R38" s="7">
        <f t="shared" si="24"/>
        <v>1.6034836593624838E-3</v>
      </c>
      <c r="S38" s="2"/>
      <c r="T38" s="6">
        <v>13546.1</v>
      </c>
      <c r="U38" s="2"/>
      <c r="V38" s="7">
        <f t="shared" si="25"/>
        <v>4.0024603396514894E-3</v>
      </c>
      <c r="W38" s="2"/>
      <c r="X38" s="6">
        <f t="shared" si="26"/>
        <v>-12219.14</v>
      </c>
      <c r="Y38" s="2"/>
      <c r="Z38" s="7">
        <f t="shared" si="27"/>
        <v>-0.90204117790360316</v>
      </c>
    </row>
    <row r="39" spans="1:26" s="23" customFormat="1" hidden="1" outlineLevel="2" x14ac:dyDescent="0.25">
      <c r="A39" s="25"/>
      <c r="B39" s="10" t="str">
        <f>CONCATENATE("          ", "6007", " - ", "STUDENT HOURLY")</f>
        <v xml:space="preserve">          6007 - STUDENT HOURLY</v>
      </c>
      <c r="C39" s="10"/>
      <c r="D39" s="6">
        <v>12879.89</v>
      </c>
      <c r="E39" s="2"/>
      <c r="F39" s="7">
        <f t="shared" si="20"/>
        <v>0.14030879527965809</v>
      </c>
      <c r="G39" s="2"/>
      <c r="H39" s="6">
        <v>49271.24</v>
      </c>
      <c r="I39" s="2"/>
      <c r="J39" s="7">
        <f t="shared" si="21"/>
        <v>0.13319837751319777</v>
      </c>
      <c r="K39" s="2"/>
      <c r="L39" s="6">
        <f t="shared" si="22"/>
        <v>-36391.35</v>
      </c>
      <c r="M39" s="2"/>
      <c r="N39" s="7">
        <f t="shared" si="23"/>
        <v>-0.73859212798378937</v>
      </c>
      <c r="O39" s="10"/>
      <c r="P39" s="6">
        <v>105346.09</v>
      </c>
      <c r="Q39" s="2"/>
      <c r="R39" s="7">
        <f t="shared" si="24"/>
        <v>0.12729903982993426</v>
      </c>
      <c r="S39" s="2"/>
      <c r="T39" s="6">
        <v>295501.51</v>
      </c>
      <c r="U39" s="2"/>
      <c r="V39" s="7">
        <f t="shared" si="25"/>
        <v>8.7311704038957924E-2</v>
      </c>
      <c r="W39" s="2"/>
      <c r="X39" s="6">
        <f t="shared" si="26"/>
        <v>-190155.42</v>
      </c>
      <c r="Y39" s="2"/>
      <c r="Z39" s="7">
        <f t="shared" si="27"/>
        <v>-0.64350067111332188</v>
      </c>
    </row>
    <row r="40" spans="1:26" s="23" customFormat="1" hidden="1" outlineLevel="2" x14ac:dyDescent="0.25">
      <c r="A40" s="25"/>
      <c r="B40" s="10" t="str">
        <f>CONCATENATE("          ", "6008", " - ", "STUDENT HOURLY-FICA EXEMPT")</f>
        <v xml:space="preserve">          6008 - STUDENT HOURLY-FICA EXEMPT</v>
      </c>
      <c r="C40" s="10"/>
      <c r="D40" s="6"/>
      <c r="E40" s="2"/>
      <c r="F40" s="7">
        <f t="shared" si="20"/>
        <v>0</v>
      </c>
      <c r="G40" s="2"/>
      <c r="H40" s="6">
        <v>10805.55</v>
      </c>
      <c r="I40" s="2"/>
      <c r="J40" s="7">
        <f t="shared" si="21"/>
        <v>2.9211396509154917E-2</v>
      </c>
      <c r="K40" s="2"/>
      <c r="L40" s="6">
        <f t="shared" si="22"/>
        <v>-10805.55</v>
      </c>
      <c r="M40" s="2"/>
      <c r="N40" s="7">
        <f t="shared" si="23"/>
        <v>-1</v>
      </c>
      <c r="O40" s="10"/>
      <c r="P40" s="6">
        <v>10630.88</v>
      </c>
      <c r="Q40" s="2"/>
      <c r="R40" s="7">
        <f t="shared" si="24"/>
        <v>1.2846236785316394E-2</v>
      </c>
      <c r="S40" s="2"/>
      <c r="T40" s="6">
        <v>80541.119999999995</v>
      </c>
      <c r="U40" s="2"/>
      <c r="V40" s="7">
        <f t="shared" si="25"/>
        <v>2.3797450078702456E-2</v>
      </c>
      <c r="W40" s="2"/>
      <c r="X40" s="6">
        <f t="shared" si="26"/>
        <v>-69910.239999999991</v>
      </c>
      <c r="Y40" s="2"/>
      <c r="Z40" s="7">
        <f t="shared" si="27"/>
        <v>-0.86800680199133062</v>
      </c>
    </row>
    <row r="41" spans="1:26" s="26" customFormat="1" outlineLevel="1" collapsed="1" x14ac:dyDescent="0.25">
      <c r="A41" s="27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2" si="28">IF(D$12=0,0,D41/D$12)</f>
        <v>0</v>
      </c>
      <c r="G41" s="1"/>
      <c r="H41" s="1">
        <f>SUM(OSRRefH22_2x_0)</f>
        <v>44.51</v>
      </c>
      <c r="I41" s="1"/>
      <c r="J41" s="5">
        <f t="shared" ref="J41:J62" si="29">IF(H$12=0,0,H41/H$12)</f>
        <v>1.2032698554191923E-4</v>
      </c>
      <c r="K41" s="1"/>
      <c r="L41" s="1">
        <f t="shared" ref="L41:L62" si="30">+D41-H41</f>
        <v>-44.51</v>
      </c>
      <c r="M41" s="1"/>
      <c r="N41" s="5">
        <f t="shared" ref="N41:N62" si="31">IF(H41=0,0,L41/H41)</f>
        <v>-1</v>
      </c>
      <c r="O41" s="12"/>
      <c r="P41" s="1">
        <f>SUM(OSRRefP22_2x_0)</f>
        <v>1240.42</v>
      </c>
      <c r="Q41" s="1"/>
      <c r="R41" s="5">
        <f t="shared" ref="R41:R62" si="32">IF(P$12=0,0,P41/P$12)</f>
        <v>1.4989096888726205E-3</v>
      </c>
      <c r="S41" s="1"/>
      <c r="T41" s="1">
        <f>SUM(OSRRefT22_2x_0)</f>
        <v>2628.74</v>
      </c>
      <c r="U41" s="1"/>
      <c r="V41" s="5">
        <f t="shared" ref="V41:V62" si="33">IF(T$12=0,0,T41/T$12)</f>
        <v>7.7671267695170231E-4</v>
      </c>
      <c r="W41" s="1"/>
      <c r="X41" s="1">
        <f t="shared" ref="X41:X62" si="34">+P41-T41</f>
        <v>-1388.3199999999997</v>
      </c>
      <c r="Y41" s="1"/>
      <c r="Z41" s="5">
        <f t="shared" ref="Z41:Z62" si="35">IF(T41=0,0,X41/T41)</f>
        <v>-0.5281313480983284</v>
      </c>
    </row>
    <row r="42" spans="1:26" s="23" customFormat="1" hidden="1" outlineLevel="2" x14ac:dyDescent="0.25">
      <c r="A42" s="25"/>
      <c r="B42" s="10" t="str">
        <f>CONCATENATE("          ", "6362", " - ", "ADVERTISING EXPENSE")</f>
        <v xml:space="preserve">          6362 - ADVERTISING EXPENSE</v>
      </c>
      <c r="C42" s="10"/>
      <c r="D42" s="6"/>
      <c r="E42" s="2"/>
      <c r="F42" s="7">
        <f t="shared" si="28"/>
        <v>0</v>
      </c>
      <c r="G42" s="2"/>
      <c r="H42" s="6">
        <v>44.51</v>
      </c>
      <c r="I42" s="2"/>
      <c r="J42" s="7">
        <f t="shared" si="29"/>
        <v>1.2032698554191923E-4</v>
      </c>
      <c r="K42" s="2"/>
      <c r="L42" s="6">
        <f t="shared" si="30"/>
        <v>-44.51</v>
      </c>
      <c r="M42" s="2"/>
      <c r="N42" s="7">
        <f t="shared" si="31"/>
        <v>-1</v>
      </c>
      <c r="O42" s="10"/>
      <c r="P42" s="6">
        <v>1240.42</v>
      </c>
      <c r="Q42" s="2"/>
      <c r="R42" s="7">
        <f t="shared" si="32"/>
        <v>1.4989096888726205E-3</v>
      </c>
      <c r="S42" s="2"/>
      <c r="T42" s="6">
        <v>2628.74</v>
      </c>
      <c r="U42" s="2"/>
      <c r="V42" s="7">
        <f t="shared" si="33"/>
        <v>7.7671267695170231E-4</v>
      </c>
      <c r="W42" s="2"/>
      <c r="X42" s="6">
        <f t="shared" si="34"/>
        <v>-1388.3199999999997</v>
      </c>
      <c r="Y42" s="2"/>
      <c r="Z42" s="7">
        <f t="shared" si="35"/>
        <v>-0.5281313480983284</v>
      </c>
    </row>
    <row r="43" spans="1:26" s="26" customFormat="1" outlineLevel="1" collapsed="1" x14ac:dyDescent="0.25">
      <c r="A43" s="27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0.35</v>
      </c>
      <c r="I43" s="1"/>
      <c r="J43" s="5">
        <f t="shared" si="29"/>
        <v>9.4617939653272819E-7</v>
      </c>
      <c r="K43" s="1"/>
      <c r="L43" s="1">
        <f t="shared" si="30"/>
        <v>-0.35</v>
      </c>
      <c r="M43" s="1"/>
      <c r="N43" s="5">
        <f t="shared" si="31"/>
        <v>-1</v>
      </c>
      <c r="O43" s="12"/>
      <c r="P43" s="1">
        <f>SUM(OSRRefP22_3x_0)</f>
        <v>23.8</v>
      </c>
      <c r="Q43" s="1"/>
      <c r="R43" s="5">
        <f t="shared" si="32"/>
        <v>2.875965446797727E-5</v>
      </c>
      <c r="S43" s="1"/>
      <c r="T43" s="1">
        <f>SUM(OSRRefT22_3x_0)</f>
        <v>16.690000000000001</v>
      </c>
      <c r="U43" s="1"/>
      <c r="V43" s="5">
        <f t="shared" si="33"/>
        <v>4.9313871201883469E-6</v>
      </c>
      <c r="W43" s="1"/>
      <c r="X43" s="1">
        <f t="shared" si="34"/>
        <v>7.1099999999999994</v>
      </c>
      <c r="Y43" s="1"/>
      <c r="Z43" s="5">
        <f t="shared" si="35"/>
        <v>0.4260035949670461</v>
      </c>
    </row>
    <row r="44" spans="1:26" s="23" customFormat="1" hidden="1" outlineLevel="2" x14ac:dyDescent="0.25">
      <c r="A44" s="25"/>
      <c r="B44" s="10" t="str">
        <f>CONCATENATE("          ", "6272", " - ", "CASH (OVER/SHORT)")</f>
        <v xml:space="preserve">          6272 - CASH (OVER/SHORT)</v>
      </c>
      <c r="C44" s="10"/>
      <c r="D44" s="6"/>
      <c r="E44" s="2"/>
      <c r="F44" s="7">
        <f t="shared" si="28"/>
        <v>0</v>
      </c>
      <c r="G44" s="2"/>
      <c r="H44" s="6">
        <v>0.35</v>
      </c>
      <c r="I44" s="2"/>
      <c r="J44" s="7">
        <f t="shared" si="29"/>
        <v>9.4617939653272819E-7</v>
      </c>
      <c r="K44" s="2"/>
      <c r="L44" s="6">
        <f t="shared" si="30"/>
        <v>-0.35</v>
      </c>
      <c r="M44" s="2"/>
      <c r="N44" s="7">
        <f t="shared" si="31"/>
        <v>-1</v>
      </c>
      <c r="O44" s="10"/>
      <c r="P44" s="6">
        <v>23.8</v>
      </c>
      <c r="Q44" s="2"/>
      <c r="R44" s="7">
        <f t="shared" si="32"/>
        <v>2.875965446797727E-5</v>
      </c>
      <c r="S44" s="2"/>
      <c r="T44" s="6">
        <v>16.690000000000001</v>
      </c>
      <c r="U44" s="2"/>
      <c r="V44" s="7">
        <f t="shared" si="33"/>
        <v>4.9313871201883469E-6</v>
      </c>
      <c r="W44" s="2"/>
      <c r="X44" s="6">
        <f t="shared" si="34"/>
        <v>7.1099999999999994</v>
      </c>
      <c r="Y44" s="2"/>
      <c r="Z44" s="7">
        <f t="shared" si="35"/>
        <v>0.4260035949670461</v>
      </c>
    </row>
    <row r="45" spans="1:26" s="26" customFormat="1" outlineLevel="1" collapsed="1" x14ac:dyDescent="0.25">
      <c r="A45" s="27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78.08</v>
      </c>
      <c r="E45" s="1"/>
      <c r="F45" s="5">
        <f t="shared" si="28"/>
        <v>8.505748679092526E-4</v>
      </c>
      <c r="G45" s="1"/>
      <c r="H45" s="1">
        <f>SUM(OSRRefH22_4x_0)</f>
        <v>47.8</v>
      </c>
      <c r="I45" s="1"/>
      <c r="J45" s="5">
        <f t="shared" si="29"/>
        <v>1.2922107186932687E-4</v>
      </c>
      <c r="K45" s="1"/>
      <c r="L45" s="1">
        <f t="shared" si="30"/>
        <v>30.28</v>
      </c>
      <c r="M45" s="1"/>
      <c r="N45" s="5">
        <f t="shared" si="31"/>
        <v>0.6334728033472804</v>
      </c>
      <c r="O45" s="12"/>
      <c r="P45" s="1">
        <f>SUM(OSRRefP22_4x_0)</f>
        <v>267</v>
      </c>
      <c r="Q45" s="1"/>
      <c r="R45" s="5">
        <f t="shared" si="32"/>
        <v>3.2263982113235005E-4</v>
      </c>
      <c r="S45" s="1"/>
      <c r="T45" s="1">
        <f>SUM(OSRRefT22_4x_0)</f>
        <v>1125.75</v>
      </c>
      <c r="U45" s="1"/>
      <c r="V45" s="5">
        <f t="shared" si="33"/>
        <v>3.3262486821761716E-4</v>
      </c>
      <c r="W45" s="1"/>
      <c r="X45" s="1">
        <f t="shared" si="34"/>
        <v>-858.75</v>
      </c>
      <c r="Y45" s="1"/>
      <c r="Z45" s="5">
        <f t="shared" si="35"/>
        <v>-0.76282478347768157</v>
      </c>
    </row>
    <row r="46" spans="1:26" s="23" customFormat="1" hidden="1" outlineLevel="2" x14ac:dyDescent="0.25">
      <c r="A46" s="25"/>
      <c r="B46" s="10" t="str">
        <f>CONCATENATE("          ", "6381", " - ", "BANK/CREDIT CARD FEES")</f>
        <v xml:space="preserve">          6381 - BANK/CREDIT CARD FEES</v>
      </c>
      <c r="C46" s="10"/>
      <c r="D46" s="6">
        <v>78.08</v>
      </c>
      <c r="E46" s="2"/>
      <c r="F46" s="7">
        <f t="shared" si="28"/>
        <v>8.505748679092526E-4</v>
      </c>
      <c r="G46" s="2"/>
      <c r="H46" s="6">
        <v>47.8</v>
      </c>
      <c r="I46" s="2"/>
      <c r="J46" s="7">
        <f t="shared" si="29"/>
        <v>1.2922107186932687E-4</v>
      </c>
      <c r="K46" s="2"/>
      <c r="L46" s="6">
        <f t="shared" si="30"/>
        <v>30.28</v>
      </c>
      <c r="M46" s="2"/>
      <c r="N46" s="7">
        <f t="shared" si="31"/>
        <v>0.6334728033472804</v>
      </c>
      <c r="O46" s="10"/>
      <c r="P46" s="6">
        <v>267</v>
      </c>
      <c r="Q46" s="2"/>
      <c r="R46" s="7">
        <f t="shared" si="32"/>
        <v>3.2263982113235005E-4</v>
      </c>
      <c r="S46" s="2"/>
      <c r="T46" s="6">
        <v>1125.75</v>
      </c>
      <c r="U46" s="2"/>
      <c r="V46" s="7">
        <f t="shared" si="33"/>
        <v>3.3262486821761716E-4</v>
      </c>
      <c r="W46" s="2"/>
      <c r="X46" s="6">
        <f t="shared" si="34"/>
        <v>-858.75</v>
      </c>
      <c r="Y46" s="2"/>
      <c r="Z46" s="7">
        <f t="shared" si="35"/>
        <v>-0.76282478347768157</v>
      </c>
    </row>
    <row r="47" spans="1:26" s="26" customFormat="1" outlineLevel="1" collapsed="1" x14ac:dyDescent="0.25">
      <c r="A47" s="27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272.74</v>
      </c>
      <c r="E47" s="1"/>
      <c r="F47" s="5">
        <f t="shared" si="28"/>
        <v>2.9711294758397741E-3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272.74</v>
      </c>
      <c r="M47" s="1"/>
      <c r="N47" s="5">
        <f t="shared" si="31"/>
        <v>0</v>
      </c>
      <c r="O47" s="12"/>
      <c r="P47" s="1">
        <f>SUM(OSRRefP22_5x_0)</f>
        <v>2190.44</v>
      </c>
      <c r="Q47" s="1"/>
      <c r="R47" s="5">
        <f t="shared" si="32"/>
        <v>2.6469032576821902E-3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2190.44</v>
      </c>
      <c r="Y47" s="1"/>
      <c r="Z47" s="5">
        <f t="shared" si="35"/>
        <v>0</v>
      </c>
    </row>
    <row r="48" spans="1:26" s="23" customFormat="1" hidden="1" outlineLevel="2" x14ac:dyDescent="0.25">
      <c r="A48" s="25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272.74</v>
      </c>
      <c r="E48" s="2"/>
      <c r="F48" s="7">
        <f t="shared" si="28"/>
        <v>2.9711294758397741E-3</v>
      </c>
      <c r="G48" s="2"/>
      <c r="H48" s="6"/>
      <c r="I48" s="2"/>
      <c r="J48" s="7">
        <f t="shared" si="29"/>
        <v>0</v>
      </c>
      <c r="K48" s="2"/>
      <c r="L48" s="6">
        <f t="shared" si="30"/>
        <v>272.74</v>
      </c>
      <c r="M48" s="2"/>
      <c r="N48" s="7">
        <f t="shared" si="31"/>
        <v>0</v>
      </c>
      <c r="O48" s="10"/>
      <c r="P48" s="6">
        <v>2190.44</v>
      </c>
      <c r="Q48" s="2"/>
      <c r="R48" s="7">
        <f t="shared" si="32"/>
        <v>2.6469032576821902E-3</v>
      </c>
      <c r="S48" s="2"/>
      <c r="T48" s="6"/>
      <c r="U48" s="2"/>
      <c r="V48" s="7">
        <f t="shared" si="33"/>
        <v>0</v>
      </c>
      <c r="W48" s="2"/>
      <c r="X48" s="6">
        <f t="shared" si="34"/>
        <v>2190.44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7337.33</v>
      </c>
      <c r="E49" s="1"/>
      <c r="F49" s="5">
        <f t="shared" si="28"/>
        <v>7.9930180527108055E-2</v>
      </c>
      <c r="G49" s="1"/>
      <c r="H49" s="1">
        <f>SUM(OSRRefH22_6x_0)</f>
        <v>3123.96</v>
      </c>
      <c r="I49" s="1"/>
      <c r="J49" s="5">
        <f t="shared" si="29"/>
        <v>8.4452188216925187E-3</v>
      </c>
      <c r="K49" s="1"/>
      <c r="L49" s="1">
        <f t="shared" si="30"/>
        <v>4213.37</v>
      </c>
      <c r="M49" s="1"/>
      <c r="N49" s="5">
        <f t="shared" si="31"/>
        <v>1.3487272564309403</v>
      </c>
      <c r="O49" s="12"/>
      <c r="P49" s="1">
        <f>SUM(OSRRefP22_6x_0)</f>
        <v>50979.76</v>
      </c>
      <c r="Q49" s="1"/>
      <c r="R49" s="5">
        <f t="shared" si="32"/>
        <v>6.1603373212622221E-2</v>
      </c>
      <c r="S49" s="1"/>
      <c r="T49" s="1">
        <f>SUM(OSRRefT22_6x_0)</f>
        <v>26858.9</v>
      </c>
      <c r="U49" s="1"/>
      <c r="V49" s="5">
        <f t="shared" si="33"/>
        <v>7.9359876286654758E-3</v>
      </c>
      <c r="W49" s="1"/>
      <c r="X49" s="1">
        <f t="shared" si="34"/>
        <v>24120.86</v>
      </c>
      <c r="Y49" s="1"/>
      <c r="Z49" s="5">
        <f t="shared" si="35"/>
        <v>0.89805837171291447</v>
      </c>
    </row>
    <row r="50" spans="1:26" s="23" customFormat="1" hidden="1" outlineLevel="2" x14ac:dyDescent="0.25">
      <c r="A50" s="25"/>
      <c r="B50" s="10" t="str">
        <f>CONCATENATE("          ", "6399", " - ", "DONATION-ON CAMPUS")</f>
        <v xml:space="preserve">          6399 - DONATION-ON CAMPUS</v>
      </c>
      <c r="C50" s="10"/>
      <c r="D50" s="6">
        <v>7337.33</v>
      </c>
      <c r="E50" s="2"/>
      <c r="F50" s="7">
        <f t="shared" si="28"/>
        <v>7.9930180527108055E-2</v>
      </c>
      <c r="G50" s="2"/>
      <c r="H50" s="6">
        <v>3123.96</v>
      </c>
      <c r="I50" s="2"/>
      <c r="J50" s="7">
        <f t="shared" si="29"/>
        <v>8.4452188216925187E-3</v>
      </c>
      <c r="K50" s="2"/>
      <c r="L50" s="6">
        <f t="shared" si="30"/>
        <v>4213.37</v>
      </c>
      <c r="M50" s="2"/>
      <c r="N50" s="7">
        <f t="shared" si="31"/>
        <v>1.3487272564309403</v>
      </c>
      <c r="O50" s="10"/>
      <c r="P50" s="6">
        <v>50979.76</v>
      </c>
      <c r="Q50" s="2"/>
      <c r="R50" s="7">
        <f t="shared" si="32"/>
        <v>6.1603373212622221E-2</v>
      </c>
      <c r="S50" s="2"/>
      <c r="T50" s="6">
        <v>26858.9</v>
      </c>
      <c r="U50" s="2"/>
      <c r="V50" s="7">
        <f t="shared" si="33"/>
        <v>7.9359876286654758E-3</v>
      </c>
      <c r="W50" s="2"/>
      <c r="X50" s="6">
        <f t="shared" si="34"/>
        <v>24120.86</v>
      </c>
      <c r="Y50" s="2"/>
      <c r="Z50" s="7">
        <f t="shared" si="35"/>
        <v>0.89805837171291447</v>
      </c>
    </row>
    <row r="51" spans="1:26" s="26" customFormat="1" outlineLevel="1" collapsed="1" x14ac:dyDescent="0.25">
      <c r="A51" s="27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2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1564</v>
      </c>
      <c r="U51" s="1"/>
      <c r="V51" s="5">
        <f t="shared" si="33"/>
        <v>4.6211440718841066E-4</v>
      </c>
      <c r="W51" s="1"/>
      <c r="X51" s="1">
        <f t="shared" si="34"/>
        <v>-1564</v>
      </c>
      <c r="Y51" s="1"/>
      <c r="Z51" s="5">
        <f t="shared" si="35"/>
        <v>-1</v>
      </c>
    </row>
    <row r="52" spans="1:26" s="23" customFormat="1" hidden="1" outlineLevel="2" x14ac:dyDescent="0.25">
      <c r="A52" s="25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0"/>
      <c r="P52" s="6"/>
      <c r="Q52" s="2"/>
      <c r="R52" s="7">
        <f t="shared" si="32"/>
        <v>0</v>
      </c>
      <c r="S52" s="2"/>
      <c r="T52" s="6">
        <v>1564</v>
      </c>
      <c r="U52" s="2"/>
      <c r="V52" s="7">
        <f t="shared" si="33"/>
        <v>4.6211440718841066E-4</v>
      </c>
      <c r="W52" s="2"/>
      <c r="X52" s="6">
        <f t="shared" si="34"/>
        <v>-1564</v>
      </c>
      <c r="Y52" s="2"/>
      <c r="Z52" s="7">
        <f t="shared" si="35"/>
        <v>-1</v>
      </c>
    </row>
    <row r="53" spans="1:26" s="26" customFormat="1" outlineLevel="1" collapsed="1" x14ac:dyDescent="0.25">
      <c r="A53" s="27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508.47</v>
      </c>
      <c r="E53" s="1"/>
      <c r="F53" s="5">
        <f t="shared" si="28"/>
        <v>5.5390855927999194E-3</v>
      </c>
      <c r="G53" s="1"/>
      <c r="H53" s="1">
        <f>SUM(OSRRefH22_8x_0)</f>
        <v>207.6</v>
      </c>
      <c r="I53" s="1"/>
      <c r="J53" s="5">
        <f t="shared" si="29"/>
        <v>5.6121955062912678E-4</v>
      </c>
      <c r="K53" s="1"/>
      <c r="L53" s="1">
        <f t="shared" si="30"/>
        <v>300.87</v>
      </c>
      <c r="M53" s="1"/>
      <c r="N53" s="5">
        <f t="shared" si="31"/>
        <v>1.4492774566473989</v>
      </c>
      <c r="O53" s="12"/>
      <c r="P53" s="1">
        <f>SUM(OSRRefP22_8x_0)</f>
        <v>2611.79</v>
      </c>
      <c r="Q53" s="1"/>
      <c r="R53" s="5">
        <f t="shared" si="32"/>
        <v>3.1560578967612754E-3</v>
      </c>
      <c r="S53" s="1"/>
      <c r="T53" s="1">
        <f>SUM(OSRRefT22_8x_0)</f>
        <v>2574.71</v>
      </c>
      <c r="U53" s="1"/>
      <c r="V53" s="5">
        <f t="shared" si="33"/>
        <v>7.607484560946757E-4</v>
      </c>
      <c r="W53" s="1"/>
      <c r="X53" s="1">
        <f t="shared" si="34"/>
        <v>37.079999999999927</v>
      </c>
      <c r="Y53" s="1"/>
      <c r="Z53" s="5">
        <f t="shared" si="35"/>
        <v>1.4401621930236775E-2</v>
      </c>
    </row>
    <row r="54" spans="1:26" s="23" customFormat="1" hidden="1" outlineLevel="2" x14ac:dyDescent="0.25">
      <c r="A54" s="25"/>
      <c r="B54" s="10" t="str">
        <f>CONCATENATE("          ", "6351", " - ", "EQUIPMENT RENTAL")</f>
        <v xml:space="preserve">          6351 - EQUIPMENT RENTAL</v>
      </c>
      <c r="C54" s="10"/>
      <c r="D54" s="6">
        <v>508.47</v>
      </c>
      <c r="E54" s="2"/>
      <c r="F54" s="7">
        <f t="shared" si="28"/>
        <v>5.5390855927999194E-3</v>
      </c>
      <c r="G54" s="2"/>
      <c r="H54" s="6">
        <v>207.6</v>
      </c>
      <c r="I54" s="2"/>
      <c r="J54" s="7">
        <f t="shared" si="29"/>
        <v>5.6121955062912678E-4</v>
      </c>
      <c r="K54" s="2"/>
      <c r="L54" s="6">
        <f t="shared" si="30"/>
        <v>300.87</v>
      </c>
      <c r="M54" s="2"/>
      <c r="N54" s="7">
        <f t="shared" si="31"/>
        <v>1.4492774566473989</v>
      </c>
      <c r="O54" s="10"/>
      <c r="P54" s="6">
        <v>2611.79</v>
      </c>
      <c r="Q54" s="2"/>
      <c r="R54" s="7">
        <f t="shared" si="32"/>
        <v>3.1560578967612754E-3</v>
      </c>
      <c r="S54" s="2"/>
      <c r="T54" s="6">
        <v>2574.71</v>
      </c>
      <c r="U54" s="2"/>
      <c r="V54" s="7">
        <f t="shared" si="33"/>
        <v>7.607484560946757E-4</v>
      </c>
      <c r="W54" s="2"/>
      <c r="X54" s="6">
        <f t="shared" si="34"/>
        <v>37.079999999999927</v>
      </c>
      <c r="Y54" s="2"/>
      <c r="Z54" s="7">
        <f t="shared" si="35"/>
        <v>1.4401621930236775E-2</v>
      </c>
    </row>
    <row r="55" spans="1:26" s="26" customFormat="1" outlineLevel="1" collapsed="1" x14ac:dyDescent="0.25">
      <c r="A55" s="27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2"/>
      <c r="P55" s="1">
        <f>SUM(OSRRefP22_9x_0)</f>
        <v>1888.78</v>
      </c>
      <c r="Q55" s="1"/>
      <c r="R55" s="5">
        <f t="shared" si="32"/>
        <v>2.2823806792447942E-3</v>
      </c>
      <c r="S55" s="1"/>
      <c r="T55" s="1">
        <f>SUM(OSRRefT22_9x_0)</f>
        <v>3224.62</v>
      </c>
      <c r="U55" s="1"/>
      <c r="V55" s="5">
        <f t="shared" si="33"/>
        <v>9.5277708421220755E-4</v>
      </c>
      <c r="W55" s="1"/>
      <c r="X55" s="1">
        <f t="shared" si="34"/>
        <v>-1335.84</v>
      </c>
      <c r="Y55" s="1"/>
      <c r="Z55" s="5">
        <f t="shared" si="35"/>
        <v>-0.41426276584527788</v>
      </c>
    </row>
    <row r="56" spans="1:26" s="23" customFormat="1" hidden="1" outlineLevel="2" x14ac:dyDescent="0.25">
      <c r="A56" s="25"/>
      <c r="B56" s="10" t="str">
        <f>CONCATENATE("          ", "6279", " - ", "GENERAL EXPENSE")</f>
        <v xml:space="preserve">          6279 - GENERAL EXPENSE</v>
      </c>
      <c r="C56" s="10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0"/>
      <c r="P56" s="6">
        <v>1888.78</v>
      </c>
      <c r="Q56" s="2"/>
      <c r="R56" s="7">
        <f t="shared" si="32"/>
        <v>2.2823806792447942E-3</v>
      </c>
      <c r="S56" s="2"/>
      <c r="T56" s="6">
        <v>3224.62</v>
      </c>
      <c r="U56" s="2"/>
      <c r="V56" s="7">
        <f t="shared" si="33"/>
        <v>9.5277708421220755E-4</v>
      </c>
      <c r="W56" s="2"/>
      <c r="X56" s="6">
        <f t="shared" si="34"/>
        <v>-1335.84</v>
      </c>
      <c r="Y56" s="2"/>
      <c r="Z56" s="7">
        <f t="shared" si="35"/>
        <v>-0.41426276584527788</v>
      </c>
    </row>
    <row r="57" spans="1:26" s="26" customFormat="1" outlineLevel="1" collapsed="1" x14ac:dyDescent="0.25">
      <c r="A57" s="27"/>
      <c r="B57" s="12" t="str">
        <f>CONCATENATE("     ","R/H Commissions                                   ")</f>
        <v xml:space="preserve">     R/H Commissions                                   </v>
      </c>
      <c r="C57" s="12"/>
      <c r="D57" s="1">
        <f>SUM(OSRRefD22_10x_0)</f>
        <v>6756.75</v>
      </c>
      <c r="E57" s="1"/>
      <c r="F57" s="5">
        <f t="shared" si="28"/>
        <v>7.3605555055658842E-2</v>
      </c>
      <c r="G57" s="1"/>
      <c r="H57" s="1">
        <f>SUM(OSRRefH22_10x_0)</f>
        <v>28965.18</v>
      </c>
      <c r="I57" s="1"/>
      <c r="J57" s="5">
        <f t="shared" si="29"/>
        <v>7.8303590093890998E-2</v>
      </c>
      <c r="K57" s="1"/>
      <c r="L57" s="1">
        <f t="shared" si="30"/>
        <v>-22208.43</v>
      </c>
      <c r="M57" s="1"/>
      <c r="N57" s="5">
        <f t="shared" si="31"/>
        <v>-0.76672853405364649</v>
      </c>
      <c r="O57" s="12"/>
      <c r="P57" s="1">
        <f>SUM(OSRRefP22_10x_0)</f>
        <v>57113.25</v>
      </c>
      <c r="Q57" s="1"/>
      <c r="R57" s="5">
        <f t="shared" si="32"/>
        <v>6.9015014098453897E-2</v>
      </c>
      <c r="S57" s="1"/>
      <c r="T57" s="1">
        <f>SUM(OSRRefT22_10x_0)</f>
        <v>264596.75</v>
      </c>
      <c r="U57" s="1"/>
      <c r="V57" s="5">
        <f t="shared" si="33"/>
        <v>7.8180287896566558E-2</v>
      </c>
      <c r="W57" s="1"/>
      <c r="X57" s="1">
        <f t="shared" si="34"/>
        <v>-207483.5</v>
      </c>
      <c r="Y57" s="1"/>
      <c r="Z57" s="5">
        <f t="shared" si="35"/>
        <v>-0.78414984311031788</v>
      </c>
    </row>
    <row r="58" spans="1:26" s="23" customFormat="1" hidden="1" outlineLevel="2" x14ac:dyDescent="0.25">
      <c r="A58" s="25"/>
      <c r="B58" s="10" t="str">
        <f>CONCATENATE("          ", "6387", " - ", "COMMISSION DUE HOUSING")</f>
        <v xml:space="preserve">          6387 - COMMISSION DUE HOUSING</v>
      </c>
      <c r="C58" s="10"/>
      <c r="D58" s="6">
        <v>6756.75</v>
      </c>
      <c r="E58" s="2"/>
      <c r="F58" s="7">
        <f t="shared" si="28"/>
        <v>7.3605555055658842E-2</v>
      </c>
      <c r="G58" s="2"/>
      <c r="H58" s="6">
        <v>28965.18</v>
      </c>
      <c r="I58" s="2"/>
      <c r="J58" s="7">
        <f t="shared" si="29"/>
        <v>7.8303590093890998E-2</v>
      </c>
      <c r="K58" s="2"/>
      <c r="L58" s="6">
        <f t="shared" si="30"/>
        <v>-22208.43</v>
      </c>
      <c r="M58" s="2"/>
      <c r="N58" s="7">
        <f t="shared" si="31"/>
        <v>-0.76672853405364649</v>
      </c>
      <c r="O58" s="10"/>
      <c r="P58" s="6">
        <v>57113.25</v>
      </c>
      <c r="Q58" s="2"/>
      <c r="R58" s="7">
        <f t="shared" si="32"/>
        <v>6.9015014098453897E-2</v>
      </c>
      <c r="S58" s="2"/>
      <c r="T58" s="6">
        <v>264596.75</v>
      </c>
      <c r="U58" s="2"/>
      <c r="V58" s="7">
        <f t="shared" si="33"/>
        <v>7.8180287896566558E-2</v>
      </c>
      <c r="W58" s="2"/>
      <c r="X58" s="6">
        <f t="shared" si="34"/>
        <v>-207483.5</v>
      </c>
      <c r="Y58" s="2"/>
      <c r="Z58" s="7">
        <f t="shared" si="35"/>
        <v>-0.78414984311031788</v>
      </c>
    </row>
    <row r="59" spans="1:26" s="26" customFormat="1" outlineLevel="1" collapsed="1" x14ac:dyDescent="0.25">
      <c r="A59" s="27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84.9</v>
      </c>
      <c r="E59" s="1"/>
      <c r="F59" s="5">
        <f t="shared" si="28"/>
        <v>9.2486944525480984E-4</v>
      </c>
      <c r="G59" s="1"/>
      <c r="H59" s="1">
        <f>SUM(OSRRefH22_11x_0)</f>
        <v>76.95</v>
      </c>
      <c r="I59" s="1"/>
      <c r="J59" s="5">
        <f t="shared" si="29"/>
        <v>2.0802429875198126E-4</v>
      </c>
      <c r="K59" s="1"/>
      <c r="L59" s="1">
        <f t="shared" si="30"/>
        <v>7.9500000000000028</v>
      </c>
      <c r="M59" s="1"/>
      <c r="N59" s="5">
        <f t="shared" si="31"/>
        <v>0.10331384015594546</v>
      </c>
      <c r="O59" s="12"/>
      <c r="P59" s="1">
        <f>SUM(OSRRefP22_11x_0)</f>
        <v>3438.85</v>
      </c>
      <c r="Q59" s="1"/>
      <c r="R59" s="5">
        <f t="shared" si="32"/>
        <v>4.1554679734119174E-3</v>
      </c>
      <c r="S59" s="1"/>
      <c r="T59" s="1">
        <f>SUM(OSRRefT22_11x_0)</f>
        <v>9393.09</v>
      </c>
      <c r="U59" s="1"/>
      <c r="V59" s="5">
        <f t="shared" si="33"/>
        <v>2.775372261520069E-3</v>
      </c>
      <c r="W59" s="1"/>
      <c r="X59" s="1">
        <f t="shared" si="34"/>
        <v>-5954.24</v>
      </c>
      <c r="Y59" s="1"/>
      <c r="Z59" s="5">
        <f t="shared" si="35"/>
        <v>-0.63389576805928605</v>
      </c>
    </row>
    <row r="60" spans="1:26" s="23" customFormat="1" hidden="1" outlineLevel="2" x14ac:dyDescent="0.25">
      <c r="A60" s="25"/>
      <c r="B60" s="10" t="str">
        <f>CONCATENATE("          ", "6371", " - ", "COMPUTER SOFTWARE MAINTENANCE")</f>
        <v xml:space="preserve">          6371 - COMPUTER SOFTWARE MAINTENANCE</v>
      </c>
      <c r="C60" s="10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0"/>
      <c r="P60" s="6"/>
      <c r="Q60" s="2"/>
      <c r="R60" s="7">
        <f t="shared" si="32"/>
        <v>0</v>
      </c>
      <c r="S60" s="2"/>
      <c r="T60" s="6">
        <v>8238.75</v>
      </c>
      <c r="U60" s="2"/>
      <c r="V60" s="7">
        <f t="shared" si="33"/>
        <v>2.4342999183014822E-3</v>
      </c>
      <c r="W60" s="2"/>
      <c r="X60" s="6">
        <f t="shared" si="34"/>
        <v>-8238.75</v>
      </c>
      <c r="Y60" s="2"/>
      <c r="Z60" s="7">
        <f t="shared" si="35"/>
        <v>-1</v>
      </c>
    </row>
    <row r="61" spans="1:26" s="23" customFormat="1" hidden="1" outlineLevel="2" x14ac:dyDescent="0.25">
      <c r="A61" s="25"/>
      <c r="B61" s="10" t="str">
        <f>CONCATENATE("          ", "6373", " - ", "MAINTENANCE CONTRACTS")</f>
        <v xml:space="preserve">          6373 - MAINTENANCE CONTRACTS</v>
      </c>
      <c r="C61" s="10"/>
      <c r="D61" s="6">
        <v>84.9</v>
      </c>
      <c r="E61" s="2"/>
      <c r="F61" s="7">
        <f t="shared" si="28"/>
        <v>9.2486944525480984E-4</v>
      </c>
      <c r="G61" s="2"/>
      <c r="H61" s="6">
        <v>76.95</v>
      </c>
      <c r="I61" s="2"/>
      <c r="J61" s="7">
        <f t="shared" si="29"/>
        <v>2.0802429875198126E-4</v>
      </c>
      <c r="K61" s="2"/>
      <c r="L61" s="6">
        <f t="shared" si="30"/>
        <v>7.9500000000000028</v>
      </c>
      <c r="M61" s="2"/>
      <c r="N61" s="7">
        <f t="shared" si="31"/>
        <v>0.10331384015594546</v>
      </c>
      <c r="O61" s="10"/>
      <c r="P61" s="6">
        <v>1683.83</v>
      </c>
      <c r="Q61" s="2"/>
      <c r="R61" s="7">
        <f t="shared" si="32"/>
        <v>2.034721385832528E-3</v>
      </c>
      <c r="S61" s="2"/>
      <c r="T61" s="6">
        <v>296.93</v>
      </c>
      <c r="U61" s="2"/>
      <c r="V61" s="7">
        <f t="shared" si="33"/>
        <v>8.7733779364740911E-5</v>
      </c>
      <c r="W61" s="2"/>
      <c r="X61" s="6">
        <f t="shared" si="34"/>
        <v>1386.8999999999999</v>
      </c>
      <c r="Y61" s="2"/>
      <c r="Z61" s="7">
        <f t="shared" si="35"/>
        <v>4.6707978311386515</v>
      </c>
    </row>
    <row r="62" spans="1:26" s="23" customFormat="1" hidden="1" outlineLevel="2" x14ac:dyDescent="0.25">
      <c r="A62" s="25"/>
      <c r="B62" s="10" t="str">
        <f>CONCATENATE("          ", "6375", " - ", "OUTSIDE REPAIRS &amp; MAINTENANCE")</f>
        <v xml:space="preserve">          6375 - OUTSIDE REPAIRS &amp; MAINTENANCE</v>
      </c>
      <c r="C62" s="10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0"/>
      <c r="P62" s="6">
        <v>1755.02</v>
      </c>
      <c r="Q62" s="2"/>
      <c r="R62" s="7">
        <f t="shared" si="32"/>
        <v>2.1207465875793894E-3</v>
      </c>
      <c r="S62" s="2"/>
      <c r="T62" s="6">
        <v>857.41</v>
      </c>
      <c r="U62" s="2"/>
      <c r="V62" s="7">
        <f t="shared" si="33"/>
        <v>2.5333856385384603E-4</v>
      </c>
      <c r="W62" s="2"/>
      <c r="X62" s="6">
        <f t="shared" si="34"/>
        <v>897.61</v>
      </c>
      <c r="Y62" s="2"/>
      <c r="Z62" s="7">
        <f t="shared" si="35"/>
        <v>1.0468853873875976</v>
      </c>
    </row>
    <row r="63" spans="1:26" s="26" customFormat="1" outlineLevel="1" collapsed="1" x14ac:dyDescent="0.25">
      <c r="A63" s="27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8494.9599999999991</v>
      </c>
      <c r="E63" s="1"/>
      <c r="F63" s="5">
        <f t="shared" ref="F63:F67" si="36">IF(D$12=0,0,D63/D$12)</f>
        <v>9.2540976945368641E-2</v>
      </c>
      <c r="G63" s="1"/>
      <c r="H63" s="1">
        <f>SUM(OSRRefH22_12x_0)</f>
        <v>6592.59</v>
      </c>
      <c r="I63" s="1"/>
      <c r="J63" s="5">
        <f t="shared" ref="J63:J67" si="37">IF(H$12=0,0,H63/H$12)</f>
        <v>1.7822208079393425E-2</v>
      </c>
      <c r="K63" s="1"/>
      <c r="L63" s="1">
        <f t="shared" ref="L63:L67" si="38">+D63-H63</f>
        <v>1902.369999999999</v>
      </c>
      <c r="M63" s="1"/>
      <c r="N63" s="5">
        <f t="shared" ref="N63:N67" si="39">IF(H63=0,0,L63/H63)</f>
        <v>0.28856185505241477</v>
      </c>
      <c r="O63" s="12"/>
      <c r="P63" s="1">
        <f>SUM(OSRRefP22_12x_0)</f>
        <v>46749.600000000006</v>
      </c>
      <c r="Q63" s="1"/>
      <c r="R63" s="5">
        <f t="shared" ref="R63:R67" si="40">IF(P$12=0,0,P63/P$12)</f>
        <v>5.6491695063703794E-2</v>
      </c>
      <c r="S63" s="1"/>
      <c r="T63" s="1">
        <f>SUM(OSRRefT22_12x_0)</f>
        <v>55540.79</v>
      </c>
      <c r="U63" s="1"/>
      <c r="V63" s="5">
        <f t="shared" ref="V63:V67" si="41">IF(T$12=0,0,T63/T$12)</f>
        <v>1.6410613328405373E-2</v>
      </c>
      <c r="W63" s="1"/>
      <c r="X63" s="1">
        <f t="shared" ref="X63:X67" si="42">+P63-T63</f>
        <v>-8791.1899999999951</v>
      </c>
      <c r="Y63" s="1"/>
      <c r="Z63" s="5">
        <f t="shared" ref="Z63:Z67" si="43">IF(T63=0,0,X63/T63)</f>
        <v>-0.15828348858559618</v>
      </c>
    </row>
    <row r="64" spans="1:26" s="23" customFormat="1" hidden="1" outlineLevel="2" x14ac:dyDescent="0.25">
      <c r="A64" s="25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421.34</v>
      </c>
      <c r="E64" s="2"/>
      <c r="F64" s="7">
        <f t="shared" si="36"/>
        <v>4.5899233458617378E-3</v>
      </c>
      <c r="G64" s="2"/>
      <c r="H64" s="6">
        <v>421.34</v>
      </c>
      <c r="I64" s="2"/>
      <c r="J64" s="7">
        <f t="shared" si="37"/>
        <v>1.139037791243142E-3</v>
      </c>
      <c r="K64" s="2"/>
      <c r="L64" s="6">
        <f t="shared" si="38"/>
        <v>0</v>
      </c>
      <c r="M64" s="2"/>
      <c r="N64" s="7">
        <f t="shared" si="39"/>
        <v>0</v>
      </c>
      <c r="O64" s="10"/>
      <c r="P64" s="6">
        <v>3238.76</v>
      </c>
      <c r="Q64" s="2"/>
      <c r="R64" s="7">
        <f t="shared" si="40"/>
        <v>3.9136814497775655E-3</v>
      </c>
      <c r="S64" s="2"/>
      <c r="T64" s="6">
        <v>4213.3999999999996</v>
      </c>
      <c r="U64" s="2"/>
      <c r="V64" s="7">
        <f t="shared" si="41"/>
        <v>1.2449314854524611E-3</v>
      </c>
      <c r="W64" s="2"/>
      <c r="X64" s="6">
        <f t="shared" si="42"/>
        <v>-974.63999999999942</v>
      </c>
      <c r="Y64" s="2"/>
      <c r="Z64" s="7">
        <f t="shared" si="43"/>
        <v>-0.23131912469739391</v>
      </c>
    </row>
    <row r="65" spans="1:26" s="23" customFormat="1" hidden="1" outlineLevel="2" x14ac:dyDescent="0.25">
      <c r="A65" s="25"/>
      <c r="B65" s="10" t="str">
        <f>CONCATENATE("          ", "6284", " - ", "TRASH REMOVAL EXPENSE")</f>
        <v xml:space="preserve">          6284 - TRASH REMOVAL EXPENSE</v>
      </c>
      <c r="C65" s="10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0"/>
      <c r="P65" s="6">
        <v>282.75</v>
      </c>
      <c r="Q65" s="2"/>
      <c r="R65" s="7">
        <f t="shared" si="40"/>
        <v>3.4167194541262909E-4</v>
      </c>
      <c r="S65" s="2"/>
      <c r="T65" s="6"/>
      <c r="U65" s="2"/>
      <c r="V65" s="7">
        <f t="shared" si="41"/>
        <v>0</v>
      </c>
      <c r="W65" s="2"/>
      <c r="X65" s="6">
        <f t="shared" si="42"/>
        <v>282.75</v>
      </c>
      <c r="Y65" s="2"/>
      <c r="Z65" s="7">
        <f t="shared" si="43"/>
        <v>0</v>
      </c>
    </row>
    <row r="66" spans="1:26" s="23" customFormat="1" hidden="1" outlineLevel="2" x14ac:dyDescent="0.25">
      <c r="A66" s="25"/>
      <c r="B66" s="10" t="str">
        <f>CONCATENATE("          ", "6285", " - ", "JANITORIAL SERVICES")</f>
        <v xml:space="preserve">          6285 - JANITORIAL SERVICES</v>
      </c>
      <c r="C66" s="10"/>
      <c r="D66" s="6">
        <v>7547.32</v>
      </c>
      <c r="E66" s="2"/>
      <c r="F66" s="7">
        <f t="shared" si="36"/>
        <v>8.2217734529570444E-2</v>
      </c>
      <c r="G66" s="2"/>
      <c r="H66" s="6">
        <v>5270.8</v>
      </c>
      <c r="I66" s="2"/>
      <c r="J66" s="7">
        <f t="shared" si="37"/>
        <v>1.4248921037842012E-2</v>
      </c>
      <c r="K66" s="2"/>
      <c r="L66" s="6">
        <f t="shared" si="38"/>
        <v>2276.5199999999995</v>
      </c>
      <c r="M66" s="2"/>
      <c r="N66" s="7">
        <f t="shared" si="39"/>
        <v>0.43191166426348931</v>
      </c>
      <c r="O66" s="10"/>
      <c r="P66" s="6">
        <v>36686.61</v>
      </c>
      <c r="Q66" s="2"/>
      <c r="R66" s="7">
        <f t="shared" si="40"/>
        <v>4.4331690218547881E-2</v>
      </c>
      <c r="S66" s="2"/>
      <c r="T66" s="6">
        <v>39813.519999999997</v>
      </c>
      <c r="U66" s="2"/>
      <c r="V66" s="7">
        <f t="shared" si="41"/>
        <v>1.1763683627163637E-2</v>
      </c>
      <c r="W66" s="2"/>
      <c r="X66" s="6">
        <f t="shared" si="42"/>
        <v>-3126.9099999999962</v>
      </c>
      <c r="Y66" s="2"/>
      <c r="Z66" s="7">
        <f t="shared" si="43"/>
        <v>-7.853889834408001E-2</v>
      </c>
    </row>
    <row r="67" spans="1:26" s="23" customFormat="1" hidden="1" outlineLevel="2" x14ac:dyDescent="0.25">
      <c r="A67" s="25"/>
      <c r="B67" s="10" t="str">
        <f>CONCATENATE("          ", "6286", " - ", "LAUNDRY EXPENSE")</f>
        <v xml:space="preserve">          6286 - LAUNDRY EXPENSE</v>
      </c>
      <c r="C67" s="10"/>
      <c r="D67" s="6">
        <v>526.29999999999995</v>
      </c>
      <c r="E67" s="2"/>
      <c r="F67" s="7">
        <f t="shared" si="36"/>
        <v>5.7333190699364704E-3</v>
      </c>
      <c r="G67" s="2"/>
      <c r="H67" s="6">
        <v>900.45</v>
      </c>
      <c r="I67" s="2"/>
      <c r="J67" s="7">
        <f t="shared" si="37"/>
        <v>2.4342492503082718E-3</v>
      </c>
      <c r="K67" s="2"/>
      <c r="L67" s="6">
        <f t="shared" si="38"/>
        <v>-374.15000000000009</v>
      </c>
      <c r="M67" s="2"/>
      <c r="N67" s="7">
        <f t="shared" si="39"/>
        <v>-0.41551446498972744</v>
      </c>
      <c r="O67" s="10"/>
      <c r="P67" s="6">
        <v>6541.48</v>
      </c>
      <c r="Q67" s="2"/>
      <c r="R67" s="7">
        <f t="shared" si="40"/>
        <v>7.9046514499657109E-3</v>
      </c>
      <c r="S67" s="2"/>
      <c r="T67" s="6">
        <v>11513.87</v>
      </c>
      <c r="U67" s="2"/>
      <c r="V67" s="7">
        <f t="shared" si="41"/>
        <v>3.4019982157892752E-3</v>
      </c>
      <c r="W67" s="2"/>
      <c r="X67" s="6">
        <f t="shared" si="42"/>
        <v>-4972.3900000000012</v>
      </c>
      <c r="Y67" s="2"/>
      <c r="Z67" s="7">
        <f t="shared" si="43"/>
        <v>-0.43186087735921985</v>
      </c>
    </row>
    <row r="68" spans="1:26" s="26" customFormat="1" outlineLevel="1" collapsed="1" x14ac:dyDescent="0.25">
      <c r="A68" s="27"/>
      <c r="B68" s="12" t="str">
        <f>CONCATENATE("     ","Subscriptions &amp; Dues                              ")</f>
        <v xml:space="preserve">     Subscriptions &amp; Dues                              </v>
      </c>
      <c r="C68" s="12"/>
      <c r="D68" s="1">
        <f>SUM(OSRRefD22_13x_0)</f>
        <v>0</v>
      </c>
      <c r="E68" s="1"/>
      <c r="F68" s="5">
        <f t="shared" ref="F68:F79" si="44">IF(D$12=0,0,D68/D$12)</f>
        <v>0</v>
      </c>
      <c r="G68" s="1"/>
      <c r="H68" s="1">
        <f>SUM(OSRRefH22_13x_0)</f>
        <v>0</v>
      </c>
      <c r="I68" s="1"/>
      <c r="J68" s="5">
        <f t="shared" ref="J68:J79" si="45">IF(H$12=0,0,H68/H$12)</f>
        <v>0</v>
      </c>
      <c r="K68" s="1"/>
      <c r="L68" s="1">
        <f t="shared" ref="L68:L79" si="46">+D68-H68</f>
        <v>0</v>
      </c>
      <c r="M68" s="1"/>
      <c r="N68" s="5">
        <f t="shared" ref="N68:N79" si="47">IF(H68=0,0,L68/H68)</f>
        <v>0</v>
      </c>
      <c r="O68" s="12"/>
      <c r="P68" s="1">
        <f>SUM(OSRRefP22_13x_0)</f>
        <v>795</v>
      </c>
      <c r="Q68" s="1"/>
      <c r="R68" s="5">
        <f t="shared" ref="R68:R79" si="48">IF(P$12=0,0,P68/P$12)</f>
        <v>9.6066913033789612E-4</v>
      </c>
      <c r="S68" s="1"/>
      <c r="T68" s="1">
        <f>SUM(OSRRefT22_13x_0)</f>
        <v>0</v>
      </c>
      <c r="U68" s="1"/>
      <c r="V68" s="5">
        <f t="shared" ref="V68:V79" si="49">IF(T$12=0,0,T68/T$12)</f>
        <v>0</v>
      </c>
      <c r="W68" s="1"/>
      <c r="X68" s="1">
        <f t="shared" ref="X68:X79" si="50">+P68-T68</f>
        <v>795</v>
      </c>
      <c r="Y68" s="1"/>
      <c r="Z68" s="5">
        <f t="shared" ref="Z68:Z79" si="51">IF(T68=0,0,X68/T68)</f>
        <v>0</v>
      </c>
    </row>
    <row r="69" spans="1:26" s="23" customFormat="1" hidden="1" outlineLevel="2" x14ac:dyDescent="0.25">
      <c r="A69" s="25"/>
      <c r="B69" s="10" t="str">
        <f>CONCATENATE("          ", "6258", " - ", "MEMBERSHIP DUES")</f>
        <v xml:space="preserve">          6258 - MEMBERSHIP DUES</v>
      </c>
      <c r="C69" s="10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0"/>
      <c r="P69" s="6">
        <v>795</v>
      </c>
      <c r="Q69" s="2"/>
      <c r="R69" s="7">
        <f t="shared" si="48"/>
        <v>9.6066913033789612E-4</v>
      </c>
      <c r="S69" s="2"/>
      <c r="T69" s="6"/>
      <c r="U69" s="2"/>
      <c r="V69" s="7">
        <f t="shared" si="49"/>
        <v>0</v>
      </c>
      <c r="W69" s="2"/>
      <c r="X69" s="6">
        <f t="shared" si="50"/>
        <v>795</v>
      </c>
      <c r="Y69" s="2"/>
      <c r="Z69" s="7">
        <f t="shared" si="51"/>
        <v>0</v>
      </c>
    </row>
    <row r="70" spans="1:26" s="26" customFormat="1" outlineLevel="1" collapsed="1" x14ac:dyDescent="0.25">
      <c r="A70" s="27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SUM(OSRRefD22_14x_0)</f>
        <v>7449.67</v>
      </c>
      <c r="E70" s="1"/>
      <c r="F70" s="5">
        <f t="shared" si="44"/>
        <v>8.1153971263031796E-2</v>
      </c>
      <c r="G70" s="1"/>
      <c r="H70" s="1">
        <f>SUM(OSRRefH22_14x_0)</f>
        <v>5275.29</v>
      </c>
      <c r="I70" s="1"/>
      <c r="J70" s="5">
        <f t="shared" si="45"/>
        <v>1.4261059167814675E-2</v>
      </c>
      <c r="K70" s="1"/>
      <c r="L70" s="1">
        <f t="shared" si="46"/>
        <v>2174.38</v>
      </c>
      <c r="M70" s="1"/>
      <c r="N70" s="5">
        <f t="shared" si="47"/>
        <v>0.41218207908949084</v>
      </c>
      <c r="O70" s="12"/>
      <c r="P70" s="1">
        <f>SUM(OSRRefP22_14x_0)</f>
        <v>104899.34999999999</v>
      </c>
      <c r="Q70" s="1"/>
      <c r="R70" s="5">
        <f t="shared" si="48"/>
        <v>0.1267592041981265</v>
      </c>
      <c r="S70" s="1"/>
      <c r="T70" s="1">
        <f>SUM(OSRRefT22_14x_0)</f>
        <v>77045.259999999995</v>
      </c>
      <c r="U70" s="1"/>
      <c r="V70" s="5">
        <f t="shared" si="49"/>
        <v>2.2764529828374017E-2</v>
      </c>
      <c r="W70" s="1"/>
      <c r="X70" s="1">
        <f t="shared" si="50"/>
        <v>27854.089999999997</v>
      </c>
      <c r="Y70" s="1"/>
      <c r="Z70" s="5">
        <f t="shared" si="51"/>
        <v>0.36152892468660625</v>
      </c>
    </row>
    <row r="71" spans="1:26" s="23" customFormat="1" hidden="1" outlineLevel="2" x14ac:dyDescent="0.25">
      <c r="A71" s="25"/>
      <c r="B71" s="10" t="str">
        <f>CONCATENATE("          ", "6234", " - ", "EXPENDABLE SUPPLIES &amp; EQUIPMEN")</f>
        <v xml:space="preserve">          6234 - EXPENDABLE SUPPLIES &amp; EQUIPMEN</v>
      </c>
      <c r="C71" s="10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0"/>
      <c r="P71" s="6"/>
      <c r="Q71" s="2"/>
      <c r="R71" s="7">
        <f t="shared" si="48"/>
        <v>0</v>
      </c>
      <c r="S71" s="2"/>
      <c r="T71" s="6">
        <v>118.34</v>
      </c>
      <c r="U71" s="2"/>
      <c r="V71" s="7">
        <f t="shared" si="49"/>
        <v>3.4965868891736903E-5</v>
      </c>
      <c r="W71" s="2"/>
      <c r="X71" s="6">
        <f t="shared" si="50"/>
        <v>-118.34</v>
      </c>
      <c r="Y71" s="2"/>
      <c r="Z71" s="7">
        <f t="shared" si="51"/>
        <v>-1</v>
      </c>
    </row>
    <row r="72" spans="1:26" s="23" customFormat="1" hidden="1" outlineLevel="2" x14ac:dyDescent="0.25">
      <c r="A72" s="25"/>
      <c r="B72" s="10" t="str">
        <f>CONCATENATE("          ", "6235", " - ", "COVID-19 EXPENSES")</f>
        <v xml:space="preserve">          6235 - COVID-19 EXPENSES</v>
      </c>
      <c r="C72" s="10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0"/>
      <c r="P72" s="6">
        <v>47255.27</v>
      </c>
      <c r="Q72" s="2"/>
      <c r="R72" s="7">
        <f t="shared" si="48"/>
        <v>5.7102741050040845E-2</v>
      </c>
      <c r="S72" s="2"/>
      <c r="T72" s="6"/>
      <c r="U72" s="2"/>
      <c r="V72" s="7">
        <f t="shared" si="49"/>
        <v>0</v>
      </c>
      <c r="W72" s="2"/>
      <c r="X72" s="6">
        <f t="shared" si="50"/>
        <v>47255.27</v>
      </c>
      <c r="Y72" s="2"/>
      <c r="Z72" s="7">
        <f t="shared" si="51"/>
        <v>0</v>
      </c>
    </row>
    <row r="73" spans="1:26" s="23" customFormat="1" hidden="1" outlineLevel="2" x14ac:dyDescent="0.25">
      <c r="A73" s="25"/>
      <c r="B73" s="10" t="str">
        <f>CONCATENATE("          ", "6237", " - ", "JANITORIAL SUPPLIES")</f>
        <v xml:space="preserve">          6237 - JANITORIAL SUPPLIES</v>
      </c>
      <c r="C73" s="10"/>
      <c r="D73" s="6">
        <v>1954.49</v>
      </c>
      <c r="E73" s="2"/>
      <c r="F73" s="7">
        <f t="shared" si="44"/>
        <v>2.1291496844005574E-2</v>
      </c>
      <c r="G73" s="2"/>
      <c r="H73" s="6">
        <v>3606.17</v>
      </c>
      <c r="I73" s="2"/>
      <c r="J73" s="7">
        <f t="shared" si="45"/>
        <v>9.7488107268412245E-3</v>
      </c>
      <c r="K73" s="2"/>
      <c r="L73" s="6">
        <f t="shared" si="46"/>
        <v>-1651.68</v>
      </c>
      <c r="M73" s="2"/>
      <c r="N73" s="7">
        <f t="shared" si="47"/>
        <v>-0.45801501315800419</v>
      </c>
      <c r="O73" s="10"/>
      <c r="P73" s="6">
        <v>15149.36</v>
      </c>
      <c r="Q73" s="2"/>
      <c r="R73" s="7">
        <f t="shared" si="48"/>
        <v>1.8306317605504038E-2</v>
      </c>
      <c r="S73" s="2"/>
      <c r="T73" s="6">
        <v>34490.58</v>
      </c>
      <c r="U73" s="2"/>
      <c r="V73" s="7">
        <f t="shared" si="49"/>
        <v>1.0190916835220238E-2</v>
      </c>
      <c r="W73" s="2"/>
      <c r="X73" s="6">
        <f t="shared" si="50"/>
        <v>-19341.22</v>
      </c>
      <c r="Y73" s="2"/>
      <c r="Z73" s="7">
        <f t="shared" si="51"/>
        <v>-0.56076818655992444</v>
      </c>
    </row>
    <row r="74" spans="1:26" s="23" customFormat="1" hidden="1" outlineLevel="2" x14ac:dyDescent="0.25">
      <c r="A74" s="25"/>
      <c r="B74" s="10" t="str">
        <f>CONCATENATE("          ", "6239", " - ", "KITCHEN SUPPLIES")</f>
        <v xml:space="preserve">          6239 - KITCHEN SUPPLIES</v>
      </c>
      <c r="C74" s="10"/>
      <c r="D74" s="6">
        <v>39.75</v>
      </c>
      <c r="E74" s="2"/>
      <c r="F74" s="7">
        <f t="shared" si="44"/>
        <v>4.3302191341435442E-4</v>
      </c>
      <c r="G74" s="2"/>
      <c r="H74" s="6">
        <v>19</v>
      </c>
      <c r="I74" s="2"/>
      <c r="J74" s="7">
        <f t="shared" si="45"/>
        <v>5.1364024383205251E-5</v>
      </c>
      <c r="K74" s="2"/>
      <c r="L74" s="6">
        <f t="shared" si="46"/>
        <v>20.75</v>
      </c>
      <c r="M74" s="2"/>
      <c r="N74" s="7">
        <f t="shared" si="47"/>
        <v>1.0921052631578947</v>
      </c>
      <c r="O74" s="10"/>
      <c r="P74" s="6">
        <v>6056.01</v>
      </c>
      <c r="Q74" s="2"/>
      <c r="R74" s="7">
        <f t="shared" si="48"/>
        <v>7.3180149182611358E-3</v>
      </c>
      <c r="S74" s="2"/>
      <c r="T74" s="6">
        <v>16573.400000000001</v>
      </c>
      <c r="U74" s="2"/>
      <c r="V74" s="7">
        <f t="shared" si="49"/>
        <v>4.8969353683480854E-3</v>
      </c>
      <c r="W74" s="2"/>
      <c r="X74" s="6">
        <f t="shared" si="50"/>
        <v>-10517.390000000001</v>
      </c>
      <c r="Y74" s="2"/>
      <c r="Z74" s="7">
        <f t="shared" si="51"/>
        <v>-0.63459459133310003</v>
      </c>
    </row>
    <row r="75" spans="1:26" s="23" customFormat="1" hidden="1" outlineLevel="2" x14ac:dyDescent="0.25">
      <c r="A75" s="25"/>
      <c r="B75" s="10" t="str">
        <f>CONCATENATE("          ", "6241", " - ", "OFFICE EXPENSE")</f>
        <v xml:space="preserve">          6241 - OFFICE EXPENSE</v>
      </c>
      <c r="C75" s="10"/>
      <c r="D75" s="6">
        <v>1367.37</v>
      </c>
      <c r="E75" s="2"/>
      <c r="F75" s="7">
        <f t="shared" si="44"/>
        <v>1.4895627012462534E-2</v>
      </c>
      <c r="G75" s="2"/>
      <c r="H75" s="6">
        <v>195.05</v>
      </c>
      <c r="I75" s="2"/>
      <c r="J75" s="7">
        <f t="shared" si="45"/>
        <v>5.272922608391676E-4</v>
      </c>
      <c r="K75" s="2"/>
      <c r="L75" s="6">
        <f t="shared" si="46"/>
        <v>1172.32</v>
      </c>
      <c r="M75" s="2"/>
      <c r="N75" s="7">
        <f t="shared" si="47"/>
        <v>6.0103563188925913</v>
      </c>
      <c r="O75" s="10"/>
      <c r="P75" s="6">
        <v>6606.12</v>
      </c>
      <c r="Q75" s="2"/>
      <c r="R75" s="7">
        <f t="shared" si="48"/>
        <v>7.9827617047896638E-3</v>
      </c>
      <c r="S75" s="2"/>
      <c r="T75" s="6">
        <v>3279.53</v>
      </c>
      <c r="U75" s="2"/>
      <c r="V75" s="7">
        <f t="shared" si="49"/>
        <v>9.6900131829067034E-4</v>
      </c>
      <c r="W75" s="2"/>
      <c r="X75" s="6">
        <f t="shared" si="50"/>
        <v>3326.5899999999997</v>
      </c>
      <c r="Y75" s="2"/>
      <c r="Z75" s="7">
        <f t="shared" si="51"/>
        <v>1.0143496171707529</v>
      </c>
    </row>
    <row r="76" spans="1:26" s="23" customFormat="1" hidden="1" outlineLevel="2" x14ac:dyDescent="0.25">
      <c r="A76" s="25"/>
      <c r="B76" s="10" t="str">
        <f>CONCATENATE("          ", "6243", " - ", "PAPER SUPPLIES")</f>
        <v xml:space="preserve">          6243 - PAPER SUPPLIES</v>
      </c>
      <c r="C76" s="10"/>
      <c r="D76" s="6">
        <v>4088.06</v>
      </c>
      <c r="E76" s="2"/>
      <c r="F76" s="7">
        <f t="shared" si="44"/>
        <v>4.4533825493149326E-2</v>
      </c>
      <c r="G76" s="2"/>
      <c r="H76" s="6">
        <v>1455.07</v>
      </c>
      <c r="I76" s="2"/>
      <c r="J76" s="7">
        <f t="shared" si="45"/>
        <v>3.9335921557510766E-3</v>
      </c>
      <c r="K76" s="2"/>
      <c r="L76" s="6">
        <f t="shared" si="46"/>
        <v>2632.99</v>
      </c>
      <c r="M76" s="2"/>
      <c r="N76" s="7">
        <f t="shared" si="47"/>
        <v>1.8095280639419409</v>
      </c>
      <c r="O76" s="10"/>
      <c r="P76" s="6">
        <v>25332</v>
      </c>
      <c r="Q76" s="2"/>
      <c r="R76" s="7">
        <f t="shared" si="48"/>
        <v>3.0610906175747906E-2</v>
      </c>
      <c r="S76" s="2"/>
      <c r="T76" s="6">
        <v>19420.62</v>
      </c>
      <c r="U76" s="2"/>
      <c r="V76" s="7">
        <f t="shared" si="49"/>
        <v>5.738202236912654E-3</v>
      </c>
      <c r="W76" s="2"/>
      <c r="X76" s="6">
        <f t="shared" si="50"/>
        <v>5911.380000000001</v>
      </c>
      <c r="Y76" s="2"/>
      <c r="Z76" s="7">
        <f t="shared" si="51"/>
        <v>0.30438678064860963</v>
      </c>
    </row>
    <row r="77" spans="1:26" s="23" customFormat="1" hidden="1" outlineLevel="2" x14ac:dyDescent="0.25">
      <c r="A77" s="25"/>
      <c r="B77" s="10" t="str">
        <f>CONCATENATE("          ", "6245", " - ", "PRINTING")</f>
        <v xml:space="preserve">          6245 - PRINTING</v>
      </c>
      <c r="C77" s="10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0"/>
      <c r="P77" s="6"/>
      <c r="Q77" s="2"/>
      <c r="R77" s="7">
        <f t="shared" si="48"/>
        <v>0</v>
      </c>
      <c r="S77" s="2"/>
      <c r="T77" s="6">
        <v>441</v>
      </c>
      <c r="U77" s="2"/>
      <c r="V77" s="7">
        <f t="shared" si="49"/>
        <v>1.3030208028778074E-4</v>
      </c>
      <c r="W77" s="2"/>
      <c r="X77" s="6">
        <f t="shared" si="50"/>
        <v>-441</v>
      </c>
      <c r="Y77" s="2"/>
      <c r="Z77" s="7">
        <f t="shared" si="51"/>
        <v>-1</v>
      </c>
    </row>
    <row r="78" spans="1:26" s="23" customFormat="1" hidden="1" outlineLevel="2" x14ac:dyDescent="0.25">
      <c r="A78" s="25"/>
      <c r="B78" s="10" t="str">
        <f>CONCATENATE("          ", "6247", " - ", "STORE SUPPLIES")</f>
        <v xml:space="preserve">          6247 - STORE SUPPLIES</v>
      </c>
      <c r="C78" s="10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0"/>
      <c r="P78" s="6"/>
      <c r="Q78" s="2"/>
      <c r="R78" s="7">
        <f t="shared" si="48"/>
        <v>0</v>
      </c>
      <c r="S78" s="2"/>
      <c r="T78" s="6">
        <v>153.87</v>
      </c>
      <c r="U78" s="2"/>
      <c r="V78" s="7">
        <f t="shared" si="49"/>
        <v>4.5463902707212753E-5</v>
      </c>
      <c r="W78" s="2"/>
      <c r="X78" s="6">
        <f t="shared" si="50"/>
        <v>-153.87</v>
      </c>
      <c r="Y78" s="2"/>
      <c r="Z78" s="7">
        <f t="shared" si="51"/>
        <v>-1</v>
      </c>
    </row>
    <row r="79" spans="1:26" s="23" customFormat="1" hidden="1" outlineLevel="2" x14ac:dyDescent="0.25">
      <c r="A79" s="25"/>
      <c r="B79" s="10" t="str">
        <f>CONCATENATE("          ", "6248", " - ", "UNIFORMS")</f>
        <v xml:space="preserve">          6248 - UNIFORMS</v>
      </c>
      <c r="C79" s="10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0"/>
      <c r="P79" s="6">
        <v>4500.59</v>
      </c>
      <c r="Q79" s="2"/>
      <c r="R79" s="7">
        <f t="shared" si="48"/>
        <v>5.4384627437829335E-3</v>
      </c>
      <c r="S79" s="2"/>
      <c r="T79" s="6">
        <v>2567.92</v>
      </c>
      <c r="U79" s="2"/>
      <c r="V79" s="7">
        <f t="shared" si="49"/>
        <v>7.587422177156416E-4</v>
      </c>
      <c r="W79" s="2"/>
      <c r="X79" s="6">
        <f t="shared" si="50"/>
        <v>1932.67</v>
      </c>
      <c r="Y79" s="2"/>
      <c r="Z79" s="7">
        <f t="shared" si="51"/>
        <v>0.75262079815570582</v>
      </c>
    </row>
    <row r="80" spans="1:26" s="26" customFormat="1" outlineLevel="1" collapsed="1" x14ac:dyDescent="0.25">
      <c r="A80" s="27"/>
      <c r="B80" s="12" t="str">
        <f>CONCATENATE("     ","Telephone/Data Lines                              ")</f>
        <v xml:space="preserve">     Telephone/Data Lines                              </v>
      </c>
      <c r="C80" s="12"/>
      <c r="D80" s="1">
        <f>SUM(OSRRefD22_15x_0)</f>
        <v>159</v>
      </c>
      <c r="E80" s="1"/>
      <c r="F80" s="5">
        <f t="shared" ref="F80:F85" si="52">IF(D$12=0,0,D80/D$12)</f>
        <v>1.7320876536574177E-3</v>
      </c>
      <c r="G80" s="1"/>
      <c r="H80" s="1">
        <f>SUM(OSRRefH22_15x_0)</f>
        <v>269.45</v>
      </c>
      <c r="I80" s="1"/>
      <c r="J80" s="5">
        <f t="shared" ref="J80:J85" si="53">IF(H$12=0,0,H80/H$12)</f>
        <v>7.2842296684498173E-4</v>
      </c>
      <c r="K80" s="1"/>
      <c r="L80" s="1">
        <f t="shared" ref="L80:L85" si="54">+D80-H80</f>
        <v>-110.44999999999999</v>
      </c>
      <c r="M80" s="1"/>
      <c r="N80" s="5">
        <f t="shared" ref="N80:N85" si="55">IF(H80=0,0,L80/H80)</f>
        <v>-0.4099090740397105</v>
      </c>
      <c r="O80" s="12"/>
      <c r="P80" s="1">
        <f>SUM(OSRRefP22_15x_0)</f>
        <v>2182</v>
      </c>
      <c r="Q80" s="1"/>
      <c r="R80" s="5">
        <f t="shared" ref="R80:R85" si="56">IF(P$12=0,0,P80/P$12)</f>
        <v>2.636704455845647E-3</v>
      </c>
      <c r="S80" s="1"/>
      <c r="T80" s="1">
        <f>SUM(OSRRefT22_15x_0)</f>
        <v>2758.65</v>
      </c>
      <c r="U80" s="1"/>
      <c r="V80" s="5">
        <f t="shared" ref="V80:V85" si="57">IF(T$12=0,0,T80/T$12)</f>
        <v>8.1509712876618227E-4</v>
      </c>
      <c r="W80" s="1"/>
      <c r="X80" s="1">
        <f t="shared" ref="X80:X85" si="58">+P80-T80</f>
        <v>-576.65000000000009</v>
      </c>
      <c r="Y80" s="1"/>
      <c r="Z80" s="5">
        <f t="shared" ref="Z80:Z85" si="59">IF(T80=0,0,X80/T80)</f>
        <v>-0.2090334040200823</v>
      </c>
    </row>
    <row r="81" spans="1:26" s="23" customFormat="1" hidden="1" outlineLevel="2" x14ac:dyDescent="0.25">
      <c r="A81" s="25"/>
      <c r="B81" s="10" t="str">
        <f>CONCATENATE("          ", "6309", " - ", "TELEPHONE")</f>
        <v xml:space="preserve">          6309 - TELEPHONE</v>
      </c>
      <c r="C81" s="10"/>
      <c r="D81" s="6">
        <v>159</v>
      </c>
      <c r="E81" s="2"/>
      <c r="F81" s="7">
        <f t="shared" si="52"/>
        <v>1.7320876536574177E-3</v>
      </c>
      <c r="G81" s="2"/>
      <c r="H81" s="6">
        <v>269.45</v>
      </c>
      <c r="I81" s="2"/>
      <c r="J81" s="7">
        <f t="shared" si="53"/>
        <v>7.2842296684498173E-4</v>
      </c>
      <c r="K81" s="2"/>
      <c r="L81" s="6">
        <f t="shared" si="54"/>
        <v>-110.44999999999999</v>
      </c>
      <c r="M81" s="2"/>
      <c r="N81" s="7">
        <f t="shared" si="55"/>
        <v>-0.4099090740397105</v>
      </c>
      <c r="O81" s="10"/>
      <c r="P81" s="6">
        <v>2182</v>
      </c>
      <c r="Q81" s="2"/>
      <c r="R81" s="7">
        <f t="shared" si="56"/>
        <v>2.636704455845647E-3</v>
      </c>
      <c r="S81" s="2"/>
      <c r="T81" s="6">
        <v>2758.65</v>
      </c>
      <c r="U81" s="2"/>
      <c r="V81" s="7">
        <f t="shared" si="57"/>
        <v>8.1509712876618227E-4</v>
      </c>
      <c r="W81" s="2"/>
      <c r="X81" s="6">
        <f t="shared" si="58"/>
        <v>-576.65000000000009</v>
      </c>
      <c r="Y81" s="2"/>
      <c r="Z81" s="7">
        <f t="shared" si="59"/>
        <v>-0.2090334040200823</v>
      </c>
    </row>
    <row r="82" spans="1:26" s="26" customFormat="1" outlineLevel="1" collapsed="1" x14ac:dyDescent="0.25">
      <c r="A82" s="27"/>
      <c r="B82" s="12" t="str">
        <f>CONCATENATE("     ","Training                                          ")</f>
        <v xml:space="preserve">     Training                                          </v>
      </c>
      <c r="C82" s="12"/>
      <c r="D82" s="1">
        <f>SUM(OSRRefD22_16x_0)</f>
        <v>0</v>
      </c>
      <c r="E82" s="1"/>
      <c r="F82" s="5">
        <f t="shared" si="52"/>
        <v>0</v>
      </c>
      <c r="G82" s="1"/>
      <c r="H82" s="1">
        <f>SUM(OSRRefH22_16x_0)</f>
        <v>0</v>
      </c>
      <c r="I82" s="1"/>
      <c r="J82" s="5">
        <f t="shared" si="53"/>
        <v>0</v>
      </c>
      <c r="K82" s="1"/>
      <c r="L82" s="1">
        <f t="shared" si="54"/>
        <v>0</v>
      </c>
      <c r="M82" s="1"/>
      <c r="N82" s="5">
        <f t="shared" si="55"/>
        <v>0</v>
      </c>
      <c r="O82" s="12"/>
      <c r="P82" s="1">
        <f>SUM(OSRRefP22_16x_0)</f>
        <v>735</v>
      </c>
      <c r="Q82" s="1"/>
      <c r="R82" s="5">
        <f t="shared" si="56"/>
        <v>8.8816579974635682E-4</v>
      </c>
      <c r="S82" s="1"/>
      <c r="T82" s="1">
        <f>SUM(OSRRefT22_16x_0)</f>
        <v>1112.43</v>
      </c>
      <c r="U82" s="1"/>
      <c r="V82" s="5">
        <f t="shared" si="57"/>
        <v>3.2868921354770058E-4</v>
      </c>
      <c r="W82" s="1"/>
      <c r="X82" s="1">
        <f t="shared" si="58"/>
        <v>-377.43000000000006</v>
      </c>
      <c r="Y82" s="1"/>
      <c r="Z82" s="5">
        <f t="shared" si="59"/>
        <v>-0.33928426957201807</v>
      </c>
    </row>
    <row r="83" spans="1:26" s="23" customFormat="1" hidden="1" outlineLevel="2" x14ac:dyDescent="0.25">
      <c r="A83" s="25"/>
      <c r="B83" s="10" t="str">
        <f>CONCATENATE("          ", "6376", " - ", "TRAINING")</f>
        <v xml:space="preserve">          6376 - TRAINING</v>
      </c>
      <c r="C83" s="10"/>
      <c r="D83" s="6"/>
      <c r="E83" s="2"/>
      <c r="F83" s="7">
        <f t="shared" si="52"/>
        <v>0</v>
      </c>
      <c r="G83" s="2"/>
      <c r="H83" s="6"/>
      <c r="I83" s="2"/>
      <c r="J83" s="7">
        <f t="shared" si="53"/>
        <v>0</v>
      </c>
      <c r="K83" s="2"/>
      <c r="L83" s="6">
        <f t="shared" si="54"/>
        <v>0</v>
      </c>
      <c r="M83" s="2"/>
      <c r="N83" s="7">
        <f t="shared" si="55"/>
        <v>0</v>
      </c>
      <c r="O83" s="10"/>
      <c r="P83" s="6">
        <v>735</v>
      </c>
      <c r="Q83" s="2"/>
      <c r="R83" s="7">
        <f t="shared" si="56"/>
        <v>8.8816579974635682E-4</v>
      </c>
      <c r="S83" s="2"/>
      <c r="T83" s="6">
        <v>1112.43</v>
      </c>
      <c r="U83" s="2"/>
      <c r="V83" s="7">
        <f t="shared" si="57"/>
        <v>3.2868921354770058E-4</v>
      </c>
      <c r="W83" s="2"/>
      <c r="X83" s="6">
        <f t="shared" si="58"/>
        <v>-377.43000000000006</v>
      </c>
      <c r="Y83" s="2"/>
      <c r="Z83" s="7">
        <f t="shared" si="59"/>
        <v>-0.33928426957201807</v>
      </c>
    </row>
    <row r="84" spans="1:26" s="26" customFormat="1" outlineLevel="1" collapsed="1" x14ac:dyDescent="0.25">
      <c r="A84" s="27"/>
      <c r="B84" s="12" t="str">
        <f>CONCATENATE("     ","Travel                                            ")</f>
        <v xml:space="preserve">     Travel                                            </v>
      </c>
      <c r="C84" s="12"/>
      <c r="D84" s="1">
        <f>SUM(OSRRefD22_17x_0)</f>
        <v>0</v>
      </c>
      <c r="E84" s="1"/>
      <c r="F84" s="5">
        <f t="shared" si="52"/>
        <v>0</v>
      </c>
      <c r="G84" s="1"/>
      <c r="H84" s="1">
        <f>SUM(OSRRefH22_17x_0)</f>
        <v>0</v>
      </c>
      <c r="I84" s="1"/>
      <c r="J84" s="5">
        <f t="shared" si="53"/>
        <v>0</v>
      </c>
      <c r="K84" s="1"/>
      <c r="L84" s="1">
        <f t="shared" si="54"/>
        <v>0</v>
      </c>
      <c r="M84" s="1"/>
      <c r="N84" s="5">
        <f t="shared" si="55"/>
        <v>0</v>
      </c>
      <c r="O84" s="12"/>
      <c r="P84" s="1">
        <f>SUM(OSRRefP22_17x_0)</f>
        <v>0</v>
      </c>
      <c r="Q84" s="1"/>
      <c r="R84" s="5">
        <f t="shared" si="56"/>
        <v>0</v>
      </c>
      <c r="S84" s="1"/>
      <c r="T84" s="1">
        <f>SUM(OSRRefT22_17x_0)</f>
        <v>59.14</v>
      </c>
      <c r="U84" s="1"/>
      <c r="V84" s="5">
        <f t="shared" si="57"/>
        <v>1.7474070358774046E-5</v>
      </c>
      <c r="W84" s="1"/>
      <c r="X84" s="1">
        <f t="shared" si="58"/>
        <v>-59.14</v>
      </c>
      <c r="Y84" s="1"/>
      <c r="Z84" s="5">
        <f t="shared" si="59"/>
        <v>-1</v>
      </c>
    </row>
    <row r="85" spans="1:26" s="23" customFormat="1" hidden="1" outlineLevel="2" x14ac:dyDescent="0.25">
      <c r="A85" s="25"/>
      <c r="B85" s="10" t="str">
        <f>CONCATENATE("          ", "6292", " - ", "TRAVEL/CONFERENCE")</f>
        <v xml:space="preserve">          6292 - TRAVEL/CONFERENCE</v>
      </c>
      <c r="C85" s="10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0"/>
      <c r="P85" s="6"/>
      <c r="Q85" s="2"/>
      <c r="R85" s="7">
        <f t="shared" si="56"/>
        <v>0</v>
      </c>
      <c r="S85" s="2"/>
      <c r="T85" s="6">
        <v>59.14</v>
      </c>
      <c r="U85" s="2"/>
      <c r="V85" s="7">
        <f t="shared" si="57"/>
        <v>1.7474070358774046E-5</v>
      </c>
      <c r="W85" s="2"/>
      <c r="X85" s="6">
        <f t="shared" si="58"/>
        <v>-59.14</v>
      </c>
      <c r="Y85" s="2"/>
      <c r="Z85" s="7">
        <f t="shared" si="59"/>
        <v>-1</v>
      </c>
    </row>
    <row r="86" spans="1:26" s="60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4" customFormat="1" x14ac:dyDescent="0.25">
      <c r="A87" s="11"/>
      <c r="B87" s="28" t="s">
        <v>292</v>
      </c>
      <c r="C87" s="11"/>
      <c r="D87" s="4">
        <f>SUM(0)</f>
        <v>0</v>
      </c>
      <c r="E87" s="4"/>
      <c r="F87" s="13">
        <f>IF(D$12=0,0,D87/D$12)</f>
        <v>0</v>
      </c>
      <c r="G87" s="4"/>
      <c r="H87" s="4">
        <f>SUM(0)</f>
        <v>0</v>
      </c>
      <c r="I87" s="4"/>
      <c r="J87" s="13">
        <f>IF(H$12=0,0,H87/H$12)</f>
        <v>0</v>
      </c>
      <c r="K87" s="4"/>
      <c r="L87" s="4">
        <f>+D87-H87</f>
        <v>0</v>
      </c>
      <c r="M87" s="4"/>
      <c r="N87" s="13">
        <f>IF(H87=0,0,L87/H87)</f>
        <v>0</v>
      </c>
      <c r="O87" s="11"/>
      <c r="P87" s="4">
        <f>SUM(0)</f>
        <v>0</v>
      </c>
      <c r="Q87" s="4"/>
      <c r="R87" s="13">
        <f>IF(P$12=0,0,P87/P$12)</f>
        <v>0</v>
      </c>
      <c r="S87" s="4"/>
      <c r="T87" s="4">
        <f>SUM(0)</f>
        <v>0</v>
      </c>
      <c r="U87" s="4"/>
      <c r="V87" s="13">
        <f>IF(T$12=0,0,T87/T$12)</f>
        <v>0</v>
      </c>
      <c r="W87" s="4"/>
      <c r="X87" s="4">
        <f>+P87-T87</f>
        <v>0</v>
      </c>
      <c r="Y87" s="4"/>
      <c r="Z87" s="13">
        <f>IF(T87=0,0,X87/T87)</f>
        <v>0</v>
      </c>
    </row>
    <row r="88" spans="1:26" x14ac:dyDescent="0.25">
      <c r="A88" s="9"/>
      <c r="B88" s="11"/>
      <c r="C88" s="11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1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x14ac:dyDescent="0.25">
      <c r="A89" s="11"/>
      <c r="B89" s="29" t="s">
        <v>276</v>
      </c>
      <c r="C89" s="29"/>
      <c r="D89" s="22">
        <f>+D21-D23+D87</f>
        <v>-69051.270000000019</v>
      </c>
      <c r="E89" s="14"/>
      <c r="F89" s="20">
        <f>IF(D$12=0,0,D89/D$12)</f>
        <v>-0.75221919645512492</v>
      </c>
      <c r="G89" s="14"/>
      <c r="H89" s="22">
        <f>+H21-H23+H87</f>
        <v>86681.569999999978</v>
      </c>
      <c r="I89" s="14"/>
      <c r="J89" s="20">
        <f>IF(H$12=0,0,H89/H$12)</f>
        <v>0.23433233026602693</v>
      </c>
      <c r="K89" s="15"/>
      <c r="L89" s="22">
        <f>+D89-H89</f>
        <v>-155732.84</v>
      </c>
      <c r="M89" s="15"/>
      <c r="N89" s="20">
        <f>IF(H89=0,0,L89/H89)</f>
        <v>-1.7966084370645345</v>
      </c>
      <c r="O89" s="28"/>
      <c r="P89" s="22">
        <f>+P21-P23+P87</f>
        <v>-552397.58000000007</v>
      </c>
      <c r="Q89" s="14"/>
      <c r="R89" s="20">
        <f>IF(P$12=0,0,P89/P$12)</f>
        <v>-0.66751107267843834</v>
      </c>
      <c r="S89" s="14"/>
      <c r="T89" s="22">
        <f>+T21-T23+T87</f>
        <v>929619.25999999954</v>
      </c>
      <c r="U89" s="14"/>
      <c r="V89" s="20">
        <f>IF(T$12=0,0,T89/T$12)</f>
        <v>0.27467420284260152</v>
      </c>
      <c r="W89" s="15"/>
      <c r="X89" s="22">
        <f>+P89-T89</f>
        <v>-1482016.8399999996</v>
      </c>
      <c r="Y89" s="15"/>
      <c r="Z89" s="20">
        <f>IF(T89=0,0,X89/T89)</f>
        <v>-1.594219164521183</v>
      </c>
    </row>
    <row r="90" spans="1:26" x14ac:dyDescent="0.25">
      <c r="A90" s="9"/>
      <c r="B90" s="11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x14ac:dyDescent="0.25">
      <c r="A91" s="51"/>
      <c r="B91" s="11" t="s">
        <v>127</v>
      </c>
      <c r="C91" s="11"/>
      <c r="D91" s="4">
        <v>24845.55</v>
      </c>
      <c r="E91" s="4"/>
      <c r="F91" s="13">
        <f>IF(D$12=0,0,D91/D$12)</f>
        <v>0.27065830442344685</v>
      </c>
      <c r="G91" s="4"/>
      <c r="H91" s="4">
        <v>55410.62</v>
      </c>
      <c r="I91" s="4"/>
      <c r="J91" s="13">
        <f>IF(H$12=0,0,H91/H$12)</f>
        <v>0.14979539140886949</v>
      </c>
      <c r="K91" s="4"/>
      <c r="L91" s="4">
        <f>+D91-H91</f>
        <v>-30565.070000000003</v>
      </c>
      <c r="M91" s="4"/>
      <c r="N91" s="13">
        <f>IF(H91=0,0,L91/H91)</f>
        <v>-0.55161032307525171</v>
      </c>
      <c r="O91" s="11"/>
      <c r="P91" s="4">
        <v>170550.66</v>
      </c>
      <c r="Q91" s="4"/>
      <c r="R91" s="13">
        <f>IF(P$12=0,0,P91/P$12)</f>
        <v>0.20609151474308707</v>
      </c>
      <c r="S91" s="4"/>
      <c r="T91" s="4">
        <v>362651.3</v>
      </c>
      <c r="U91" s="4"/>
      <c r="V91" s="13">
        <f>IF(T$12=0,0,T91/T$12)</f>
        <v>0.10715242360332894</v>
      </c>
      <c r="W91" s="4"/>
      <c r="X91" s="4">
        <f>+P91-T91</f>
        <v>-192100.63999999998</v>
      </c>
      <c r="Y91" s="4"/>
      <c r="Z91" s="13">
        <f>IF(T91=0,0,X91/T91)</f>
        <v>-0.5297117092920941</v>
      </c>
    </row>
    <row r="92" spans="1:26" x14ac:dyDescent="0.25">
      <c r="A92" s="9"/>
      <c r="B92" s="11"/>
      <c r="C92" s="11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1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4" customFormat="1" ht="15.75" thickBot="1" x14ac:dyDescent="0.3">
      <c r="A93" s="11"/>
      <c r="B93" s="29" t="s">
        <v>125</v>
      </c>
      <c r="C93" s="29"/>
      <c r="D93" s="30">
        <f>+D89-D91</f>
        <v>-93896.820000000022</v>
      </c>
      <c r="E93" s="14"/>
      <c r="F93" s="36">
        <f>IF(D$12=0,0,D93/D$12)</f>
        <v>-1.0228775008785718</v>
      </c>
      <c r="G93" s="14"/>
      <c r="H93" s="30">
        <f>+H89-H91</f>
        <v>31270.949999999975</v>
      </c>
      <c r="I93" s="14"/>
      <c r="J93" s="36">
        <f>IF(H$12=0,0,H93/H$12)</f>
        <v>8.453693885715742E-2</v>
      </c>
      <c r="K93" s="15"/>
      <c r="L93" s="30">
        <f>D93-H93</f>
        <v>-125167.76999999999</v>
      </c>
      <c r="M93" s="15"/>
      <c r="N93" s="36">
        <f>IF(H93=0,0,L93/H93)</f>
        <v>-4.0026852398152304</v>
      </c>
      <c r="O93" s="28"/>
      <c r="P93" s="30">
        <f>+P89-P91</f>
        <v>-722948.24000000011</v>
      </c>
      <c r="Q93" s="14"/>
      <c r="R93" s="36">
        <f>IF(P$12=0,0,P93/P$12)</f>
        <v>-0.87360258742152541</v>
      </c>
      <c r="S93" s="14"/>
      <c r="T93" s="30">
        <f>+T89-T91</f>
        <v>566967.9599999995</v>
      </c>
      <c r="U93" s="14"/>
      <c r="V93" s="36">
        <f>IF(T$12=0,0,T93/T$12)</f>
        <v>0.16752177923927256</v>
      </c>
      <c r="W93" s="15"/>
      <c r="X93" s="30">
        <f>P93-T93</f>
        <v>-1289916.1999999997</v>
      </c>
      <c r="Y93" s="15"/>
      <c r="Z93" s="36">
        <f>IF(T93=0,0,X93/T93)</f>
        <v>-2.2751130416611209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4" customFormat="1" ht="15.75" thickBot="1" x14ac:dyDescent="0.3">
      <c r="A96" s="11"/>
      <c r="B96" s="29" t="s">
        <v>293</v>
      </c>
      <c r="C96" s="29"/>
      <c r="D96" s="35">
        <f>SUM(D93:D95)</f>
        <v>-93896.820000000022</v>
      </c>
      <c r="E96" s="14"/>
      <c r="F96" s="34">
        <f>IF(D$12=0,0,D96/D$12)</f>
        <v>-1.0228775008785718</v>
      </c>
      <c r="G96" s="14"/>
      <c r="H96" s="35">
        <f>SUM(H93:H95)</f>
        <v>31270.949999999975</v>
      </c>
      <c r="I96" s="14"/>
      <c r="J96" s="34">
        <f>IF(H$12=0,0,H96/H$12)</f>
        <v>8.453693885715742E-2</v>
      </c>
      <c r="K96" s="15"/>
      <c r="L96" s="35">
        <f>+D96-H96</f>
        <v>-125167.76999999999</v>
      </c>
      <c r="M96" s="15"/>
      <c r="N96" s="34">
        <f>IF(H96=0,0,L96/H96)</f>
        <v>-4.0026852398152304</v>
      </c>
      <c r="O96" s="28"/>
      <c r="P96" s="35">
        <f>SUM(P93:P95)</f>
        <v>-722948.24000000011</v>
      </c>
      <c r="Q96" s="14"/>
      <c r="R96" s="34">
        <f>IF(P$12=0,0,P96/P$12)</f>
        <v>-0.87360258742152541</v>
      </c>
      <c r="S96" s="14"/>
      <c r="T96" s="35">
        <f>SUM(T93:T95)</f>
        <v>566967.9599999995</v>
      </c>
      <c r="U96" s="14"/>
      <c r="V96" s="34">
        <f>IF(T$12=0,0,T96/T$12)</f>
        <v>0.16752177923927256</v>
      </c>
      <c r="W96" s="15"/>
      <c r="X96" s="35">
        <f>+P96-T96</f>
        <v>-1289916.1999999997</v>
      </c>
      <c r="Y96" s="15"/>
      <c r="Z96" s="34">
        <f>IF(T96=0,0,X96/T96)</f>
        <v>-2.2751130416611209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4">
        <v>44295.963243634258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58" t="s">
        <v>56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A100" s="9"/>
      <c r="B100" s="62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","450", " - ", "Beachside Dining Hall")</f>
        <v>Department 450 - Beachside Dining Hall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236483.46000000002</v>
      </c>
      <c r="I12" s="4"/>
      <c r="J12" s="13"/>
      <c r="K12" s="4"/>
      <c r="L12" s="4">
        <f t="shared" ref="L12:L15" si="0">+D12-H12</f>
        <v>-236483.46000000002</v>
      </c>
      <c r="M12" s="4"/>
      <c r="N12" s="13">
        <f t="shared" ref="N12:N15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1996380.34</v>
      </c>
      <c r="U12" s="4"/>
      <c r="V12" s="13"/>
      <c r="W12" s="4"/>
      <c r="X12" s="4">
        <f t="shared" ref="X12:X15" si="2">+P12-T12</f>
        <v>-1996380.34</v>
      </c>
      <c r="Y12" s="4"/>
      <c r="Z12" s="13">
        <f t="shared" ref="Z12:Z15" si="3">IF(T12=0,0,X12/T12)</f>
        <v>-1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5" si="4">0</f>
        <v>0</v>
      </c>
      <c r="E13" s="2"/>
      <c r="F13" s="19"/>
      <c r="G13" s="2"/>
      <c r="H13" s="2">
        <f>--752.2</f>
        <v>752.2</v>
      </c>
      <c r="I13" s="2"/>
      <c r="J13" s="19"/>
      <c r="K13" s="2"/>
      <c r="L13" s="2">
        <f t="shared" si="0"/>
        <v>-752.2</v>
      </c>
      <c r="M13" s="2"/>
      <c r="N13" s="19">
        <f t="shared" si="1"/>
        <v>-1</v>
      </c>
      <c r="O13" s="10"/>
      <c r="P13" s="2">
        <f t="shared" ref="P13:P15" si="5">0</f>
        <v>0</v>
      </c>
      <c r="Q13" s="2"/>
      <c r="R13" s="19"/>
      <c r="S13" s="2"/>
      <c r="T13" s="2">
        <f>--959.82</f>
        <v>959.82</v>
      </c>
      <c r="U13" s="2"/>
      <c r="V13" s="19"/>
      <c r="W13" s="2"/>
      <c r="X13" s="2">
        <f t="shared" si="2"/>
        <v>-959.82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--234766.56</f>
        <v>234766.56</v>
      </c>
      <c r="I14" s="2"/>
      <c r="J14" s="19"/>
      <c r="K14" s="2"/>
      <c r="L14" s="2">
        <f t="shared" si="0"/>
        <v>-234766.56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--1986254.12</f>
        <v>1986254.12</v>
      </c>
      <c r="U14" s="2"/>
      <c r="V14" s="19"/>
      <c r="W14" s="2"/>
      <c r="X14" s="2">
        <f t="shared" si="2"/>
        <v>-1986254.12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 t="shared" si="4"/>
        <v>0</v>
      </c>
      <c r="E15" s="2"/>
      <c r="F15" s="19"/>
      <c r="G15" s="2"/>
      <c r="H15" s="2">
        <f>--964.7</f>
        <v>964.7</v>
      </c>
      <c r="I15" s="2"/>
      <c r="J15" s="19"/>
      <c r="K15" s="2"/>
      <c r="L15" s="2">
        <f t="shared" si="0"/>
        <v>-964.7</v>
      </c>
      <c r="M15" s="2"/>
      <c r="N15" s="19">
        <f t="shared" si="1"/>
        <v>-1</v>
      </c>
      <c r="O15" s="10"/>
      <c r="P15" s="2">
        <f t="shared" si="5"/>
        <v>0</v>
      </c>
      <c r="Q15" s="2"/>
      <c r="R15" s="19"/>
      <c r="S15" s="2"/>
      <c r="T15" s="2">
        <f>--9166.4</f>
        <v>9166.4</v>
      </c>
      <c r="U15" s="2"/>
      <c r="V15" s="19"/>
      <c r="W15" s="2"/>
      <c r="X15" s="2">
        <f t="shared" si="2"/>
        <v>-9166.4</v>
      </c>
      <c r="Y15" s="2"/>
      <c r="Z15" s="19">
        <f t="shared" si="3"/>
        <v>-1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0</v>
      </c>
      <c r="E17" s="4"/>
      <c r="F17" s="13">
        <f t="shared" ref="F17:F19" si="6">IF(D$12=0,0,D17/D$12)</f>
        <v>0</v>
      </c>
      <c r="G17" s="4"/>
      <c r="H17" s="4">
        <f>SUM(OSRRefH16x_0)</f>
        <v>54863.55</v>
      </c>
      <c r="I17" s="4"/>
      <c r="J17" s="13">
        <f t="shared" ref="J17:J19" si="7">IF(H$12=0,0,H17/H$12)</f>
        <v>0.23199740903655586</v>
      </c>
      <c r="K17" s="4"/>
      <c r="L17" s="4">
        <f t="shared" ref="L17:L19" si="8">+D17-H17</f>
        <v>-54863.55</v>
      </c>
      <c r="M17" s="4"/>
      <c r="N17" s="13">
        <f t="shared" ref="N17:N19" si="9">IF(H17=0,0,L17/H17)</f>
        <v>-1</v>
      </c>
      <c r="O17" s="11"/>
      <c r="P17" s="4">
        <f>SUM(OSRRefP16x_0)</f>
        <v>0</v>
      </c>
      <c r="Q17" s="4"/>
      <c r="R17" s="13">
        <f t="shared" ref="R17:R19" si="10">IF(P$12=0,0,P17/P$12)</f>
        <v>0</v>
      </c>
      <c r="S17" s="4"/>
      <c r="T17" s="4">
        <f>SUM(OSRRefT16x_0)</f>
        <v>454831.54</v>
      </c>
      <c r="U17" s="4"/>
      <c r="V17" s="13">
        <f t="shared" ref="V17:V19" si="11">IF(T$12=0,0,T17/T$12)</f>
        <v>0.22782810013045909</v>
      </c>
      <c r="W17" s="4"/>
      <c r="X17" s="4">
        <f t="shared" ref="X17:X19" si="12">+P17-T17</f>
        <v>-454831.54</v>
      </c>
      <c r="Y17" s="4"/>
      <c r="Z17" s="13">
        <f t="shared" ref="Z17:Z19" si="13">IF(T17=0,0,X17/T17)</f>
        <v>-1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/>
      <c r="E18" s="2"/>
      <c r="F18" s="19">
        <f t="shared" si="6"/>
        <v>0</v>
      </c>
      <c r="G18" s="2"/>
      <c r="H18" s="2">
        <v>35063.550000000003</v>
      </c>
      <c r="I18" s="2"/>
      <c r="J18" s="19">
        <f t="shared" si="7"/>
        <v>0.14827062323935888</v>
      </c>
      <c r="K18" s="2"/>
      <c r="L18" s="2">
        <f t="shared" si="8"/>
        <v>-35063.550000000003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437174.54</v>
      </c>
      <c r="U18" s="2"/>
      <c r="V18" s="19">
        <f t="shared" si="11"/>
        <v>0.21898359307625717</v>
      </c>
      <c r="W18" s="2"/>
      <c r="X18" s="2">
        <f t="shared" si="12"/>
        <v>-437174.54</v>
      </c>
      <c r="Y18" s="2"/>
      <c r="Z18" s="19">
        <f t="shared" si="13"/>
        <v>-1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/>
      <c r="E19" s="2"/>
      <c r="F19" s="19">
        <f t="shared" si="6"/>
        <v>0</v>
      </c>
      <c r="G19" s="2"/>
      <c r="H19" s="2">
        <v>19800</v>
      </c>
      <c r="I19" s="2"/>
      <c r="J19" s="19">
        <f t="shared" si="7"/>
        <v>8.3726785797196973E-2</v>
      </c>
      <c r="K19" s="2"/>
      <c r="L19" s="2">
        <f t="shared" si="8"/>
        <v>-19800</v>
      </c>
      <c r="M19" s="2"/>
      <c r="N19" s="19">
        <f t="shared" si="9"/>
        <v>-1</v>
      </c>
      <c r="O19" s="10"/>
      <c r="P19" s="2"/>
      <c r="Q19" s="2"/>
      <c r="R19" s="19">
        <f t="shared" si="10"/>
        <v>0</v>
      </c>
      <c r="S19" s="2"/>
      <c r="T19" s="2">
        <v>17657</v>
      </c>
      <c r="U19" s="2"/>
      <c r="V19" s="19">
        <f t="shared" si="11"/>
        <v>8.8445070542019066E-3</v>
      </c>
      <c r="W19" s="2"/>
      <c r="X19" s="2">
        <f t="shared" si="12"/>
        <v>-17657</v>
      </c>
      <c r="Y19" s="2"/>
      <c r="Z19" s="19">
        <f t="shared" si="13"/>
        <v>-1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9" t="s">
        <v>107</v>
      </c>
      <c r="C21" s="29"/>
      <c r="D21" s="22">
        <f>D12-D17</f>
        <v>0</v>
      </c>
      <c r="E21" s="14"/>
      <c r="F21" s="20">
        <f>IF(D$12=0,0,D21/D$12)</f>
        <v>0</v>
      </c>
      <c r="G21" s="14"/>
      <c r="H21" s="22">
        <f>H12-H17</f>
        <v>181619.91000000003</v>
      </c>
      <c r="I21" s="14"/>
      <c r="J21" s="20">
        <f>IF(H$12=0,0,H21/H$12)</f>
        <v>0.76800259096344414</v>
      </c>
      <c r="K21" s="15"/>
      <c r="L21" s="22">
        <f>+D21-H21</f>
        <v>-181619.91000000003</v>
      </c>
      <c r="M21" s="15"/>
      <c r="N21" s="20">
        <f>IF(H21=0,0,L21/H21)</f>
        <v>-1</v>
      </c>
      <c r="O21" s="28"/>
      <c r="P21" s="22">
        <f>P12-P17</f>
        <v>0</v>
      </c>
      <c r="Q21" s="14"/>
      <c r="R21" s="20">
        <f>IF(P$12=0,0,P21/P$12)</f>
        <v>0</v>
      </c>
      <c r="S21" s="14"/>
      <c r="T21" s="22">
        <f>T12-T17</f>
        <v>1541548.8</v>
      </c>
      <c r="U21" s="14"/>
      <c r="V21" s="20">
        <f>IF(T$12=0,0,T21/T$12)</f>
        <v>0.77217189986954093</v>
      </c>
      <c r="W21" s="15"/>
      <c r="X21" s="22">
        <f>+P21-T21</f>
        <v>-1541548.8</v>
      </c>
      <c r="Y21" s="15"/>
      <c r="Z21" s="20">
        <f>IF(T21=0,0,X21/T21)</f>
        <v>-1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8" t="s">
        <v>294</v>
      </c>
      <c r="C23" s="11"/>
      <c r="D23" s="21">
        <f>SUM(OSRRefD22x_0)</f>
        <v>41679.39</v>
      </c>
      <c r="E23" s="21"/>
      <c r="F23" s="31">
        <f t="shared" ref="F23:F33" si="14">IF(D$12=0,0,D23/D$12)</f>
        <v>0</v>
      </c>
      <c r="G23" s="21"/>
      <c r="H23" s="21">
        <f>SUM(OSRRefH22x_0)</f>
        <v>165759.11999999997</v>
      </c>
      <c r="I23" s="21"/>
      <c r="J23" s="31">
        <f t="shared" ref="J23:J33" si="15">IF(H$12=0,0,H23/H$12)</f>
        <v>0.7009332492005993</v>
      </c>
      <c r="K23" s="4"/>
      <c r="L23" s="21">
        <f t="shared" ref="L23:L33" si="16">+D23-H23</f>
        <v>-124079.72999999997</v>
      </c>
      <c r="M23" s="4"/>
      <c r="N23" s="31">
        <f t="shared" ref="N23:N33" si="17">IF(H23=0,0,L23/H23)</f>
        <v>-0.74855446867719855</v>
      </c>
      <c r="O23" s="11"/>
      <c r="P23" s="21">
        <f>SUM(OSRRefP22x_0)</f>
        <v>369263.90999999992</v>
      </c>
      <c r="Q23" s="21"/>
      <c r="R23" s="31">
        <f t="shared" ref="R23:R33" si="18">IF(P$12=0,0,P23/P$12)</f>
        <v>0</v>
      </c>
      <c r="S23" s="21"/>
      <c r="T23" s="21">
        <f>SUM(OSRRefT22x_0)</f>
        <v>1163778.28</v>
      </c>
      <c r="U23" s="21"/>
      <c r="V23" s="31">
        <f t="shared" ref="V23:V33" si="19">IF(T$12=0,0,T23/T$12)</f>
        <v>0.582944169846914</v>
      </c>
      <c r="W23" s="4"/>
      <c r="X23" s="21">
        <f t="shared" ref="X23:X33" si="20">+P23-T23</f>
        <v>-794514.37000000011</v>
      </c>
      <c r="Y23" s="4"/>
      <c r="Z23" s="31">
        <f t="shared" ref="Z23:Z33" si="21">IF(T23=0,0,X23/T23)</f>
        <v>-0.68270252474552118</v>
      </c>
    </row>
    <row r="24" spans="1:26" s="26" customFormat="1" outlineLevel="1" collapsed="1" x14ac:dyDescent="0.25">
      <c r="A24" s="27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18454.100000000002</v>
      </c>
      <c r="E24" s="1"/>
      <c r="F24" s="5">
        <f t="shared" si="14"/>
        <v>0</v>
      </c>
      <c r="G24" s="1"/>
      <c r="H24" s="1">
        <f>SUM(OSRRefH22_0x_0)</f>
        <v>33592.119999999995</v>
      </c>
      <c r="I24" s="1"/>
      <c r="J24" s="5">
        <f t="shared" si="15"/>
        <v>0.14204849675321898</v>
      </c>
      <c r="K24" s="1"/>
      <c r="L24" s="1">
        <f t="shared" si="16"/>
        <v>-15138.019999999993</v>
      </c>
      <c r="M24" s="1"/>
      <c r="N24" s="5">
        <f t="shared" si="17"/>
        <v>-0.45064199580139613</v>
      </c>
      <c r="O24" s="12"/>
      <c r="P24" s="1">
        <f>SUM(OSRRefP22_0x_0)</f>
        <v>174063.65</v>
      </c>
      <c r="Q24" s="1"/>
      <c r="R24" s="5">
        <f t="shared" si="18"/>
        <v>0</v>
      </c>
      <c r="S24" s="1"/>
      <c r="T24" s="1">
        <f>SUM(OSRRefT22_0x_0)</f>
        <v>251684.69999999995</v>
      </c>
      <c r="U24" s="1"/>
      <c r="V24" s="5">
        <f t="shared" si="19"/>
        <v>0.12607051620233845</v>
      </c>
      <c r="W24" s="1"/>
      <c r="X24" s="1">
        <f t="shared" si="20"/>
        <v>-77621.049999999959</v>
      </c>
      <c r="Y24" s="1"/>
      <c r="Z24" s="5">
        <f t="shared" si="21"/>
        <v>-0.30840591422521901</v>
      </c>
    </row>
    <row r="25" spans="1:26" s="23" customFormat="1" hidden="1" outlineLevel="2" x14ac:dyDescent="0.25">
      <c r="A25" s="25"/>
      <c r="B25" s="10" t="str">
        <f>CONCATENATE("          ", "6111", " - ", "F.I.C.A.")</f>
        <v xml:space="preserve">          6111 - F.I.C.A.</v>
      </c>
      <c r="C25" s="10"/>
      <c r="D25" s="6">
        <v>1560.31</v>
      </c>
      <c r="E25" s="2"/>
      <c r="F25" s="7">
        <f t="shared" si="14"/>
        <v>0</v>
      </c>
      <c r="G25" s="2"/>
      <c r="H25" s="6">
        <v>6592.89</v>
      </c>
      <c r="I25" s="2"/>
      <c r="J25" s="7">
        <f t="shared" si="15"/>
        <v>2.7878863071438484E-2</v>
      </c>
      <c r="K25" s="2"/>
      <c r="L25" s="6">
        <f t="shared" si="16"/>
        <v>-5032.58</v>
      </c>
      <c r="M25" s="2"/>
      <c r="N25" s="7">
        <f t="shared" si="17"/>
        <v>-0.76333444058675326</v>
      </c>
      <c r="O25" s="10"/>
      <c r="P25" s="6">
        <v>14972.8</v>
      </c>
      <c r="Q25" s="2"/>
      <c r="R25" s="7">
        <f t="shared" si="18"/>
        <v>0</v>
      </c>
      <c r="S25" s="2"/>
      <c r="T25" s="6">
        <v>36156.14</v>
      </c>
      <c r="U25" s="2"/>
      <c r="V25" s="7">
        <f t="shared" si="19"/>
        <v>1.8110847555230881E-2</v>
      </c>
      <c r="W25" s="2"/>
      <c r="X25" s="6">
        <f t="shared" si="20"/>
        <v>-21183.34</v>
      </c>
      <c r="Y25" s="2"/>
      <c r="Z25" s="7">
        <f t="shared" si="21"/>
        <v>-0.58588499767950897</v>
      </c>
    </row>
    <row r="26" spans="1:26" s="23" customFormat="1" hidden="1" outlineLevel="2" x14ac:dyDescent="0.25">
      <c r="A26" s="25"/>
      <c r="B26" s="10" t="str">
        <f>CONCATENATE("          ", "6112", " - ", "COMPENSATION INSURANCE")</f>
        <v xml:space="preserve">          6112 - COMPENSATION INSURANCE</v>
      </c>
      <c r="C26" s="10"/>
      <c r="D26" s="6">
        <v>873.13</v>
      </c>
      <c r="E26" s="2"/>
      <c r="F26" s="7">
        <f t="shared" si="14"/>
        <v>0</v>
      </c>
      <c r="G26" s="2"/>
      <c r="H26" s="6">
        <v>4776.58</v>
      </c>
      <c r="I26" s="2"/>
      <c r="J26" s="7">
        <f t="shared" si="15"/>
        <v>2.0198368207231067E-2</v>
      </c>
      <c r="K26" s="2"/>
      <c r="L26" s="6">
        <f t="shared" si="16"/>
        <v>-3903.45</v>
      </c>
      <c r="M26" s="2"/>
      <c r="N26" s="7">
        <f t="shared" si="17"/>
        <v>-0.8172060344430534</v>
      </c>
      <c r="O26" s="10"/>
      <c r="P26" s="6">
        <v>8332.7000000000007</v>
      </c>
      <c r="Q26" s="2"/>
      <c r="R26" s="7">
        <f t="shared" si="18"/>
        <v>0</v>
      </c>
      <c r="S26" s="2"/>
      <c r="T26" s="6">
        <v>22404.720000000001</v>
      </c>
      <c r="U26" s="2"/>
      <c r="V26" s="7">
        <f t="shared" si="19"/>
        <v>1.1222671126885572E-2</v>
      </c>
      <c r="W26" s="2"/>
      <c r="X26" s="6">
        <f t="shared" si="20"/>
        <v>-14072.02</v>
      </c>
      <c r="Y26" s="2"/>
      <c r="Z26" s="7">
        <f t="shared" si="21"/>
        <v>-0.62808283254599917</v>
      </c>
    </row>
    <row r="27" spans="1:26" s="23" customFormat="1" hidden="1" outlineLevel="2" x14ac:dyDescent="0.25">
      <c r="A27" s="25"/>
      <c r="B27" s="10" t="str">
        <f>CONCATENATE("          ", "6113", " - ", "GROUP INSURANCE")</f>
        <v xml:space="preserve">          6113 - GROUP INSURANCE</v>
      </c>
      <c r="C27" s="10"/>
      <c r="D27" s="6">
        <v>12477.9</v>
      </c>
      <c r="E27" s="2"/>
      <c r="F27" s="7">
        <f t="shared" si="14"/>
        <v>0</v>
      </c>
      <c r="G27" s="2"/>
      <c r="H27" s="6">
        <v>15945.35</v>
      </c>
      <c r="I27" s="2"/>
      <c r="J27" s="7">
        <f t="shared" si="15"/>
        <v>6.7426914338956298E-2</v>
      </c>
      <c r="K27" s="2"/>
      <c r="L27" s="6">
        <f t="shared" si="16"/>
        <v>-3467.4500000000007</v>
      </c>
      <c r="M27" s="2"/>
      <c r="N27" s="7">
        <f t="shared" si="17"/>
        <v>-0.21745838128357173</v>
      </c>
      <c r="O27" s="10"/>
      <c r="P27" s="6">
        <v>113135.28</v>
      </c>
      <c r="Q27" s="2"/>
      <c r="R27" s="7">
        <f t="shared" si="18"/>
        <v>0</v>
      </c>
      <c r="S27" s="2"/>
      <c r="T27" s="6">
        <v>129815.14</v>
      </c>
      <c r="U27" s="2"/>
      <c r="V27" s="7">
        <f t="shared" si="19"/>
        <v>6.5025254656635209E-2</v>
      </c>
      <c r="W27" s="2"/>
      <c r="X27" s="6">
        <f t="shared" si="20"/>
        <v>-16679.86</v>
      </c>
      <c r="Y27" s="2"/>
      <c r="Z27" s="7">
        <f t="shared" si="21"/>
        <v>-0.12848932720790504</v>
      </c>
    </row>
    <row r="28" spans="1:26" s="23" customFormat="1" hidden="1" outlineLevel="2" x14ac:dyDescent="0.25">
      <c r="A28" s="25"/>
      <c r="B28" s="10" t="str">
        <f>CONCATENATE("          ", "6114", " - ", "STATE UNEMPLOYMENT INSURANCE")</f>
        <v xml:space="preserve">          6114 - STATE UNEMPLOYMENT INSURANCE</v>
      </c>
      <c r="C28" s="10"/>
      <c r="D28" s="6">
        <v>52.92</v>
      </c>
      <c r="E28" s="2"/>
      <c r="F28" s="7">
        <f t="shared" si="14"/>
        <v>0</v>
      </c>
      <c r="G28" s="2"/>
      <c r="H28" s="6">
        <v>327.67</v>
      </c>
      <c r="I28" s="2"/>
      <c r="J28" s="7">
        <f t="shared" si="15"/>
        <v>1.3855937324327037E-3</v>
      </c>
      <c r="K28" s="2"/>
      <c r="L28" s="6">
        <f t="shared" si="16"/>
        <v>-274.75</v>
      </c>
      <c r="M28" s="2"/>
      <c r="N28" s="7">
        <f t="shared" si="17"/>
        <v>-0.83849604785302279</v>
      </c>
      <c r="O28" s="10"/>
      <c r="P28" s="6">
        <v>513.67999999999995</v>
      </c>
      <c r="Q28" s="2"/>
      <c r="R28" s="7">
        <f t="shared" si="18"/>
        <v>0</v>
      </c>
      <c r="S28" s="2"/>
      <c r="T28" s="6">
        <v>1762.31</v>
      </c>
      <c r="U28" s="2"/>
      <c r="V28" s="7">
        <f t="shared" si="19"/>
        <v>8.8275263219632783E-4</v>
      </c>
      <c r="W28" s="2"/>
      <c r="X28" s="6">
        <f t="shared" si="20"/>
        <v>-1248.6300000000001</v>
      </c>
      <c r="Y28" s="2"/>
      <c r="Z28" s="7">
        <f t="shared" si="21"/>
        <v>-0.70851893253740839</v>
      </c>
    </row>
    <row r="29" spans="1:26" s="23" customFormat="1" hidden="1" outlineLevel="2" x14ac:dyDescent="0.25">
      <c r="A29" s="25"/>
      <c r="B29" s="10" t="str">
        <f>CONCATENATE("          ", "6115", " - ", "P.E.R.S.")</f>
        <v xml:space="preserve">          6115 - P.E.R.S.</v>
      </c>
      <c r="C29" s="10"/>
      <c r="D29" s="6">
        <v>494.19</v>
      </c>
      <c r="E29" s="2"/>
      <c r="F29" s="7">
        <f t="shared" si="14"/>
        <v>0</v>
      </c>
      <c r="G29" s="2"/>
      <c r="H29" s="6">
        <v>959.64</v>
      </c>
      <c r="I29" s="2"/>
      <c r="J29" s="7">
        <f t="shared" si="15"/>
        <v>4.0579582183041469E-3</v>
      </c>
      <c r="K29" s="2"/>
      <c r="L29" s="6">
        <f t="shared" si="16"/>
        <v>-465.45</v>
      </c>
      <c r="M29" s="2"/>
      <c r="N29" s="7">
        <f t="shared" si="17"/>
        <v>-0.48502563461297987</v>
      </c>
      <c r="O29" s="10"/>
      <c r="P29" s="6">
        <v>4996.28</v>
      </c>
      <c r="Q29" s="2"/>
      <c r="R29" s="7">
        <f t="shared" si="18"/>
        <v>0</v>
      </c>
      <c r="S29" s="2"/>
      <c r="T29" s="6">
        <v>10242.61</v>
      </c>
      <c r="U29" s="2"/>
      <c r="V29" s="7">
        <f t="shared" si="19"/>
        <v>5.1305904965984585E-3</v>
      </c>
      <c r="W29" s="2"/>
      <c r="X29" s="6">
        <f t="shared" si="20"/>
        <v>-5246.3300000000008</v>
      </c>
      <c r="Y29" s="2"/>
      <c r="Z29" s="7">
        <f t="shared" si="21"/>
        <v>-0.5122063614645096</v>
      </c>
    </row>
    <row r="30" spans="1:26" s="23" customFormat="1" hidden="1" outlineLevel="2" x14ac:dyDescent="0.25">
      <c r="A30" s="25"/>
      <c r="B30" s="10" t="str">
        <f>CONCATENATE("          ", "6117", " - ", "RETIREMENT STAFF HOURLY")</f>
        <v xml:space="preserve">          6117 - RETIREMENT STAFF HOURLY</v>
      </c>
      <c r="C30" s="10"/>
      <c r="D30" s="6">
        <v>797.15</v>
      </c>
      <c r="E30" s="2"/>
      <c r="F30" s="7">
        <f t="shared" si="14"/>
        <v>0</v>
      </c>
      <c r="G30" s="2"/>
      <c r="H30" s="6">
        <v>291.72000000000003</v>
      </c>
      <c r="I30" s="2"/>
      <c r="J30" s="7">
        <f t="shared" si="15"/>
        <v>1.2335746440787021E-3</v>
      </c>
      <c r="K30" s="2"/>
      <c r="L30" s="6">
        <f t="shared" si="16"/>
        <v>505.42999999999995</v>
      </c>
      <c r="M30" s="2"/>
      <c r="N30" s="7">
        <f t="shared" si="17"/>
        <v>1.7325860414095704</v>
      </c>
      <c r="O30" s="10"/>
      <c r="P30" s="6">
        <v>5382.21</v>
      </c>
      <c r="Q30" s="2"/>
      <c r="R30" s="7">
        <f t="shared" si="18"/>
        <v>0</v>
      </c>
      <c r="S30" s="2"/>
      <c r="T30" s="6">
        <v>4275.55</v>
      </c>
      <c r="U30" s="2"/>
      <c r="V30" s="7">
        <f t="shared" si="19"/>
        <v>2.1416510242732605E-3</v>
      </c>
      <c r="W30" s="2"/>
      <c r="X30" s="6">
        <f t="shared" si="20"/>
        <v>1106.6599999999999</v>
      </c>
      <c r="Y30" s="2"/>
      <c r="Z30" s="7">
        <f t="shared" si="21"/>
        <v>0.25883453590766098</v>
      </c>
    </row>
    <row r="31" spans="1:26" s="23" customFormat="1" hidden="1" outlineLevel="2" x14ac:dyDescent="0.25">
      <c r="A31" s="25"/>
      <c r="B31" s="10" t="str">
        <f>CONCATENATE("          ", "6118", " - ", "VACATION")</f>
        <v xml:space="preserve">          6118 - VACATION</v>
      </c>
      <c r="C31" s="10"/>
      <c r="D31" s="6">
        <v>1248.1600000000001</v>
      </c>
      <c r="E31" s="2"/>
      <c r="F31" s="7">
        <f t="shared" si="14"/>
        <v>0</v>
      </c>
      <c r="G31" s="2"/>
      <c r="H31" s="6">
        <v>1950.28</v>
      </c>
      <c r="I31" s="2"/>
      <c r="J31" s="7">
        <f t="shared" si="15"/>
        <v>8.2470038285129953E-3</v>
      </c>
      <c r="K31" s="2"/>
      <c r="L31" s="6">
        <f t="shared" si="16"/>
        <v>-702.11999999999989</v>
      </c>
      <c r="M31" s="2"/>
      <c r="N31" s="7">
        <f t="shared" si="17"/>
        <v>-0.36000984474024239</v>
      </c>
      <c r="O31" s="10"/>
      <c r="P31" s="6">
        <v>11754.53</v>
      </c>
      <c r="Q31" s="2"/>
      <c r="R31" s="7">
        <f t="shared" si="18"/>
        <v>0</v>
      </c>
      <c r="S31" s="2"/>
      <c r="T31" s="6">
        <v>20356.669999999998</v>
      </c>
      <c r="U31" s="2"/>
      <c r="V31" s="7">
        <f t="shared" si="19"/>
        <v>1.0196789455460174E-2</v>
      </c>
      <c r="W31" s="2"/>
      <c r="X31" s="6">
        <f t="shared" si="20"/>
        <v>-8602.1399999999976</v>
      </c>
      <c r="Y31" s="2"/>
      <c r="Z31" s="7">
        <f t="shared" si="21"/>
        <v>-0.42257107866856408</v>
      </c>
    </row>
    <row r="32" spans="1:26" s="23" customFormat="1" hidden="1" outlineLevel="2" x14ac:dyDescent="0.25">
      <c r="A32" s="25"/>
      <c r="B32" s="10" t="str">
        <f>CONCATENATE("          ", "6119", " - ", "SICK LEAVE")</f>
        <v xml:space="preserve">          6119 - SICK LEAVE</v>
      </c>
      <c r="C32" s="10"/>
      <c r="D32" s="6">
        <v>950.34</v>
      </c>
      <c r="E32" s="2"/>
      <c r="F32" s="7">
        <f t="shared" si="14"/>
        <v>0</v>
      </c>
      <c r="G32" s="2"/>
      <c r="H32" s="6">
        <v>1519.56</v>
      </c>
      <c r="I32" s="2"/>
      <c r="J32" s="7">
        <f t="shared" si="15"/>
        <v>6.4256502336357893E-3</v>
      </c>
      <c r="K32" s="2"/>
      <c r="L32" s="6">
        <f t="shared" si="16"/>
        <v>-569.21999999999991</v>
      </c>
      <c r="M32" s="2"/>
      <c r="N32" s="7">
        <f t="shared" si="17"/>
        <v>-0.37459527758035216</v>
      </c>
      <c r="O32" s="10"/>
      <c r="P32" s="6">
        <v>9003.39</v>
      </c>
      <c r="Q32" s="2"/>
      <c r="R32" s="7">
        <f t="shared" si="18"/>
        <v>0</v>
      </c>
      <c r="S32" s="2"/>
      <c r="T32" s="6">
        <v>15693.37</v>
      </c>
      <c r="U32" s="2"/>
      <c r="V32" s="7">
        <f t="shared" si="19"/>
        <v>7.860911914209694E-3</v>
      </c>
      <c r="W32" s="2"/>
      <c r="X32" s="6">
        <f t="shared" si="20"/>
        <v>-6689.9800000000014</v>
      </c>
      <c r="Y32" s="2"/>
      <c r="Z32" s="7">
        <f t="shared" si="21"/>
        <v>-0.42629339651075587</v>
      </c>
    </row>
    <row r="33" spans="1:26" s="23" customFormat="1" hidden="1" outlineLevel="2" x14ac:dyDescent="0.25">
      <c r="A33" s="25"/>
      <c r="B33" s="10" t="str">
        <f>CONCATENATE("          ", "6156", " - ", "EMPLOYEE MEALS")</f>
        <v xml:space="preserve">          6156 - EMPLOYEE MEALS</v>
      </c>
      <c r="C33" s="10"/>
      <c r="D33" s="6"/>
      <c r="E33" s="2"/>
      <c r="F33" s="7">
        <f t="shared" si="14"/>
        <v>0</v>
      </c>
      <c r="G33" s="2"/>
      <c r="H33" s="6">
        <v>1228.43</v>
      </c>
      <c r="I33" s="2"/>
      <c r="J33" s="7">
        <f t="shared" si="15"/>
        <v>5.1945704786288223E-3</v>
      </c>
      <c r="K33" s="2"/>
      <c r="L33" s="6">
        <f t="shared" si="16"/>
        <v>-1228.43</v>
      </c>
      <c r="M33" s="2"/>
      <c r="N33" s="7">
        <f t="shared" si="17"/>
        <v>-1</v>
      </c>
      <c r="O33" s="10"/>
      <c r="P33" s="6">
        <v>5972.78</v>
      </c>
      <c r="Q33" s="2"/>
      <c r="R33" s="7">
        <f t="shared" si="18"/>
        <v>0</v>
      </c>
      <c r="S33" s="2"/>
      <c r="T33" s="6">
        <v>10978.19</v>
      </c>
      <c r="U33" s="2"/>
      <c r="V33" s="7">
        <f t="shared" si="19"/>
        <v>5.4990473408488881E-3</v>
      </c>
      <c r="W33" s="2"/>
      <c r="X33" s="6">
        <f t="shared" si="20"/>
        <v>-5005.4100000000008</v>
      </c>
      <c r="Y33" s="2"/>
      <c r="Z33" s="7">
        <f t="shared" si="21"/>
        <v>-0.45594127993776756</v>
      </c>
    </row>
    <row r="34" spans="1:26" s="26" customFormat="1" outlineLevel="1" collapsed="1" x14ac:dyDescent="0.25">
      <c r="A34" s="27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21118.91</v>
      </c>
      <c r="E34" s="1"/>
      <c r="F34" s="5">
        <f t="shared" ref="F34:F40" si="22">IF(D$12=0,0,D34/D$12)</f>
        <v>0</v>
      </c>
      <c r="G34" s="1"/>
      <c r="H34" s="1">
        <f>SUM(OSRRefH22_1x_0)</f>
        <v>97965.01</v>
      </c>
      <c r="I34" s="1"/>
      <c r="J34" s="5">
        <f t="shared" ref="J34:J40" si="23">IF(H$12=0,0,H34/H$12)</f>
        <v>0.41425734383284135</v>
      </c>
      <c r="K34" s="1"/>
      <c r="L34" s="1">
        <f t="shared" ref="L34:L40" si="24">+D34-H34</f>
        <v>-76846.099999999991</v>
      </c>
      <c r="M34" s="1"/>
      <c r="N34" s="5">
        <f t="shared" ref="N34:N40" si="25">IF(H34=0,0,L34/H34)</f>
        <v>-0.7844239489180882</v>
      </c>
      <c r="O34" s="12"/>
      <c r="P34" s="1">
        <f>SUM(OSRRefP22_1x_0)</f>
        <v>184384.28999999998</v>
      </c>
      <c r="Q34" s="1"/>
      <c r="R34" s="5">
        <f t="shared" ref="R34:R40" si="26">IF(P$12=0,0,P34/P$12)</f>
        <v>0</v>
      </c>
      <c r="S34" s="1"/>
      <c r="T34" s="1">
        <f>SUM(OSRRefT22_1x_0)</f>
        <v>627236.37</v>
      </c>
      <c r="U34" s="1"/>
      <c r="V34" s="5">
        <f t="shared" ref="V34:V40" si="27">IF(T$12=0,0,T34/T$12)</f>
        <v>0.31418680971382434</v>
      </c>
      <c r="W34" s="1"/>
      <c r="X34" s="1">
        <f t="shared" ref="X34:X40" si="28">+P34-T34</f>
        <v>-442852.08</v>
      </c>
      <c r="Y34" s="1"/>
      <c r="Z34" s="5">
        <f t="shared" ref="Z34:Z40" si="29">IF(T34=0,0,X34/T34)</f>
        <v>-0.70603699208322379</v>
      </c>
    </row>
    <row r="35" spans="1:26" s="23" customFormat="1" hidden="1" outlineLevel="2" x14ac:dyDescent="0.25">
      <c r="A35" s="25"/>
      <c r="B35" s="10" t="str">
        <f>CONCATENATE("          ", "6002", " - ", "STAFF SALARIES")</f>
        <v xml:space="preserve">          6002 - STAFF SALARIES</v>
      </c>
      <c r="C35" s="10"/>
      <c r="D35" s="6">
        <v>4555</v>
      </c>
      <c r="E35" s="2"/>
      <c r="F35" s="7">
        <f t="shared" si="22"/>
        <v>0</v>
      </c>
      <c r="G35" s="2"/>
      <c r="H35" s="6">
        <v>14690.54</v>
      </c>
      <c r="I35" s="2"/>
      <c r="J35" s="7">
        <f t="shared" si="23"/>
        <v>6.2120792718442126E-2</v>
      </c>
      <c r="K35" s="2"/>
      <c r="L35" s="6">
        <f t="shared" si="24"/>
        <v>-10135.540000000001</v>
      </c>
      <c r="M35" s="2"/>
      <c r="N35" s="7">
        <f t="shared" si="25"/>
        <v>-0.68993651696942393</v>
      </c>
      <c r="O35" s="10"/>
      <c r="P35" s="6">
        <v>39032.99</v>
      </c>
      <c r="Q35" s="2"/>
      <c r="R35" s="7">
        <f t="shared" si="26"/>
        <v>0</v>
      </c>
      <c r="S35" s="2"/>
      <c r="T35" s="6">
        <v>92498.71</v>
      </c>
      <c r="U35" s="2"/>
      <c r="V35" s="7">
        <f t="shared" si="27"/>
        <v>4.6333210233877577E-2</v>
      </c>
      <c r="W35" s="2"/>
      <c r="X35" s="6">
        <f t="shared" si="28"/>
        <v>-53465.720000000008</v>
      </c>
      <c r="Y35" s="2"/>
      <c r="Z35" s="7">
        <f t="shared" si="29"/>
        <v>-0.5780158447615108</v>
      </c>
    </row>
    <row r="36" spans="1:26" s="23" customFormat="1" hidden="1" outlineLevel="2" x14ac:dyDescent="0.25">
      <c r="A36" s="25"/>
      <c r="B36" s="10" t="str">
        <f>CONCATENATE("          ", "6004", " - ", "STAFF HOURLY")</f>
        <v xml:space="preserve">          6004 - STAFF HOURLY</v>
      </c>
      <c r="C36" s="10"/>
      <c r="D36" s="6">
        <v>15569.91</v>
      </c>
      <c r="E36" s="2"/>
      <c r="F36" s="7">
        <f t="shared" si="22"/>
        <v>0</v>
      </c>
      <c r="G36" s="2"/>
      <c r="H36" s="6">
        <v>32592.97</v>
      </c>
      <c r="I36" s="2"/>
      <c r="J36" s="7">
        <f t="shared" si="23"/>
        <v>0.13782346553961955</v>
      </c>
      <c r="K36" s="2"/>
      <c r="L36" s="6">
        <f t="shared" si="24"/>
        <v>-17023.060000000001</v>
      </c>
      <c r="M36" s="2"/>
      <c r="N36" s="7">
        <f t="shared" si="25"/>
        <v>-0.52229238390978183</v>
      </c>
      <c r="O36" s="10"/>
      <c r="P36" s="6">
        <v>141741.29999999999</v>
      </c>
      <c r="Q36" s="2"/>
      <c r="R36" s="7">
        <f t="shared" si="26"/>
        <v>0</v>
      </c>
      <c r="S36" s="2"/>
      <c r="T36" s="6">
        <v>203487.51</v>
      </c>
      <c r="U36" s="2"/>
      <c r="V36" s="7">
        <f t="shared" si="27"/>
        <v>0.10192822776445494</v>
      </c>
      <c r="W36" s="2"/>
      <c r="X36" s="6">
        <f t="shared" si="28"/>
        <v>-61746.210000000021</v>
      </c>
      <c r="Y36" s="2"/>
      <c r="Z36" s="7">
        <f t="shared" si="29"/>
        <v>-0.30343980325868658</v>
      </c>
    </row>
    <row r="37" spans="1:26" s="23" customFormat="1" hidden="1" outlineLevel="2" x14ac:dyDescent="0.25">
      <c r="A37" s="25"/>
      <c r="B37" s="10" t="str">
        <f>CONCATENATE("          ", "6005", " - ", "TEMPORARY WAGES-HOURLY")</f>
        <v xml:space="preserve">          6005 - TEMPORARY WAGES-HOURLY</v>
      </c>
      <c r="C37" s="10"/>
      <c r="D37" s="6"/>
      <c r="E37" s="2"/>
      <c r="F37" s="7">
        <f t="shared" si="22"/>
        <v>0</v>
      </c>
      <c r="G37" s="2"/>
      <c r="H37" s="6">
        <v>18129.39</v>
      </c>
      <c r="I37" s="2"/>
      <c r="J37" s="7">
        <f t="shared" si="23"/>
        <v>7.6662401674941649E-2</v>
      </c>
      <c r="K37" s="2"/>
      <c r="L37" s="6">
        <f t="shared" si="24"/>
        <v>-18129.39</v>
      </c>
      <c r="M37" s="2"/>
      <c r="N37" s="7">
        <f t="shared" si="25"/>
        <v>-1</v>
      </c>
      <c r="O37" s="10"/>
      <c r="P37" s="6"/>
      <c r="Q37" s="2"/>
      <c r="R37" s="7">
        <f t="shared" si="26"/>
        <v>0</v>
      </c>
      <c r="S37" s="2"/>
      <c r="T37" s="6">
        <v>107403.49</v>
      </c>
      <c r="U37" s="2"/>
      <c r="V37" s="7">
        <f t="shared" si="27"/>
        <v>5.3799112247318565E-2</v>
      </c>
      <c r="W37" s="2"/>
      <c r="X37" s="6">
        <f t="shared" si="28"/>
        <v>-107403.49</v>
      </c>
      <c r="Y37" s="2"/>
      <c r="Z37" s="7">
        <f t="shared" si="29"/>
        <v>-1</v>
      </c>
    </row>
    <row r="38" spans="1:26" s="23" customFormat="1" hidden="1" outlineLevel="2" x14ac:dyDescent="0.25">
      <c r="A38" s="25"/>
      <c r="B38" s="10" t="str">
        <f>CONCATENATE("          ", "6006", " - ", "TEMPORARY PART TIME")</f>
        <v xml:space="preserve">          6006 - TEMPORARY PART TIME</v>
      </c>
      <c r="C38" s="10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/>
      <c r="Q38" s="2"/>
      <c r="R38" s="7">
        <f t="shared" si="26"/>
        <v>0</v>
      </c>
      <c r="S38" s="2"/>
      <c r="T38" s="6">
        <v>10378.219999999999</v>
      </c>
      <c r="U38" s="2"/>
      <c r="V38" s="7">
        <f t="shared" si="27"/>
        <v>5.1985184346185253E-3</v>
      </c>
      <c r="W38" s="2"/>
      <c r="X38" s="6">
        <f t="shared" si="28"/>
        <v>-10378.219999999999</v>
      </c>
      <c r="Y38" s="2"/>
      <c r="Z38" s="7">
        <f t="shared" si="29"/>
        <v>-1</v>
      </c>
    </row>
    <row r="39" spans="1:26" s="23" customFormat="1" hidden="1" outlineLevel="2" x14ac:dyDescent="0.25">
      <c r="A39" s="25"/>
      <c r="B39" s="10" t="str">
        <f>CONCATENATE("          ", "6007", " - ", "STUDENT HOURLY")</f>
        <v xml:space="preserve">          6007 - STUDENT HOURLY</v>
      </c>
      <c r="C39" s="10"/>
      <c r="D39" s="6">
        <v>994</v>
      </c>
      <c r="E39" s="2"/>
      <c r="F39" s="7">
        <f t="shared" si="22"/>
        <v>0</v>
      </c>
      <c r="G39" s="2"/>
      <c r="H39" s="6">
        <v>21016.28</v>
      </c>
      <c r="I39" s="2"/>
      <c r="J39" s="7">
        <f t="shared" si="23"/>
        <v>8.8869978475450237E-2</v>
      </c>
      <c r="K39" s="2"/>
      <c r="L39" s="6">
        <f t="shared" si="24"/>
        <v>-20022.28</v>
      </c>
      <c r="M39" s="2"/>
      <c r="N39" s="7">
        <f t="shared" si="25"/>
        <v>-0.95270333284482311</v>
      </c>
      <c r="O39" s="10"/>
      <c r="P39" s="6">
        <v>3610</v>
      </c>
      <c r="Q39" s="2"/>
      <c r="R39" s="7">
        <f t="shared" si="26"/>
        <v>0</v>
      </c>
      <c r="S39" s="2"/>
      <c r="T39" s="6">
        <v>151411.07999999999</v>
      </c>
      <c r="U39" s="2"/>
      <c r="V39" s="7">
        <f t="shared" si="27"/>
        <v>7.5842802579392257E-2</v>
      </c>
      <c r="W39" s="2"/>
      <c r="X39" s="6">
        <f t="shared" si="28"/>
        <v>-147801.07999999999</v>
      </c>
      <c r="Y39" s="2"/>
      <c r="Z39" s="7">
        <f t="shared" si="29"/>
        <v>-0.97615762333905809</v>
      </c>
    </row>
    <row r="40" spans="1:26" s="23" customFormat="1" hidden="1" outlineLevel="2" x14ac:dyDescent="0.25">
      <c r="A40" s="25"/>
      <c r="B40" s="10" t="str">
        <f>CONCATENATE("          ", "6008", " - ", "STUDENT HOURLY-FICA EXEMPT")</f>
        <v xml:space="preserve">          6008 - STUDENT HOURLY-FICA EXEMPT</v>
      </c>
      <c r="C40" s="10"/>
      <c r="D40" s="6"/>
      <c r="E40" s="2"/>
      <c r="F40" s="7">
        <f t="shared" si="22"/>
        <v>0</v>
      </c>
      <c r="G40" s="2"/>
      <c r="H40" s="6">
        <v>11535.83</v>
      </c>
      <c r="I40" s="2"/>
      <c r="J40" s="7">
        <f t="shared" si="23"/>
        <v>4.8780705424387817E-2</v>
      </c>
      <c r="K40" s="2"/>
      <c r="L40" s="6">
        <f t="shared" si="24"/>
        <v>-11535.83</v>
      </c>
      <c r="M40" s="2"/>
      <c r="N40" s="7">
        <f t="shared" si="25"/>
        <v>-1</v>
      </c>
      <c r="O40" s="10"/>
      <c r="P40" s="6"/>
      <c r="Q40" s="2"/>
      <c r="R40" s="7">
        <f t="shared" si="26"/>
        <v>0</v>
      </c>
      <c r="S40" s="2"/>
      <c r="T40" s="6">
        <v>62057.36</v>
      </c>
      <c r="U40" s="2"/>
      <c r="V40" s="7">
        <f t="shared" si="27"/>
        <v>3.1084938454162495E-2</v>
      </c>
      <c r="W40" s="2"/>
      <c r="X40" s="6">
        <f t="shared" si="28"/>
        <v>-62057.36</v>
      </c>
      <c r="Y40" s="2"/>
      <c r="Z40" s="7">
        <f t="shared" si="29"/>
        <v>-1</v>
      </c>
    </row>
    <row r="41" spans="1:26" s="26" customFormat="1" outlineLevel="1" collapsed="1" x14ac:dyDescent="0.25">
      <c r="A41" s="27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3" si="30">IF(D$12=0,0,D41/D$12)</f>
        <v>0</v>
      </c>
      <c r="G41" s="1"/>
      <c r="H41" s="1">
        <f>SUM(OSRRefH22_2x_0)</f>
        <v>0</v>
      </c>
      <c r="I41" s="1"/>
      <c r="J41" s="5">
        <f t="shared" ref="J41:J63" si="31">IF(H$12=0,0,H41/H$12)</f>
        <v>0</v>
      </c>
      <c r="K41" s="1"/>
      <c r="L41" s="1">
        <f t="shared" ref="L41:L63" si="32">+D41-H41</f>
        <v>0</v>
      </c>
      <c r="M41" s="1"/>
      <c r="N41" s="5">
        <f t="shared" ref="N41:N63" si="33">IF(H41=0,0,L41/H41)</f>
        <v>0</v>
      </c>
      <c r="O41" s="12"/>
      <c r="P41" s="1">
        <f>SUM(OSRRefP22_2x_0)</f>
        <v>0</v>
      </c>
      <c r="Q41" s="1"/>
      <c r="R41" s="5">
        <f t="shared" ref="R41:R63" si="34">IF(P$12=0,0,P41/P$12)</f>
        <v>0</v>
      </c>
      <c r="S41" s="1"/>
      <c r="T41" s="1">
        <f>SUM(OSRRefT22_2x_0)</f>
        <v>3020.03</v>
      </c>
      <c r="U41" s="1"/>
      <c r="V41" s="5">
        <f t="shared" ref="V41:V63" si="35">IF(T$12=0,0,T41/T$12)</f>
        <v>1.5127528254460772E-3</v>
      </c>
      <c r="W41" s="1"/>
      <c r="X41" s="1">
        <f t="shared" ref="X41:X63" si="36">+P41-T41</f>
        <v>-3020.03</v>
      </c>
      <c r="Y41" s="1"/>
      <c r="Z41" s="5">
        <f t="shared" ref="Z41:Z63" si="37">IF(T41=0,0,X41/T41)</f>
        <v>-1</v>
      </c>
    </row>
    <row r="42" spans="1:26" s="23" customFormat="1" hidden="1" outlineLevel="2" x14ac:dyDescent="0.25">
      <c r="A42" s="25"/>
      <c r="B42" s="10" t="str">
        <f>CONCATENATE("          ", "6362", " - ", "ADVERTISING EXPENSE")</f>
        <v xml:space="preserve">          6362 - ADVERTISING EXPENSE</v>
      </c>
      <c r="C42" s="10"/>
      <c r="D42" s="6"/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0</v>
      </c>
      <c r="M42" s="2"/>
      <c r="N42" s="7">
        <f t="shared" si="33"/>
        <v>0</v>
      </c>
      <c r="O42" s="10"/>
      <c r="P42" s="6"/>
      <c r="Q42" s="2"/>
      <c r="R42" s="7">
        <f t="shared" si="34"/>
        <v>0</v>
      </c>
      <c r="S42" s="2"/>
      <c r="T42" s="6">
        <v>3020.03</v>
      </c>
      <c r="U42" s="2"/>
      <c r="V42" s="7">
        <f t="shared" si="35"/>
        <v>1.5127528254460772E-3</v>
      </c>
      <c r="W42" s="2"/>
      <c r="X42" s="6">
        <f t="shared" si="36"/>
        <v>-3020.03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33.44</v>
      </c>
      <c r="I43" s="1"/>
      <c r="J43" s="5">
        <f t="shared" si="31"/>
        <v>1.4140523823526598E-4</v>
      </c>
      <c r="K43" s="1"/>
      <c r="L43" s="1">
        <f t="shared" si="32"/>
        <v>-33.44</v>
      </c>
      <c r="M43" s="1"/>
      <c r="N43" s="5">
        <f t="shared" si="33"/>
        <v>-1</v>
      </c>
      <c r="O43" s="12"/>
      <c r="P43" s="1">
        <f>SUM(OSRRefP22_3x_0)</f>
        <v>29.74</v>
      </c>
      <c r="Q43" s="1"/>
      <c r="R43" s="5">
        <f t="shared" si="34"/>
        <v>0</v>
      </c>
      <c r="S43" s="1"/>
      <c r="T43" s="1">
        <f>SUM(OSRRefT22_3x_0)</f>
        <v>46.62</v>
      </c>
      <c r="U43" s="1"/>
      <c r="V43" s="5">
        <f t="shared" si="35"/>
        <v>2.3352263627280558E-5</v>
      </c>
      <c r="W43" s="1"/>
      <c r="X43" s="1">
        <f t="shared" si="36"/>
        <v>-16.88</v>
      </c>
      <c r="Y43" s="1"/>
      <c r="Z43" s="5">
        <f t="shared" si="37"/>
        <v>-0.36207636207636207</v>
      </c>
    </row>
    <row r="44" spans="1:26" s="23" customFormat="1" hidden="1" outlineLevel="2" x14ac:dyDescent="0.25">
      <c r="A44" s="25"/>
      <c r="B44" s="10" t="str">
        <f>CONCATENATE("          ", "6272", " - ", "CASH (OVER/SHORT)")</f>
        <v xml:space="preserve">          6272 - CASH (OVER/SHORT)</v>
      </c>
      <c r="C44" s="10"/>
      <c r="D44" s="6"/>
      <c r="E44" s="2"/>
      <c r="F44" s="7">
        <f t="shared" si="30"/>
        <v>0</v>
      </c>
      <c r="G44" s="2"/>
      <c r="H44" s="6">
        <v>33.44</v>
      </c>
      <c r="I44" s="2"/>
      <c r="J44" s="7">
        <f t="shared" si="31"/>
        <v>1.4140523823526598E-4</v>
      </c>
      <c r="K44" s="2"/>
      <c r="L44" s="6">
        <f t="shared" si="32"/>
        <v>-33.44</v>
      </c>
      <c r="M44" s="2"/>
      <c r="N44" s="7">
        <f t="shared" si="33"/>
        <v>-1</v>
      </c>
      <c r="O44" s="10"/>
      <c r="P44" s="6">
        <v>29.74</v>
      </c>
      <c r="Q44" s="2"/>
      <c r="R44" s="7">
        <f t="shared" si="34"/>
        <v>0</v>
      </c>
      <c r="S44" s="2"/>
      <c r="T44" s="6">
        <v>46.62</v>
      </c>
      <c r="U44" s="2"/>
      <c r="V44" s="7">
        <f t="shared" si="35"/>
        <v>2.3352263627280558E-5</v>
      </c>
      <c r="W44" s="2"/>
      <c r="X44" s="6">
        <f t="shared" si="36"/>
        <v>-16.88</v>
      </c>
      <c r="Y44" s="2"/>
      <c r="Z44" s="7">
        <f t="shared" si="37"/>
        <v>-0.36207636207636207</v>
      </c>
    </row>
    <row r="45" spans="1:26" s="26" customFormat="1" outlineLevel="1" collapsed="1" x14ac:dyDescent="0.25">
      <c r="A45" s="27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4.1900000000000004</v>
      </c>
      <c r="I45" s="1"/>
      <c r="J45" s="5">
        <f t="shared" si="31"/>
        <v>1.771794103486138E-5</v>
      </c>
      <c r="K45" s="1"/>
      <c r="L45" s="1">
        <f t="shared" si="32"/>
        <v>-4.1900000000000004</v>
      </c>
      <c r="M45" s="1"/>
      <c r="N45" s="5">
        <f t="shared" si="33"/>
        <v>-1</v>
      </c>
      <c r="O45" s="12"/>
      <c r="P45" s="1">
        <f>SUM(OSRRefP22_4x_0)</f>
        <v>0</v>
      </c>
      <c r="Q45" s="1"/>
      <c r="R45" s="5">
        <f t="shared" si="34"/>
        <v>0</v>
      </c>
      <c r="S45" s="1"/>
      <c r="T45" s="1">
        <f>SUM(OSRRefT22_4x_0)</f>
        <v>70.89</v>
      </c>
      <c r="U45" s="1"/>
      <c r="V45" s="5">
        <f t="shared" si="35"/>
        <v>3.5509265734404094E-5</v>
      </c>
      <c r="W45" s="1"/>
      <c r="X45" s="1">
        <f t="shared" si="36"/>
        <v>-70.89</v>
      </c>
      <c r="Y45" s="1"/>
      <c r="Z45" s="5">
        <f t="shared" si="37"/>
        <v>-1</v>
      </c>
    </row>
    <row r="46" spans="1:26" s="23" customFormat="1" hidden="1" outlineLevel="2" x14ac:dyDescent="0.25">
      <c r="A46" s="25"/>
      <c r="B46" s="10" t="str">
        <f>CONCATENATE("          ", "6381", " - ", "BANK/CREDIT CARD FEES")</f>
        <v xml:space="preserve">          6381 - BANK/CREDIT CARD FEES</v>
      </c>
      <c r="C46" s="10"/>
      <c r="D46" s="6"/>
      <c r="E46" s="2"/>
      <c r="F46" s="7">
        <f t="shared" si="30"/>
        <v>0</v>
      </c>
      <c r="G46" s="2"/>
      <c r="H46" s="6">
        <v>4.1900000000000004</v>
      </c>
      <c r="I46" s="2"/>
      <c r="J46" s="7">
        <f t="shared" si="31"/>
        <v>1.771794103486138E-5</v>
      </c>
      <c r="K46" s="2"/>
      <c r="L46" s="6">
        <f t="shared" si="32"/>
        <v>-4.1900000000000004</v>
      </c>
      <c r="M46" s="2"/>
      <c r="N46" s="7">
        <f t="shared" si="33"/>
        <v>-1</v>
      </c>
      <c r="O46" s="10"/>
      <c r="P46" s="6"/>
      <c r="Q46" s="2"/>
      <c r="R46" s="7">
        <f t="shared" si="34"/>
        <v>0</v>
      </c>
      <c r="S46" s="2"/>
      <c r="T46" s="6">
        <v>70.89</v>
      </c>
      <c r="U46" s="2"/>
      <c r="V46" s="7">
        <f t="shared" si="35"/>
        <v>3.5509265734404094E-5</v>
      </c>
      <c r="W46" s="2"/>
      <c r="X46" s="6">
        <f t="shared" si="36"/>
        <v>-70.89</v>
      </c>
      <c r="Y46" s="2"/>
      <c r="Z46" s="7">
        <f t="shared" si="37"/>
        <v>-1</v>
      </c>
    </row>
    <row r="47" spans="1:26" s="26" customFormat="1" outlineLevel="1" collapsed="1" x14ac:dyDescent="0.25">
      <c r="A47" s="27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213.02</v>
      </c>
      <c r="E47" s="1"/>
      <c r="F47" s="5">
        <f t="shared" si="30"/>
        <v>0</v>
      </c>
      <c r="G47" s="1"/>
      <c r="H47" s="1">
        <f>SUM(OSRRefH22_5x_0)</f>
        <v>213.02</v>
      </c>
      <c r="I47" s="1"/>
      <c r="J47" s="5">
        <f t="shared" si="31"/>
        <v>9.0078181366257072E-4</v>
      </c>
      <c r="K47" s="1"/>
      <c r="L47" s="1">
        <f t="shared" si="32"/>
        <v>0</v>
      </c>
      <c r="M47" s="1"/>
      <c r="N47" s="5">
        <f t="shared" si="33"/>
        <v>0</v>
      </c>
      <c r="O47" s="12"/>
      <c r="P47" s="1">
        <f>SUM(OSRRefP22_5x_0)</f>
        <v>1917.18</v>
      </c>
      <c r="Q47" s="1"/>
      <c r="R47" s="5">
        <f t="shared" si="34"/>
        <v>0</v>
      </c>
      <c r="S47" s="1"/>
      <c r="T47" s="1">
        <f>SUM(OSRRefT22_5x_0)</f>
        <v>213.02</v>
      </c>
      <c r="U47" s="1"/>
      <c r="V47" s="5">
        <f t="shared" si="35"/>
        <v>1.067031144977114E-4</v>
      </c>
      <c r="W47" s="1"/>
      <c r="X47" s="1">
        <f t="shared" si="36"/>
        <v>1704.16</v>
      </c>
      <c r="Y47" s="1"/>
      <c r="Z47" s="5">
        <f t="shared" si="37"/>
        <v>8</v>
      </c>
    </row>
    <row r="48" spans="1:26" s="23" customFormat="1" hidden="1" outlineLevel="2" x14ac:dyDescent="0.25">
      <c r="A48" s="25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213.02</v>
      </c>
      <c r="E48" s="2"/>
      <c r="F48" s="7">
        <f t="shared" si="30"/>
        <v>0</v>
      </c>
      <c r="G48" s="2"/>
      <c r="H48" s="6">
        <v>213.02</v>
      </c>
      <c r="I48" s="2"/>
      <c r="J48" s="7">
        <f t="shared" si="31"/>
        <v>9.0078181366257072E-4</v>
      </c>
      <c r="K48" s="2"/>
      <c r="L48" s="6">
        <f t="shared" si="32"/>
        <v>0</v>
      </c>
      <c r="M48" s="2"/>
      <c r="N48" s="7">
        <f t="shared" si="33"/>
        <v>0</v>
      </c>
      <c r="O48" s="10"/>
      <c r="P48" s="6">
        <v>1917.18</v>
      </c>
      <c r="Q48" s="2"/>
      <c r="R48" s="7">
        <f t="shared" si="34"/>
        <v>0</v>
      </c>
      <c r="S48" s="2"/>
      <c r="T48" s="6">
        <v>213.02</v>
      </c>
      <c r="U48" s="2"/>
      <c r="V48" s="7">
        <f t="shared" si="35"/>
        <v>1.067031144977114E-4</v>
      </c>
      <c r="W48" s="2"/>
      <c r="X48" s="6">
        <f t="shared" si="36"/>
        <v>1704.16</v>
      </c>
      <c r="Y48" s="2"/>
      <c r="Z48" s="7">
        <f t="shared" si="37"/>
        <v>8</v>
      </c>
    </row>
    <row r="49" spans="1:26" s="26" customFormat="1" outlineLevel="1" collapsed="1" x14ac:dyDescent="0.25">
      <c r="A49" s="27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0</v>
      </c>
      <c r="E49" s="1"/>
      <c r="F49" s="5">
        <f t="shared" si="30"/>
        <v>0</v>
      </c>
      <c r="G49" s="1"/>
      <c r="H49" s="1">
        <f>SUM(OSRRefH22_6x_0)</f>
        <v>2425.92</v>
      </c>
      <c r="I49" s="1"/>
      <c r="J49" s="5">
        <f t="shared" si="31"/>
        <v>1.0258307282885661E-2</v>
      </c>
      <c r="K49" s="1"/>
      <c r="L49" s="1">
        <f t="shared" si="32"/>
        <v>-2425.92</v>
      </c>
      <c r="M49" s="1"/>
      <c r="N49" s="5">
        <f t="shared" si="33"/>
        <v>-1</v>
      </c>
      <c r="O49" s="12"/>
      <c r="P49" s="1">
        <f>SUM(OSRRefP22_6x_0)</f>
        <v>0</v>
      </c>
      <c r="Q49" s="1"/>
      <c r="R49" s="5">
        <f t="shared" si="34"/>
        <v>0</v>
      </c>
      <c r="S49" s="1"/>
      <c r="T49" s="1">
        <f>SUM(OSRRefT22_6x_0)</f>
        <v>21140.82</v>
      </c>
      <c r="U49" s="1"/>
      <c r="V49" s="5">
        <f t="shared" si="35"/>
        <v>1.0589575331121523E-2</v>
      </c>
      <c r="W49" s="1"/>
      <c r="X49" s="1">
        <f t="shared" si="36"/>
        <v>-21140.82</v>
      </c>
      <c r="Y49" s="1"/>
      <c r="Z49" s="5">
        <f t="shared" si="37"/>
        <v>-1</v>
      </c>
    </row>
    <row r="50" spans="1:26" s="23" customFormat="1" hidden="1" outlineLevel="2" x14ac:dyDescent="0.25">
      <c r="A50" s="25"/>
      <c r="B50" s="10" t="str">
        <f>CONCATENATE("          ", "6399", " - ", "DONATION-ON CAMPUS")</f>
        <v xml:space="preserve">          6399 - DONATION-ON CAMPUS</v>
      </c>
      <c r="C50" s="10"/>
      <c r="D50" s="6"/>
      <c r="E50" s="2"/>
      <c r="F50" s="7">
        <f t="shared" si="30"/>
        <v>0</v>
      </c>
      <c r="G50" s="2"/>
      <c r="H50" s="6">
        <v>2425.92</v>
      </c>
      <c r="I50" s="2"/>
      <c r="J50" s="7">
        <f t="shared" si="31"/>
        <v>1.0258307282885661E-2</v>
      </c>
      <c r="K50" s="2"/>
      <c r="L50" s="6">
        <f t="shared" si="32"/>
        <v>-2425.92</v>
      </c>
      <c r="M50" s="2"/>
      <c r="N50" s="7">
        <f t="shared" si="33"/>
        <v>-1</v>
      </c>
      <c r="O50" s="10"/>
      <c r="P50" s="6"/>
      <c r="Q50" s="2"/>
      <c r="R50" s="7">
        <f t="shared" si="34"/>
        <v>0</v>
      </c>
      <c r="S50" s="2"/>
      <c r="T50" s="6">
        <v>21140.82</v>
      </c>
      <c r="U50" s="2"/>
      <c r="V50" s="7">
        <f t="shared" si="35"/>
        <v>1.0589575331121523E-2</v>
      </c>
      <c r="W50" s="2"/>
      <c r="X50" s="6">
        <f t="shared" si="36"/>
        <v>-21140.82</v>
      </c>
      <c r="Y50" s="2"/>
      <c r="Z50" s="7">
        <f t="shared" si="37"/>
        <v>-1</v>
      </c>
    </row>
    <row r="51" spans="1:26" s="26" customFormat="1" outlineLevel="1" collapsed="1" x14ac:dyDescent="0.25">
      <c r="A51" s="27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2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21.34</v>
      </c>
      <c r="U51" s="1"/>
      <c r="V51" s="5">
        <f t="shared" si="35"/>
        <v>1.0689345898888185E-5</v>
      </c>
      <c r="W51" s="1"/>
      <c r="X51" s="1">
        <f t="shared" si="36"/>
        <v>-21.34</v>
      </c>
      <c r="Y51" s="1"/>
      <c r="Z51" s="5">
        <f t="shared" si="37"/>
        <v>-1</v>
      </c>
    </row>
    <row r="52" spans="1:26" s="23" customFormat="1" hidden="1" outlineLevel="2" x14ac:dyDescent="0.25">
      <c r="A52" s="25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0"/>
      <c r="P52" s="6"/>
      <c r="Q52" s="2"/>
      <c r="R52" s="7">
        <f t="shared" si="34"/>
        <v>0</v>
      </c>
      <c r="S52" s="2"/>
      <c r="T52" s="6">
        <v>21.34</v>
      </c>
      <c r="U52" s="2"/>
      <c r="V52" s="7">
        <f t="shared" si="35"/>
        <v>1.0689345898888185E-5</v>
      </c>
      <c r="W52" s="2"/>
      <c r="X52" s="6">
        <f t="shared" si="36"/>
        <v>-21.34</v>
      </c>
      <c r="Y52" s="2"/>
      <c r="Z52" s="7">
        <f t="shared" si="37"/>
        <v>-1</v>
      </c>
    </row>
    <row r="53" spans="1:26" s="26" customFormat="1" outlineLevel="1" collapsed="1" x14ac:dyDescent="0.25">
      <c r="A53" s="27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2"/>
      <c r="P53" s="1">
        <f>SUM(OSRRefP22_8x_0)</f>
        <v>20</v>
      </c>
      <c r="Q53" s="1"/>
      <c r="R53" s="5">
        <f t="shared" si="34"/>
        <v>0</v>
      </c>
      <c r="S53" s="1"/>
      <c r="T53" s="1">
        <f>SUM(OSRRefT22_8x_0)</f>
        <v>0.01</v>
      </c>
      <c r="U53" s="1"/>
      <c r="V53" s="5">
        <f t="shared" si="35"/>
        <v>5.0090655571172371E-9</v>
      </c>
      <c r="W53" s="1"/>
      <c r="X53" s="1">
        <f t="shared" si="36"/>
        <v>19.989999999999998</v>
      </c>
      <c r="Y53" s="1"/>
      <c r="Z53" s="5">
        <f t="shared" si="37"/>
        <v>1998.9999999999998</v>
      </c>
    </row>
    <row r="54" spans="1:26" s="23" customFormat="1" hidden="1" outlineLevel="2" x14ac:dyDescent="0.25">
      <c r="A54" s="25"/>
      <c r="B54" s="10" t="str">
        <f>CONCATENATE("          ", "6351", " - ", "EQUIPMENT RENTAL")</f>
        <v xml:space="preserve">          6351 - EQUIPMENT RENTAL</v>
      </c>
      <c r="C54" s="10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0"/>
      <c r="P54" s="6">
        <v>20</v>
      </c>
      <c r="Q54" s="2"/>
      <c r="R54" s="7">
        <f t="shared" si="34"/>
        <v>0</v>
      </c>
      <c r="S54" s="2"/>
      <c r="T54" s="6">
        <v>0.01</v>
      </c>
      <c r="U54" s="2"/>
      <c r="V54" s="7">
        <f t="shared" si="35"/>
        <v>5.0090655571172371E-9</v>
      </c>
      <c r="W54" s="2"/>
      <c r="X54" s="6">
        <f t="shared" si="36"/>
        <v>19.989999999999998</v>
      </c>
      <c r="Y54" s="2"/>
      <c r="Z54" s="7">
        <f t="shared" si="37"/>
        <v>1998.9999999999998</v>
      </c>
    </row>
    <row r="55" spans="1:26" s="26" customFormat="1" outlineLevel="1" collapsed="1" x14ac:dyDescent="0.25">
      <c r="A55" s="27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436.32</v>
      </c>
      <c r="E55" s="1"/>
      <c r="F55" s="5">
        <f t="shared" si="30"/>
        <v>0</v>
      </c>
      <c r="G55" s="1"/>
      <c r="H55" s="1">
        <f>SUM(OSRRefH22_9x_0)</f>
        <v>433.32</v>
      </c>
      <c r="I55" s="1"/>
      <c r="J55" s="5">
        <f t="shared" si="31"/>
        <v>1.8323480212950197E-3</v>
      </c>
      <c r="K55" s="1"/>
      <c r="L55" s="1">
        <f t="shared" si="32"/>
        <v>3</v>
      </c>
      <c r="M55" s="1"/>
      <c r="N55" s="5">
        <f t="shared" si="33"/>
        <v>6.9232899473829967E-3</v>
      </c>
      <c r="O55" s="12"/>
      <c r="P55" s="1">
        <f>SUM(OSRRefP22_9x_0)</f>
        <v>1875.87</v>
      </c>
      <c r="Q55" s="1"/>
      <c r="R55" s="5">
        <f t="shared" si="34"/>
        <v>0</v>
      </c>
      <c r="S55" s="1"/>
      <c r="T55" s="1">
        <f>SUM(OSRRefT22_9x_0)</f>
        <v>1950.43</v>
      </c>
      <c r="U55" s="1"/>
      <c r="V55" s="5">
        <f t="shared" si="35"/>
        <v>9.7698317345681733E-4</v>
      </c>
      <c r="W55" s="1"/>
      <c r="X55" s="1">
        <f t="shared" si="36"/>
        <v>-74.560000000000173</v>
      </c>
      <c r="Y55" s="1"/>
      <c r="Z55" s="5">
        <f t="shared" si="37"/>
        <v>-3.8227467789154271E-2</v>
      </c>
    </row>
    <row r="56" spans="1:26" s="23" customFormat="1" hidden="1" outlineLevel="2" x14ac:dyDescent="0.25">
      <c r="A56" s="25"/>
      <c r="B56" s="10" t="str">
        <f>CONCATENATE("          ", "6279", " - ", "GENERAL EXPENSE")</f>
        <v xml:space="preserve">          6279 - GENERAL EXPENSE</v>
      </c>
      <c r="C56" s="10"/>
      <c r="D56" s="6">
        <v>436.32</v>
      </c>
      <c r="E56" s="2"/>
      <c r="F56" s="7">
        <f t="shared" si="30"/>
        <v>0</v>
      </c>
      <c r="G56" s="2"/>
      <c r="H56" s="6">
        <v>433.32</v>
      </c>
      <c r="I56" s="2"/>
      <c r="J56" s="7">
        <f t="shared" si="31"/>
        <v>1.8323480212950197E-3</v>
      </c>
      <c r="K56" s="2"/>
      <c r="L56" s="6">
        <f t="shared" si="32"/>
        <v>3</v>
      </c>
      <c r="M56" s="2"/>
      <c r="N56" s="7">
        <f t="shared" si="33"/>
        <v>6.9232899473829967E-3</v>
      </c>
      <c r="O56" s="10"/>
      <c r="P56" s="6">
        <v>1875.87</v>
      </c>
      <c r="Q56" s="2"/>
      <c r="R56" s="7">
        <f t="shared" si="34"/>
        <v>0</v>
      </c>
      <c r="S56" s="2"/>
      <c r="T56" s="6">
        <v>1950.43</v>
      </c>
      <c r="U56" s="2"/>
      <c r="V56" s="7">
        <f t="shared" si="35"/>
        <v>9.7698317345681733E-4</v>
      </c>
      <c r="W56" s="2"/>
      <c r="X56" s="6">
        <f t="shared" si="36"/>
        <v>-74.560000000000173</v>
      </c>
      <c r="Y56" s="2"/>
      <c r="Z56" s="7">
        <f t="shared" si="37"/>
        <v>-3.8227467789154271E-2</v>
      </c>
    </row>
    <row r="57" spans="1:26" s="26" customFormat="1" outlineLevel="1" collapsed="1" x14ac:dyDescent="0.25">
      <c r="A57" s="27"/>
      <c r="B57" s="12" t="str">
        <f>CONCATENATE("     ","Insurance                                         ")</f>
        <v xml:space="preserve">     Insurance                                         </v>
      </c>
      <c r="C57" s="12"/>
      <c r="D57" s="1">
        <f>SUM(OSRRefD22_10x_0)</f>
        <v>5.9</v>
      </c>
      <c r="E57" s="1"/>
      <c r="F57" s="5">
        <f t="shared" si="30"/>
        <v>0</v>
      </c>
      <c r="G57" s="1"/>
      <c r="H57" s="1">
        <f>SUM(OSRRefH22_10x_0)</f>
        <v>5.9</v>
      </c>
      <c r="I57" s="1"/>
      <c r="J57" s="5">
        <f t="shared" si="31"/>
        <v>2.4948890717346576E-5</v>
      </c>
      <c r="K57" s="1"/>
      <c r="L57" s="1">
        <f t="shared" si="32"/>
        <v>0</v>
      </c>
      <c r="M57" s="1"/>
      <c r="N57" s="5">
        <f t="shared" si="33"/>
        <v>0</v>
      </c>
      <c r="O57" s="12"/>
      <c r="P57" s="1">
        <f>SUM(OSRRefP22_10x_0)</f>
        <v>53.1</v>
      </c>
      <c r="Q57" s="1"/>
      <c r="R57" s="5">
        <f t="shared" si="34"/>
        <v>0</v>
      </c>
      <c r="S57" s="1"/>
      <c r="T57" s="1">
        <f>SUM(OSRRefT22_10x_0)</f>
        <v>53.1</v>
      </c>
      <c r="U57" s="1"/>
      <c r="V57" s="5">
        <f t="shared" si="35"/>
        <v>2.6598138108292531E-5</v>
      </c>
      <c r="W57" s="1"/>
      <c r="X57" s="1">
        <f t="shared" si="36"/>
        <v>0</v>
      </c>
      <c r="Y57" s="1"/>
      <c r="Z57" s="5">
        <f t="shared" si="37"/>
        <v>0</v>
      </c>
    </row>
    <row r="58" spans="1:26" s="23" customFormat="1" hidden="1" outlineLevel="2" x14ac:dyDescent="0.25">
      <c r="A58" s="25"/>
      <c r="B58" s="10" t="str">
        <f>CONCATENATE("          ", "6314", " - ", "LIABILITY INSURANCE")</f>
        <v xml:space="preserve">          6314 - LIABILITY INSURANCE</v>
      </c>
      <c r="C58" s="10"/>
      <c r="D58" s="6">
        <v>5.9</v>
      </c>
      <c r="E58" s="2"/>
      <c r="F58" s="7">
        <f t="shared" si="30"/>
        <v>0</v>
      </c>
      <c r="G58" s="2"/>
      <c r="H58" s="6">
        <v>5.9</v>
      </c>
      <c r="I58" s="2"/>
      <c r="J58" s="7">
        <f t="shared" si="31"/>
        <v>2.4948890717346576E-5</v>
      </c>
      <c r="K58" s="2"/>
      <c r="L58" s="6">
        <f t="shared" si="32"/>
        <v>0</v>
      </c>
      <c r="M58" s="2"/>
      <c r="N58" s="7">
        <f t="shared" si="33"/>
        <v>0</v>
      </c>
      <c r="O58" s="10"/>
      <c r="P58" s="6">
        <v>53.1</v>
      </c>
      <c r="Q58" s="2"/>
      <c r="R58" s="7">
        <f t="shared" si="34"/>
        <v>0</v>
      </c>
      <c r="S58" s="2"/>
      <c r="T58" s="6">
        <v>53.1</v>
      </c>
      <c r="U58" s="2"/>
      <c r="V58" s="7">
        <f t="shared" si="35"/>
        <v>2.6598138108292531E-5</v>
      </c>
      <c r="W58" s="2"/>
      <c r="X58" s="6">
        <f t="shared" si="36"/>
        <v>0</v>
      </c>
      <c r="Y58" s="2"/>
      <c r="Z58" s="7">
        <f t="shared" si="37"/>
        <v>0</v>
      </c>
    </row>
    <row r="59" spans="1:26" s="26" customFormat="1" outlineLevel="1" collapsed="1" x14ac:dyDescent="0.25">
      <c r="A59" s="27"/>
      <c r="B59" s="12" t="str">
        <f>CONCATENATE("     ","R/H Commissions                                   ")</f>
        <v xml:space="preserve">     R/H Commissions                                   </v>
      </c>
      <c r="C59" s="12"/>
      <c r="D59" s="1">
        <f>SUM(OSRRefD22_11x_0)</f>
        <v>0</v>
      </c>
      <c r="E59" s="1"/>
      <c r="F59" s="5">
        <f t="shared" si="30"/>
        <v>0</v>
      </c>
      <c r="G59" s="1"/>
      <c r="H59" s="1">
        <f>SUM(OSRRefH22_11x_0)</f>
        <v>18587.25</v>
      </c>
      <c r="I59" s="1"/>
      <c r="J59" s="5">
        <f t="shared" si="31"/>
        <v>7.8598520167118657E-2</v>
      </c>
      <c r="K59" s="1"/>
      <c r="L59" s="1">
        <f t="shared" si="32"/>
        <v>-18587.25</v>
      </c>
      <c r="M59" s="1"/>
      <c r="N59" s="5">
        <f t="shared" si="33"/>
        <v>-1</v>
      </c>
      <c r="O59" s="12"/>
      <c r="P59" s="1">
        <f>SUM(OSRRefP22_11x_0)</f>
        <v>0</v>
      </c>
      <c r="Q59" s="1"/>
      <c r="R59" s="5">
        <f t="shared" si="34"/>
        <v>0</v>
      </c>
      <c r="S59" s="1"/>
      <c r="T59" s="1">
        <f>SUM(OSRRefT22_11x_0)</f>
        <v>156171.13</v>
      </c>
      <c r="U59" s="1"/>
      <c r="V59" s="5">
        <f t="shared" si="35"/>
        <v>7.822714282990785E-2</v>
      </c>
      <c r="W59" s="1"/>
      <c r="X59" s="1">
        <f t="shared" si="36"/>
        <v>-156171.13</v>
      </c>
      <c r="Y59" s="1"/>
      <c r="Z59" s="5">
        <f t="shared" si="37"/>
        <v>-1</v>
      </c>
    </row>
    <row r="60" spans="1:26" s="23" customFormat="1" hidden="1" outlineLevel="2" x14ac:dyDescent="0.25">
      <c r="A60" s="25"/>
      <c r="B60" s="10" t="str">
        <f>CONCATENATE("          ", "6387", " - ", "COMMISSION DUE HOUSING")</f>
        <v xml:space="preserve">          6387 - COMMISSION DUE HOUSING</v>
      </c>
      <c r="C60" s="10"/>
      <c r="D60" s="6"/>
      <c r="E60" s="2"/>
      <c r="F60" s="7">
        <f t="shared" si="30"/>
        <v>0</v>
      </c>
      <c r="G60" s="2"/>
      <c r="H60" s="6">
        <v>18587.25</v>
      </c>
      <c r="I60" s="2"/>
      <c r="J60" s="7">
        <f t="shared" si="31"/>
        <v>7.8598520167118657E-2</v>
      </c>
      <c r="K60" s="2"/>
      <c r="L60" s="6">
        <f t="shared" si="32"/>
        <v>-18587.25</v>
      </c>
      <c r="M60" s="2"/>
      <c r="N60" s="7">
        <f t="shared" si="33"/>
        <v>-1</v>
      </c>
      <c r="O60" s="10"/>
      <c r="P60" s="6"/>
      <c r="Q60" s="2"/>
      <c r="R60" s="7">
        <f t="shared" si="34"/>
        <v>0</v>
      </c>
      <c r="S60" s="2"/>
      <c r="T60" s="6">
        <v>156171.13</v>
      </c>
      <c r="U60" s="2"/>
      <c r="V60" s="7">
        <f t="shared" si="35"/>
        <v>7.822714282990785E-2</v>
      </c>
      <c r="W60" s="2"/>
      <c r="X60" s="6">
        <f t="shared" si="36"/>
        <v>-156171.13</v>
      </c>
      <c r="Y60" s="2"/>
      <c r="Z60" s="7">
        <f t="shared" si="37"/>
        <v>-1</v>
      </c>
    </row>
    <row r="61" spans="1:26" s="26" customFormat="1" outlineLevel="1" collapsed="1" x14ac:dyDescent="0.25">
      <c r="A61" s="27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SUM(OSRRefD22_12x_0)</f>
        <v>72.319999999999993</v>
      </c>
      <c r="E61" s="1"/>
      <c r="F61" s="5">
        <f t="shared" si="30"/>
        <v>0</v>
      </c>
      <c r="G61" s="1"/>
      <c r="H61" s="1">
        <f>SUM(OSRRefH22_12x_0)</f>
        <v>1626.8899999999999</v>
      </c>
      <c r="I61" s="1"/>
      <c r="J61" s="5">
        <f t="shared" si="31"/>
        <v>6.8795086134142312E-3</v>
      </c>
      <c r="K61" s="1"/>
      <c r="L61" s="1">
        <f t="shared" si="32"/>
        <v>-1554.57</v>
      </c>
      <c r="M61" s="1"/>
      <c r="N61" s="5">
        <f t="shared" si="33"/>
        <v>-0.95554708677292266</v>
      </c>
      <c r="O61" s="12"/>
      <c r="P61" s="1">
        <f>SUM(OSRRefP22_12x_0)</f>
        <v>216.99</v>
      </c>
      <c r="Q61" s="1"/>
      <c r="R61" s="5">
        <f t="shared" si="34"/>
        <v>0</v>
      </c>
      <c r="S61" s="1"/>
      <c r="T61" s="1">
        <f>SUM(OSRRefT22_12x_0)</f>
        <v>212.16</v>
      </c>
      <c r="U61" s="1"/>
      <c r="V61" s="5">
        <f t="shared" si="35"/>
        <v>1.062723348597993E-4</v>
      </c>
      <c r="W61" s="1"/>
      <c r="X61" s="1">
        <f t="shared" si="36"/>
        <v>4.8300000000000125</v>
      </c>
      <c r="Y61" s="1"/>
      <c r="Z61" s="5">
        <f t="shared" si="37"/>
        <v>2.2765837104072456E-2</v>
      </c>
    </row>
    <row r="62" spans="1:26" s="23" customFormat="1" hidden="1" outlineLevel="2" x14ac:dyDescent="0.25">
      <c r="A62" s="25"/>
      <c r="B62" s="10" t="str">
        <f>CONCATENATE("          ", "6373", " - ", "MAINTENANCE CONTRACTS")</f>
        <v xml:space="preserve">          6373 - MAINTENANCE CONTRACTS</v>
      </c>
      <c r="C62" s="10"/>
      <c r="D62" s="6">
        <v>72.319999999999993</v>
      </c>
      <c r="E62" s="2"/>
      <c r="F62" s="7">
        <f t="shared" si="30"/>
        <v>0</v>
      </c>
      <c r="G62" s="2"/>
      <c r="H62" s="6">
        <v>72.33</v>
      </c>
      <c r="I62" s="2"/>
      <c r="J62" s="7">
        <f t="shared" si="31"/>
        <v>3.0585648569248771E-4</v>
      </c>
      <c r="K62" s="2"/>
      <c r="L62" s="6">
        <f t="shared" si="32"/>
        <v>-1.0000000000005116E-2</v>
      </c>
      <c r="M62" s="2"/>
      <c r="N62" s="7">
        <f t="shared" si="33"/>
        <v>-1.3825521913459306E-4</v>
      </c>
      <c r="O62" s="10"/>
      <c r="P62" s="6">
        <v>216.99</v>
      </c>
      <c r="Q62" s="2"/>
      <c r="R62" s="7">
        <f t="shared" si="34"/>
        <v>0</v>
      </c>
      <c r="S62" s="2"/>
      <c r="T62" s="6">
        <v>212.16</v>
      </c>
      <c r="U62" s="2"/>
      <c r="V62" s="7">
        <f t="shared" si="35"/>
        <v>1.062723348597993E-4</v>
      </c>
      <c r="W62" s="2"/>
      <c r="X62" s="6">
        <f t="shared" si="36"/>
        <v>4.8300000000000125</v>
      </c>
      <c r="Y62" s="2"/>
      <c r="Z62" s="7">
        <f t="shared" si="37"/>
        <v>2.2765837104072456E-2</v>
      </c>
    </row>
    <row r="63" spans="1:26" s="23" customFormat="1" hidden="1" outlineLevel="2" x14ac:dyDescent="0.25">
      <c r="A63" s="25"/>
      <c r="B63" s="10" t="str">
        <f>CONCATENATE("          ", "6375", " - ", "OUTSIDE REPAIRS &amp; MAINTENANCE")</f>
        <v xml:space="preserve">          6375 - OUTSIDE REPAIRS &amp; MAINTENANCE</v>
      </c>
      <c r="C63" s="10"/>
      <c r="D63" s="6"/>
      <c r="E63" s="2"/>
      <c r="F63" s="7">
        <f t="shared" si="30"/>
        <v>0</v>
      </c>
      <c r="G63" s="2"/>
      <c r="H63" s="6">
        <v>1554.56</v>
      </c>
      <c r="I63" s="2"/>
      <c r="J63" s="7">
        <f t="shared" si="31"/>
        <v>6.573652127721743E-3</v>
      </c>
      <c r="K63" s="2"/>
      <c r="L63" s="6">
        <f t="shared" si="32"/>
        <v>-1554.56</v>
      </c>
      <c r="M63" s="2"/>
      <c r="N63" s="7">
        <f t="shared" si="33"/>
        <v>-1</v>
      </c>
      <c r="O63" s="10"/>
      <c r="P63" s="6"/>
      <c r="Q63" s="2"/>
      <c r="R63" s="7">
        <f t="shared" si="34"/>
        <v>0</v>
      </c>
      <c r="S63" s="2"/>
      <c r="T63" s="6">
        <v>0</v>
      </c>
      <c r="U63" s="2"/>
      <c r="V63" s="7">
        <f t="shared" si="35"/>
        <v>0</v>
      </c>
      <c r="W63" s="2"/>
      <c r="X63" s="6">
        <f t="shared" si="36"/>
        <v>0</v>
      </c>
      <c r="Y63" s="2"/>
      <c r="Z63" s="7">
        <f t="shared" si="37"/>
        <v>0</v>
      </c>
    </row>
    <row r="64" spans="1:26" s="26" customFormat="1" outlineLevel="1" collapsed="1" x14ac:dyDescent="0.25">
      <c r="A64" s="27"/>
      <c r="B64" s="12" t="str">
        <f>CONCATENATE("     ","Services                                          ")</f>
        <v xml:space="preserve">     Services                                          </v>
      </c>
      <c r="C64" s="12"/>
      <c r="D64" s="1">
        <f>SUM(OSRRefD22_13x_0)</f>
        <v>1339.28</v>
      </c>
      <c r="E64" s="1"/>
      <c r="F64" s="5">
        <f t="shared" ref="F64:F67" si="38">IF(D$12=0,0,D64/D$12)</f>
        <v>0</v>
      </c>
      <c r="G64" s="1"/>
      <c r="H64" s="1">
        <f>SUM(OSRRefH22_13x_0)</f>
        <v>7110.06</v>
      </c>
      <c r="I64" s="1"/>
      <c r="J64" s="5">
        <f t="shared" ref="J64:J67" si="39">IF(H$12=0,0,H64/H$12)</f>
        <v>3.0065781344707998E-2</v>
      </c>
      <c r="K64" s="1"/>
      <c r="L64" s="1">
        <f t="shared" ref="L64:L67" si="40">+D64-H64</f>
        <v>-5770.7800000000007</v>
      </c>
      <c r="M64" s="1"/>
      <c r="N64" s="5">
        <f t="shared" ref="N64:N67" si="41">IF(H64=0,0,L64/H64)</f>
        <v>-0.81163590743256742</v>
      </c>
      <c r="O64" s="12"/>
      <c r="P64" s="1">
        <f>SUM(OSRRefP22_13x_0)</f>
        <v>6026.76</v>
      </c>
      <c r="Q64" s="1"/>
      <c r="R64" s="5">
        <f t="shared" ref="R64:R67" si="42">IF(P$12=0,0,P64/P$12)</f>
        <v>0</v>
      </c>
      <c r="S64" s="1"/>
      <c r="T64" s="1">
        <f>SUM(OSRRefT22_13x_0)</f>
        <v>56209.049999999996</v>
      </c>
      <c r="U64" s="1"/>
      <c r="V64" s="5">
        <f t="shared" ref="V64:V67" si="43">IF(T$12=0,0,T64/T$12)</f>
        <v>2.8155481635328064E-2</v>
      </c>
      <c r="W64" s="1"/>
      <c r="X64" s="1">
        <f t="shared" ref="X64:X67" si="44">+P64-T64</f>
        <v>-50182.289999999994</v>
      </c>
      <c r="Y64" s="1"/>
      <c r="Z64" s="5">
        <f t="shared" ref="Z64:Z67" si="45">IF(T64=0,0,X64/T64)</f>
        <v>-0.89277954350767352</v>
      </c>
    </row>
    <row r="65" spans="1:26" s="23" customFormat="1" hidden="1" outlineLevel="2" x14ac:dyDescent="0.25">
      <c r="A65" s="25"/>
      <c r="B65" s="10" t="str">
        <f>CONCATENATE("          ", "6282", " - ", "JANITORIAL/EXTERMINATOR EXPENS")</f>
        <v xml:space="preserve">          6282 - JANITORIAL/EXTERMINATOR EXPENS</v>
      </c>
      <c r="C65" s="10"/>
      <c r="D65" s="6">
        <v>1339.28</v>
      </c>
      <c r="E65" s="2"/>
      <c r="F65" s="7">
        <f t="shared" si="38"/>
        <v>0</v>
      </c>
      <c r="G65" s="2"/>
      <c r="H65" s="6">
        <v>597.87</v>
      </c>
      <c r="I65" s="2"/>
      <c r="J65" s="7">
        <f t="shared" si="39"/>
        <v>2.5281683547762703E-3</v>
      </c>
      <c r="K65" s="2"/>
      <c r="L65" s="6">
        <f t="shared" si="40"/>
        <v>741.41</v>
      </c>
      <c r="M65" s="2"/>
      <c r="N65" s="7">
        <f t="shared" si="41"/>
        <v>1.2400856373459113</v>
      </c>
      <c r="O65" s="10"/>
      <c r="P65" s="6">
        <v>5428.89</v>
      </c>
      <c r="Q65" s="2"/>
      <c r="R65" s="7">
        <f t="shared" si="42"/>
        <v>0</v>
      </c>
      <c r="S65" s="2"/>
      <c r="T65" s="6">
        <v>6774.63</v>
      </c>
      <c r="U65" s="2"/>
      <c r="V65" s="7">
        <f t="shared" si="43"/>
        <v>3.393456579521315E-3</v>
      </c>
      <c r="W65" s="2"/>
      <c r="X65" s="6">
        <f t="shared" si="44"/>
        <v>-1345.7399999999998</v>
      </c>
      <c r="Y65" s="2"/>
      <c r="Z65" s="7">
        <f t="shared" si="45"/>
        <v>-0.1986440587899265</v>
      </c>
    </row>
    <row r="66" spans="1:26" s="23" customFormat="1" hidden="1" outlineLevel="2" x14ac:dyDescent="0.25">
      <c r="A66" s="25"/>
      <c r="B66" s="10" t="str">
        <f>CONCATENATE("          ", "6285", " - ", "JANITORIAL SERVICES")</f>
        <v xml:space="preserve">          6285 - JANITORIAL SERVICES</v>
      </c>
      <c r="C66" s="10"/>
      <c r="D66" s="6"/>
      <c r="E66" s="2"/>
      <c r="F66" s="7">
        <f t="shared" si="38"/>
        <v>0</v>
      </c>
      <c r="G66" s="2"/>
      <c r="H66" s="6">
        <v>5154.3500000000004</v>
      </c>
      <c r="I66" s="2"/>
      <c r="J66" s="7">
        <f t="shared" si="39"/>
        <v>2.1795816079483953E-2</v>
      </c>
      <c r="K66" s="2"/>
      <c r="L66" s="6">
        <f t="shared" si="40"/>
        <v>-5154.3500000000004</v>
      </c>
      <c r="M66" s="2"/>
      <c r="N66" s="7">
        <f t="shared" si="41"/>
        <v>-1</v>
      </c>
      <c r="O66" s="10"/>
      <c r="P66" s="6"/>
      <c r="Q66" s="2"/>
      <c r="R66" s="7">
        <f t="shared" si="42"/>
        <v>0</v>
      </c>
      <c r="S66" s="2"/>
      <c r="T66" s="6">
        <v>36329.57</v>
      </c>
      <c r="U66" s="2"/>
      <c r="V66" s="7">
        <f t="shared" si="43"/>
        <v>1.8197719779187965E-2</v>
      </c>
      <c r="W66" s="2"/>
      <c r="X66" s="6">
        <f t="shared" si="44"/>
        <v>-36329.57</v>
      </c>
      <c r="Y66" s="2"/>
      <c r="Z66" s="7">
        <f t="shared" si="45"/>
        <v>-1</v>
      </c>
    </row>
    <row r="67" spans="1:26" s="23" customFormat="1" hidden="1" outlineLevel="2" x14ac:dyDescent="0.25">
      <c r="A67" s="25"/>
      <c r="B67" s="10" t="str">
        <f>CONCATENATE("          ", "6286", " - ", "LAUNDRY EXPENSE")</f>
        <v xml:space="preserve">          6286 - LAUNDRY EXPENSE</v>
      </c>
      <c r="C67" s="10"/>
      <c r="D67" s="6"/>
      <c r="E67" s="2"/>
      <c r="F67" s="7">
        <f t="shared" si="38"/>
        <v>0</v>
      </c>
      <c r="G67" s="2"/>
      <c r="H67" s="6">
        <v>1357.84</v>
      </c>
      <c r="I67" s="2"/>
      <c r="J67" s="7">
        <f t="shared" si="39"/>
        <v>5.741796910447774E-3</v>
      </c>
      <c r="K67" s="2"/>
      <c r="L67" s="6">
        <f t="shared" si="40"/>
        <v>-1357.84</v>
      </c>
      <c r="M67" s="2"/>
      <c r="N67" s="7">
        <f t="shared" si="41"/>
        <v>-1</v>
      </c>
      <c r="O67" s="10"/>
      <c r="P67" s="6">
        <v>597.87</v>
      </c>
      <c r="Q67" s="2"/>
      <c r="R67" s="7">
        <f t="shared" si="42"/>
        <v>0</v>
      </c>
      <c r="S67" s="2"/>
      <c r="T67" s="6">
        <v>13104.85</v>
      </c>
      <c r="U67" s="2"/>
      <c r="V67" s="7">
        <f t="shared" si="43"/>
        <v>6.5643052766187829E-3</v>
      </c>
      <c r="W67" s="2"/>
      <c r="X67" s="6">
        <f t="shared" si="44"/>
        <v>-12506.98</v>
      </c>
      <c r="Y67" s="2"/>
      <c r="Z67" s="7">
        <f t="shared" si="45"/>
        <v>-0.95437795930514269</v>
      </c>
    </row>
    <row r="68" spans="1:26" s="26" customFormat="1" outlineLevel="1" collapsed="1" x14ac:dyDescent="0.25">
      <c r="A68" s="27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SUM(OSRRefD22_14x_0)</f>
        <v>39.54</v>
      </c>
      <c r="E68" s="1"/>
      <c r="F68" s="5">
        <f t="shared" ref="F68:F74" si="46">IF(D$12=0,0,D68/D$12)</f>
        <v>0</v>
      </c>
      <c r="G68" s="1"/>
      <c r="H68" s="1">
        <f>SUM(OSRRefH22_14x_0)</f>
        <v>3600.6</v>
      </c>
      <c r="I68" s="1"/>
      <c r="J68" s="5">
        <f t="shared" ref="J68:J74" si="47">IF(H$12=0,0,H68/H$12)</f>
        <v>1.5225589138453909E-2</v>
      </c>
      <c r="K68" s="1"/>
      <c r="L68" s="1">
        <f t="shared" ref="L68:L74" si="48">+D68-H68</f>
        <v>-3561.06</v>
      </c>
      <c r="M68" s="1"/>
      <c r="N68" s="5">
        <f t="shared" ref="N68:N74" si="49">IF(H68=0,0,L68/H68)</f>
        <v>-0.98901849691718047</v>
      </c>
      <c r="O68" s="12"/>
      <c r="P68" s="1">
        <f>SUM(OSRRefP22_14x_0)</f>
        <v>96.7</v>
      </c>
      <c r="Q68" s="1"/>
      <c r="R68" s="5">
        <f t="shared" ref="R68:R74" si="50">IF(P$12=0,0,P68/P$12)</f>
        <v>0</v>
      </c>
      <c r="S68" s="1"/>
      <c r="T68" s="1">
        <f>SUM(OSRRefT22_14x_0)</f>
        <v>42740.600000000006</v>
      </c>
      <c r="U68" s="1"/>
      <c r="V68" s="5">
        <f t="shared" ref="V68:V74" si="51">IF(T$12=0,0,T68/T$12)</f>
        <v>2.1409046735052503E-2</v>
      </c>
      <c r="W68" s="1"/>
      <c r="X68" s="1">
        <f t="shared" ref="X68:X74" si="52">+P68-T68</f>
        <v>-42643.900000000009</v>
      </c>
      <c r="Y68" s="1"/>
      <c r="Z68" s="5">
        <f t="shared" ref="Z68:Z74" si="53">IF(T68=0,0,X68/T68)</f>
        <v>-0.99773751421365175</v>
      </c>
    </row>
    <row r="69" spans="1:26" s="23" customFormat="1" hidden="1" outlineLevel="2" x14ac:dyDescent="0.25">
      <c r="A69" s="25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46"/>
        <v>0</v>
      </c>
      <c r="G69" s="2"/>
      <c r="H69" s="6">
        <v>1257.8599999999999</v>
      </c>
      <c r="I69" s="2"/>
      <c r="J69" s="7">
        <f t="shared" si="47"/>
        <v>5.3190189284273827E-3</v>
      </c>
      <c r="K69" s="2"/>
      <c r="L69" s="6">
        <f t="shared" si="48"/>
        <v>-1257.8599999999999</v>
      </c>
      <c r="M69" s="2"/>
      <c r="N69" s="7">
        <f t="shared" si="49"/>
        <v>-1</v>
      </c>
      <c r="O69" s="10"/>
      <c r="P69" s="6"/>
      <c r="Q69" s="2"/>
      <c r="R69" s="7">
        <f t="shared" si="50"/>
        <v>0</v>
      </c>
      <c r="S69" s="2"/>
      <c r="T69" s="6">
        <v>11931.07</v>
      </c>
      <c r="U69" s="2"/>
      <c r="V69" s="7">
        <f t="shared" si="51"/>
        <v>5.9763511796554758E-3</v>
      </c>
      <c r="W69" s="2"/>
      <c r="X69" s="6">
        <f t="shared" si="52"/>
        <v>-11931.07</v>
      </c>
      <c r="Y69" s="2"/>
      <c r="Z69" s="7">
        <f t="shared" si="53"/>
        <v>-1</v>
      </c>
    </row>
    <row r="70" spans="1:26" s="23" customFormat="1" hidden="1" outlineLevel="2" x14ac:dyDescent="0.25">
      <c r="A70" s="25"/>
      <c r="B70" s="10" t="str">
        <f>CONCATENATE("          ", "6239", " - ", "KITCHEN SUPPLIES")</f>
        <v xml:space="preserve">          6239 - KITCHEN SUPPLIES</v>
      </c>
      <c r="C70" s="10"/>
      <c r="D70" s="6"/>
      <c r="E70" s="2"/>
      <c r="F70" s="7">
        <f t="shared" si="46"/>
        <v>0</v>
      </c>
      <c r="G70" s="2"/>
      <c r="H70" s="6">
        <v>86.58</v>
      </c>
      <c r="I70" s="2"/>
      <c r="J70" s="7">
        <f t="shared" si="47"/>
        <v>3.6611439971319767E-4</v>
      </c>
      <c r="K70" s="2"/>
      <c r="L70" s="6">
        <f t="shared" si="48"/>
        <v>-86.58</v>
      </c>
      <c r="M70" s="2"/>
      <c r="N70" s="7">
        <f t="shared" si="49"/>
        <v>-1</v>
      </c>
      <c r="O70" s="10"/>
      <c r="P70" s="6"/>
      <c r="Q70" s="2"/>
      <c r="R70" s="7">
        <f t="shared" si="50"/>
        <v>0</v>
      </c>
      <c r="S70" s="2"/>
      <c r="T70" s="6">
        <v>4550.0600000000004</v>
      </c>
      <c r="U70" s="2"/>
      <c r="V70" s="7">
        <f t="shared" si="51"/>
        <v>2.279154882881686E-3</v>
      </c>
      <c r="W70" s="2"/>
      <c r="X70" s="6">
        <f t="shared" si="52"/>
        <v>-4550.0600000000004</v>
      </c>
      <c r="Y70" s="2"/>
      <c r="Z70" s="7">
        <f t="shared" si="53"/>
        <v>-1</v>
      </c>
    </row>
    <row r="71" spans="1:26" s="23" customFormat="1" hidden="1" outlineLevel="2" x14ac:dyDescent="0.25">
      <c r="A71" s="25"/>
      <c r="B71" s="10" t="str">
        <f>CONCATENATE("          ", "6241", " - ", "OFFICE EXPENSE")</f>
        <v xml:space="preserve">          6241 - OFFICE EXPENSE</v>
      </c>
      <c r="C71" s="10"/>
      <c r="D71" s="6">
        <v>39.54</v>
      </c>
      <c r="E71" s="2"/>
      <c r="F71" s="7">
        <f t="shared" si="46"/>
        <v>0</v>
      </c>
      <c r="G71" s="2"/>
      <c r="H71" s="6">
        <v>244.72</v>
      </c>
      <c r="I71" s="2"/>
      <c r="J71" s="7">
        <f t="shared" si="47"/>
        <v>1.034829243448992E-3</v>
      </c>
      <c r="K71" s="2"/>
      <c r="L71" s="6">
        <f t="shared" si="48"/>
        <v>-205.18</v>
      </c>
      <c r="M71" s="2"/>
      <c r="N71" s="7">
        <f t="shared" si="49"/>
        <v>-0.83842759071592021</v>
      </c>
      <c r="O71" s="10"/>
      <c r="P71" s="6">
        <v>96.7</v>
      </c>
      <c r="Q71" s="2"/>
      <c r="R71" s="7">
        <f t="shared" si="50"/>
        <v>0</v>
      </c>
      <c r="S71" s="2"/>
      <c r="T71" s="6">
        <v>18733.82</v>
      </c>
      <c r="U71" s="2"/>
      <c r="V71" s="7">
        <f t="shared" si="51"/>
        <v>9.3838932515234036E-3</v>
      </c>
      <c r="W71" s="2"/>
      <c r="X71" s="6">
        <f t="shared" si="52"/>
        <v>-18637.12</v>
      </c>
      <c r="Y71" s="2"/>
      <c r="Z71" s="7">
        <f t="shared" si="53"/>
        <v>-0.99483821238807668</v>
      </c>
    </row>
    <row r="72" spans="1:26" s="23" customFormat="1" hidden="1" outlineLevel="2" x14ac:dyDescent="0.25">
      <c r="A72" s="25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46"/>
        <v>0</v>
      </c>
      <c r="G72" s="2"/>
      <c r="H72" s="6">
        <v>2011.44</v>
      </c>
      <c r="I72" s="2"/>
      <c r="J72" s="7">
        <f t="shared" si="47"/>
        <v>8.5056265668643372E-3</v>
      </c>
      <c r="K72" s="2"/>
      <c r="L72" s="6">
        <f t="shared" si="48"/>
        <v>-2011.44</v>
      </c>
      <c r="M72" s="2"/>
      <c r="N72" s="7">
        <f t="shared" si="49"/>
        <v>-1</v>
      </c>
      <c r="O72" s="10"/>
      <c r="P72" s="6"/>
      <c r="Q72" s="2"/>
      <c r="R72" s="7">
        <f t="shared" si="50"/>
        <v>0</v>
      </c>
      <c r="S72" s="2"/>
      <c r="T72" s="6">
        <v>14386.16</v>
      </c>
      <c r="U72" s="2"/>
      <c r="V72" s="7">
        <f t="shared" si="51"/>
        <v>7.2061218555177714E-3</v>
      </c>
      <c r="W72" s="2"/>
      <c r="X72" s="6">
        <f t="shared" si="52"/>
        <v>-14386.16</v>
      </c>
      <c r="Y72" s="2"/>
      <c r="Z72" s="7">
        <f t="shared" si="53"/>
        <v>-1</v>
      </c>
    </row>
    <row r="73" spans="1:26" s="23" customFormat="1" hidden="1" outlineLevel="2" x14ac:dyDescent="0.25">
      <c r="A73" s="25"/>
      <c r="B73" s="10" t="str">
        <f>CONCATENATE("          ", "6245", " - ", "PRINTING")</f>
        <v xml:space="preserve">          6245 - PRINTING</v>
      </c>
      <c r="C73" s="10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0"/>
      <c r="P73" s="6"/>
      <c r="Q73" s="2"/>
      <c r="R73" s="7">
        <f t="shared" si="50"/>
        <v>0</v>
      </c>
      <c r="S73" s="2"/>
      <c r="T73" s="6">
        <v>469.44</v>
      </c>
      <c r="U73" s="2"/>
      <c r="V73" s="7">
        <f t="shared" si="51"/>
        <v>2.3514557351331157E-4</v>
      </c>
      <c r="W73" s="2"/>
      <c r="X73" s="6">
        <f t="shared" si="52"/>
        <v>-469.44</v>
      </c>
      <c r="Y73" s="2"/>
      <c r="Z73" s="7">
        <f t="shared" si="53"/>
        <v>-1</v>
      </c>
    </row>
    <row r="74" spans="1:26" s="23" customFormat="1" hidden="1" outlineLevel="2" x14ac:dyDescent="0.25">
      <c r="A74" s="25"/>
      <c r="B74" s="10" t="str">
        <f>CONCATENATE("          ", "6248", " - ", "UNIFORMS")</f>
        <v xml:space="preserve">          6248 - UNIFORMS</v>
      </c>
      <c r="C74" s="10"/>
      <c r="D74" s="6"/>
      <c r="E74" s="2"/>
      <c r="F74" s="7">
        <f t="shared" si="46"/>
        <v>0</v>
      </c>
      <c r="G74" s="2"/>
      <c r="H74" s="6"/>
      <c r="I74" s="2"/>
      <c r="J74" s="7">
        <f t="shared" si="47"/>
        <v>0</v>
      </c>
      <c r="K74" s="2"/>
      <c r="L74" s="6">
        <f t="shared" si="48"/>
        <v>0</v>
      </c>
      <c r="M74" s="2"/>
      <c r="N74" s="7">
        <f t="shared" si="49"/>
        <v>0</v>
      </c>
      <c r="O74" s="10"/>
      <c r="P74" s="6"/>
      <c r="Q74" s="2"/>
      <c r="R74" s="7">
        <f t="shared" si="50"/>
        <v>0</v>
      </c>
      <c r="S74" s="2"/>
      <c r="T74" s="6">
        <v>-7329.95</v>
      </c>
      <c r="U74" s="2"/>
      <c r="V74" s="7">
        <f t="shared" si="51"/>
        <v>-3.6716200080391492E-3</v>
      </c>
      <c r="W74" s="2"/>
      <c r="X74" s="6">
        <f t="shared" si="52"/>
        <v>7329.95</v>
      </c>
      <c r="Y74" s="2"/>
      <c r="Z74" s="7">
        <f t="shared" si="53"/>
        <v>-1</v>
      </c>
    </row>
    <row r="75" spans="1:26" s="26" customFormat="1" outlineLevel="1" collapsed="1" x14ac:dyDescent="0.25">
      <c r="A75" s="27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SUM(OSRRefD22_15x_0)</f>
        <v>0</v>
      </c>
      <c r="E75" s="1"/>
      <c r="F75" s="5">
        <f t="shared" ref="F75:F80" si="54">IF(D$12=0,0,D75/D$12)</f>
        <v>0</v>
      </c>
      <c r="G75" s="1"/>
      <c r="H75" s="1">
        <f>SUM(OSRRefH22_15x_0)</f>
        <v>161.4</v>
      </c>
      <c r="I75" s="1"/>
      <c r="J75" s="5">
        <f t="shared" ref="J75:J80" si="55">IF(H$12=0,0,H75/H$12)</f>
        <v>6.8250016301351474E-4</v>
      </c>
      <c r="K75" s="1"/>
      <c r="L75" s="1">
        <f t="shared" ref="L75:L80" si="56">+D75-H75</f>
        <v>-161.4</v>
      </c>
      <c r="M75" s="1"/>
      <c r="N75" s="5">
        <f t="shared" ref="N75:N80" si="57">IF(H75=0,0,L75/H75)</f>
        <v>-1</v>
      </c>
      <c r="O75" s="12"/>
      <c r="P75" s="1">
        <f>SUM(OSRRefP22_15x_0)</f>
        <v>579.63</v>
      </c>
      <c r="Q75" s="1"/>
      <c r="R75" s="5">
        <f t="shared" ref="R75:R80" si="58">IF(P$12=0,0,P75/P$12)</f>
        <v>0</v>
      </c>
      <c r="S75" s="1"/>
      <c r="T75" s="1">
        <f>SUM(OSRRefT22_15x_0)</f>
        <v>1271.4000000000001</v>
      </c>
      <c r="U75" s="1"/>
      <c r="V75" s="5">
        <f t="shared" ref="V75:V80" si="59">IF(T$12=0,0,T75/T$12)</f>
        <v>6.3685259493188558E-4</v>
      </c>
      <c r="W75" s="1"/>
      <c r="X75" s="1">
        <f t="shared" ref="X75:X80" si="60">+P75-T75</f>
        <v>-691.7700000000001</v>
      </c>
      <c r="Y75" s="1"/>
      <c r="Z75" s="5">
        <f t="shared" ref="Z75:Z80" si="61">IF(T75=0,0,X75/T75)</f>
        <v>-0.5441009910335064</v>
      </c>
    </row>
    <row r="76" spans="1:26" s="23" customFormat="1" hidden="1" outlineLevel="2" x14ac:dyDescent="0.25">
      <c r="A76" s="25"/>
      <c r="B76" s="10" t="str">
        <f>CONCATENATE("          ", "6309", " - ", "TELEPHONE")</f>
        <v xml:space="preserve">          6309 - TELEPHONE</v>
      </c>
      <c r="C76" s="10"/>
      <c r="D76" s="6">
        <v>0</v>
      </c>
      <c r="E76" s="2"/>
      <c r="F76" s="7">
        <f t="shared" si="54"/>
        <v>0</v>
      </c>
      <c r="G76" s="2"/>
      <c r="H76" s="6">
        <v>161.4</v>
      </c>
      <c r="I76" s="2"/>
      <c r="J76" s="7">
        <f t="shared" si="55"/>
        <v>6.8250016301351474E-4</v>
      </c>
      <c r="K76" s="2"/>
      <c r="L76" s="6">
        <f t="shared" si="56"/>
        <v>-161.4</v>
      </c>
      <c r="M76" s="2"/>
      <c r="N76" s="7">
        <f t="shared" si="57"/>
        <v>-1</v>
      </c>
      <c r="O76" s="10"/>
      <c r="P76" s="6">
        <v>579.63</v>
      </c>
      <c r="Q76" s="2"/>
      <c r="R76" s="7">
        <f t="shared" si="58"/>
        <v>0</v>
      </c>
      <c r="S76" s="2"/>
      <c r="T76" s="6">
        <v>1271.4000000000001</v>
      </c>
      <c r="U76" s="2"/>
      <c r="V76" s="7">
        <f t="shared" si="59"/>
        <v>6.3685259493188558E-4</v>
      </c>
      <c r="W76" s="2"/>
      <c r="X76" s="6">
        <f t="shared" si="60"/>
        <v>-691.7700000000001</v>
      </c>
      <c r="Y76" s="2"/>
      <c r="Z76" s="7">
        <f t="shared" si="61"/>
        <v>-0.5441009910335064</v>
      </c>
    </row>
    <row r="77" spans="1:26" s="26" customFormat="1" outlineLevel="1" collapsed="1" x14ac:dyDescent="0.25">
      <c r="A77" s="27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SUM(OSRRefD22_16x_0)</f>
        <v>0</v>
      </c>
      <c r="E77" s="1"/>
      <c r="F77" s="5">
        <f t="shared" si="54"/>
        <v>0</v>
      </c>
      <c r="G77" s="1"/>
      <c r="H77" s="1">
        <f>SUM(OSRRefH22_16x_0)</f>
        <v>0</v>
      </c>
      <c r="I77" s="1"/>
      <c r="J77" s="5">
        <f t="shared" si="55"/>
        <v>0</v>
      </c>
      <c r="K77" s="1"/>
      <c r="L77" s="1">
        <f t="shared" si="56"/>
        <v>0</v>
      </c>
      <c r="M77" s="1"/>
      <c r="N77" s="5">
        <f t="shared" si="57"/>
        <v>0</v>
      </c>
      <c r="O77" s="12"/>
      <c r="P77" s="1">
        <f>SUM(OSRRefP22_16x_0)</f>
        <v>0</v>
      </c>
      <c r="Q77" s="1"/>
      <c r="R77" s="5">
        <f t="shared" si="58"/>
        <v>0</v>
      </c>
      <c r="S77" s="1"/>
      <c r="T77" s="1">
        <f>SUM(OSRRefT22_16x_0)</f>
        <v>1657.1</v>
      </c>
      <c r="U77" s="1"/>
      <c r="V77" s="5">
        <f t="shared" si="59"/>
        <v>8.3005225346989737E-4</v>
      </c>
      <c r="W77" s="1"/>
      <c r="X77" s="1">
        <f t="shared" si="60"/>
        <v>-1657.1</v>
      </c>
      <c r="Y77" s="1"/>
      <c r="Z77" s="5">
        <f t="shared" si="61"/>
        <v>-1</v>
      </c>
    </row>
    <row r="78" spans="1:26" s="23" customFormat="1" hidden="1" outlineLevel="2" x14ac:dyDescent="0.25">
      <c r="A78" s="25"/>
      <c r="B78" s="10" t="str">
        <f>CONCATENATE("          ", "6376", " - ", "TRAINING")</f>
        <v xml:space="preserve">          6376 - TRAINING</v>
      </c>
      <c r="C78" s="10"/>
      <c r="D78" s="6"/>
      <c r="E78" s="2"/>
      <c r="F78" s="7">
        <f t="shared" si="54"/>
        <v>0</v>
      </c>
      <c r="G78" s="2"/>
      <c r="H78" s="6"/>
      <c r="I78" s="2"/>
      <c r="J78" s="7">
        <f t="shared" si="55"/>
        <v>0</v>
      </c>
      <c r="K78" s="2"/>
      <c r="L78" s="6">
        <f t="shared" si="56"/>
        <v>0</v>
      </c>
      <c r="M78" s="2"/>
      <c r="N78" s="7">
        <f t="shared" si="57"/>
        <v>0</v>
      </c>
      <c r="O78" s="10"/>
      <c r="P78" s="6"/>
      <c r="Q78" s="2"/>
      <c r="R78" s="7">
        <f t="shared" si="58"/>
        <v>0</v>
      </c>
      <c r="S78" s="2"/>
      <c r="T78" s="6">
        <v>1657.1</v>
      </c>
      <c r="U78" s="2"/>
      <c r="V78" s="7">
        <f t="shared" si="59"/>
        <v>8.3005225346989737E-4</v>
      </c>
      <c r="W78" s="2"/>
      <c r="X78" s="6">
        <f t="shared" si="60"/>
        <v>-1657.1</v>
      </c>
      <c r="Y78" s="2"/>
      <c r="Z78" s="7">
        <f t="shared" si="61"/>
        <v>-1</v>
      </c>
    </row>
    <row r="79" spans="1:26" s="26" customFormat="1" outlineLevel="1" collapsed="1" x14ac:dyDescent="0.25">
      <c r="A79" s="27"/>
      <c r="B79" s="12" t="str">
        <f>CONCATENATE("     ","Travel                                            ")</f>
        <v xml:space="preserve">     Travel                                            </v>
      </c>
      <c r="C79" s="12"/>
      <c r="D79" s="1">
        <f>SUM(OSRRefD22_17x_0)</f>
        <v>0</v>
      </c>
      <c r="E79" s="1"/>
      <c r="F79" s="5">
        <f t="shared" si="54"/>
        <v>0</v>
      </c>
      <c r="G79" s="1"/>
      <c r="H79" s="1">
        <f>SUM(OSRRefH22_17x_0)</f>
        <v>0</v>
      </c>
      <c r="I79" s="1"/>
      <c r="J79" s="5">
        <f t="shared" si="55"/>
        <v>0</v>
      </c>
      <c r="K79" s="1"/>
      <c r="L79" s="1">
        <f t="shared" si="56"/>
        <v>0</v>
      </c>
      <c r="M79" s="1"/>
      <c r="N79" s="5">
        <f t="shared" si="57"/>
        <v>0</v>
      </c>
      <c r="O79" s="12"/>
      <c r="P79" s="1">
        <f>SUM(OSRRefP22_17x_0)</f>
        <v>0</v>
      </c>
      <c r="Q79" s="1"/>
      <c r="R79" s="5">
        <f t="shared" si="58"/>
        <v>0</v>
      </c>
      <c r="S79" s="1"/>
      <c r="T79" s="1">
        <f>SUM(OSRRefT22_17x_0)</f>
        <v>79.510000000000005</v>
      </c>
      <c r="U79" s="1"/>
      <c r="V79" s="5">
        <f t="shared" si="59"/>
        <v>3.9827080244639157E-5</v>
      </c>
      <c r="W79" s="1"/>
      <c r="X79" s="1">
        <f t="shared" si="60"/>
        <v>-79.510000000000005</v>
      </c>
      <c r="Y79" s="1"/>
      <c r="Z79" s="5">
        <f t="shared" si="61"/>
        <v>-1</v>
      </c>
    </row>
    <row r="80" spans="1:26" s="23" customFormat="1" hidden="1" outlineLevel="2" x14ac:dyDescent="0.25">
      <c r="A80" s="25"/>
      <c r="B80" s="10" t="str">
        <f>CONCATENATE("          ", "6292", " - ", "TRAVEL/CONFERENCE")</f>
        <v xml:space="preserve">          6292 - TRAVEL/CONFERENCE</v>
      </c>
      <c r="C80" s="10"/>
      <c r="D80" s="6"/>
      <c r="E80" s="2"/>
      <c r="F80" s="7">
        <f t="shared" si="54"/>
        <v>0</v>
      </c>
      <c r="G80" s="2"/>
      <c r="H80" s="6"/>
      <c r="I80" s="2"/>
      <c r="J80" s="7">
        <f t="shared" si="55"/>
        <v>0</v>
      </c>
      <c r="K80" s="2"/>
      <c r="L80" s="6">
        <f t="shared" si="56"/>
        <v>0</v>
      </c>
      <c r="M80" s="2"/>
      <c r="N80" s="7">
        <f t="shared" si="57"/>
        <v>0</v>
      </c>
      <c r="O80" s="10"/>
      <c r="P80" s="6"/>
      <c r="Q80" s="2"/>
      <c r="R80" s="7">
        <f t="shared" si="58"/>
        <v>0</v>
      </c>
      <c r="S80" s="2"/>
      <c r="T80" s="6">
        <v>79.510000000000005</v>
      </c>
      <c r="U80" s="2"/>
      <c r="V80" s="7">
        <f t="shared" si="59"/>
        <v>3.9827080244639157E-5</v>
      </c>
      <c r="W80" s="2"/>
      <c r="X80" s="6">
        <f t="shared" si="60"/>
        <v>-79.510000000000005</v>
      </c>
      <c r="Y80" s="2"/>
      <c r="Z80" s="7">
        <f t="shared" si="61"/>
        <v>-1</v>
      </c>
    </row>
    <row r="81" spans="1:26" s="60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4" customFormat="1" x14ac:dyDescent="0.25">
      <c r="A82" s="11"/>
      <c r="B82" s="28" t="s">
        <v>292</v>
      </c>
      <c r="C82" s="11"/>
      <c r="D82" s="4">
        <f>SUM(0)</f>
        <v>0</v>
      </c>
      <c r="E82" s="4"/>
      <c r="F82" s="13">
        <f>IF(D$12=0,0,D82/D$12)</f>
        <v>0</v>
      </c>
      <c r="G82" s="4"/>
      <c r="H82" s="4">
        <f>SUM(0)</f>
        <v>0</v>
      </c>
      <c r="I82" s="4"/>
      <c r="J82" s="13">
        <f>IF(H$12=0,0,H82/H$12)</f>
        <v>0</v>
      </c>
      <c r="K82" s="4"/>
      <c r="L82" s="4">
        <f>+D82-H82</f>
        <v>0</v>
      </c>
      <c r="M82" s="4"/>
      <c r="N82" s="13">
        <f>IF(H82=0,0,L82/H82)</f>
        <v>0</v>
      </c>
      <c r="O82" s="11"/>
      <c r="P82" s="4">
        <f>SUM(0)</f>
        <v>0</v>
      </c>
      <c r="Q82" s="4"/>
      <c r="R82" s="13">
        <f>IF(P$12=0,0,P82/P$12)</f>
        <v>0</v>
      </c>
      <c r="S82" s="4"/>
      <c r="T82" s="4">
        <f>SUM(0)</f>
        <v>0</v>
      </c>
      <c r="U82" s="4"/>
      <c r="V82" s="13">
        <f>IF(T$12=0,0,T82/T$12)</f>
        <v>0</v>
      </c>
      <c r="W82" s="4"/>
      <c r="X82" s="4">
        <f>+P82-T82</f>
        <v>0</v>
      </c>
      <c r="Y82" s="4"/>
      <c r="Z82" s="13">
        <f>IF(T82=0,0,X82/T82)</f>
        <v>0</v>
      </c>
    </row>
    <row r="83" spans="1:26" x14ac:dyDescent="0.25">
      <c r="A83" s="9"/>
      <c r="B83" s="11"/>
      <c r="C83" s="11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1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x14ac:dyDescent="0.25">
      <c r="A84" s="11"/>
      <c r="B84" s="29" t="s">
        <v>276</v>
      </c>
      <c r="C84" s="29"/>
      <c r="D84" s="22">
        <f>+D21-D23+D82</f>
        <v>-41679.39</v>
      </c>
      <c r="E84" s="14"/>
      <c r="F84" s="20">
        <f>IF(D$12=0,0,D84/D$12)</f>
        <v>0</v>
      </c>
      <c r="G84" s="14"/>
      <c r="H84" s="22">
        <f>+H21-H23+H82</f>
        <v>15860.790000000066</v>
      </c>
      <c r="I84" s="14"/>
      <c r="J84" s="20">
        <f>IF(H$12=0,0,H84/H$12)</f>
        <v>6.7069341762844917E-2</v>
      </c>
      <c r="K84" s="15"/>
      <c r="L84" s="22">
        <f>+D84-H84</f>
        <v>-57540.180000000066</v>
      </c>
      <c r="M84" s="15"/>
      <c r="N84" s="20">
        <f>IF(H84=0,0,L84/H84)</f>
        <v>-3.6278256001119633</v>
      </c>
      <c r="O84" s="28"/>
      <c r="P84" s="22">
        <f>+P21-P23+P82</f>
        <v>-369263.90999999992</v>
      </c>
      <c r="Q84" s="14"/>
      <c r="R84" s="20">
        <f>IF(P$12=0,0,P84/P$12)</f>
        <v>0</v>
      </c>
      <c r="S84" s="14"/>
      <c r="T84" s="22">
        <f>+T21-T23+T82</f>
        <v>377770.52</v>
      </c>
      <c r="U84" s="14"/>
      <c r="V84" s="20">
        <f>IF(T$12=0,0,T84/T$12)</f>
        <v>0.18922773002262686</v>
      </c>
      <c r="W84" s="15"/>
      <c r="X84" s="22">
        <f>+P84-T84</f>
        <v>-747034.42999999993</v>
      </c>
      <c r="Y84" s="15"/>
      <c r="Z84" s="20">
        <f>IF(T84=0,0,X84/T84)</f>
        <v>-1.9774820703320097</v>
      </c>
    </row>
    <row r="85" spans="1:26" x14ac:dyDescent="0.25">
      <c r="A85" s="9"/>
      <c r="B85" s="11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x14ac:dyDescent="0.25">
      <c r="A86" s="51"/>
      <c r="B86" s="11" t="s">
        <v>127</v>
      </c>
      <c r="C86" s="11"/>
      <c r="D86" s="4"/>
      <c r="E86" s="4"/>
      <c r="F86" s="13">
        <f>IF(D$12=0,0,D86/D$12)</f>
        <v>0</v>
      </c>
      <c r="G86" s="4"/>
      <c r="H86" s="4">
        <v>34548.71</v>
      </c>
      <c r="I86" s="4"/>
      <c r="J86" s="13">
        <f>IF(H$12=0,0,H86/H$12)</f>
        <v>0.14609355766360996</v>
      </c>
      <c r="K86" s="4"/>
      <c r="L86" s="4">
        <f>+D86-H86</f>
        <v>-34548.71</v>
      </c>
      <c r="M86" s="4"/>
      <c r="N86" s="13">
        <f>IF(H86=0,0,L86/H86)</f>
        <v>-1</v>
      </c>
      <c r="O86" s="11"/>
      <c r="P86" s="4">
        <v>0</v>
      </c>
      <c r="Q86" s="4"/>
      <c r="R86" s="13">
        <f>IF(P$12=0,0,P86/P$12)</f>
        <v>0</v>
      </c>
      <c r="S86" s="4"/>
      <c r="T86" s="4">
        <v>213916.98</v>
      </c>
      <c r="U86" s="4"/>
      <c r="V86" s="13">
        <f>IF(T$12=0,0,T86/T$12)</f>
        <v>0.10715241766005369</v>
      </c>
      <c r="W86" s="4"/>
      <c r="X86" s="4">
        <f>+P86-T86</f>
        <v>-213916.98</v>
      </c>
      <c r="Y86" s="4"/>
      <c r="Z86" s="13">
        <f>IF(T86=0,0,X86/T86)</f>
        <v>-1</v>
      </c>
    </row>
    <row r="87" spans="1:26" x14ac:dyDescent="0.25">
      <c r="A87" s="9"/>
      <c r="B87" s="11"/>
      <c r="C87" s="11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1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ht="15.75" thickBot="1" x14ac:dyDescent="0.3">
      <c r="A88" s="11"/>
      <c r="B88" s="29" t="s">
        <v>125</v>
      </c>
      <c r="C88" s="29"/>
      <c r="D88" s="30">
        <f>+D84-D86</f>
        <v>-41679.39</v>
      </c>
      <c r="E88" s="14"/>
      <c r="F88" s="36">
        <f>IF(D$12=0,0,D88/D$12)</f>
        <v>0</v>
      </c>
      <c r="G88" s="14"/>
      <c r="H88" s="30">
        <f>+H84-H86</f>
        <v>-18687.919999999933</v>
      </c>
      <c r="I88" s="14"/>
      <c r="J88" s="36">
        <f>IF(H$12=0,0,H88/H$12)</f>
        <v>-7.9024215900765027E-2</v>
      </c>
      <c r="K88" s="15"/>
      <c r="L88" s="30">
        <f>D88-H88</f>
        <v>-22991.470000000067</v>
      </c>
      <c r="M88" s="15"/>
      <c r="N88" s="36">
        <f>IF(H88=0,0,L88/H88)</f>
        <v>1.2302851253644145</v>
      </c>
      <c r="O88" s="28"/>
      <c r="P88" s="30">
        <f>+P84-P86</f>
        <v>-369263.90999999992</v>
      </c>
      <c r="Q88" s="14"/>
      <c r="R88" s="36">
        <f>IF(P$12=0,0,P88/P$12)</f>
        <v>0</v>
      </c>
      <c r="S88" s="14"/>
      <c r="T88" s="30">
        <f>+T84-T86</f>
        <v>163853.54</v>
      </c>
      <c r="U88" s="14"/>
      <c r="V88" s="36">
        <f>IF(T$12=0,0,T88/T$12)</f>
        <v>8.207531236257315E-2</v>
      </c>
      <c r="W88" s="15"/>
      <c r="X88" s="30">
        <f>P88-T88</f>
        <v>-533117.44999999995</v>
      </c>
      <c r="Y88" s="15"/>
      <c r="Z88" s="36">
        <f>IF(T88=0,0,X88/T88)</f>
        <v>-3.2536218015185998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ht="15.75" thickBot="1" x14ac:dyDescent="0.3">
      <c r="A91" s="11"/>
      <c r="B91" s="29" t="s">
        <v>293</v>
      </c>
      <c r="C91" s="29"/>
      <c r="D91" s="35">
        <f>SUM(D88:D90)</f>
        <v>-41679.39</v>
      </c>
      <c r="E91" s="14"/>
      <c r="F91" s="34">
        <f>IF(D$12=0,0,D91/D$12)</f>
        <v>0</v>
      </c>
      <c r="G91" s="14"/>
      <c r="H91" s="35">
        <f>SUM(H88:H90)</f>
        <v>-18687.919999999933</v>
      </c>
      <c r="I91" s="14"/>
      <c r="J91" s="34">
        <f>IF(H$12=0,0,H91/H$12)</f>
        <v>-7.9024215900765027E-2</v>
      </c>
      <c r="K91" s="15"/>
      <c r="L91" s="35">
        <f>+D91-H91</f>
        <v>-22991.470000000067</v>
      </c>
      <c r="M91" s="15"/>
      <c r="N91" s="34">
        <f>IF(H91=0,0,L91/H91)</f>
        <v>1.2302851253644145</v>
      </c>
      <c r="O91" s="28"/>
      <c r="P91" s="35">
        <f>SUM(P88:P90)</f>
        <v>-369263.90999999992</v>
      </c>
      <c r="Q91" s="14"/>
      <c r="R91" s="34">
        <f>IF(P$12=0,0,P91/P$12)</f>
        <v>0</v>
      </c>
      <c r="S91" s="14"/>
      <c r="T91" s="35">
        <f>SUM(T88:T90)</f>
        <v>163853.54</v>
      </c>
      <c r="U91" s="14"/>
      <c r="V91" s="34">
        <f>IF(T$12=0,0,T91/T$12)</f>
        <v>8.207531236257315E-2</v>
      </c>
      <c r="W91" s="15"/>
      <c r="X91" s="35">
        <f>+P91-T91</f>
        <v>-533117.44999999995</v>
      </c>
      <c r="Y91" s="15"/>
      <c r="Z91" s="34">
        <f>IF(T91=0,0,X91/T91)</f>
        <v>-3.2536218015185998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4">
        <v>44295.963243634258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8" t="s">
        <v>56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2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">
        <v>104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51625</v>
      </c>
      <c r="E12" s="4"/>
      <c r="F12" s="13"/>
      <c r="G12" s="4"/>
      <c r="H12" s="4">
        <f>SUM(OSRRefH13x_0)</f>
        <v>43320</v>
      </c>
      <c r="I12" s="4"/>
      <c r="J12" s="13"/>
      <c r="K12" s="4"/>
      <c r="L12" s="4">
        <f t="shared" ref="L12:L13" si="0">+D12-H12</f>
        <v>8305</v>
      </c>
      <c r="M12" s="4"/>
      <c r="N12" s="13">
        <f t="shared" ref="N12:N13" si="1">IF(H12=0,0,L12/H12)</f>
        <v>0.19171283471837489</v>
      </c>
      <c r="O12" s="11"/>
      <c r="P12" s="4">
        <f>SUM(OSRRefP13x_0)</f>
        <v>443879</v>
      </c>
      <c r="Q12" s="4"/>
      <c r="R12" s="13"/>
      <c r="S12" s="4"/>
      <c r="T12" s="4">
        <f>SUM(OSRRefT13x_0)</f>
        <v>379500</v>
      </c>
      <c r="U12" s="4"/>
      <c r="V12" s="13"/>
      <c r="W12" s="4"/>
      <c r="X12" s="4">
        <f t="shared" ref="X12:X13" si="2">+P12-T12</f>
        <v>64379</v>
      </c>
      <c r="Y12" s="4"/>
      <c r="Z12" s="13">
        <f t="shared" ref="Z12:Z13" si="3">IF(T12=0,0,X12/T12)</f>
        <v>0.16964163372859026</v>
      </c>
    </row>
    <row r="13" spans="1:26" s="23" customFormat="1" hidden="1" outlineLevel="1" x14ac:dyDescent="0.25">
      <c r="A13" s="44"/>
      <c r="B13" s="10" t="str">
        <f>CONCATENATE("          ", "4100", " - ", "NON-TAXABLE SALES")</f>
        <v xml:space="preserve">          4100 - NON-TAXABLE SALES</v>
      </c>
      <c r="C13" s="10"/>
      <c r="D13" s="2">
        <f>--51625</f>
        <v>51625</v>
      </c>
      <c r="E13" s="2"/>
      <c r="F13" s="19"/>
      <c r="G13" s="2"/>
      <c r="H13" s="2">
        <f>--43320</f>
        <v>43320</v>
      </c>
      <c r="I13" s="2"/>
      <c r="J13" s="19"/>
      <c r="K13" s="2"/>
      <c r="L13" s="2">
        <f t="shared" si="0"/>
        <v>8305</v>
      </c>
      <c r="M13" s="2"/>
      <c r="N13" s="19">
        <f t="shared" si="1"/>
        <v>0.19171283471837489</v>
      </c>
      <c r="O13" s="10"/>
      <c r="P13" s="2">
        <f>--443879</f>
        <v>443879</v>
      </c>
      <c r="Q13" s="2"/>
      <c r="R13" s="19"/>
      <c r="S13" s="2"/>
      <c r="T13" s="2">
        <f>--379500</f>
        <v>379500</v>
      </c>
      <c r="U13" s="2"/>
      <c r="V13" s="19"/>
      <c r="W13" s="2"/>
      <c r="X13" s="2">
        <f t="shared" si="2"/>
        <v>64379</v>
      </c>
      <c r="Y13" s="2"/>
      <c r="Z13" s="19">
        <f t="shared" si="3"/>
        <v>0.16964163372859026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x14ac:dyDescent="0.25">
      <c r="A15" s="11"/>
      <c r="B15" s="28" t="s">
        <v>256</v>
      </c>
      <c r="C15" s="11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1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9" t="s">
        <v>107</v>
      </c>
      <c r="C17" s="29"/>
      <c r="D17" s="22">
        <f>D12-D15</f>
        <v>51625</v>
      </c>
      <c r="E17" s="14"/>
      <c r="F17" s="20">
        <f>IF(D$12=0,0,D17/D$12)</f>
        <v>1</v>
      </c>
      <c r="G17" s="14"/>
      <c r="H17" s="22">
        <f>H12-H15</f>
        <v>43320</v>
      </c>
      <c r="I17" s="14"/>
      <c r="J17" s="20">
        <f>IF(H$12=0,0,H17/H$12)</f>
        <v>1</v>
      </c>
      <c r="K17" s="15"/>
      <c r="L17" s="22">
        <f>+D17-H17</f>
        <v>8305</v>
      </c>
      <c r="M17" s="15"/>
      <c r="N17" s="20">
        <f>IF(H17=0,0,L17/H17)</f>
        <v>0.19171283471837489</v>
      </c>
      <c r="O17" s="28"/>
      <c r="P17" s="22">
        <f>P12-P15</f>
        <v>443879</v>
      </c>
      <c r="Q17" s="14"/>
      <c r="R17" s="20">
        <f>IF(P$12=0,0,P17/P$12)</f>
        <v>1</v>
      </c>
      <c r="S17" s="14"/>
      <c r="T17" s="22">
        <f>T12-T15</f>
        <v>379500</v>
      </c>
      <c r="U17" s="14"/>
      <c r="V17" s="20">
        <f>IF(T$12=0,0,T17/T$12)</f>
        <v>1</v>
      </c>
      <c r="W17" s="15"/>
      <c r="X17" s="22">
        <f>+P17-T17</f>
        <v>64379</v>
      </c>
      <c r="Y17" s="15"/>
      <c r="Z17" s="20">
        <f>IF(T17=0,0,X17/T17)</f>
        <v>0.16964163372859026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8" t="s">
        <v>294</v>
      </c>
      <c r="C19" s="11"/>
      <c r="D19" s="21">
        <f>SUM(OSRRefD22x_0)</f>
        <v>41256.259999999995</v>
      </c>
      <c r="E19" s="21"/>
      <c r="F19" s="31">
        <f t="shared" ref="F19:F29" si="4">IF(D$12=0,0,D19/D$12)</f>
        <v>0.79915273607748172</v>
      </c>
      <c r="G19" s="21"/>
      <c r="H19" s="21">
        <f>SUM(OSRRefH22x_0)</f>
        <v>32644.089999999997</v>
      </c>
      <c r="I19" s="21"/>
      <c r="J19" s="31">
        <f t="shared" ref="J19:J29" si="5">IF(H$12=0,0,H19/H$12)</f>
        <v>0.75355701754385962</v>
      </c>
      <c r="K19" s="4"/>
      <c r="L19" s="21">
        <f t="shared" ref="L19:L29" si="6">+D19-H19</f>
        <v>8612.1699999999983</v>
      </c>
      <c r="M19" s="4"/>
      <c r="N19" s="31">
        <f t="shared" ref="N19:N29" si="7">IF(H19=0,0,L19/H19)</f>
        <v>0.26382018919810596</v>
      </c>
      <c r="O19" s="11"/>
      <c r="P19" s="21">
        <f>SUM(OSRRefP22x_0)</f>
        <v>368137.02</v>
      </c>
      <c r="Q19" s="21"/>
      <c r="R19" s="31">
        <f t="shared" ref="R19:R29" si="8">IF(P$12=0,0,P19/P$12)</f>
        <v>0.82936345265263733</v>
      </c>
      <c r="S19" s="21"/>
      <c r="T19" s="21">
        <f>SUM(OSRRefT22x_0)</f>
        <v>368183.08</v>
      </c>
      <c r="U19" s="21"/>
      <c r="V19" s="31">
        <f t="shared" ref="V19:V29" si="9">IF(T$12=0,0,T19/T$12)</f>
        <v>0.97017939393939401</v>
      </c>
      <c r="W19" s="4"/>
      <c r="X19" s="21">
        <f t="shared" ref="X19:X29" si="10">+P19-T19</f>
        <v>-46.059999999997672</v>
      </c>
      <c r="Y19" s="4"/>
      <c r="Z19" s="31">
        <f t="shared" ref="Z19:Z29" si="11">IF(T19=0,0,X19/T19)</f>
        <v>-1.2510080582735542E-4</v>
      </c>
    </row>
    <row r="20" spans="1:26" s="26" customFormat="1" outlineLevel="1" collapsed="1" x14ac:dyDescent="0.25">
      <c r="A20" s="27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4742.75</v>
      </c>
      <c r="E20" s="1"/>
      <c r="F20" s="5">
        <f t="shared" si="4"/>
        <v>9.1869249394673128E-2</v>
      </c>
      <c r="G20" s="1"/>
      <c r="H20" s="1">
        <f>SUM(OSRRefH22_0x_0)</f>
        <v>5084.63</v>
      </c>
      <c r="I20" s="1"/>
      <c r="J20" s="5">
        <f t="shared" si="5"/>
        <v>0.11737373037857803</v>
      </c>
      <c r="K20" s="1"/>
      <c r="L20" s="1">
        <f t="shared" si="6"/>
        <v>-341.88000000000011</v>
      </c>
      <c r="M20" s="1"/>
      <c r="N20" s="5">
        <f t="shared" si="7"/>
        <v>-6.7237930783557526E-2</v>
      </c>
      <c r="O20" s="12"/>
      <c r="P20" s="1">
        <f>SUM(OSRRefP22_0x_0)</f>
        <v>38502.97</v>
      </c>
      <c r="Q20" s="1"/>
      <c r="R20" s="5">
        <f t="shared" si="8"/>
        <v>8.6742040060466929E-2</v>
      </c>
      <c r="S20" s="1"/>
      <c r="T20" s="1">
        <f>SUM(OSRRefT22_0x_0)</f>
        <v>40548.19</v>
      </c>
      <c r="U20" s="1"/>
      <c r="V20" s="5">
        <f t="shared" si="9"/>
        <v>0.10684635046113308</v>
      </c>
      <c r="W20" s="1"/>
      <c r="X20" s="1">
        <f t="shared" si="10"/>
        <v>-2045.2200000000012</v>
      </c>
      <c r="Y20" s="1"/>
      <c r="Z20" s="5">
        <f t="shared" si="11"/>
        <v>-5.0439242787409279E-2</v>
      </c>
    </row>
    <row r="21" spans="1:26" s="23" customFormat="1" hidden="1" outlineLevel="2" x14ac:dyDescent="0.25">
      <c r="A21" s="25"/>
      <c r="B21" s="10" t="str">
        <f>CONCATENATE("          ", "6111", " - ", "F.I.C.A.")</f>
        <v xml:space="preserve">          6111 - F.I.C.A.</v>
      </c>
      <c r="C21" s="10"/>
      <c r="D21" s="6">
        <v>964.58</v>
      </c>
      <c r="E21" s="2"/>
      <c r="F21" s="7">
        <f t="shared" si="4"/>
        <v>1.8684358353510896E-2</v>
      </c>
      <c r="G21" s="2"/>
      <c r="H21" s="6">
        <v>1040.95</v>
      </c>
      <c r="I21" s="2"/>
      <c r="J21" s="7">
        <f t="shared" si="5"/>
        <v>2.402931671283472E-2</v>
      </c>
      <c r="K21" s="2"/>
      <c r="L21" s="6">
        <f t="shared" si="6"/>
        <v>-76.37</v>
      </c>
      <c r="M21" s="2"/>
      <c r="N21" s="7">
        <f t="shared" si="7"/>
        <v>-7.3365675584802351E-2</v>
      </c>
      <c r="O21" s="10"/>
      <c r="P21" s="6">
        <v>9081.65</v>
      </c>
      <c r="Q21" s="2"/>
      <c r="R21" s="7">
        <f t="shared" si="8"/>
        <v>2.0459742407277659E-2</v>
      </c>
      <c r="S21" s="2"/>
      <c r="T21" s="6">
        <v>9760.48</v>
      </c>
      <c r="U21" s="2"/>
      <c r="V21" s="7">
        <f t="shared" si="9"/>
        <v>2.571931488801054E-2</v>
      </c>
      <c r="W21" s="2"/>
      <c r="X21" s="6">
        <f t="shared" si="10"/>
        <v>-678.82999999999993</v>
      </c>
      <c r="Y21" s="2"/>
      <c r="Z21" s="7">
        <f t="shared" si="11"/>
        <v>-6.9548833663918161E-2</v>
      </c>
    </row>
    <row r="22" spans="1:26" s="23" customFormat="1" hidden="1" outlineLevel="2" x14ac:dyDescent="0.25">
      <c r="A22" s="25"/>
      <c r="B22" s="10" t="str">
        <f>CONCATENATE("          ", "6112", " - ", "COMPENSATION INSURANCE")</f>
        <v xml:space="preserve">          6112 - COMPENSATION INSURANCE</v>
      </c>
      <c r="C22" s="10"/>
      <c r="D22" s="6">
        <v>34.200000000000003</v>
      </c>
      <c r="E22" s="2"/>
      <c r="F22" s="7">
        <f t="shared" si="4"/>
        <v>6.6246973365617439E-4</v>
      </c>
      <c r="G22" s="2"/>
      <c r="H22" s="6">
        <v>75.89</v>
      </c>
      <c r="I22" s="2"/>
      <c r="J22" s="7">
        <f t="shared" si="5"/>
        <v>1.7518467220683288E-3</v>
      </c>
      <c r="K22" s="2"/>
      <c r="L22" s="6">
        <f t="shared" si="6"/>
        <v>-41.69</v>
      </c>
      <c r="M22" s="2"/>
      <c r="N22" s="7">
        <f t="shared" si="7"/>
        <v>-0.54934774015021737</v>
      </c>
      <c r="O22" s="10"/>
      <c r="P22" s="6">
        <v>768.08</v>
      </c>
      <c r="Q22" s="2"/>
      <c r="R22" s="7">
        <f t="shared" si="8"/>
        <v>1.730381477835176E-3</v>
      </c>
      <c r="S22" s="2"/>
      <c r="T22" s="6">
        <v>470.84</v>
      </c>
      <c r="U22" s="2"/>
      <c r="V22" s="7">
        <f t="shared" si="9"/>
        <v>1.2406851119894599E-3</v>
      </c>
      <c r="W22" s="2"/>
      <c r="X22" s="6">
        <f t="shared" si="10"/>
        <v>297.24000000000007</v>
      </c>
      <c r="Y22" s="2"/>
      <c r="Z22" s="7">
        <f t="shared" si="11"/>
        <v>0.6312972559680573</v>
      </c>
    </row>
    <row r="23" spans="1:26" s="23" customFormat="1" hidden="1" outlineLevel="2" x14ac:dyDescent="0.25">
      <c r="A23" s="25"/>
      <c r="B23" s="10" t="str">
        <f>CONCATENATE("          ", "6113", " - ", "GROUP INSURANCE")</f>
        <v xml:space="preserve">          6113 - GROUP INSURANCE</v>
      </c>
      <c r="C23" s="10"/>
      <c r="D23" s="6">
        <v>1207.95</v>
      </c>
      <c r="E23" s="2"/>
      <c r="F23" s="7">
        <f t="shared" si="4"/>
        <v>2.3398547215496369E-2</v>
      </c>
      <c r="G23" s="2"/>
      <c r="H23" s="6">
        <v>1298.72</v>
      </c>
      <c r="I23" s="2"/>
      <c r="J23" s="7">
        <f t="shared" si="5"/>
        <v>2.9979686057248385E-2</v>
      </c>
      <c r="K23" s="2"/>
      <c r="L23" s="6">
        <f t="shared" si="6"/>
        <v>-90.769999999999982</v>
      </c>
      <c r="M23" s="2"/>
      <c r="N23" s="7">
        <f t="shared" si="7"/>
        <v>-6.9891893556732768E-2</v>
      </c>
      <c r="O23" s="10"/>
      <c r="P23" s="6">
        <v>11026.85</v>
      </c>
      <c r="Q23" s="2"/>
      <c r="R23" s="7">
        <f t="shared" si="8"/>
        <v>2.484201775709146E-2</v>
      </c>
      <c r="S23" s="2"/>
      <c r="T23" s="6">
        <v>11356.02</v>
      </c>
      <c r="U23" s="2"/>
      <c r="V23" s="7">
        <f t="shared" si="9"/>
        <v>2.9923636363636364E-2</v>
      </c>
      <c r="W23" s="2"/>
      <c r="X23" s="6">
        <f t="shared" si="10"/>
        <v>-329.17000000000007</v>
      </c>
      <c r="Y23" s="2"/>
      <c r="Z23" s="7">
        <f t="shared" si="11"/>
        <v>-2.8986387836583596E-2</v>
      </c>
    </row>
    <row r="24" spans="1:26" s="23" customFormat="1" hidden="1" outlineLevel="2" x14ac:dyDescent="0.25">
      <c r="A24" s="25"/>
      <c r="B24" s="10" t="str">
        <f>CONCATENATE("          ", "6114", " - ", "STATE UNEMPLOYMENT INSURANCE")</f>
        <v xml:space="preserve">          6114 - STATE UNEMPLOYMENT INSURANCE</v>
      </c>
      <c r="C24" s="10"/>
      <c r="D24" s="6">
        <v>26.94</v>
      </c>
      <c r="E24" s="2"/>
      <c r="F24" s="7">
        <f t="shared" si="4"/>
        <v>5.2184019370460051E-4</v>
      </c>
      <c r="G24" s="2"/>
      <c r="H24" s="6">
        <v>45.41</v>
      </c>
      <c r="I24" s="2"/>
      <c r="J24" s="7">
        <f t="shared" si="5"/>
        <v>1.0482456140350877E-3</v>
      </c>
      <c r="K24" s="2"/>
      <c r="L24" s="6">
        <f t="shared" si="6"/>
        <v>-18.469999999999995</v>
      </c>
      <c r="M24" s="2"/>
      <c r="N24" s="7">
        <f t="shared" si="7"/>
        <v>-0.40673860383175503</v>
      </c>
      <c r="O24" s="10"/>
      <c r="P24" s="6">
        <v>346.98</v>
      </c>
      <c r="Q24" s="2"/>
      <c r="R24" s="7">
        <f t="shared" si="8"/>
        <v>7.8169951721077146E-4</v>
      </c>
      <c r="S24" s="2"/>
      <c r="T24" s="6">
        <v>416.75</v>
      </c>
      <c r="U24" s="2"/>
      <c r="V24" s="7">
        <f t="shared" si="9"/>
        <v>1.0981554677206851E-3</v>
      </c>
      <c r="W24" s="2"/>
      <c r="X24" s="6">
        <f t="shared" si="10"/>
        <v>-69.769999999999982</v>
      </c>
      <c r="Y24" s="2"/>
      <c r="Z24" s="7">
        <f t="shared" si="11"/>
        <v>-0.16741451709658065</v>
      </c>
    </row>
    <row r="25" spans="1:26" s="23" customFormat="1" hidden="1" outlineLevel="2" x14ac:dyDescent="0.25">
      <c r="A25" s="25"/>
      <c r="B25" s="10" t="str">
        <f>CONCATENATE("          ", "6115", " - ", "P.E.R.S.")</f>
        <v xml:space="preserve">          6115 - P.E.R.S.</v>
      </c>
      <c r="C25" s="10"/>
      <c r="D25" s="6">
        <v>640.35</v>
      </c>
      <c r="E25" s="2"/>
      <c r="F25" s="7">
        <f t="shared" si="4"/>
        <v>1.2403874092009685E-2</v>
      </c>
      <c r="G25" s="2"/>
      <c r="H25" s="6">
        <v>452.74</v>
      </c>
      <c r="I25" s="2"/>
      <c r="J25" s="7">
        <f t="shared" si="5"/>
        <v>1.0451061865189289E-2</v>
      </c>
      <c r="K25" s="2"/>
      <c r="L25" s="6">
        <f t="shared" si="6"/>
        <v>187.61</v>
      </c>
      <c r="M25" s="2"/>
      <c r="N25" s="7">
        <f t="shared" si="7"/>
        <v>0.41438794893316255</v>
      </c>
      <c r="O25" s="10"/>
      <c r="P25" s="6">
        <v>7060.93</v>
      </c>
      <c r="Q25" s="2"/>
      <c r="R25" s="7">
        <f t="shared" si="8"/>
        <v>1.5907330601357579E-2</v>
      </c>
      <c r="S25" s="2"/>
      <c r="T25" s="6">
        <v>6658.66</v>
      </c>
      <c r="U25" s="2"/>
      <c r="V25" s="7">
        <f t="shared" si="9"/>
        <v>1.7545876152832676E-2</v>
      </c>
      <c r="W25" s="2"/>
      <c r="X25" s="6">
        <f t="shared" si="10"/>
        <v>402.27000000000044</v>
      </c>
      <c r="Y25" s="2"/>
      <c r="Z25" s="7">
        <f t="shared" si="11"/>
        <v>6.0413056080352572E-2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>
        <v>116.92</v>
      </c>
      <c r="E26" s="2"/>
      <c r="F26" s="7">
        <f t="shared" si="4"/>
        <v>2.2647941888619856E-3</v>
      </c>
      <c r="G26" s="2"/>
      <c r="H26" s="6"/>
      <c r="I26" s="2"/>
      <c r="J26" s="7">
        <f t="shared" si="5"/>
        <v>0</v>
      </c>
      <c r="K26" s="2"/>
      <c r="L26" s="6">
        <f t="shared" si="6"/>
        <v>116.92</v>
      </c>
      <c r="M26" s="2"/>
      <c r="N26" s="7">
        <f t="shared" si="7"/>
        <v>0</v>
      </c>
      <c r="O26" s="10"/>
      <c r="P26" s="6">
        <v>814.78</v>
      </c>
      <c r="Q26" s="2"/>
      <c r="R26" s="7">
        <f t="shared" si="8"/>
        <v>1.8355903297970842E-3</v>
      </c>
      <c r="S26" s="2"/>
      <c r="T26" s="6"/>
      <c r="U26" s="2"/>
      <c r="V26" s="7">
        <f t="shared" si="9"/>
        <v>0</v>
      </c>
      <c r="W26" s="2"/>
      <c r="X26" s="6">
        <f t="shared" si="10"/>
        <v>814.78</v>
      </c>
      <c r="Y26" s="2"/>
      <c r="Z26" s="7">
        <f t="shared" si="11"/>
        <v>0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520.02</v>
      </c>
      <c r="E27" s="2"/>
      <c r="F27" s="7">
        <f t="shared" si="4"/>
        <v>1.0073026634382566E-2</v>
      </c>
      <c r="G27" s="2"/>
      <c r="H27" s="6">
        <v>1087.96</v>
      </c>
      <c r="I27" s="2"/>
      <c r="J27" s="7">
        <f t="shared" si="5"/>
        <v>2.5114496768236381E-2</v>
      </c>
      <c r="K27" s="2"/>
      <c r="L27" s="6">
        <f t="shared" si="6"/>
        <v>-567.94000000000005</v>
      </c>
      <c r="M27" s="2"/>
      <c r="N27" s="7">
        <f t="shared" si="7"/>
        <v>-0.5220228684878121</v>
      </c>
      <c r="O27" s="10"/>
      <c r="P27" s="6">
        <v>4940.1899999999996</v>
      </c>
      <c r="Q27" s="2"/>
      <c r="R27" s="7">
        <f t="shared" si="8"/>
        <v>1.112958711720987E-2</v>
      </c>
      <c r="S27" s="2"/>
      <c r="T27" s="6">
        <v>6736.74</v>
      </c>
      <c r="U27" s="2"/>
      <c r="V27" s="7">
        <f t="shared" si="9"/>
        <v>1.7751620553359684E-2</v>
      </c>
      <c r="W27" s="2"/>
      <c r="X27" s="6">
        <f t="shared" si="10"/>
        <v>-1796.5500000000002</v>
      </c>
      <c r="Y27" s="2"/>
      <c r="Z27" s="7">
        <f t="shared" si="11"/>
        <v>-0.26667943248514864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299.26</v>
      </c>
      <c r="E28" s="2"/>
      <c r="F28" s="7">
        <f t="shared" si="4"/>
        <v>5.7968038740920094E-3</v>
      </c>
      <c r="G28" s="2"/>
      <c r="H28" s="6">
        <v>995.93</v>
      </c>
      <c r="I28" s="2"/>
      <c r="J28" s="7">
        <f t="shared" si="5"/>
        <v>2.2990073868882733E-2</v>
      </c>
      <c r="K28" s="2"/>
      <c r="L28" s="6">
        <f t="shared" si="6"/>
        <v>-696.67</v>
      </c>
      <c r="M28" s="2"/>
      <c r="N28" s="7">
        <f t="shared" si="7"/>
        <v>-0.69951703432972201</v>
      </c>
      <c r="O28" s="10"/>
      <c r="P28" s="6">
        <v>2842.98</v>
      </c>
      <c r="Q28" s="2"/>
      <c r="R28" s="7">
        <f t="shared" si="8"/>
        <v>6.4048535749607442E-3</v>
      </c>
      <c r="S28" s="2"/>
      <c r="T28" s="6">
        <v>3838.79</v>
      </c>
      <c r="U28" s="2"/>
      <c r="V28" s="7">
        <f t="shared" si="9"/>
        <v>1.0115388669301712E-2</v>
      </c>
      <c r="W28" s="2"/>
      <c r="X28" s="6">
        <f t="shared" si="10"/>
        <v>-995.81</v>
      </c>
      <c r="Y28" s="2"/>
      <c r="Z28" s="7">
        <f t="shared" si="11"/>
        <v>-0.25940726114218282</v>
      </c>
    </row>
    <row r="29" spans="1:26" s="23" customFormat="1" hidden="1" outlineLevel="2" x14ac:dyDescent="0.25">
      <c r="A29" s="25"/>
      <c r="B29" s="10" t="str">
        <f>CONCATENATE("          ", "6156", " - ", "EMPLOYEE MEALS")</f>
        <v xml:space="preserve">          6156 - EMPLOYEE MEALS</v>
      </c>
      <c r="C29" s="10"/>
      <c r="D29" s="6">
        <v>932.53</v>
      </c>
      <c r="E29" s="2"/>
      <c r="F29" s="7">
        <f t="shared" si="4"/>
        <v>1.8063535108958837E-2</v>
      </c>
      <c r="G29" s="2"/>
      <c r="H29" s="6">
        <v>87.03</v>
      </c>
      <c r="I29" s="2"/>
      <c r="J29" s="7">
        <f t="shared" si="5"/>
        <v>2.0090027700831025E-3</v>
      </c>
      <c r="K29" s="2"/>
      <c r="L29" s="6">
        <f t="shared" si="6"/>
        <v>845.5</v>
      </c>
      <c r="M29" s="2"/>
      <c r="N29" s="7">
        <f t="shared" si="7"/>
        <v>9.7150407905320009</v>
      </c>
      <c r="O29" s="10"/>
      <c r="P29" s="6">
        <v>1620.53</v>
      </c>
      <c r="Q29" s="2"/>
      <c r="R29" s="7">
        <f t="shared" si="8"/>
        <v>3.6508372777265875E-3</v>
      </c>
      <c r="S29" s="2"/>
      <c r="T29" s="6">
        <v>1309.9100000000001</v>
      </c>
      <c r="U29" s="2"/>
      <c r="V29" s="7">
        <f t="shared" si="9"/>
        <v>3.4516732542819503E-3</v>
      </c>
      <c r="W29" s="2"/>
      <c r="X29" s="6">
        <f t="shared" si="10"/>
        <v>310.61999999999989</v>
      </c>
      <c r="Y29" s="2"/>
      <c r="Z29" s="7">
        <f t="shared" si="11"/>
        <v>0.23713079524547478</v>
      </c>
    </row>
    <row r="30" spans="1:26" s="26" customFormat="1" outlineLevel="1" collapsed="1" x14ac:dyDescent="0.25">
      <c r="A30" s="27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12967.17</v>
      </c>
      <c r="E30" s="1"/>
      <c r="F30" s="5">
        <f t="shared" ref="F30:F35" si="12">IF(D$12=0,0,D30/D$12)</f>
        <v>0.2511800484261501</v>
      </c>
      <c r="G30" s="1"/>
      <c r="H30" s="1">
        <f>SUM(OSRRefH22_1x_0)</f>
        <v>21138.02</v>
      </c>
      <c r="I30" s="1"/>
      <c r="J30" s="5">
        <f t="shared" ref="J30:J35" si="13">IF(H$12=0,0,H30/H$12)</f>
        <v>0.48795060018467223</v>
      </c>
      <c r="K30" s="1"/>
      <c r="L30" s="1">
        <f t="shared" ref="L30:L35" si="14">+D30-H30</f>
        <v>-8170.85</v>
      </c>
      <c r="M30" s="1"/>
      <c r="N30" s="5">
        <f t="shared" ref="N30:N35" si="15">IF(H30=0,0,L30/H30)</f>
        <v>-0.38654755743442387</v>
      </c>
      <c r="O30" s="12"/>
      <c r="P30" s="1">
        <f>SUM(OSRRefP22_1x_0)</f>
        <v>128147.72</v>
      </c>
      <c r="Q30" s="1"/>
      <c r="R30" s="5">
        <f t="shared" ref="R30:R35" si="16">IF(P$12=0,0,P30/P$12)</f>
        <v>0.2886996681528074</v>
      </c>
      <c r="S30" s="1"/>
      <c r="T30" s="1">
        <f>SUM(OSRRefT22_1x_0)</f>
        <v>155834.47999999998</v>
      </c>
      <c r="U30" s="1"/>
      <c r="V30" s="5">
        <f t="shared" ref="V30:V35" si="17">IF(T$12=0,0,T30/T$12)</f>
        <v>0.41063104084321472</v>
      </c>
      <c r="W30" s="1"/>
      <c r="X30" s="1">
        <f t="shared" ref="X30:X35" si="18">+P30-T30</f>
        <v>-27686.75999999998</v>
      </c>
      <c r="Y30" s="1"/>
      <c r="Z30" s="5">
        <f t="shared" ref="Z30:Z35" si="19">IF(T30=0,0,X30/T30)</f>
        <v>-0.17766774079780023</v>
      </c>
    </row>
    <row r="31" spans="1:26" s="23" customFormat="1" hidden="1" outlineLevel="2" x14ac:dyDescent="0.25">
      <c r="A31" s="25"/>
      <c r="B31" s="10" t="str">
        <f>CONCATENATE("          ", "6001", " - ", "ADMINISTRATIVE SALARIES")</f>
        <v xml:space="preserve">          6001 - ADMINISTRATIVE SALARIES</v>
      </c>
      <c r="C31" s="10"/>
      <c r="D31" s="6">
        <v>4204.72</v>
      </c>
      <c r="E31" s="2"/>
      <c r="F31" s="7">
        <f t="shared" si="12"/>
        <v>8.14473607748184E-2</v>
      </c>
      <c r="G31" s="2"/>
      <c r="H31" s="6"/>
      <c r="I31" s="2"/>
      <c r="J31" s="7">
        <f t="shared" si="13"/>
        <v>0</v>
      </c>
      <c r="K31" s="2"/>
      <c r="L31" s="6">
        <f t="shared" si="14"/>
        <v>4204.72</v>
      </c>
      <c r="M31" s="2"/>
      <c r="N31" s="7">
        <f t="shared" si="15"/>
        <v>0</v>
      </c>
      <c r="O31" s="10"/>
      <c r="P31" s="6">
        <v>39323.050000000003</v>
      </c>
      <c r="Q31" s="2"/>
      <c r="R31" s="7">
        <f t="shared" si="16"/>
        <v>8.8589570581171909E-2</v>
      </c>
      <c r="S31" s="2"/>
      <c r="T31" s="6"/>
      <c r="U31" s="2"/>
      <c r="V31" s="7">
        <f t="shared" si="17"/>
        <v>0</v>
      </c>
      <c r="W31" s="2"/>
      <c r="X31" s="6">
        <f t="shared" si="18"/>
        <v>39323.050000000003</v>
      </c>
      <c r="Y31" s="2"/>
      <c r="Z31" s="7">
        <f t="shared" si="19"/>
        <v>0</v>
      </c>
    </row>
    <row r="32" spans="1:26" s="23" customFormat="1" hidden="1" outlineLevel="2" x14ac:dyDescent="0.25">
      <c r="A32" s="25"/>
      <c r="B32" s="10" t="str">
        <f>CONCATENATE("          ", "6002", " - ", "STAFF SALARIES")</f>
        <v xml:space="preserve">          6002 - STAFF SALARIES</v>
      </c>
      <c r="C32" s="10"/>
      <c r="D32" s="6">
        <v>2282.3000000000002</v>
      </c>
      <c r="E32" s="2"/>
      <c r="F32" s="7">
        <f t="shared" si="12"/>
        <v>4.4209200968523009E-2</v>
      </c>
      <c r="G32" s="2"/>
      <c r="H32" s="6">
        <v>5795.28</v>
      </c>
      <c r="I32" s="2"/>
      <c r="J32" s="7">
        <f t="shared" si="13"/>
        <v>0.13377839335180056</v>
      </c>
      <c r="K32" s="2"/>
      <c r="L32" s="6">
        <f t="shared" si="14"/>
        <v>-3512.9799999999996</v>
      </c>
      <c r="M32" s="2"/>
      <c r="N32" s="7">
        <f t="shared" si="15"/>
        <v>-0.60617951160254546</v>
      </c>
      <c r="O32" s="10"/>
      <c r="P32" s="6">
        <v>21111.69</v>
      </c>
      <c r="Q32" s="2"/>
      <c r="R32" s="7">
        <f t="shared" si="16"/>
        <v>4.7561813016610381E-2</v>
      </c>
      <c r="S32" s="2"/>
      <c r="T32" s="6">
        <v>52981.95</v>
      </c>
      <c r="U32" s="2"/>
      <c r="V32" s="7">
        <f t="shared" si="17"/>
        <v>0.13960988142292488</v>
      </c>
      <c r="W32" s="2"/>
      <c r="X32" s="6">
        <f t="shared" si="18"/>
        <v>-31870.26</v>
      </c>
      <c r="Y32" s="2"/>
      <c r="Z32" s="7">
        <f t="shared" si="19"/>
        <v>-0.60153052124355555</v>
      </c>
    </row>
    <row r="33" spans="1:26" s="23" customFormat="1" hidden="1" outlineLevel="2" x14ac:dyDescent="0.25">
      <c r="A33" s="25"/>
      <c r="B33" s="10" t="str">
        <f>CONCATENATE("          ", "6005", " - ", "TEMPORARY WAGES-HOURLY")</f>
        <v xml:space="preserve">          6005 - TEMPORARY WAGES-HOURLY</v>
      </c>
      <c r="C33" s="10"/>
      <c r="D33" s="6">
        <v>6197.15</v>
      </c>
      <c r="E33" s="2"/>
      <c r="F33" s="7">
        <f t="shared" si="12"/>
        <v>0.12004164648910411</v>
      </c>
      <c r="G33" s="2"/>
      <c r="H33" s="6">
        <v>7713.33</v>
      </c>
      <c r="I33" s="2"/>
      <c r="J33" s="7">
        <f t="shared" si="13"/>
        <v>0.17805470914127425</v>
      </c>
      <c r="K33" s="2"/>
      <c r="L33" s="6">
        <f t="shared" si="14"/>
        <v>-1516.1800000000003</v>
      </c>
      <c r="M33" s="2"/>
      <c r="N33" s="7">
        <f t="shared" si="15"/>
        <v>-0.19656620422048587</v>
      </c>
      <c r="O33" s="10"/>
      <c r="P33" s="6">
        <v>57971.32</v>
      </c>
      <c r="Q33" s="2"/>
      <c r="R33" s="7">
        <f t="shared" si="16"/>
        <v>0.13060162792112265</v>
      </c>
      <c r="S33" s="2"/>
      <c r="T33" s="6">
        <v>66154.38</v>
      </c>
      <c r="U33" s="2"/>
      <c r="V33" s="7">
        <f t="shared" si="17"/>
        <v>0.17431984189723321</v>
      </c>
      <c r="W33" s="2"/>
      <c r="X33" s="6">
        <f t="shared" si="18"/>
        <v>-8183.0600000000049</v>
      </c>
      <c r="Y33" s="2"/>
      <c r="Z33" s="7">
        <f t="shared" si="19"/>
        <v>-0.12369642040330518</v>
      </c>
    </row>
    <row r="34" spans="1:26" s="23" customFormat="1" hidden="1" outlineLevel="2" x14ac:dyDescent="0.25">
      <c r="A34" s="25"/>
      <c r="B34" s="10" t="str">
        <f>CONCATENATE("          ", "6007", " - ", "STUDENT HOURLY")</f>
        <v xml:space="preserve">          6007 - STUDENT HOURLY</v>
      </c>
      <c r="C34" s="10"/>
      <c r="D34" s="6">
        <v>283</v>
      </c>
      <c r="E34" s="2"/>
      <c r="F34" s="7">
        <f t="shared" si="12"/>
        <v>5.4818401937046001E-3</v>
      </c>
      <c r="G34" s="2"/>
      <c r="H34" s="6">
        <v>6582.91</v>
      </c>
      <c r="I34" s="2"/>
      <c r="J34" s="7">
        <f t="shared" si="13"/>
        <v>0.1519600646352724</v>
      </c>
      <c r="K34" s="2"/>
      <c r="L34" s="6">
        <f t="shared" si="14"/>
        <v>-6299.91</v>
      </c>
      <c r="M34" s="2"/>
      <c r="N34" s="7">
        <f t="shared" si="15"/>
        <v>-0.95700989380076595</v>
      </c>
      <c r="O34" s="10"/>
      <c r="P34" s="6">
        <v>5829.78</v>
      </c>
      <c r="Q34" s="2"/>
      <c r="R34" s="7">
        <f t="shared" si="16"/>
        <v>1.313371436810482E-2</v>
      </c>
      <c r="S34" s="2"/>
      <c r="T34" s="6">
        <v>30777.41</v>
      </c>
      <c r="U34" s="2"/>
      <c r="V34" s="7">
        <f t="shared" si="17"/>
        <v>8.1099894598155461E-2</v>
      </c>
      <c r="W34" s="2"/>
      <c r="X34" s="6">
        <f t="shared" si="18"/>
        <v>-24947.63</v>
      </c>
      <c r="Y34" s="2"/>
      <c r="Z34" s="7">
        <f t="shared" si="19"/>
        <v>-0.81058250190643077</v>
      </c>
    </row>
    <row r="35" spans="1:26" s="23" customFormat="1" hidden="1" outlineLevel="2" x14ac:dyDescent="0.25">
      <c r="A35" s="25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12"/>
        <v>0</v>
      </c>
      <c r="G35" s="2"/>
      <c r="H35" s="6">
        <v>1046.5</v>
      </c>
      <c r="I35" s="2"/>
      <c r="J35" s="7">
        <f t="shared" si="13"/>
        <v>2.4157433056325023E-2</v>
      </c>
      <c r="K35" s="2"/>
      <c r="L35" s="6">
        <f t="shared" si="14"/>
        <v>-1046.5</v>
      </c>
      <c r="M35" s="2"/>
      <c r="N35" s="7">
        <f t="shared" si="15"/>
        <v>-1</v>
      </c>
      <c r="O35" s="10"/>
      <c r="P35" s="6">
        <v>3911.88</v>
      </c>
      <c r="Q35" s="2"/>
      <c r="R35" s="7">
        <f t="shared" si="16"/>
        <v>8.8129422657976606E-3</v>
      </c>
      <c r="S35" s="2"/>
      <c r="T35" s="6">
        <v>5920.74</v>
      </c>
      <c r="U35" s="2"/>
      <c r="V35" s="7">
        <f t="shared" si="17"/>
        <v>1.5601422924901185E-2</v>
      </c>
      <c r="W35" s="2"/>
      <c r="X35" s="6">
        <f t="shared" si="18"/>
        <v>-2008.8599999999997</v>
      </c>
      <c r="Y35" s="2"/>
      <c r="Z35" s="7">
        <f t="shared" si="19"/>
        <v>-0.33929204795346524</v>
      </c>
    </row>
    <row r="36" spans="1:26" s="26" customFormat="1" outlineLevel="1" collapsed="1" x14ac:dyDescent="0.25">
      <c r="A36" s="27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2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155.11000000000001</v>
      </c>
      <c r="U36" s="1"/>
      <c r="V36" s="5">
        <f t="shared" ref="V36:V44" si="25">IF(T$12=0,0,T36/T$12)</f>
        <v>4.0872200263504613E-4</v>
      </c>
      <c r="W36" s="1"/>
      <c r="X36" s="1">
        <f t="shared" ref="X36:X44" si="26">+P36-T36</f>
        <v>-155.11000000000001</v>
      </c>
      <c r="Y36" s="1"/>
      <c r="Z36" s="5">
        <f t="shared" ref="Z36:Z44" si="27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0"/>
      <c r="P37" s="6"/>
      <c r="Q37" s="2"/>
      <c r="R37" s="7">
        <f t="shared" si="24"/>
        <v>0</v>
      </c>
      <c r="S37" s="2"/>
      <c r="T37" s="6">
        <v>155.11000000000001</v>
      </c>
      <c r="U37" s="2"/>
      <c r="V37" s="7">
        <f t="shared" si="25"/>
        <v>4.0872200263504613E-4</v>
      </c>
      <c r="W37" s="2"/>
      <c r="X37" s="6">
        <f t="shared" si="26"/>
        <v>-155.11000000000001</v>
      </c>
      <c r="Y37" s="2"/>
      <c r="Z37" s="7">
        <f t="shared" si="27"/>
        <v>-1</v>
      </c>
    </row>
    <row r="38" spans="1:26" s="26" customFormat="1" outlineLevel="1" collapsed="1" x14ac:dyDescent="0.25">
      <c r="A38" s="27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45.38</v>
      </c>
      <c r="E38" s="1"/>
      <c r="F38" s="5">
        <f t="shared" si="20"/>
        <v>8.7903147699757876E-4</v>
      </c>
      <c r="G38" s="1"/>
      <c r="H38" s="1">
        <f>SUM(OSRRefH22_3x_0)</f>
        <v>1119.95</v>
      </c>
      <c r="I38" s="1"/>
      <c r="J38" s="5">
        <f t="shared" si="21"/>
        <v>2.5852954755309326E-2</v>
      </c>
      <c r="K38" s="1"/>
      <c r="L38" s="1">
        <f t="shared" si="22"/>
        <v>-1074.57</v>
      </c>
      <c r="M38" s="1"/>
      <c r="N38" s="5">
        <f t="shared" si="23"/>
        <v>-0.95948033394347954</v>
      </c>
      <c r="O38" s="12"/>
      <c r="P38" s="1">
        <f>SUM(OSRRefP22_3x_0)</f>
        <v>753.27</v>
      </c>
      <c r="Q38" s="1"/>
      <c r="R38" s="5">
        <f t="shared" si="24"/>
        <v>1.6970165292793757E-3</v>
      </c>
      <c r="S38" s="1"/>
      <c r="T38" s="1">
        <f>SUM(OSRRefT22_3x_0)</f>
        <v>17737.28</v>
      </c>
      <c r="U38" s="1"/>
      <c r="V38" s="5">
        <f t="shared" si="25"/>
        <v>4.673855072463768E-2</v>
      </c>
      <c r="W38" s="1"/>
      <c r="X38" s="1">
        <f t="shared" si="26"/>
        <v>-16984.009999999998</v>
      </c>
      <c r="Y38" s="1"/>
      <c r="Z38" s="5">
        <f t="shared" si="27"/>
        <v>-0.95753181998592796</v>
      </c>
    </row>
    <row r="39" spans="1:26" s="23" customFormat="1" hidden="1" outlineLevel="2" x14ac:dyDescent="0.25">
      <c r="A39" s="25"/>
      <c r="B39" s="10" t="str">
        <f>CONCATENATE("          ", "6381", " - ", "BANK/CREDIT CARD FEES")</f>
        <v xml:space="preserve">          6381 - BANK/CREDIT CARD FEES</v>
      </c>
      <c r="C39" s="10"/>
      <c r="D39" s="6">
        <v>45.38</v>
      </c>
      <c r="E39" s="2"/>
      <c r="F39" s="7">
        <f t="shared" si="20"/>
        <v>8.7903147699757876E-4</v>
      </c>
      <c r="G39" s="2"/>
      <c r="H39" s="6">
        <v>1119.95</v>
      </c>
      <c r="I39" s="2"/>
      <c r="J39" s="7">
        <f t="shared" si="21"/>
        <v>2.5852954755309326E-2</v>
      </c>
      <c r="K39" s="2"/>
      <c r="L39" s="6">
        <f t="shared" si="22"/>
        <v>-1074.57</v>
      </c>
      <c r="M39" s="2"/>
      <c r="N39" s="7">
        <f t="shared" si="23"/>
        <v>-0.95948033394347954</v>
      </c>
      <c r="O39" s="10"/>
      <c r="P39" s="6">
        <v>753.27</v>
      </c>
      <c r="Q39" s="2"/>
      <c r="R39" s="7">
        <f t="shared" si="24"/>
        <v>1.6970165292793757E-3</v>
      </c>
      <c r="S39" s="2"/>
      <c r="T39" s="6">
        <v>17737.28</v>
      </c>
      <c r="U39" s="2"/>
      <c r="V39" s="7">
        <f t="shared" si="25"/>
        <v>4.673855072463768E-2</v>
      </c>
      <c r="W39" s="2"/>
      <c r="X39" s="6">
        <f t="shared" si="26"/>
        <v>-16984.009999999998</v>
      </c>
      <c r="Y39" s="2"/>
      <c r="Z39" s="7">
        <f t="shared" si="27"/>
        <v>-0.95753181998592796</v>
      </c>
    </row>
    <row r="40" spans="1:26" s="26" customFormat="1" outlineLevel="1" collapsed="1" x14ac:dyDescent="0.25">
      <c r="A40" s="27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2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1.6927536231884057E-4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3" customFormat="1" hidden="1" outlineLevel="2" x14ac:dyDescent="0.25">
      <c r="A41" s="25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0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1.6927536231884057E-4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6" customFormat="1" outlineLevel="1" collapsed="1" x14ac:dyDescent="0.25">
      <c r="A42" s="27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2"/>
      <c r="P42" s="1">
        <f>SUM(OSRRefP22_5x_0)</f>
        <v>2.12</v>
      </c>
      <c r="Q42" s="1"/>
      <c r="R42" s="5">
        <f t="shared" si="24"/>
        <v>4.7760763631530214E-6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3" customFormat="1" hidden="1" outlineLevel="2" x14ac:dyDescent="0.25">
      <c r="A43" s="25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0"/>
      <c r="P43" s="6">
        <v>1.62</v>
      </c>
      <c r="Q43" s="2"/>
      <c r="R43" s="7">
        <f t="shared" si="24"/>
        <v>3.6496432586357996E-6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3" customFormat="1" hidden="1" outlineLevel="2" x14ac:dyDescent="0.25">
      <c r="A44" s="25"/>
      <c r="B44" s="10" t="str">
        <f>CONCATENATE("          ", "6307", " - ", "POSTAGE")</f>
        <v xml:space="preserve">          6307 - POSTAGE</v>
      </c>
      <c r="C44" s="10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0"/>
      <c r="P44" s="6">
        <v>0.5</v>
      </c>
      <c r="Q44" s="2"/>
      <c r="R44" s="7">
        <f t="shared" si="24"/>
        <v>1.126433104517222E-6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6" customFormat="1" outlineLevel="1" collapsed="1" x14ac:dyDescent="0.25">
      <c r="A45" s="27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0</v>
      </c>
      <c r="I45" s="1"/>
      <c r="J45" s="5">
        <f t="shared" ref="J45:J54" si="29">IF(H$12=0,0,H45/H$12)</f>
        <v>0</v>
      </c>
      <c r="K45" s="1"/>
      <c r="L45" s="1">
        <f t="shared" ref="L45:L54" si="30">+D45-H45</f>
        <v>0</v>
      </c>
      <c r="M45" s="1"/>
      <c r="N45" s="5">
        <f t="shared" ref="N45:N54" si="31">IF(H45=0,0,L45/H45)</f>
        <v>0</v>
      </c>
      <c r="O45" s="12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1.2474308300395258E-4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3" customFormat="1" hidden="1" outlineLevel="2" x14ac:dyDescent="0.25">
      <c r="A46" s="25"/>
      <c r="B46" s="10" t="str">
        <f>CONCATENATE("          ", "6279", " - ", "GENERAL EXPENSE")</f>
        <v xml:space="preserve">          6279 - GENERAL EXPENSE</v>
      </c>
      <c r="C46" s="10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0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1.2474308300395258E-4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6" customFormat="1" outlineLevel="1" collapsed="1" x14ac:dyDescent="0.25">
      <c r="A47" s="27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SUM(OSRRefD22_7x_0)</f>
        <v>29.01</v>
      </c>
      <c r="E47" s="1"/>
      <c r="F47" s="5">
        <f t="shared" si="28"/>
        <v>5.6193704600484261E-4</v>
      </c>
      <c r="G47" s="1"/>
      <c r="H47" s="1">
        <f>SUM(OSRRefH22_7x_0)</f>
        <v>29.01</v>
      </c>
      <c r="I47" s="1"/>
      <c r="J47" s="5">
        <f t="shared" si="29"/>
        <v>6.6966759002770083E-4</v>
      </c>
      <c r="K47" s="1"/>
      <c r="L47" s="1">
        <f t="shared" si="30"/>
        <v>0</v>
      </c>
      <c r="M47" s="1"/>
      <c r="N47" s="5">
        <f t="shared" si="31"/>
        <v>0</v>
      </c>
      <c r="O47" s="12"/>
      <c r="P47" s="1">
        <f>SUM(OSRRefP22_7x_0)</f>
        <v>261.08999999999997</v>
      </c>
      <c r="Q47" s="1"/>
      <c r="R47" s="5">
        <f t="shared" si="32"/>
        <v>5.8820083851680296E-4</v>
      </c>
      <c r="S47" s="1"/>
      <c r="T47" s="1">
        <f>SUM(OSRRefT22_7x_0)</f>
        <v>261.08999999999997</v>
      </c>
      <c r="U47" s="1"/>
      <c r="V47" s="5">
        <f t="shared" si="33"/>
        <v>6.8798418972332005E-4</v>
      </c>
      <c r="W47" s="1"/>
      <c r="X47" s="1">
        <f t="shared" si="34"/>
        <v>0</v>
      </c>
      <c r="Y47" s="1"/>
      <c r="Z47" s="5">
        <f t="shared" si="35"/>
        <v>0</v>
      </c>
    </row>
    <row r="48" spans="1:26" s="23" customFormat="1" hidden="1" outlineLevel="2" x14ac:dyDescent="0.25">
      <c r="A48" s="25"/>
      <c r="B48" s="10" t="str">
        <f>CONCATENATE("          ", "6314", " - ", "LIABILITY INSURANCE")</f>
        <v xml:space="preserve">          6314 - LIABILITY INSURANCE</v>
      </c>
      <c r="C48" s="10"/>
      <c r="D48" s="6">
        <v>29.01</v>
      </c>
      <c r="E48" s="2"/>
      <c r="F48" s="7">
        <f t="shared" si="28"/>
        <v>5.6193704600484261E-4</v>
      </c>
      <c r="G48" s="2"/>
      <c r="H48" s="6">
        <v>29.01</v>
      </c>
      <c r="I48" s="2"/>
      <c r="J48" s="7">
        <f t="shared" si="29"/>
        <v>6.6966759002770083E-4</v>
      </c>
      <c r="K48" s="2"/>
      <c r="L48" s="6">
        <f t="shared" si="30"/>
        <v>0</v>
      </c>
      <c r="M48" s="2"/>
      <c r="N48" s="7">
        <f t="shared" si="31"/>
        <v>0</v>
      </c>
      <c r="O48" s="10"/>
      <c r="P48" s="6">
        <v>261.08999999999997</v>
      </c>
      <c r="Q48" s="2"/>
      <c r="R48" s="7">
        <f t="shared" si="32"/>
        <v>5.8820083851680296E-4</v>
      </c>
      <c r="S48" s="2"/>
      <c r="T48" s="6">
        <v>261.08999999999997</v>
      </c>
      <c r="U48" s="2"/>
      <c r="V48" s="7">
        <f t="shared" si="33"/>
        <v>6.8798418972332005E-4</v>
      </c>
      <c r="W48" s="2"/>
      <c r="X48" s="6">
        <f t="shared" si="34"/>
        <v>0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2" t="str">
        <f>CONCATENATE("     ","Rent                                              ")</f>
        <v xml:space="preserve">     Rent                                              </v>
      </c>
      <c r="C49" s="12"/>
      <c r="D49" s="1">
        <f>SUM(OSRRefD22_8x_0)</f>
        <v>800</v>
      </c>
      <c r="E49" s="1"/>
      <c r="F49" s="5">
        <f t="shared" si="28"/>
        <v>1.549636803874092E-2</v>
      </c>
      <c r="G49" s="1"/>
      <c r="H49" s="1">
        <f>SUM(OSRRefH22_8x_0)</f>
        <v>800</v>
      </c>
      <c r="I49" s="1"/>
      <c r="J49" s="5">
        <f t="shared" si="29"/>
        <v>1.8467220683287166E-2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SUM(OSRRefP22_8x_0)</f>
        <v>7200</v>
      </c>
      <c r="Q49" s="1"/>
      <c r="R49" s="5">
        <f t="shared" si="32"/>
        <v>1.6220636705047996E-2</v>
      </c>
      <c r="S49" s="1"/>
      <c r="T49" s="1">
        <f>SUM(OSRRefT22_8x_0)</f>
        <v>5600</v>
      </c>
      <c r="U49" s="1"/>
      <c r="V49" s="5">
        <f t="shared" si="33"/>
        <v>1.4756258234519103E-2</v>
      </c>
      <c r="W49" s="1"/>
      <c r="X49" s="1">
        <f t="shared" si="34"/>
        <v>1600</v>
      </c>
      <c r="Y49" s="1"/>
      <c r="Z49" s="5">
        <f t="shared" si="35"/>
        <v>0.2857142857142857</v>
      </c>
    </row>
    <row r="50" spans="1:26" s="23" customFormat="1" hidden="1" outlineLevel="2" x14ac:dyDescent="0.25">
      <c r="A50" s="25"/>
      <c r="B50" s="10" t="str">
        <f>CONCATENATE("          ", "6273", " - ", "RENT")</f>
        <v xml:space="preserve">          6273 - RENT</v>
      </c>
      <c r="C50" s="10"/>
      <c r="D50" s="6">
        <v>800</v>
      </c>
      <c r="E50" s="2"/>
      <c r="F50" s="7">
        <f t="shared" si="28"/>
        <v>1.549636803874092E-2</v>
      </c>
      <c r="G50" s="2"/>
      <c r="H50" s="6">
        <v>800</v>
      </c>
      <c r="I50" s="2"/>
      <c r="J50" s="7">
        <f t="shared" si="29"/>
        <v>1.8467220683287166E-2</v>
      </c>
      <c r="K50" s="2"/>
      <c r="L50" s="6">
        <f t="shared" si="30"/>
        <v>0</v>
      </c>
      <c r="M50" s="2"/>
      <c r="N50" s="7">
        <f t="shared" si="31"/>
        <v>0</v>
      </c>
      <c r="O50" s="10"/>
      <c r="P50" s="6">
        <v>7200</v>
      </c>
      <c r="Q50" s="2"/>
      <c r="R50" s="7">
        <f t="shared" si="32"/>
        <v>1.6220636705047996E-2</v>
      </c>
      <c r="S50" s="2"/>
      <c r="T50" s="6">
        <v>5600</v>
      </c>
      <c r="U50" s="2"/>
      <c r="V50" s="7">
        <f t="shared" si="33"/>
        <v>1.4756258234519103E-2</v>
      </c>
      <c r="W50" s="2"/>
      <c r="X50" s="6">
        <f t="shared" si="34"/>
        <v>1600</v>
      </c>
      <c r="Y50" s="2"/>
      <c r="Z50" s="7">
        <f t="shared" si="35"/>
        <v>0.2857142857142857</v>
      </c>
    </row>
    <row r="51" spans="1:26" s="26" customFormat="1" outlineLevel="1" collapsed="1" x14ac:dyDescent="0.25">
      <c r="A51" s="27"/>
      <c r="B51" s="12" t="str">
        <f>CONCATENATE("     ","Repair and Maintenance                            ")</f>
        <v xml:space="preserve">     Repair and Maintenance                            </v>
      </c>
      <c r="C51" s="12"/>
      <c r="D51" s="1">
        <f>SUM(OSRRefD22_9x_0)</f>
        <v>22581.23</v>
      </c>
      <c r="E51" s="1"/>
      <c r="F51" s="5">
        <f t="shared" si="28"/>
        <v>0.43740881355932204</v>
      </c>
      <c r="G51" s="1"/>
      <c r="H51" s="1">
        <f>SUM(OSRRefH22_9x_0)</f>
        <v>676.8</v>
      </c>
      <c r="I51" s="1"/>
      <c r="J51" s="5">
        <f t="shared" si="29"/>
        <v>1.5623268698060942E-2</v>
      </c>
      <c r="K51" s="1"/>
      <c r="L51" s="1">
        <f t="shared" si="30"/>
        <v>21904.43</v>
      </c>
      <c r="M51" s="1"/>
      <c r="N51" s="5">
        <f t="shared" si="31"/>
        <v>32.364701536643025</v>
      </c>
      <c r="O51" s="12"/>
      <c r="P51" s="1">
        <f>SUM(OSRRefP22_9x_0)</f>
        <v>149496.13</v>
      </c>
      <c r="Q51" s="1"/>
      <c r="R51" s="5">
        <f t="shared" si="32"/>
        <v>0.33679477965842042</v>
      </c>
      <c r="S51" s="1"/>
      <c r="T51" s="1">
        <f>SUM(OSRRefT22_9x_0)</f>
        <v>118520.76</v>
      </c>
      <c r="U51" s="1"/>
      <c r="V51" s="5">
        <f t="shared" si="33"/>
        <v>0.31230766798418969</v>
      </c>
      <c r="W51" s="1"/>
      <c r="X51" s="1">
        <f t="shared" si="34"/>
        <v>30975.37000000001</v>
      </c>
      <c r="Y51" s="1"/>
      <c r="Z51" s="5">
        <f t="shared" si="35"/>
        <v>0.26134974159801211</v>
      </c>
    </row>
    <row r="52" spans="1:26" s="23" customFormat="1" hidden="1" outlineLevel="2" x14ac:dyDescent="0.25">
      <c r="A52" s="25"/>
      <c r="B52" s="10" t="str">
        <f>CONCATENATE("          ", "6371", " - ", "COMPUTER SOFTWARE MAINTENANCE")</f>
        <v xml:space="preserve">          6371 - COMPUTER SOFTWARE MAINTENANCE</v>
      </c>
      <c r="C52" s="10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0"/>
      <c r="P52" s="6"/>
      <c r="Q52" s="2"/>
      <c r="R52" s="7">
        <f t="shared" si="32"/>
        <v>0</v>
      </c>
      <c r="S52" s="2"/>
      <c r="T52" s="6">
        <v>437.31</v>
      </c>
      <c r="U52" s="2"/>
      <c r="V52" s="7">
        <f t="shared" si="33"/>
        <v>1.1523320158102768E-3</v>
      </c>
      <c r="W52" s="2"/>
      <c r="X52" s="6">
        <f t="shared" si="34"/>
        <v>-437.31</v>
      </c>
      <c r="Y52" s="2"/>
      <c r="Z52" s="7">
        <f t="shared" si="35"/>
        <v>-1</v>
      </c>
    </row>
    <row r="53" spans="1:26" s="23" customFormat="1" hidden="1" outlineLevel="2" x14ac:dyDescent="0.25">
      <c r="A53" s="25"/>
      <c r="B53" s="10" t="str">
        <f>CONCATENATE("          ", "6373", " - ", "MAINTENANCE CONTRACTS")</f>
        <v xml:space="preserve">          6373 - MAINTENANCE CONTRACTS</v>
      </c>
      <c r="C53" s="10"/>
      <c r="D53" s="6">
        <v>22581.23</v>
      </c>
      <c r="E53" s="2"/>
      <c r="F53" s="7">
        <f t="shared" si="28"/>
        <v>0.43740881355932204</v>
      </c>
      <c r="G53" s="2"/>
      <c r="H53" s="6"/>
      <c r="I53" s="2"/>
      <c r="J53" s="7">
        <f t="shared" si="29"/>
        <v>0</v>
      </c>
      <c r="K53" s="2"/>
      <c r="L53" s="6">
        <f t="shared" si="30"/>
        <v>22581.23</v>
      </c>
      <c r="M53" s="2"/>
      <c r="N53" s="7">
        <f t="shared" si="31"/>
        <v>0</v>
      </c>
      <c r="O53" s="10"/>
      <c r="P53" s="6">
        <v>142934.13</v>
      </c>
      <c r="Q53" s="2"/>
      <c r="R53" s="7">
        <f t="shared" si="32"/>
        <v>0.32201147159473642</v>
      </c>
      <c r="S53" s="2"/>
      <c r="T53" s="6">
        <v>117094</v>
      </c>
      <c r="U53" s="2"/>
      <c r="V53" s="7">
        <f t="shared" si="33"/>
        <v>0.30854808959156788</v>
      </c>
      <c r="W53" s="2"/>
      <c r="X53" s="6">
        <f t="shared" si="34"/>
        <v>25840.130000000005</v>
      </c>
      <c r="Y53" s="2"/>
      <c r="Z53" s="7">
        <f t="shared" si="35"/>
        <v>0.22067851469759342</v>
      </c>
    </row>
    <row r="54" spans="1:26" s="23" customFormat="1" hidden="1" outlineLevel="2" x14ac:dyDescent="0.25">
      <c r="A54" s="25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28"/>
        <v>0</v>
      </c>
      <c r="G54" s="2"/>
      <c r="H54" s="6">
        <v>676.8</v>
      </c>
      <c r="I54" s="2"/>
      <c r="J54" s="7">
        <f t="shared" si="29"/>
        <v>1.5623268698060942E-2</v>
      </c>
      <c r="K54" s="2"/>
      <c r="L54" s="6">
        <f t="shared" si="30"/>
        <v>-676.8</v>
      </c>
      <c r="M54" s="2"/>
      <c r="N54" s="7">
        <f t="shared" si="31"/>
        <v>-1</v>
      </c>
      <c r="O54" s="10"/>
      <c r="P54" s="6">
        <v>6562</v>
      </c>
      <c r="Q54" s="2"/>
      <c r="R54" s="7">
        <f t="shared" si="32"/>
        <v>1.4783308063684022E-2</v>
      </c>
      <c r="S54" s="2"/>
      <c r="T54" s="6">
        <v>989.45</v>
      </c>
      <c r="U54" s="2"/>
      <c r="V54" s="7">
        <f t="shared" si="33"/>
        <v>2.6072463768115942E-3</v>
      </c>
      <c r="W54" s="2"/>
      <c r="X54" s="6">
        <f t="shared" si="34"/>
        <v>5572.55</v>
      </c>
      <c r="Y54" s="2"/>
      <c r="Z54" s="7">
        <f t="shared" si="35"/>
        <v>5.6319672545353479</v>
      </c>
    </row>
    <row r="55" spans="1:26" s="26" customFormat="1" outlineLevel="1" collapsed="1" x14ac:dyDescent="0.25">
      <c r="A55" s="27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0</v>
      </c>
      <c r="M55" s="1"/>
      <c r="N55" s="5">
        <f t="shared" ref="N55:N60" si="39">IF(H55=0,0,L55/H55)</f>
        <v>0</v>
      </c>
      <c r="O55" s="12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825</v>
      </c>
      <c r="U55" s="1"/>
      <c r="V55" s="5">
        <f t="shared" ref="V55:V60" si="41">IF(T$12=0,0,T55/T$12)</f>
        <v>2.1739130434782609E-3</v>
      </c>
      <c r="W55" s="1"/>
      <c r="X55" s="1">
        <f t="shared" ref="X55:X60" si="42">+P55-T55</f>
        <v>-825</v>
      </c>
      <c r="Y55" s="1"/>
      <c r="Z55" s="5">
        <f t="shared" ref="Z55:Z60" si="43">IF(T55=0,0,X55/T55)</f>
        <v>-1</v>
      </c>
    </row>
    <row r="56" spans="1:26" s="23" customFormat="1" hidden="1" outlineLevel="2" x14ac:dyDescent="0.25">
      <c r="A56" s="25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0"/>
      <c r="P56" s="6"/>
      <c r="Q56" s="2"/>
      <c r="R56" s="7">
        <f t="shared" si="40"/>
        <v>0</v>
      </c>
      <c r="S56" s="2"/>
      <c r="T56" s="6">
        <v>825</v>
      </c>
      <c r="U56" s="2"/>
      <c r="V56" s="7">
        <f t="shared" si="41"/>
        <v>2.1739130434782609E-3</v>
      </c>
      <c r="W56" s="2"/>
      <c r="X56" s="6">
        <f t="shared" si="42"/>
        <v>-825</v>
      </c>
      <c r="Y56" s="2"/>
      <c r="Z56" s="7">
        <f t="shared" si="43"/>
        <v>-1</v>
      </c>
    </row>
    <row r="57" spans="1:26" s="26" customFormat="1" outlineLevel="1" collapsed="1" x14ac:dyDescent="0.25">
      <c r="A57" s="27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SUM(OSRRefD22_11x_0)</f>
        <v>3.72</v>
      </c>
      <c r="E57" s="1"/>
      <c r="F57" s="5">
        <f t="shared" si="36"/>
        <v>7.205811138014528E-5</v>
      </c>
      <c r="G57" s="1"/>
      <c r="H57" s="1">
        <f>SUM(OSRRefH22_11x_0)</f>
        <v>1596.09</v>
      </c>
      <c r="I57" s="1"/>
      <c r="J57" s="5">
        <f t="shared" si="37"/>
        <v>3.684418282548476E-2</v>
      </c>
      <c r="K57" s="1"/>
      <c r="L57" s="1">
        <f t="shared" si="38"/>
        <v>-1592.37</v>
      </c>
      <c r="M57" s="1"/>
      <c r="N57" s="5">
        <f t="shared" si="39"/>
        <v>-0.99766930436253598</v>
      </c>
      <c r="O57" s="12"/>
      <c r="P57" s="1">
        <f>SUM(OSRRefP22_11x_0)</f>
        <v>42061.89</v>
      </c>
      <c r="Q57" s="1"/>
      <c r="R57" s="5">
        <f t="shared" si="40"/>
        <v>9.4759810669123798E-2</v>
      </c>
      <c r="S57" s="1"/>
      <c r="T57" s="1">
        <f>SUM(OSRRefT22_11x_0)</f>
        <v>24878.799999999999</v>
      </c>
      <c r="U57" s="1"/>
      <c r="V57" s="5">
        <f t="shared" si="41"/>
        <v>6.5556785243741769E-2</v>
      </c>
      <c r="W57" s="1"/>
      <c r="X57" s="1">
        <f t="shared" si="42"/>
        <v>17183.09</v>
      </c>
      <c r="Y57" s="1"/>
      <c r="Z57" s="5">
        <f t="shared" si="43"/>
        <v>0.69067197774812294</v>
      </c>
    </row>
    <row r="58" spans="1:26" s="23" customFormat="1" hidden="1" outlineLevel="2" x14ac:dyDescent="0.25">
      <c r="A58" s="25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0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1.0889855072463768E-3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3" customFormat="1" hidden="1" outlineLevel="2" x14ac:dyDescent="0.25">
      <c r="A59" s="25"/>
      <c r="B59" s="10" t="str">
        <f>CONCATENATE("          ", "6241", " - ", "OFFICE EXPENSE")</f>
        <v xml:space="preserve">          6241 - OFFICE EXPENSE</v>
      </c>
      <c r="C59" s="10"/>
      <c r="D59" s="6">
        <v>3.72</v>
      </c>
      <c r="E59" s="2"/>
      <c r="F59" s="7">
        <f t="shared" si="36"/>
        <v>7.205811138014528E-5</v>
      </c>
      <c r="G59" s="2"/>
      <c r="H59" s="6">
        <v>1596.09</v>
      </c>
      <c r="I59" s="2"/>
      <c r="J59" s="7">
        <f t="shared" si="37"/>
        <v>3.684418282548476E-2</v>
      </c>
      <c r="K59" s="2"/>
      <c r="L59" s="6">
        <f t="shared" si="38"/>
        <v>-1592.37</v>
      </c>
      <c r="M59" s="2"/>
      <c r="N59" s="7">
        <f t="shared" si="39"/>
        <v>-0.99766930436253598</v>
      </c>
      <c r="O59" s="10"/>
      <c r="P59" s="6">
        <v>42061.89</v>
      </c>
      <c r="Q59" s="2"/>
      <c r="R59" s="7">
        <f t="shared" si="40"/>
        <v>9.4759810669123798E-2</v>
      </c>
      <c r="S59" s="2"/>
      <c r="T59" s="6">
        <v>24262.01</v>
      </c>
      <c r="U59" s="2"/>
      <c r="V59" s="7">
        <f t="shared" si="41"/>
        <v>6.3931515151515142E-2</v>
      </c>
      <c r="W59" s="2"/>
      <c r="X59" s="6">
        <f t="shared" si="42"/>
        <v>17799.88</v>
      </c>
      <c r="Y59" s="2"/>
      <c r="Z59" s="7">
        <f t="shared" si="43"/>
        <v>0.73365232311749939</v>
      </c>
    </row>
    <row r="60" spans="1:26" s="23" customFormat="1" hidden="1" outlineLevel="2" x14ac:dyDescent="0.25">
      <c r="A60" s="25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0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5.3628458498023715E-4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6" customFormat="1" outlineLevel="1" collapsed="1" x14ac:dyDescent="0.25">
      <c r="A61" s="27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SUM(OSRRefD22_12x_0)</f>
        <v>87</v>
      </c>
      <c r="E61" s="1"/>
      <c r="F61" s="5">
        <f t="shared" ref="F61:F64" si="44">IF(D$12=0,0,D61/D$12)</f>
        <v>1.6852300242130751E-3</v>
      </c>
      <c r="G61" s="1"/>
      <c r="H61" s="1">
        <f>SUM(OSRRefH22_12x_0)</f>
        <v>188.35</v>
      </c>
      <c r="I61" s="1"/>
      <c r="J61" s="5">
        <f t="shared" ref="J61:J64" si="45">IF(H$12=0,0,H61/H$12)</f>
        <v>4.3478762696214221E-3</v>
      </c>
      <c r="K61" s="1"/>
      <c r="L61" s="1">
        <f t="shared" ref="L61:L64" si="46">+D61-H61</f>
        <v>-101.35</v>
      </c>
      <c r="M61" s="1"/>
      <c r="N61" s="5">
        <f t="shared" ref="N61:N64" si="47">IF(H61=0,0,L61/H61)</f>
        <v>-0.53809397398460312</v>
      </c>
      <c r="O61" s="12"/>
      <c r="P61" s="1">
        <f>SUM(OSRRefP22_12x_0)</f>
        <v>1711.83</v>
      </c>
      <c r="Q61" s="1"/>
      <c r="R61" s="5">
        <f t="shared" ref="R61:R64" si="48">IF(P$12=0,0,P61/P$12)</f>
        <v>3.8565239626114321E-3</v>
      </c>
      <c r="S61" s="1"/>
      <c r="T61" s="1">
        <f>SUM(OSRRefT22_12x_0)</f>
        <v>1699.55</v>
      </c>
      <c r="U61" s="1"/>
      <c r="V61" s="5">
        <f t="shared" ref="V61:V64" si="49">IF(T$12=0,0,T61/T$12)</f>
        <v>4.4783926218708824E-3</v>
      </c>
      <c r="W61" s="1"/>
      <c r="X61" s="1">
        <f t="shared" ref="X61:X64" si="50">+P61-T61</f>
        <v>12.279999999999973</v>
      </c>
      <c r="Y61" s="1"/>
      <c r="Z61" s="5">
        <f t="shared" ref="Z61:Z64" si="51">IF(T61=0,0,X61/T61)</f>
        <v>7.225442028772306E-3</v>
      </c>
    </row>
    <row r="62" spans="1:26" s="23" customFormat="1" hidden="1" outlineLevel="2" x14ac:dyDescent="0.25">
      <c r="A62" s="25"/>
      <c r="B62" s="10" t="str">
        <f>CONCATENATE("          ", "6309", " - ", "TELEPHONE")</f>
        <v xml:space="preserve">          6309 - TELEPHONE</v>
      </c>
      <c r="C62" s="10"/>
      <c r="D62" s="6">
        <v>87</v>
      </c>
      <c r="E62" s="2"/>
      <c r="F62" s="7">
        <f t="shared" si="44"/>
        <v>1.6852300242130751E-3</v>
      </c>
      <c r="G62" s="2"/>
      <c r="H62" s="6">
        <v>188.35</v>
      </c>
      <c r="I62" s="2"/>
      <c r="J62" s="7">
        <f t="shared" si="45"/>
        <v>4.3478762696214221E-3</v>
      </c>
      <c r="K62" s="2"/>
      <c r="L62" s="6">
        <f t="shared" si="46"/>
        <v>-101.35</v>
      </c>
      <c r="M62" s="2"/>
      <c r="N62" s="7">
        <f t="shared" si="47"/>
        <v>-0.53809397398460312</v>
      </c>
      <c r="O62" s="10"/>
      <c r="P62" s="6">
        <v>1711.83</v>
      </c>
      <c r="Q62" s="2"/>
      <c r="R62" s="7">
        <f t="shared" si="48"/>
        <v>3.8565239626114321E-3</v>
      </c>
      <c r="S62" s="2"/>
      <c r="T62" s="6">
        <v>1699.55</v>
      </c>
      <c r="U62" s="2"/>
      <c r="V62" s="7">
        <f t="shared" si="49"/>
        <v>4.4783926218708824E-3</v>
      </c>
      <c r="W62" s="2"/>
      <c r="X62" s="6">
        <f t="shared" si="50"/>
        <v>12.279999999999973</v>
      </c>
      <c r="Y62" s="2"/>
      <c r="Z62" s="7">
        <f t="shared" si="51"/>
        <v>7.225442028772306E-3</v>
      </c>
    </row>
    <row r="63" spans="1:26" s="26" customFormat="1" outlineLevel="1" collapsed="1" x14ac:dyDescent="0.25">
      <c r="A63" s="27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2011.24</v>
      </c>
      <c r="I63" s="1"/>
      <c r="J63" s="5">
        <f t="shared" si="45"/>
        <v>4.64275161588181E-2</v>
      </c>
      <c r="K63" s="1"/>
      <c r="L63" s="1">
        <f t="shared" si="46"/>
        <v>-2011.24</v>
      </c>
      <c r="M63" s="1"/>
      <c r="N63" s="5">
        <f t="shared" si="47"/>
        <v>-1</v>
      </c>
      <c r="O63" s="12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2011.24</v>
      </c>
      <c r="U63" s="1"/>
      <c r="V63" s="5">
        <f t="shared" si="49"/>
        <v>5.2997101449275361E-3</v>
      </c>
      <c r="W63" s="1"/>
      <c r="X63" s="1">
        <f t="shared" si="50"/>
        <v>-2011.24</v>
      </c>
      <c r="Y63" s="1"/>
      <c r="Z63" s="5">
        <f t="shared" si="51"/>
        <v>-1</v>
      </c>
    </row>
    <row r="64" spans="1:26" s="23" customFormat="1" hidden="1" outlineLevel="2" x14ac:dyDescent="0.25">
      <c r="A64" s="25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4"/>
        <v>0</v>
      </c>
      <c r="G64" s="2"/>
      <c r="H64" s="6">
        <v>2011.24</v>
      </c>
      <c r="I64" s="2"/>
      <c r="J64" s="7">
        <f t="shared" si="45"/>
        <v>4.64275161588181E-2</v>
      </c>
      <c r="K64" s="2"/>
      <c r="L64" s="6">
        <f t="shared" si="46"/>
        <v>-2011.24</v>
      </c>
      <c r="M64" s="2"/>
      <c r="N64" s="7">
        <f t="shared" si="47"/>
        <v>-1</v>
      </c>
      <c r="O64" s="10"/>
      <c r="P64" s="6"/>
      <c r="Q64" s="2"/>
      <c r="R64" s="7">
        <f t="shared" si="48"/>
        <v>0</v>
      </c>
      <c r="S64" s="2"/>
      <c r="T64" s="6">
        <v>2011.24</v>
      </c>
      <c r="U64" s="2"/>
      <c r="V64" s="7">
        <f t="shared" si="49"/>
        <v>5.2997101449275361E-3</v>
      </c>
      <c r="W64" s="2"/>
      <c r="X64" s="6">
        <f t="shared" si="50"/>
        <v>-2011.24</v>
      </c>
      <c r="Y64" s="2"/>
      <c r="Z64" s="7">
        <f t="shared" si="51"/>
        <v>-1</v>
      </c>
    </row>
    <row r="65" spans="1:26" s="60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collapsed="1" x14ac:dyDescent="0.25">
      <c r="A66" s="11"/>
      <c r="B66" s="28" t="s">
        <v>292</v>
      </c>
      <c r="C66" s="11"/>
      <c r="D66" s="4">
        <f>SUM(OSRRefD25x_0)</f>
        <v>210</v>
      </c>
      <c r="E66" s="4"/>
      <c r="F66" s="13">
        <f t="shared" ref="F66:F67" si="52">IF(D$12=0,0,D66/D$12)</f>
        <v>4.0677966101694916E-3</v>
      </c>
      <c r="G66" s="4"/>
      <c r="H66" s="4">
        <f>SUM(OSRRefH25x_0)</f>
        <v>991.34</v>
      </c>
      <c r="I66" s="4"/>
      <c r="J66" s="13">
        <f t="shared" ref="J66:J67" si="53">IF(H$12=0,0,H66/H$12)</f>
        <v>2.2884118190212372E-2</v>
      </c>
      <c r="K66" s="4"/>
      <c r="L66" s="4">
        <f t="shared" ref="L66:L67" si="54">+D66-H66</f>
        <v>-781.34</v>
      </c>
      <c r="M66" s="4"/>
      <c r="N66" s="13">
        <f t="shared" ref="N66:N67" si="55">IF(H66=0,0,L66/H66)</f>
        <v>-0.78816551334557272</v>
      </c>
      <c r="O66" s="11"/>
      <c r="P66" s="4">
        <f>SUM(OSRRefP25x_0)</f>
        <v>1938.68</v>
      </c>
      <c r="Q66" s="4"/>
      <c r="R66" s="13">
        <f t="shared" ref="R66:R67" si="56">IF(P$12=0,0,P66/P$12)</f>
        <v>4.3675866621308958E-3</v>
      </c>
      <c r="S66" s="4"/>
      <c r="T66" s="4">
        <f>SUM(OSRRefT25x_0)</f>
        <v>20336.25</v>
      </c>
      <c r="U66" s="4"/>
      <c r="V66" s="13">
        <f t="shared" ref="V66:V67" si="57">IF(T$12=0,0,T66/T$12)</f>
        <v>5.3586956521739129E-2</v>
      </c>
      <c r="W66" s="4"/>
      <c r="X66" s="4">
        <f t="shared" ref="X66:X67" si="58">+P66-T66</f>
        <v>-18397.57</v>
      </c>
      <c r="Y66" s="4"/>
      <c r="Z66" s="13">
        <f t="shared" ref="Z66:Z67" si="59">IF(T66=0,0,X66/T66)</f>
        <v>-0.90466875653082546</v>
      </c>
    </row>
    <row r="67" spans="1:26" s="23" customFormat="1" hidden="1" outlineLevel="1" x14ac:dyDescent="0.25">
      <c r="A67" s="44"/>
      <c r="B67" s="10" t="str">
        <f>CONCATENATE("          ", "9150", " - ", "MISC. INCOME")</f>
        <v xml:space="preserve">          9150 - MISC. INCOME</v>
      </c>
      <c r="C67" s="10"/>
      <c r="D67" s="2">
        <f>--210</f>
        <v>210</v>
      </c>
      <c r="E67" s="2"/>
      <c r="F67" s="19">
        <f t="shared" si="52"/>
        <v>4.0677966101694916E-3</v>
      </c>
      <c r="G67" s="2"/>
      <c r="H67" s="2">
        <f>--991.34</f>
        <v>991.34</v>
      </c>
      <c r="I67" s="2"/>
      <c r="J67" s="19">
        <f t="shared" si="53"/>
        <v>2.2884118190212372E-2</v>
      </c>
      <c r="K67" s="2"/>
      <c r="L67" s="2">
        <f t="shared" si="54"/>
        <v>-781.34</v>
      </c>
      <c r="M67" s="2"/>
      <c r="N67" s="19">
        <f t="shared" si="55"/>
        <v>-0.78816551334557272</v>
      </c>
      <c r="O67" s="10"/>
      <c r="P67" s="2">
        <f>--1938.68</f>
        <v>1938.68</v>
      </c>
      <c r="Q67" s="2"/>
      <c r="R67" s="19">
        <f t="shared" si="56"/>
        <v>4.3675866621308958E-3</v>
      </c>
      <c r="S67" s="2"/>
      <c r="T67" s="2">
        <f>--20336.25</f>
        <v>20336.25</v>
      </c>
      <c r="U67" s="2"/>
      <c r="V67" s="19">
        <f t="shared" si="57"/>
        <v>5.3586956521739129E-2</v>
      </c>
      <c r="W67" s="2"/>
      <c r="X67" s="2">
        <f t="shared" si="58"/>
        <v>-18397.57</v>
      </c>
      <c r="Y67" s="2"/>
      <c r="Z67" s="19">
        <f t="shared" si="59"/>
        <v>-0.90466875653082546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x14ac:dyDescent="0.25">
      <c r="A69" s="11"/>
      <c r="B69" s="29" t="s">
        <v>276</v>
      </c>
      <c r="C69" s="29"/>
      <c r="D69" s="22">
        <f>+D17-D19+D66</f>
        <v>10578.740000000005</v>
      </c>
      <c r="E69" s="14"/>
      <c r="F69" s="20">
        <f>IF(D$12=0,0,D69/D$12)</f>
        <v>0.20491506053268776</v>
      </c>
      <c r="G69" s="14"/>
      <c r="H69" s="22">
        <f>+H17-H19+H66</f>
        <v>11667.250000000004</v>
      </c>
      <c r="I69" s="14"/>
      <c r="J69" s="20">
        <f>IF(H$12=0,0,H69/H$12)</f>
        <v>0.26932710064635279</v>
      </c>
      <c r="K69" s="15"/>
      <c r="L69" s="22">
        <f>+D69-H69</f>
        <v>-1088.5099999999984</v>
      </c>
      <c r="M69" s="15"/>
      <c r="N69" s="20">
        <f>IF(H69=0,0,L69/H69)</f>
        <v>-9.329619233324031E-2</v>
      </c>
      <c r="O69" s="28"/>
      <c r="P69" s="22">
        <f>+P17-P19+P66</f>
        <v>77680.659999999974</v>
      </c>
      <c r="Q69" s="14"/>
      <c r="R69" s="20">
        <f>IF(P$12=0,0,P69/P$12)</f>
        <v>0.17500413400949352</v>
      </c>
      <c r="S69" s="14"/>
      <c r="T69" s="22">
        <f>+T17-T19+T66</f>
        <v>31653.169999999984</v>
      </c>
      <c r="U69" s="14"/>
      <c r="V69" s="20">
        <f>IF(T$12=0,0,T69/T$12)</f>
        <v>8.3407562582345149E-2</v>
      </c>
      <c r="W69" s="15"/>
      <c r="X69" s="22">
        <f>+P69-T69</f>
        <v>46027.489999999991</v>
      </c>
      <c r="Y69" s="15"/>
      <c r="Z69" s="20">
        <f>IF(T69=0,0,X69/T69)</f>
        <v>1.454119445224602</v>
      </c>
    </row>
    <row r="70" spans="1:26" x14ac:dyDescent="0.25">
      <c r="A70" s="9"/>
      <c r="B70" s="11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51"/>
      <c r="B71" s="11" t="s">
        <v>127</v>
      </c>
      <c r="C71" s="11"/>
      <c r="D71" s="4">
        <v>13799.37</v>
      </c>
      <c r="E71" s="4"/>
      <c r="F71" s="13">
        <f>IF(D$12=0,0,D71/D$12)</f>
        <v>0.26730014527845036</v>
      </c>
      <c r="G71" s="4"/>
      <c r="H71" s="4">
        <v>6400.95</v>
      </c>
      <c r="I71" s="4"/>
      <c r="J71" s="13">
        <f>IF(H$12=0,0,H71/H$12)</f>
        <v>0.14775969529085872</v>
      </c>
      <c r="K71" s="4"/>
      <c r="L71" s="4">
        <f>+D71-H71</f>
        <v>7398.420000000001</v>
      </c>
      <c r="M71" s="4"/>
      <c r="N71" s="13">
        <f>IF(H71=0,0,L71/H71)</f>
        <v>1.1558315562533688</v>
      </c>
      <c r="O71" s="11"/>
      <c r="P71" s="4">
        <v>91479.69</v>
      </c>
      <c r="Q71" s="4"/>
      <c r="R71" s="13">
        <f>IF(P$12=0,0,P71/P$12)</f>
        <v>0.20609150241394614</v>
      </c>
      <c r="S71" s="4"/>
      <c r="T71" s="4">
        <v>40664.339999999997</v>
      </c>
      <c r="U71" s="4"/>
      <c r="V71" s="13">
        <f>IF(T$12=0,0,T71/T$12)</f>
        <v>0.10715241106719367</v>
      </c>
      <c r="W71" s="4"/>
      <c r="X71" s="4">
        <f>+P71-T71</f>
        <v>50815.350000000006</v>
      </c>
      <c r="Y71" s="4"/>
      <c r="Z71" s="13">
        <f>IF(T71=0,0,X71/T71)</f>
        <v>1.2496292820687613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ht="15.75" thickBot="1" x14ac:dyDescent="0.3">
      <c r="A73" s="11"/>
      <c r="B73" s="29" t="s">
        <v>125</v>
      </c>
      <c r="C73" s="29"/>
      <c r="D73" s="30">
        <f>+D69-D71</f>
        <v>-3220.6299999999956</v>
      </c>
      <c r="E73" s="14"/>
      <c r="F73" s="36">
        <f>IF(D$12=0,0,D73/D$12)</f>
        <v>-6.2385084745762626E-2</v>
      </c>
      <c r="G73" s="14"/>
      <c r="H73" s="30">
        <f>+H69-H71</f>
        <v>5266.3000000000038</v>
      </c>
      <c r="I73" s="14"/>
      <c r="J73" s="36">
        <f>IF(H$12=0,0,H73/H$12)</f>
        <v>0.12156740535549408</v>
      </c>
      <c r="K73" s="15"/>
      <c r="L73" s="30">
        <f>D73-H73</f>
        <v>-8486.93</v>
      </c>
      <c r="M73" s="15"/>
      <c r="N73" s="36">
        <f>IF(H73=0,0,L73/H73)</f>
        <v>-1.611554601902663</v>
      </c>
      <c r="O73" s="28"/>
      <c r="P73" s="30">
        <f>+P69-P71</f>
        <v>-13799.030000000028</v>
      </c>
      <c r="Q73" s="14"/>
      <c r="R73" s="36">
        <f>IF(P$12=0,0,P73/P$12)</f>
        <v>-3.1087368404452628E-2</v>
      </c>
      <c r="S73" s="14"/>
      <c r="T73" s="30">
        <f>+T69-T71</f>
        <v>-9011.1700000000128</v>
      </c>
      <c r="U73" s="14"/>
      <c r="V73" s="36">
        <f>IF(T$12=0,0,T73/T$12)</f>
        <v>-2.3744848484848518E-2</v>
      </c>
      <c r="W73" s="15"/>
      <c r="X73" s="30">
        <f>P73-T73</f>
        <v>-4787.8600000000151</v>
      </c>
      <c r="Y73" s="15"/>
      <c r="Z73" s="36">
        <f>IF(T73=0,0,X73/T73)</f>
        <v>0.53132501106959562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ht="15.75" thickBot="1" x14ac:dyDescent="0.3">
      <c r="A76" s="11"/>
      <c r="B76" s="29" t="s">
        <v>293</v>
      </c>
      <c r="C76" s="29"/>
      <c r="D76" s="35">
        <f>SUM(D73:D75)</f>
        <v>-3220.6299999999956</v>
      </c>
      <c r="E76" s="14"/>
      <c r="F76" s="34">
        <f>IF(D$12=0,0,D76/D$12)</f>
        <v>-6.2385084745762626E-2</v>
      </c>
      <c r="G76" s="14"/>
      <c r="H76" s="35">
        <f>SUM(H73:H75)</f>
        <v>5266.3000000000038</v>
      </c>
      <c r="I76" s="14"/>
      <c r="J76" s="34">
        <f>IF(H$12=0,0,H76/H$12)</f>
        <v>0.12156740535549408</v>
      </c>
      <c r="K76" s="15"/>
      <c r="L76" s="35">
        <f>+D76-H76</f>
        <v>-8486.93</v>
      </c>
      <c r="M76" s="15"/>
      <c r="N76" s="34">
        <f>IF(H76=0,0,L76/H76)</f>
        <v>-1.611554601902663</v>
      </c>
      <c r="O76" s="28"/>
      <c r="P76" s="35">
        <f>SUM(P73:P75)</f>
        <v>-13799.030000000028</v>
      </c>
      <c r="Q76" s="14"/>
      <c r="R76" s="34">
        <f>IF(P$12=0,0,P76/P$12)</f>
        <v>-3.1087368404452628E-2</v>
      </c>
      <c r="S76" s="14"/>
      <c r="T76" s="35">
        <f>SUM(T73:T75)</f>
        <v>-9011.1700000000128</v>
      </c>
      <c r="U76" s="14"/>
      <c r="V76" s="34">
        <f>IF(T$12=0,0,T76/T$12)</f>
        <v>-2.3744848484848518E-2</v>
      </c>
      <c r="W76" s="15"/>
      <c r="X76" s="35">
        <f>+P76-T76</f>
        <v>-4787.8600000000151</v>
      </c>
      <c r="Y76" s="15"/>
      <c r="Z76" s="34">
        <f>IF(T76=0,0,X76/T76)</f>
        <v>0.53132501106959562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4">
        <v>44295.963214930554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8" t="s">
        <v>56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2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str">
        <f>CONCATENATE("Period ",RIGHT(202109,2),", ",2021)</f>
        <v>Period 09,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44282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str">
        <f>CONCATENATE("Department ","501", " - ", "ID Card Services")</f>
        <v>Department 501 - ID Card Services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51625</v>
      </c>
      <c r="E12" s="4"/>
      <c r="F12" s="13"/>
      <c r="G12" s="4"/>
      <c r="H12" s="4">
        <f>SUM(OSRRefH13x_0)</f>
        <v>43320</v>
      </c>
      <c r="I12" s="4"/>
      <c r="J12" s="13"/>
      <c r="K12" s="4"/>
      <c r="L12" s="4">
        <f t="shared" ref="L12:L13" si="0">+D12-H12</f>
        <v>8305</v>
      </c>
      <c r="M12" s="4"/>
      <c r="N12" s="13">
        <f t="shared" ref="N12:N13" si="1">IF(H12=0,0,L12/H12)</f>
        <v>0.19171283471837489</v>
      </c>
      <c r="O12" s="11"/>
      <c r="P12" s="4">
        <f>SUM(OSRRefP13x_0)</f>
        <v>443879</v>
      </c>
      <c r="Q12" s="4"/>
      <c r="R12" s="13"/>
      <c r="S12" s="4"/>
      <c r="T12" s="4">
        <f>SUM(OSRRefT13x_0)</f>
        <v>379500</v>
      </c>
      <c r="U12" s="4"/>
      <c r="V12" s="13"/>
      <c r="W12" s="4"/>
      <c r="X12" s="4">
        <f t="shared" ref="X12:X13" si="2">+P12-T12</f>
        <v>64379</v>
      </c>
      <c r="Y12" s="4"/>
      <c r="Z12" s="13">
        <f t="shared" ref="Z12:Z13" si="3">IF(T12=0,0,X12/T12)</f>
        <v>0.16964163372859026</v>
      </c>
    </row>
    <row r="13" spans="1:26" s="23" customFormat="1" hidden="1" outlineLevel="1" x14ac:dyDescent="0.25">
      <c r="A13" s="44"/>
      <c r="B13" s="10" t="str">
        <f>CONCATENATE("          ", "4100", " - ", "NON-TAXABLE SALES")</f>
        <v xml:space="preserve">          4100 - NON-TAXABLE SALES</v>
      </c>
      <c r="C13" s="10"/>
      <c r="D13" s="2">
        <f>--51625</f>
        <v>51625</v>
      </c>
      <c r="E13" s="2"/>
      <c r="F13" s="19"/>
      <c r="G13" s="2"/>
      <c r="H13" s="2">
        <f>--43320</f>
        <v>43320</v>
      </c>
      <c r="I13" s="2"/>
      <c r="J13" s="19"/>
      <c r="K13" s="2"/>
      <c r="L13" s="2">
        <f t="shared" si="0"/>
        <v>8305</v>
      </c>
      <c r="M13" s="2"/>
      <c r="N13" s="19">
        <f t="shared" si="1"/>
        <v>0.19171283471837489</v>
      </c>
      <c r="O13" s="10"/>
      <c r="P13" s="2">
        <f>--443879</f>
        <v>443879</v>
      </c>
      <c r="Q13" s="2"/>
      <c r="R13" s="19"/>
      <c r="S13" s="2"/>
      <c r="T13" s="2">
        <f>--379500</f>
        <v>379500</v>
      </c>
      <c r="U13" s="2"/>
      <c r="V13" s="19"/>
      <c r="W13" s="2"/>
      <c r="X13" s="2">
        <f t="shared" si="2"/>
        <v>64379</v>
      </c>
      <c r="Y13" s="2"/>
      <c r="Z13" s="19">
        <f t="shared" si="3"/>
        <v>0.16964163372859026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x14ac:dyDescent="0.25">
      <c r="A15" s="11"/>
      <c r="B15" s="28" t="s">
        <v>256</v>
      </c>
      <c r="C15" s="11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1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9" t="s">
        <v>107</v>
      </c>
      <c r="C17" s="29"/>
      <c r="D17" s="22">
        <f>D12-D15</f>
        <v>51625</v>
      </c>
      <c r="E17" s="14"/>
      <c r="F17" s="20">
        <f>IF(D$12=0,0,D17/D$12)</f>
        <v>1</v>
      </c>
      <c r="G17" s="14"/>
      <c r="H17" s="22">
        <f>H12-H15</f>
        <v>43320</v>
      </c>
      <c r="I17" s="14"/>
      <c r="J17" s="20">
        <f>IF(H$12=0,0,H17/H$12)</f>
        <v>1</v>
      </c>
      <c r="K17" s="15"/>
      <c r="L17" s="22">
        <f>+D17-H17</f>
        <v>8305</v>
      </c>
      <c r="M17" s="15"/>
      <c r="N17" s="20">
        <f>IF(H17=0,0,L17/H17)</f>
        <v>0.19171283471837489</v>
      </c>
      <c r="O17" s="28"/>
      <c r="P17" s="22">
        <f>P12-P15</f>
        <v>443879</v>
      </c>
      <c r="Q17" s="14"/>
      <c r="R17" s="20">
        <f>IF(P$12=0,0,P17/P$12)</f>
        <v>1</v>
      </c>
      <c r="S17" s="14"/>
      <c r="T17" s="22">
        <f>T12-T15</f>
        <v>379500</v>
      </c>
      <c r="U17" s="14"/>
      <c r="V17" s="20">
        <f>IF(T$12=0,0,T17/T$12)</f>
        <v>1</v>
      </c>
      <c r="W17" s="15"/>
      <c r="X17" s="22">
        <f>+P17-T17</f>
        <v>64379</v>
      </c>
      <c r="Y17" s="15"/>
      <c r="Z17" s="20">
        <f>IF(T17=0,0,X17/T17)</f>
        <v>0.16964163372859026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8" t="s">
        <v>294</v>
      </c>
      <c r="C19" s="11"/>
      <c r="D19" s="21">
        <f>SUM(OSRRefD22x_0)</f>
        <v>41256.259999999995</v>
      </c>
      <c r="E19" s="21"/>
      <c r="F19" s="31">
        <f t="shared" ref="F19:F29" si="4">IF(D$12=0,0,D19/D$12)</f>
        <v>0.79915273607748172</v>
      </c>
      <c r="G19" s="21"/>
      <c r="H19" s="21">
        <f>SUM(OSRRefH22x_0)</f>
        <v>32644.089999999997</v>
      </c>
      <c r="I19" s="21"/>
      <c r="J19" s="31">
        <f t="shared" ref="J19:J29" si="5">IF(H$12=0,0,H19/H$12)</f>
        <v>0.75355701754385962</v>
      </c>
      <c r="K19" s="4"/>
      <c r="L19" s="21">
        <f t="shared" ref="L19:L29" si="6">+D19-H19</f>
        <v>8612.1699999999983</v>
      </c>
      <c r="M19" s="4"/>
      <c r="N19" s="31">
        <f t="shared" ref="N19:N29" si="7">IF(H19=0,0,L19/H19)</f>
        <v>0.26382018919810596</v>
      </c>
      <c r="O19" s="11"/>
      <c r="P19" s="21">
        <f>SUM(OSRRefP22x_0)</f>
        <v>368137.02</v>
      </c>
      <c r="Q19" s="21"/>
      <c r="R19" s="31">
        <f t="shared" ref="R19:R29" si="8">IF(P$12=0,0,P19/P$12)</f>
        <v>0.82936345265263733</v>
      </c>
      <c r="S19" s="21"/>
      <c r="T19" s="21">
        <f>SUM(OSRRefT22x_0)</f>
        <v>368183.08</v>
      </c>
      <c r="U19" s="21"/>
      <c r="V19" s="31">
        <f t="shared" ref="V19:V29" si="9">IF(T$12=0,0,T19/T$12)</f>
        <v>0.97017939393939401</v>
      </c>
      <c r="W19" s="4"/>
      <c r="X19" s="21">
        <f t="shared" ref="X19:X29" si="10">+P19-T19</f>
        <v>-46.059999999997672</v>
      </c>
      <c r="Y19" s="4"/>
      <c r="Z19" s="31">
        <f t="shared" ref="Z19:Z29" si="11">IF(T19=0,0,X19/T19)</f>
        <v>-1.2510080582735542E-4</v>
      </c>
    </row>
    <row r="20" spans="1:26" s="26" customFormat="1" outlineLevel="1" collapsed="1" x14ac:dyDescent="0.25">
      <c r="A20" s="27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4742.75</v>
      </c>
      <c r="E20" s="1"/>
      <c r="F20" s="5">
        <f t="shared" si="4"/>
        <v>9.1869249394673128E-2</v>
      </c>
      <c r="G20" s="1"/>
      <c r="H20" s="1">
        <f>SUM(OSRRefH22_0x_0)</f>
        <v>5084.63</v>
      </c>
      <c r="I20" s="1"/>
      <c r="J20" s="5">
        <f t="shared" si="5"/>
        <v>0.11737373037857803</v>
      </c>
      <c r="K20" s="1"/>
      <c r="L20" s="1">
        <f t="shared" si="6"/>
        <v>-341.88000000000011</v>
      </c>
      <c r="M20" s="1"/>
      <c r="N20" s="5">
        <f t="shared" si="7"/>
        <v>-6.7237930783557526E-2</v>
      </c>
      <c r="O20" s="12"/>
      <c r="P20" s="1">
        <f>SUM(OSRRefP22_0x_0)</f>
        <v>38502.97</v>
      </c>
      <c r="Q20" s="1"/>
      <c r="R20" s="5">
        <f t="shared" si="8"/>
        <v>8.6742040060466929E-2</v>
      </c>
      <c r="S20" s="1"/>
      <c r="T20" s="1">
        <f>SUM(OSRRefT22_0x_0)</f>
        <v>40548.19</v>
      </c>
      <c r="U20" s="1"/>
      <c r="V20" s="5">
        <f t="shared" si="9"/>
        <v>0.10684635046113308</v>
      </c>
      <c r="W20" s="1"/>
      <c r="X20" s="1">
        <f t="shared" si="10"/>
        <v>-2045.2200000000012</v>
      </c>
      <c r="Y20" s="1"/>
      <c r="Z20" s="5">
        <f t="shared" si="11"/>
        <v>-5.0439242787409279E-2</v>
      </c>
    </row>
    <row r="21" spans="1:26" s="23" customFormat="1" hidden="1" outlineLevel="2" x14ac:dyDescent="0.25">
      <c r="A21" s="25"/>
      <c r="B21" s="10" t="str">
        <f>CONCATENATE("          ", "6111", " - ", "F.I.C.A.")</f>
        <v xml:space="preserve">          6111 - F.I.C.A.</v>
      </c>
      <c r="C21" s="10"/>
      <c r="D21" s="6">
        <v>964.58</v>
      </c>
      <c r="E21" s="2"/>
      <c r="F21" s="7">
        <f t="shared" si="4"/>
        <v>1.8684358353510896E-2</v>
      </c>
      <c r="G21" s="2"/>
      <c r="H21" s="6">
        <v>1040.95</v>
      </c>
      <c r="I21" s="2"/>
      <c r="J21" s="7">
        <f t="shared" si="5"/>
        <v>2.402931671283472E-2</v>
      </c>
      <c r="K21" s="2"/>
      <c r="L21" s="6">
        <f t="shared" si="6"/>
        <v>-76.37</v>
      </c>
      <c r="M21" s="2"/>
      <c r="N21" s="7">
        <f t="shared" si="7"/>
        <v>-7.3365675584802351E-2</v>
      </c>
      <c r="O21" s="10"/>
      <c r="P21" s="6">
        <v>9081.65</v>
      </c>
      <c r="Q21" s="2"/>
      <c r="R21" s="7">
        <f t="shared" si="8"/>
        <v>2.0459742407277659E-2</v>
      </c>
      <c r="S21" s="2"/>
      <c r="T21" s="6">
        <v>9760.48</v>
      </c>
      <c r="U21" s="2"/>
      <c r="V21" s="7">
        <f t="shared" si="9"/>
        <v>2.571931488801054E-2</v>
      </c>
      <c r="W21" s="2"/>
      <c r="X21" s="6">
        <f t="shared" si="10"/>
        <v>-678.82999999999993</v>
      </c>
      <c r="Y21" s="2"/>
      <c r="Z21" s="7">
        <f t="shared" si="11"/>
        <v>-6.9548833663918161E-2</v>
      </c>
    </row>
    <row r="22" spans="1:26" s="23" customFormat="1" hidden="1" outlineLevel="2" x14ac:dyDescent="0.25">
      <c r="A22" s="25"/>
      <c r="B22" s="10" t="str">
        <f>CONCATENATE("          ", "6112", " - ", "COMPENSATION INSURANCE")</f>
        <v xml:space="preserve">          6112 - COMPENSATION INSURANCE</v>
      </c>
      <c r="C22" s="10"/>
      <c r="D22" s="6">
        <v>34.200000000000003</v>
      </c>
      <c r="E22" s="2"/>
      <c r="F22" s="7">
        <f t="shared" si="4"/>
        <v>6.6246973365617439E-4</v>
      </c>
      <c r="G22" s="2"/>
      <c r="H22" s="6">
        <v>75.89</v>
      </c>
      <c r="I22" s="2"/>
      <c r="J22" s="7">
        <f t="shared" si="5"/>
        <v>1.7518467220683288E-3</v>
      </c>
      <c r="K22" s="2"/>
      <c r="L22" s="6">
        <f t="shared" si="6"/>
        <v>-41.69</v>
      </c>
      <c r="M22" s="2"/>
      <c r="N22" s="7">
        <f t="shared" si="7"/>
        <v>-0.54934774015021737</v>
      </c>
      <c r="O22" s="10"/>
      <c r="P22" s="6">
        <v>768.08</v>
      </c>
      <c r="Q22" s="2"/>
      <c r="R22" s="7">
        <f t="shared" si="8"/>
        <v>1.730381477835176E-3</v>
      </c>
      <c r="S22" s="2"/>
      <c r="T22" s="6">
        <v>470.84</v>
      </c>
      <c r="U22" s="2"/>
      <c r="V22" s="7">
        <f t="shared" si="9"/>
        <v>1.2406851119894599E-3</v>
      </c>
      <c r="W22" s="2"/>
      <c r="X22" s="6">
        <f t="shared" si="10"/>
        <v>297.24000000000007</v>
      </c>
      <c r="Y22" s="2"/>
      <c r="Z22" s="7">
        <f t="shared" si="11"/>
        <v>0.6312972559680573</v>
      </c>
    </row>
    <row r="23" spans="1:26" s="23" customFormat="1" hidden="1" outlineLevel="2" x14ac:dyDescent="0.25">
      <c r="A23" s="25"/>
      <c r="B23" s="10" t="str">
        <f>CONCATENATE("          ", "6113", " - ", "GROUP INSURANCE")</f>
        <v xml:space="preserve">          6113 - GROUP INSURANCE</v>
      </c>
      <c r="C23" s="10"/>
      <c r="D23" s="6">
        <v>1207.95</v>
      </c>
      <c r="E23" s="2"/>
      <c r="F23" s="7">
        <f t="shared" si="4"/>
        <v>2.3398547215496369E-2</v>
      </c>
      <c r="G23" s="2"/>
      <c r="H23" s="6">
        <v>1298.72</v>
      </c>
      <c r="I23" s="2"/>
      <c r="J23" s="7">
        <f t="shared" si="5"/>
        <v>2.9979686057248385E-2</v>
      </c>
      <c r="K23" s="2"/>
      <c r="L23" s="6">
        <f t="shared" si="6"/>
        <v>-90.769999999999982</v>
      </c>
      <c r="M23" s="2"/>
      <c r="N23" s="7">
        <f t="shared" si="7"/>
        <v>-6.9891893556732768E-2</v>
      </c>
      <c r="O23" s="10"/>
      <c r="P23" s="6">
        <v>11026.85</v>
      </c>
      <c r="Q23" s="2"/>
      <c r="R23" s="7">
        <f t="shared" si="8"/>
        <v>2.484201775709146E-2</v>
      </c>
      <c r="S23" s="2"/>
      <c r="T23" s="6">
        <v>11356.02</v>
      </c>
      <c r="U23" s="2"/>
      <c r="V23" s="7">
        <f t="shared" si="9"/>
        <v>2.9923636363636364E-2</v>
      </c>
      <c r="W23" s="2"/>
      <c r="X23" s="6">
        <f t="shared" si="10"/>
        <v>-329.17000000000007</v>
      </c>
      <c r="Y23" s="2"/>
      <c r="Z23" s="7">
        <f t="shared" si="11"/>
        <v>-2.8986387836583596E-2</v>
      </c>
    </row>
    <row r="24" spans="1:26" s="23" customFormat="1" hidden="1" outlineLevel="2" x14ac:dyDescent="0.25">
      <c r="A24" s="25"/>
      <c r="B24" s="10" t="str">
        <f>CONCATENATE("          ", "6114", " - ", "STATE UNEMPLOYMENT INSURANCE")</f>
        <v xml:space="preserve">          6114 - STATE UNEMPLOYMENT INSURANCE</v>
      </c>
      <c r="C24" s="10"/>
      <c r="D24" s="6">
        <v>26.94</v>
      </c>
      <c r="E24" s="2"/>
      <c r="F24" s="7">
        <f t="shared" si="4"/>
        <v>5.2184019370460051E-4</v>
      </c>
      <c r="G24" s="2"/>
      <c r="H24" s="6">
        <v>45.41</v>
      </c>
      <c r="I24" s="2"/>
      <c r="J24" s="7">
        <f t="shared" si="5"/>
        <v>1.0482456140350877E-3</v>
      </c>
      <c r="K24" s="2"/>
      <c r="L24" s="6">
        <f t="shared" si="6"/>
        <v>-18.469999999999995</v>
      </c>
      <c r="M24" s="2"/>
      <c r="N24" s="7">
        <f t="shared" si="7"/>
        <v>-0.40673860383175503</v>
      </c>
      <c r="O24" s="10"/>
      <c r="P24" s="6">
        <v>346.98</v>
      </c>
      <c r="Q24" s="2"/>
      <c r="R24" s="7">
        <f t="shared" si="8"/>
        <v>7.8169951721077146E-4</v>
      </c>
      <c r="S24" s="2"/>
      <c r="T24" s="6">
        <v>416.75</v>
      </c>
      <c r="U24" s="2"/>
      <c r="V24" s="7">
        <f t="shared" si="9"/>
        <v>1.0981554677206851E-3</v>
      </c>
      <c r="W24" s="2"/>
      <c r="X24" s="6">
        <f t="shared" si="10"/>
        <v>-69.769999999999982</v>
      </c>
      <c r="Y24" s="2"/>
      <c r="Z24" s="7">
        <f t="shared" si="11"/>
        <v>-0.16741451709658065</v>
      </c>
    </row>
    <row r="25" spans="1:26" s="23" customFormat="1" hidden="1" outlineLevel="2" x14ac:dyDescent="0.25">
      <c r="A25" s="25"/>
      <c r="B25" s="10" t="str">
        <f>CONCATENATE("          ", "6115", " - ", "P.E.R.S.")</f>
        <v xml:space="preserve">          6115 - P.E.R.S.</v>
      </c>
      <c r="C25" s="10"/>
      <c r="D25" s="6">
        <v>640.35</v>
      </c>
      <c r="E25" s="2"/>
      <c r="F25" s="7">
        <f t="shared" si="4"/>
        <v>1.2403874092009685E-2</v>
      </c>
      <c r="G25" s="2"/>
      <c r="H25" s="6">
        <v>452.74</v>
      </c>
      <c r="I25" s="2"/>
      <c r="J25" s="7">
        <f t="shared" si="5"/>
        <v>1.0451061865189289E-2</v>
      </c>
      <c r="K25" s="2"/>
      <c r="L25" s="6">
        <f t="shared" si="6"/>
        <v>187.61</v>
      </c>
      <c r="M25" s="2"/>
      <c r="N25" s="7">
        <f t="shared" si="7"/>
        <v>0.41438794893316255</v>
      </c>
      <c r="O25" s="10"/>
      <c r="P25" s="6">
        <v>7060.93</v>
      </c>
      <c r="Q25" s="2"/>
      <c r="R25" s="7">
        <f t="shared" si="8"/>
        <v>1.5907330601357579E-2</v>
      </c>
      <c r="S25" s="2"/>
      <c r="T25" s="6">
        <v>6658.66</v>
      </c>
      <c r="U25" s="2"/>
      <c r="V25" s="7">
        <f t="shared" si="9"/>
        <v>1.7545876152832676E-2</v>
      </c>
      <c r="W25" s="2"/>
      <c r="X25" s="6">
        <f t="shared" si="10"/>
        <v>402.27000000000044</v>
      </c>
      <c r="Y25" s="2"/>
      <c r="Z25" s="7">
        <f t="shared" si="11"/>
        <v>6.0413056080352572E-2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>
        <v>116.92</v>
      </c>
      <c r="E26" s="2"/>
      <c r="F26" s="7">
        <f t="shared" si="4"/>
        <v>2.2647941888619856E-3</v>
      </c>
      <c r="G26" s="2"/>
      <c r="H26" s="6"/>
      <c r="I26" s="2"/>
      <c r="J26" s="7">
        <f t="shared" si="5"/>
        <v>0</v>
      </c>
      <c r="K26" s="2"/>
      <c r="L26" s="6">
        <f t="shared" si="6"/>
        <v>116.92</v>
      </c>
      <c r="M26" s="2"/>
      <c r="N26" s="7">
        <f t="shared" si="7"/>
        <v>0</v>
      </c>
      <c r="O26" s="10"/>
      <c r="P26" s="6">
        <v>814.78</v>
      </c>
      <c r="Q26" s="2"/>
      <c r="R26" s="7">
        <f t="shared" si="8"/>
        <v>1.8355903297970842E-3</v>
      </c>
      <c r="S26" s="2"/>
      <c r="T26" s="6"/>
      <c r="U26" s="2"/>
      <c r="V26" s="7">
        <f t="shared" si="9"/>
        <v>0</v>
      </c>
      <c r="W26" s="2"/>
      <c r="X26" s="6">
        <f t="shared" si="10"/>
        <v>814.78</v>
      </c>
      <c r="Y26" s="2"/>
      <c r="Z26" s="7">
        <f t="shared" si="11"/>
        <v>0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520.02</v>
      </c>
      <c r="E27" s="2"/>
      <c r="F27" s="7">
        <f t="shared" si="4"/>
        <v>1.0073026634382566E-2</v>
      </c>
      <c r="G27" s="2"/>
      <c r="H27" s="6">
        <v>1087.96</v>
      </c>
      <c r="I27" s="2"/>
      <c r="J27" s="7">
        <f t="shared" si="5"/>
        <v>2.5114496768236381E-2</v>
      </c>
      <c r="K27" s="2"/>
      <c r="L27" s="6">
        <f t="shared" si="6"/>
        <v>-567.94000000000005</v>
      </c>
      <c r="M27" s="2"/>
      <c r="N27" s="7">
        <f t="shared" si="7"/>
        <v>-0.5220228684878121</v>
      </c>
      <c r="O27" s="10"/>
      <c r="P27" s="6">
        <v>4940.1899999999996</v>
      </c>
      <c r="Q27" s="2"/>
      <c r="R27" s="7">
        <f t="shared" si="8"/>
        <v>1.112958711720987E-2</v>
      </c>
      <c r="S27" s="2"/>
      <c r="T27" s="6">
        <v>6736.74</v>
      </c>
      <c r="U27" s="2"/>
      <c r="V27" s="7">
        <f t="shared" si="9"/>
        <v>1.7751620553359684E-2</v>
      </c>
      <c r="W27" s="2"/>
      <c r="X27" s="6">
        <f t="shared" si="10"/>
        <v>-1796.5500000000002</v>
      </c>
      <c r="Y27" s="2"/>
      <c r="Z27" s="7">
        <f t="shared" si="11"/>
        <v>-0.26667943248514864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299.26</v>
      </c>
      <c r="E28" s="2"/>
      <c r="F28" s="7">
        <f t="shared" si="4"/>
        <v>5.7968038740920094E-3</v>
      </c>
      <c r="G28" s="2"/>
      <c r="H28" s="6">
        <v>995.93</v>
      </c>
      <c r="I28" s="2"/>
      <c r="J28" s="7">
        <f t="shared" si="5"/>
        <v>2.2990073868882733E-2</v>
      </c>
      <c r="K28" s="2"/>
      <c r="L28" s="6">
        <f t="shared" si="6"/>
        <v>-696.67</v>
      </c>
      <c r="M28" s="2"/>
      <c r="N28" s="7">
        <f t="shared" si="7"/>
        <v>-0.69951703432972201</v>
      </c>
      <c r="O28" s="10"/>
      <c r="P28" s="6">
        <v>2842.98</v>
      </c>
      <c r="Q28" s="2"/>
      <c r="R28" s="7">
        <f t="shared" si="8"/>
        <v>6.4048535749607442E-3</v>
      </c>
      <c r="S28" s="2"/>
      <c r="T28" s="6">
        <v>3838.79</v>
      </c>
      <c r="U28" s="2"/>
      <c r="V28" s="7">
        <f t="shared" si="9"/>
        <v>1.0115388669301712E-2</v>
      </c>
      <c r="W28" s="2"/>
      <c r="X28" s="6">
        <f t="shared" si="10"/>
        <v>-995.81</v>
      </c>
      <c r="Y28" s="2"/>
      <c r="Z28" s="7">
        <f t="shared" si="11"/>
        <v>-0.25940726114218282</v>
      </c>
    </row>
    <row r="29" spans="1:26" s="23" customFormat="1" hidden="1" outlineLevel="2" x14ac:dyDescent="0.25">
      <c r="A29" s="25"/>
      <c r="B29" s="10" t="str">
        <f>CONCATENATE("          ", "6156", " - ", "EMPLOYEE MEALS")</f>
        <v xml:space="preserve">          6156 - EMPLOYEE MEALS</v>
      </c>
      <c r="C29" s="10"/>
      <c r="D29" s="6">
        <v>932.53</v>
      </c>
      <c r="E29" s="2"/>
      <c r="F29" s="7">
        <f t="shared" si="4"/>
        <v>1.8063535108958837E-2</v>
      </c>
      <c r="G29" s="2"/>
      <c r="H29" s="6">
        <v>87.03</v>
      </c>
      <c r="I29" s="2"/>
      <c r="J29" s="7">
        <f t="shared" si="5"/>
        <v>2.0090027700831025E-3</v>
      </c>
      <c r="K29" s="2"/>
      <c r="L29" s="6">
        <f t="shared" si="6"/>
        <v>845.5</v>
      </c>
      <c r="M29" s="2"/>
      <c r="N29" s="7">
        <f t="shared" si="7"/>
        <v>9.7150407905320009</v>
      </c>
      <c r="O29" s="10"/>
      <c r="P29" s="6">
        <v>1620.53</v>
      </c>
      <c r="Q29" s="2"/>
      <c r="R29" s="7">
        <f t="shared" si="8"/>
        <v>3.6508372777265875E-3</v>
      </c>
      <c r="S29" s="2"/>
      <c r="T29" s="6">
        <v>1309.9100000000001</v>
      </c>
      <c r="U29" s="2"/>
      <c r="V29" s="7">
        <f t="shared" si="9"/>
        <v>3.4516732542819503E-3</v>
      </c>
      <c r="W29" s="2"/>
      <c r="X29" s="6">
        <f t="shared" si="10"/>
        <v>310.61999999999989</v>
      </c>
      <c r="Y29" s="2"/>
      <c r="Z29" s="7">
        <f t="shared" si="11"/>
        <v>0.23713079524547478</v>
      </c>
    </row>
    <row r="30" spans="1:26" s="26" customFormat="1" outlineLevel="1" collapsed="1" x14ac:dyDescent="0.25">
      <c r="A30" s="27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12967.17</v>
      </c>
      <c r="E30" s="1"/>
      <c r="F30" s="5">
        <f t="shared" ref="F30:F35" si="12">IF(D$12=0,0,D30/D$12)</f>
        <v>0.2511800484261501</v>
      </c>
      <c r="G30" s="1"/>
      <c r="H30" s="1">
        <f>SUM(OSRRefH22_1x_0)</f>
        <v>21138.02</v>
      </c>
      <c r="I30" s="1"/>
      <c r="J30" s="5">
        <f t="shared" ref="J30:J35" si="13">IF(H$12=0,0,H30/H$12)</f>
        <v>0.48795060018467223</v>
      </c>
      <c r="K30" s="1"/>
      <c r="L30" s="1">
        <f t="shared" ref="L30:L35" si="14">+D30-H30</f>
        <v>-8170.85</v>
      </c>
      <c r="M30" s="1"/>
      <c r="N30" s="5">
        <f t="shared" ref="N30:N35" si="15">IF(H30=0,0,L30/H30)</f>
        <v>-0.38654755743442387</v>
      </c>
      <c r="O30" s="12"/>
      <c r="P30" s="1">
        <f>SUM(OSRRefP22_1x_0)</f>
        <v>128147.72</v>
      </c>
      <c r="Q30" s="1"/>
      <c r="R30" s="5">
        <f t="shared" ref="R30:R35" si="16">IF(P$12=0,0,P30/P$12)</f>
        <v>0.2886996681528074</v>
      </c>
      <c r="S30" s="1"/>
      <c r="T30" s="1">
        <f>SUM(OSRRefT22_1x_0)</f>
        <v>155834.47999999998</v>
      </c>
      <c r="U30" s="1"/>
      <c r="V30" s="5">
        <f t="shared" ref="V30:V35" si="17">IF(T$12=0,0,T30/T$12)</f>
        <v>0.41063104084321472</v>
      </c>
      <c r="W30" s="1"/>
      <c r="X30" s="1">
        <f t="shared" ref="X30:X35" si="18">+P30-T30</f>
        <v>-27686.75999999998</v>
      </c>
      <c r="Y30" s="1"/>
      <c r="Z30" s="5">
        <f t="shared" ref="Z30:Z35" si="19">IF(T30=0,0,X30/T30)</f>
        <v>-0.17766774079780023</v>
      </c>
    </row>
    <row r="31" spans="1:26" s="23" customFormat="1" hidden="1" outlineLevel="2" x14ac:dyDescent="0.25">
      <c r="A31" s="25"/>
      <c r="B31" s="10" t="str">
        <f>CONCATENATE("          ", "6001", " - ", "ADMINISTRATIVE SALARIES")</f>
        <v xml:space="preserve">          6001 - ADMINISTRATIVE SALARIES</v>
      </c>
      <c r="C31" s="10"/>
      <c r="D31" s="6">
        <v>4204.72</v>
      </c>
      <c r="E31" s="2"/>
      <c r="F31" s="7">
        <f t="shared" si="12"/>
        <v>8.14473607748184E-2</v>
      </c>
      <c r="G31" s="2"/>
      <c r="H31" s="6"/>
      <c r="I31" s="2"/>
      <c r="J31" s="7">
        <f t="shared" si="13"/>
        <v>0</v>
      </c>
      <c r="K31" s="2"/>
      <c r="L31" s="6">
        <f t="shared" si="14"/>
        <v>4204.72</v>
      </c>
      <c r="M31" s="2"/>
      <c r="N31" s="7">
        <f t="shared" si="15"/>
        <v>0</v>
      </c>
      <c r="O31" s="10"/>
      <c r="P31" s="6">
        <v>39323.050000000003</v>
      </c>
      <c r="Q31" s="2"/>
      <c r="R31" s="7">
        <f t="shared" si="16"/>
        <v>8.8589570581171909E-2</v>
      </c>
      <c r="S31" s="2"/>
      <c r="T31" s="6"/>
      <c r="U31" s="2"/>
      <c r="V31" s="7">
        <f t="shared" si="17"/>
        <v>0</v>
      </c>
      <c r="W31" s="2"/>
      <c r="X31" s="6">
        <f t="shared" si="18"/>
        <v>39323.050000000003</v>
      </c>
      <c r="Y31" s="2"/>
      <c r="Z31" s="7">
        <f t="shared" si="19"/>
        <v>0</v>
      </c>
    </row>
    <row r="32" spans="1:26" s="23" customFormat="1" hidden="1" outlineLevel="2" x14ac:dyDescent="0.25">
      <c r="A32" s="25"/>
      <c r="B32" s="10" t="str">
        <f>CONCATENATE("          ", "6002", " - ", "STAFF SALARIES")</f>
        <v xml:space="preserve">          6002 - STAFF SALARIES</v>
      </c>
      <c r="C32" s="10"/>
      <c r="D32" s="6">
        <v>2282.3000000000002</v>
      </c>
      <c r="E32" s="2"/>
      <c r="F32" s="7">
        <f t="shared" si="12"/>
        <v>4.4209200968523009E-2</v>
      </c>
      <c r="G32" s="2"/>
      <c r="H32" s="6">
        <v>5795.28</v>
      </c>
      <c r="I32" s="2"/>
      <c r="J32" s="7">
        <f t="shared" si="13"/>
        <v>0.13377839335180056</v>
      </c>
      <c r="K32" s="2"/>
      <c r="L32" s="6">
        <f t="shared" si="14"/>
        <v>-3512.9799999999996</v>
      </c>
      <c r="M32" s="2"/>
      <c r="N32" s="7">
        <f t="shared" si="15"/>
        <v>-0.60617951160254546</v>
      </c>
      <c r="O32" s="10"/>
      <c r="P32" s="6">
        <v>21111.69</v>
      </c>
      <c r="Q32" s="2"/>
      <c r="R32" s="7">
        <f t="shared" si="16"/>
        <v>4.7561813016610381E-2</v>
      </c>
      <c r="S32" s="2"/>
      <c r="T32" s="6">
        <v>52981.95</v>
      </c>
      <c r="U32" s="2"/>
      <c r="V32" s="7">
        <f t="shared" si="17"/>
        <v>0.13960988142292488</v>
      </c>
      <c r="W32" s="2"/>
      <c r="X32" s="6">
        <f t="shared" si="18"/>
        <v>-31870.26</v>
      </c>
      <c r="Y32" s="2"/>
      <c r="Z32" s="7">
        <f t="shared" si="19"/>
        <v>-0.60153052124355555</v>
      </c>
    </row>
    <row r="33" spans="1:26" s="23" customFormat="1" hidden="1" outlineLevel="2" x14ac:dyDescent="0.25">
      <c r="A33" s="25"/>
      <c r="B33" s="10" t="str">
        <f>CONCATENATE("          ", "6005", " - ", "TEMPORARY WAGES-HOURLY")</f>
        <v xml:space="preserve">          6005 - TEMPORARY WAGES-HOURLY</v>
      </c>
      <c r="C33" s="10"/>
      <c r="D33" s="6">
        <v>6197.15</v>
      </c>
      <c r="E33" s="2"/>
      <c r="F33" s="7">
        <f t="shared" si="12"/>
        <v>0.12004164648910411</v>
      </c>
      <c r="G33" s="2"/>
      <c r="H33" s="6">
        <v>7713.33</v>
      </c>
      <c r="I33" s="2"/>
      <c r="J33" s="7">
        <f t="shared" si="13"/>
        <v>0.17805470914127425</v>
      </c>
      <c r="K33" s="2"/>
      <c r="L33" s="6">
        <f t="shared" si="14"/>
        <v>-1516.1800000000003</v>
      </c>
      <c r="M33" s="2"/>
      <c r="N33" s="7">
        <f t="shared" si="15"/>
        <v>-0.19656620422048587</v>
      </c>
      <c r="O33" s="10"/>
      <c r="P33" s="6">
        <v>57971.32</v>
      </c>
      <c r="Q33" s="2"/>
      <c r="R33" s="7">
        <f t="shared" si="16"/>
        <v>0.13060162792112265</v>
      </c>
      <c r="S33" s="2"/>
      <c r="T33" s="6">
        <v>66154.38</v>
      </c>
      <c r="U33" s="2"/>
      <c r="V33" s="7">
        <f t="shared" si="17"/>
        <v>0.17431984189723321</v>
      </c>
      <c r="W33" s="2"/>
      <c r="X33" s="6">
        <f t="shared" si="18"/>
        <v>-8183.0600000000049</v>
      </c>
      <c r="Y33" s="2"/>
      <c r="Z33" s="7">
        <f t="shared" si="19"/>
        <v>-0.12369642040330518</v>
      </c>
    </row>
    <row r="34" spans="1:26" s="23" customFormat="1" hidden="1" outlineLevel="2" x14ac:dyDescent="0.25">
      <c r="A34" s="25"/>
      <c r="B34" s="10" t="str">
        <f>CONCATENATE("          ", "6007", " - ", "STUDENT HOURLY")</f>
        <v xml:space="preserve">          6007 - STUDENT HOURLY</v>
      </c>
      <c r="C34" s="10"/>
      <c r="D34" s="6">
        <v>283</v>
      </c>
      <c r="E34" s="2"/>
      <c r="F34" s="7">
        <f t="shared" si="12"/>
        <v>5.4818401937046001E-3</v>
      </c>
      <c r="G34" s="2"/>
      <c r="H34" s="6">
        <v>6582.91</v>
      </c>
      <c r="I34" s="2"/>
      <c r="J34" s="7">
        <f t="shared" si="13"/>
        <v>0.1519600646352724</v>
      </c>
      <c r="K34" s="2"/>
      <c r="L34" s="6">
        <f t="shared" si="14"/>
        <v>-6299.91</v>
      </c>
      <c r="M34" s="2"/>
      <c r="N34" s="7">
        <f t="shared" si="15"/>
        <v>-0.95700989380076595</v>
      </c>
      <c r="O34" s="10"/>
      <c r="P34" s="6">
        <v>5829.78</v>
      </c>
      <c r="Q34" s="2"/>
      <c r="R34" s="7">
        <f t="shared" si="16"/>
        <v>1.313371436810482E-2</v>
      </c>
      <c r="S34" s="2"/>
      <c r="T34" s="6">
        <v>30777.41</v>
      </c>
      <c r="U34" s="2"/>
      <c r="V34" s="7">
        <f t="shared" si="17"/>
        <v>8.1099894598155461E-2</v>
      </c>
      <c r="W34" s="2"/>
      <c r="X34" s="6">
        <f t="shared" si="18"/>
        <v>-24947.63</v>
      </c>
      <c r="Y34" s="2"/>
      <c r="Z34" s="7">
        <f t="shared" si="19"/>
        <v>-0.81058250190643077</v>
      </c>
    </row>
    <row r="35" spans="1:26" s="23" customFormat="1" hidden="1" outlineLevel="2" x14ac:dyDescent="0.25">
      <c r="A35" s="25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12"/>
        <v>0</v>
      </c>
      <c r="G35" s="2"/>
      <c r="H35" s="6">
        <v>1046.5</v>
      </c>
      <c r="I35" s="2"/>
      <c r="J35" s="7">
        <f t="shared" si="13"/>
        <v>2.4157433056325023E-2</v>
      </c>
      <c r="K35" s="2"/>
      <c r="L35" s="6">
        <f t="shared" si="14"/>
        <v>-1046.5</v>
      </c>
      <c r="M35" s="2"/>
      <c r="N35" s="7">
        <f t="shared" si="15"/>
        <v>-1</v>
      </c>
      <c r="O35" s="10"/>
      <c r="P35" s="6">
        <v>3911.88</v>
      </c>
      <c r="Q35" s="2"/>
      <c r="R35" s="7">
        <f t="shared" si="16"/>
        <v>8.8129422657976606E-3</v>
      </c>
      <c r="S35" s="2"/>
      <c r="T35" s="6">
        <v>5920.74</v>
      </c>
      <c r="U35" s="2"/>
      <c r="V35" s="7">
        <f t="shared" si="17"/>
        <v>1.5601422924901185E-2</v>
      </c>
      <c r="W35" s="2"/>
      <c r="X35" s="6">
        <f t="shared" si="18"/>
        <v>-2008.8599999999997</v>
      </c>
      <c r="Y35" s="2"/>
      <c r="Z35" s="7">
        <f t="shared" si="19"/>
        <v>-0.33929204795346524</v>
      </c>
    </row>
    <row r="36" spans="1:26" s="26" customFormat="1" outlineLevel="1" collapsed="1" x14ac:dyDescent="0.25">
      <c r="A36" s="27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2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155.11000000000001</v>
      </c>
      <c r="U36" s="1"/>
      <c r="V36" s="5">
        <f t="shared" ref="V36:V44" si="25">IF(T$12=0,0,T36/T$12)</f>
        <v>4.0872200263504613E-4</v>
      </c>
      <c r="W36" s="1"/>
      <c r="X36" s="1">
        <f t="shared" ref="X36:X44" si="26">+P36-T36</f>
        <v>-155.11000000000001</v>
      </c>
      <c r="Y36" s="1"/>
      <c r="Z36" s="5">
        <f t="shared" ref="Z36:Z44" si="27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0"/>
      <c r="P37" s="6"/>
      <c r="Q37" s="2"/>
      <c r="R37" s="7">
        <f t="shared" si="24"/>
        <v>0</v>
      </c>
      <c r="S37" s="2"/>
      <c r="T37" s="6">
        <v>155.11000000000001</v>
      </c>
      <c r="U37" s="2"/>
      <c r="V37" s="7">
        <f t="shared" si="25"/>
        <v>4.0872200263504613E-4</v>
      </c>
      <c r="W37" s="2"/>
      <c r="X37" s="6">
        <f t="shared" si="26"/>
        <v>-155.11000000000001</v>
      </c>
      <c r="Y37" s="2"/>
      <c r="Z37" s="7">
        <f t="shared" si="27"/>
        <v>-1</v>
      </c>
    </row>
    <row r="38" spans="1:26" s="26" customFormat="1" outlineLevel="1" collapsed="1" x14ac:dyDescent="0.25">
      <c r="A38" s="27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45.38</v>
      </c>
      <c r="E38" s="1"/>
      <c r="F38" s="5">
        <f t="shared" si="20"/>
        <v>8.7903147699757876E-4</v>
      </c>
      <c r="G38" s="1"/>
      <c r="H38" s="1">
        <f>SUM(OSRRefH22_3x_0)</f>
        <v>1119.95</v>
      </c>
      <c r="I38" s="1"/>
      <c r="J38" s="5">
        <f t="shared" si="21"/>
        <v>2.5852954755309326E-2</v>
      </c>
      <c r="K38" s="1"/>
      <c r="L38" s="1">
        <f t="shared" si="22"/>
        <v>-1074.57</v>
      </c>
      <c r="M38" s="1"/>
      <c r="N38" s="5">
        <f t="shared" si="23"/>
        <v>-0.95948033394347954</v>
      </c>
      <c r="O38" s="12"/>
      <c r="P38" s="1">
        <f>SUM(OSRRefP22_3x_0)</f>
        <v>753.27</v>
      </c>
      <c r="Q38" s="1"/>
      <c r="R38" s="5">
        <f t="shared" si="24"/>
        <v>1.6970165292793757E-3</v>
      </c>
      <c r="S38" s="1"/>
      <c r="T38" s="1">
        <f>SUM(OSRRefT22_3x_0)</f>
        <v>17737.28</v>
      </c>
      <c r="U38" s="1"/>
      <c r="V38" s="5">
        <f t="shared" si="25"/>
        <v>4.673855072463768E-2</v>
      </c>
      <c r="W38" s="1"/>
      <c r="X38" s="1">
        <f t="shared" si="26"/>
        <v>-16984.009999999998</v>
      </c>
      <c r="Y38" s="1"/>
      <c r="Z38" s="5">
        <f t="shared" si="27"/>
        <v>-0.95753181998592796</v>
      </c>
    </row>
    <row r="39" spans="1:26" s="23" customFormat="1" hidden="1" outlineLevel="2" x14ac:dyDescent="0.25">
      <c r="A39" s="25"/>
      <c r="B39" s="10" t="str">
        <f>CONCATENATE("          ", "6381", " - ", "BANK/CREDIT CARD FEES")</f>
        <v xml:space="preserve">          6381 - BANK/CREDIT CARD FEES</v>
      </c>
      <c r="C39" s="10"/>
      <c r="D39" s="6">
        <v>45.38</v>
      </c>
      <c r="E39" s="2"/>
      <c r="F39" s="7">
        <f t="shared" si="20"/>
        <v>8.7903147699757876E-4</v>
      </c>
      <c r="G39" s="2"/>
      <c r="H39" s="6">
        <v>1119.95</v>
      </c>
      <c r="I39" s="2"/>
      <c r="J39" s="7">
        <f t="shared" si="21"/>
        <v>2.5852954755309326E-2</v>
      </c>
      <c r="K39" s="2"/>
      <c r="L39" s="6">
        <f t="shared" si="22"/>
        <v>-1074.57</v>
      </c>
      <c r="M39" s="2"/>
      <c r="N39" s="7">
        <f t="shared" si="23"/>
        <v>-0.95948033394347954</v>
      </c>
      <c r="O39" s="10"/>
      <c r="P39" s="6">
        <v>753.27</v>
      </c>
      <c r="Q39" s="2"/>
      <c r="R39" s="7">
        <f t="shared" si="24"/>
        <v>1.6970165292793757E-3</v>
      </c>
      <c r="S39" s="2"/>
      <c r="T39" s="6">
        <v>17737.28</v>
      </c>
      <c r="U39" s="2"/>
      <c r="V39" s="7">
        <f t="shared" si="25"/>
        <v>4.673855072463768E-2</v>
      </c>
      <c r="W39" s="2"/>
      <c r="X39" s="6">
        <f t="shared" si="26"/>
        <v>-16984.009999999998</v>
      </c>
      <c r="Y39" s="2"/>
      <c r="Z39" s="7">
        <f t="shared" si="27"/>
        <v>-0.95753181998592796</v>
      </c>
    </row>
    <row r="40" spans="1:26" s="26" customFormat="1" outlineLevel="1" collapsed="1" x14ac:dyDescent="0.25">
      <c r="A40" s="27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2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1.6927536231884057E-4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3" customFormat="1" hidden="1" outlineLevel="2" x14ac:dyDescent="0.25">
      <c r="A41" s="25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0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1.6927536231884057E-4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6" customFormat="1" outlineLevel="1" collapsed="1" x14ac:dyDescent="0.25">
      <c r="A42" s="27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2"/>
      <c r="P42" s="1">
        <f>SUM(OSRRefP22_5x_0)</f>
        <v>2.12</v>
      </c>
      <c r="Q42" s="1"/>
      <c r="R42" s="5">
        <f t="shared" si="24"/>
        <v>4.7760763631530214E-6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3" customFormat="1" hidden="1" outlineLevel="2" x14ac:dyDescent="0.25">
      <c r="A43" s="25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0"/>
      <c r="P43" s="6">
        <v>1.62</v>
      </c>
      <c r="Q43" s="2"/>
      <c r="R43" s="7">
        <f t="shared" si="24"/>
        <v>3.6496432586357996E-6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3" customFormat="1" hidden="1" outlineLevel="2" x14ac:dyDescent="0.25">
      <c r="A44" s="25"/>
      <c r="B44" s="10" t="str">
        <f>CONCATENATE("          ", "6307", " - ", "POSTAGE")</f>
        <v xml:space="preserve">          6307 - POSTAGE</v>
      </c>
      <c r="C44" s="10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0"/>
      <c r="P44" s="6">
        <v>0.5</v>
      </c>
      <c r="Q44" s="2"/>
      <c r="R44" s="7">
        <f t="shared" si="24"/>
        <v>1.126433104517222E-6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6" customFormat="1" outlineLevel="1" collapsed="1" x14ac:dyDescent="0.25">
      <c r="A45" s="27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0</v>
      </c>
      <c r="I45" s="1"/>
      <c r="J45" s="5">
        <f t="shared" ref="J45:J54" si="29">IF(H$12=0,0,H45/H$12)</f>
        <v>0</v>
      </c>
      <c r="K45" s="1"/>
      <c r="L45" s="1">
        <f t="shared" ref="L45:L54" si="30">+D45-H45</f>
        <v>0</v>
      </c>
      <c r="M45" s="1"/>
      <c r="N45" s="5">
        <f t="shared" ref="N45:N54" si="31">IF(H45=0,0,L45/H45)</f>
        <v>0</v>
      </c>
      <c r="O45" s="12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1.2474308300395258E-4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3" customFormat="1" hidden="1" outlineLevel="2" x14ac:dyDescent="0.25">
      <c r="A46" s="25"/>
      <c r="B46" s="10" t="str">
        <f>CONCATENATE("          ", "6279", " - ", "GENERAL EXPENSE")</f>
        <v xml:space="preserve">          6279 - GENERAL EXPENSE</v>
      </c>
      <c r="C46" s="10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0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1.2474308300395258E-4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6" customFormat="1" outlineLevel="1" collapsed="1" x14ac:dyDescent="0.25">
      <c r="A47" s="27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SUM(OSRRefD22_7x_0)</f>
        <v>29.01</v>
      </c>
      <c r="E47" s="1"/>
      <c r="F47" s="5">
        <f t="shared" si="28"/>
        <v>5.6193704600484261E-4</v>
      </c>
      <c r="G47" s="1"/>
      <c r="H47" s="1">
        <f>SUM(OSRRefH22_7x_0)</f>
        <v>29.01</v>
      </c>
      <c r="I47" s="1"/>
      <c r="J47" s="5">
        <f t="shared" si="29"/>
        <v>6.6966759002770083E-4</v>
      </c>
      <c r="K47" s="1"/>
      <c r="L47" s="1">
        <f t="shared" si="30"/>
        <v>0</v>
      </c>
      <c r="M47" s="1"/>
      <c r="N47" s="5">
        <f t="shared" si="31"/>
        <v>0</v>
      </c>
      <c r="O47" s="12"/>
      <c r="P47" s="1">
        <f>SUM(OSRRefP22_7x_0)</f>
        <v>261.08999999999997</v>
      </c>
      <c r="Q47" s="1"/>
      <c r="R47" s="5">
        <f t="shared" si="32"/>
        <v>5.8820083851680296E-4</v>
      </c>
      <c r="S47" s="1"/>
      <c r="T47" s="1">
        <f>SUM(OSRRefT22_7x_0)</f>
        <v>261.08999999999997</v>
      </c>
      <c r="U47" s="1"/>
      <c r="V47" s="5">
        <f t="shared" si="33"/>
        <v>6.8798418972332005E-4</v>
      </c>
      <c r="W47" s="1"/>
      <c r="X47" s="1">
        <f t="shared" si="34"/>
        <v>0</v>
      </c>
      <c r="Y47" s="1"/>
      <c r="Z47" s="5">
        <f t="shared" si="35"/>
        <v>0</v>
      </c>
    </row>
    <row r="48" spans="1:26" s="23" customFormat="1" hidden="1" outlineLevel="2" x14ac:dyDescent="0.25">
      <c r="A48" s="25"/>
      <c r="B48" s="10" t="str">
        <f>CONCATENATE("          ", "6314", " - ", "LIABILITY INSURANCE")</f>
        <v xml:space="preserve">          6314 - LIABILITY INSURANCE</v>
      </c>
      <c r="C48" s="10"/>
      <c r="D48" s="6">
        <v>29.01</v>
      </c>
      <c r="E48" s="2"/>
      <c r="F48" s="7">
        <f t="shared" si="28"/>
        <v>5.6193704600484261E-4</v>
      </c>
      <c r="G48" s="2"/>
      <c r="H48" s="6">
        <v>29.01</v>
      </c>
      <c r="I48" s="2"/>
      <c r="J48" s="7">
        <f t="shared" si="29"/>
        <v>6.6966759002770083E-4</v>
      </c>
      <c r="K48" s="2"/>
      <c r="L48" s="6">
        <f t="shared" si="30"/>
        <v>0</v>
      </c>
      <c r="M48" s="2"/>
      <c r="N48" s="7">
        <f t="shared" si="31"/>
        <v>0</v>
      </c>
      <c r="O48" s="10"/>
      <c r="P48" s="6">
        <v>261.08999999999997</v>
      </c>
      <c r="Q48" s="2"/>
      <c r="R48" s="7">
        <f t="shared" si="32"/>
        <v>5.8820083851680296E-4</v>
      </c>
      <c r="S48" s="2"/>
      <c r="T48" s="6">
        <v>261.08999999999997</v>
      </c>
      <c r="U48" s="2"/>
      <c r="V48" s="7">
        <f t="shared" si="33"/>
        <v>6.8798418972332005E-4</v>
      </c>
      <c r="W48" s="2"/>
      <c r="X48" s="6">
        <f t="shared" si="34"/>
        <v>0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2" t="str">
        <f>CONCATENATE("     ","Rent                                              ")</f>
        <v xml:space="preserve">     Rent                                              </v>
      </c>
      <c r="C49" s="12"/>
      <c r="D49" s="1">
        <f>SUM(OSRRefD22_8x_0)</f>
        <v>800</v>
      </c>
      <c r="E49" s="1"/>
      <c r="F49" s="5">
        <f t="shared" si="28"/>
        <v>1.549636803874092E-2</v>
      </c>
      <c r="G49" s="1"/>
      <c r="H49" s="1">
        <f>SUM(OSRRefH22_8x_0)</f>
        <v>800</v>
      </c>
      <c r="I49" s="1"/>
      <c r="J49" s="5">
        <f t="shared" si="29"/>
        <v>1.8467220683287166E-2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SUM(OSRRefP22_8x_0)</f>
        <v>7200</v>
      </c>
      <c r="Q49" s="1"/>
      <c r="R49" s="5">
        <f t="shared" si="32"/>
        <v>1.6220636705047996E-2</v>
      </c>
      <c r="S49" s="1"/>
      <c r="T49" s="1">
        <f>SUM(OSRRefT22_8x_0)</f>
        <v>5600</v>
      </c>
      <c r="U49" s="1"/>
      <c r="V49" s="5">
        <f t="shared" si="33"/>
        <v>1.4756258234519103E-2</v>
      </c>
      <c r="W49" s="1"/>
      <c r="X49" s="1">
        <f t="shared" si="34"/>
        <v>1600</v>
      </c>
      <c r="Y49" s="1"/>
      <c r="Z49" s="5">
        <f t="shared" si="35"/>
        <v>0.2857142857142857</v>
      </c>
    </row>
    <row r="50" spans="1:26" s="23" customFormat="1" hidden="1" outlineLevel="2" x14ac:dyDescent="0.25">
      <c r="A50" s="25"/>
      <c r="B50" s="10" t="str">
        <f>CONCATENATE("          ", "6273", " - ", "RENT")</f>
        <v xml:space="preserve">          6273 - RENT</v>
      </c>
      <c r="C50" s="10"/>
      <c r="D50" s="6">
        <v>800</v>
      </c>
      <c r="E50" s="2"/>
      <c r="F50" s="7">
        <f t="shared" si="28"/>
        <v>1.549636803874092E-2</v>
      </c>
      <c r="G50" s="2"/>
      <c r="H50" s="6">
        <v>800</v>
      </c>
      <c r="I50" s="2"/>
      <c r="J50" s="7">
        <f t="shared" si="29"/>
        <v>1.8467220683287166E-2</v>
      </c>
      <c r="K50" s="2"/>
      <c r="L50" s="6">
        <f t="shared" si="30"/>
        <v>0</v>
      </c>
      <c r="M50" s="2"/>
      <c r="N50" s="7">
        <f t="shared" si="31"/>
        <v>0</v>
      </c>
      <c r="O50" s="10"/>
      <c r="P50" s="6">
        <v>7200</v>
      </c>
      <c r="Q50" s="2"/>
      <c r="R50" s="7">
        <f t="shared" si="32"/>
        <v>1.6220636705047996E-2</v>
      </c>
      <c r="S50" s="2"/>
      <c r="T50" s="6">
        <v>5600</v>
      </c>
      <c r="U50" s="2"/>
      <c r="V50" s="7">
        <f t="shared" si="33"/>
        <v>1.4756258234519103E-2</v>
      </c>
      <c r="W50" s="2"/>
      <c r="X50" s="6">
        <f t="shared" si="34"/>
        <v>1600</v>
      </c>
      <c r="Y50" s="2"/>
      <c r="Z50" s="7">
        <f t="shared" si="35"/>
        <v>0.2857142857142857</v>
      </c>
    </row>
    <row r="51" spans="1:26" s="26" customFormat="1" outlineLevel="1" collapsed="1" x14ac:dyDescent="0.25">
      <c r="A51" s="27"/>
      <c r="B51" s="12" t="str">
        <f>CONCATENATE("     ","Repair and Maintenance                            ")</f>
        <v xml:space="preserve">     Repair and Maintenance                            </v>
      </c>
      <c r="C51" s="12"/>
      <c r="D51" s="1">
        <f>SUM(OSRRefD22_9x_0)</f>
        <v>22581.23</v>
      </c>
      <c r="E51" s="1"/>
      <c r="F51" s="5">
        <f t="shared" si="28"/>
        <v>0.43740881355932204</v>
      </c>
      <c r="G51" s="1"/>
      <c r="H51" s="1">
        <f>SUM(OSRRefH22_9x_0)</f>
        <v>676.8</v>
      </c>
      <c r="I51" s="1"/>
      <c r="J51" s="5">
        <f t="shared" si="29"/>
        <v>1.5623268698060942E-2</v>
      </c>
      <c r="K51" s="1"/>
      <c r="L51" s="1">
        <f t="shared" si="30"/>
        <v>21904.43</v>
      </c>
      <c r="M51" s="1"/>
      <c r="N51" s="5">
        <f t="shared" si="31"/>
        <v>32.364701536643025</v>
      </c>
      <c r="O51" s="12"/>
      <c r="P51" s="1">
        <f>SUM(OSRRefP22_9x_0)</f>
        <v>149496.13</v>
      </c>
      <c r="Q51" s="1"/>
      <c r="R51" s="5">
        <f t="shared" si="32"/>
        <v>0.33679477965842042</v>
      </c>
      <c r="S51" s="1"/>
      <c r="T51" s="1">
        <f>SUM(OSRRefT22_9x_0)</f>
        <v>118520.76</v>
      </c>
      <c r="U51" s="1"/>
      <c r="V51" s="5">
        <f t="shared" si="33"/>
        <v>0.31230766798418969</v>
      </c>
      <c r="W51" s="1"/>
      <c r="X51" s="1">
        <f t="shared" si="34"/>
        <v>30975.37000000001</v>
      </c>
      <c r="Y51" s="1"/>
      <c r="Z51" s="5">
        <f t="shared" si="35"/>
        <v>0.26134974159801211</v>
      </c>
    </row>
    <row r="52" spans="1:26" s="23" customFormat="1" hidden="1" outlineLevel="2" x14ac:dyDescent="0.25">
      <c r="A52" s="25"/>
      <c r="B52" s="10" t="str">
        <f>CONCATENATE("          ", "6371", " - ", "COMPUTER SOFTWARE MAINTENANCE")</f>
        <v xml:space="preserve">          6371 - COMPUTER SOFTWARE MAINTENANCE</v>
      </c>
      <c r="C52" s="10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0"/>
      <c r="P52" s="6"/>
      <c r="Q52" s="2"/>
      <c r="R52" s="7">
        <f t="shared" si="32"/>
        <v>0</v>
      </c>
      <c r="S52" s="2"/>
      <c r="T52" s="6">
        <v>437.31</v>
      </c>
      <c r="U52" s="2"/>
      <c r="V52" s="7">
        <f t="shared" si="33"/>
        <v>1.1523320158102768E-3</v>
      </c>
      <c r="W52" s="2"/>
      <c r="X52" s="6">
        <f t="shared" si="34"/>
        <v>-437.31</v>
      </c>
      <c r="Y52" s="2"/>
      <c r="Z52" s="7">
        <f t="shared" si="35"/>
        <v>-1</v>
      </c>
    </row>
    <row r="53" spans="1:26" s="23" customFormat="1" hidden="1" outlineLevel="2" x14ac:dyDescent="0.25">
      <c r="A53" s="25"/>
      <c r="B53" s="10" t="str">
        <f>CONCATENATE("          ", "6373", " - ", "MAINTENANCE CONTRACTS")</f>
        <v xml:space="preserve">          6373 - MAINTENANCE CONTRACTS</v>
      </c>
      <c r="C53" s="10"/>
      <c r="D53" s="6">
        <v>22581.23</v>
      </c>
      <c r="E53" s="2"/>
      <c r="F53" s="7">
        <f t="shared" si="28"/>
        <v>0.43740881355932204</v>
      </c>
      <c r="G53" s="2"/>
      <c r="H53" s="6"/>
      <c r="I53" s="2"/>
      <c r="J53" s="7">
        <f t="shared" si="29"/>
        <v>0</v>
      </c>
      <c r="K53" s="2"/>
      <c r="L53" s="6">
        <f t="shared" si="30"/>
        <v>22581.23</v>
      </c>
      <c r="M53" s="2"/>
      <c r="N53" s="7">
        <f t="shared" si="31"/>
        <v>0</v>
      </c>
      <c r="O53" s="10"/>
      <c r="P53" s="6">
        <v>142934.13</v>
      </c>
      <c r="Q53" s="2"/>
      <c r="R53" s="7">
        <f t="shared" si="32"/>
        <v>0.32201147159473642</v>
      </c>
      <c r="S53" s="2"/>
      <c r="T53" s="6">
        <v>117094</v>
      </c>
      <c r="U53" s="2"/>
      <c r="V53" s="7">
        <f t="shared" si="33"/>
        <v>0.30854808959156788</v>
      </c>
      <c r="W53" s="2"/>
      <c r="X53" s="6">
        <f t="shared" si="34"/>
        <v>25840.130000000005</v>
      </c>
      <c r="Y53" s="2"/>
      <c r="Z53" s="7">
        <f t="shared" si="35"/>
        <v>0.22067851469759342</v>
      </c>
    </row>
    <row r="54" spans="1:26" s="23" customFormat="1" hidden="1" outlineLevel="2" x14ac:dyDescent="0.25">
      <c r="A54" s="25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28"/>
        <v>0</v>
      </c>
      <c r="G54" s="2"/>
      <c r="H54" s="6">
        <v>676.8</v>
      </c>
      <c r="I54" s="2"/>
      <c r="J54" s="7">
        <f t="shared" si="29"/>
        <v>1.5623268698060942E-2</v>
      </c>
      <c r="K54" s="2"/>
      <c r="L54" s="6">
        <f t="shared" si="30"/>
        <v>-676.8</v>
      </c>
      <c r="M54" s="2"/>
      <c r="N54" s="7">
        <f t="shared" si="31"/>
        <v>-1</v>
      </c>
      <c r="O54" s="10"/>
      <c r="P54" s="6">
        <v>6562</v>
      </c>
      <c r="Q54" s="2"/>
      <c r="R54" s="7">
        <f t="shared" si="32"/>
        <v>1.4783308063684022E-2</v>
      </c>
      <c r="S54" s="2"/>
      <c r="T54" s="6">
        <v>989.45</v>
      </c>
      <c r="U54" s="2"/>
      <c r="V54" s="7">
        <f t="shared" si="33"/>
        <v>2.6072463768115942E-3</v>
      </c>
      <c r="W54" s="2"/>
      <c r="X54" s="6">
        <f t="shared" si="34"/>
        <v>5572.55</v>
      </c>
      <c r="Y54" s="2"/>
      <c r="Z54" s="7">
        <f t="shared" si="35"/>
        <v>5.6319672545353479</v>
      </c>
    </row>
    <row r="55" spans="1:26" s="26" customFormat="1" outlineLevel="1" collapsed="1" x14ac:dyDescent="0.25">
      <c r="A55" s="27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0</v>
      </c>
      <c r="M55" s="1"/>
      <c r="N55" s="5">
        <f t="shared" ref="N55:N60" si="39">IF(H55=0,0,L55/H55)</f>
        <v>0</v>
      </c>
      <c r="O55" s="12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825</v>
      </c>
      <c r="U55" s="1"/>
      <c r="V55" s="5">
        <f t="shared" ref="V55:V60" si="41">IF(T$12=0,0,T55/T$12)</f>
        <v>2.1739130434782609E-3</v>
      </c>
      <c r="W55" s="1"/>
      <c r="X55" s="1">
        <f t="shared" ref="X55:X60" si="42">+P55-T55</f>
        <v>-825</v>
      </c>
      <c r="Y55" s="1"/>
      <c r="Z55" s="5">
        <f t="shared" ref="Z55:Z60" si="43">IF(T55=0,0,X55/T55)</f>
        <v>-1</v>
      </c>
    </row>
    <row r="56" spans="1:26" s="23" customFormat="1" hidden="1" outlineLevel="2" x14ac:dyDescent="0.25">
      <c r="A56" s="25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0"/>
      <c r="P56" s="6"/>
      <c r="Q56" s="2"/>
      <c r="R56" s="7">
        <f t="shared" si="40"/>
        <v>0</v>
      </c>
      <c r="S56" s="2"/>
      <c r="T56" s="6">
        <v>825</v>
      </c>
      <c r="U56" s="2"/>
      <c r="V56" s="7">
        <f t="shared" si="41"/>
        <v>2.1739130434782609E-3</v>
      </c>
      <c r="W56" s="2"/>
      <c r="X56" s="6">
        <f t="shared" si="42"/>
        <v>-825</v>
      </c>
      <c r="Y56" s="2"/>
      <c r="Z56" s="7">
        <f t="shared" si="43"/>
        <v>-1</v>
      </c>
    </row>
    <row r="57" spans="1:26" s="26" customFormat="1" outlineLevel="1" collapsed="1" x14ac:dyDescent="0.25">
      <c r="A57" s="27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SUM(OSRRefD22_11x_0)</f>
        <v>3.72</v>
      </c>
      <c r="E57" s="1"/>
      <c r="F57" s="5">
        <f t="shared" si="36"/>
        <v>7.205811138014528E-5</v>
      </c>
      <c r="G57" s="1"/>
      <c r="H57" s="1">
        <f>SUM(OSRRefH22_11x_0)</f>
        <v>1596.09</v>
      </c>
      <c r="I57" s="1"/>
      <c r="J57" s="5">
        <f t="shared" si="37"/>
        <v>3.684418282548476E-2</v>
      </c>
      <c r="K57" s="1"/>
      <c r="L57" s="1">
        <f t="shared" si="38"/>
        <v>-1592.37</v>
      </c>
      <c r="M57" s="1"/>
      <c r="N57" s="5">
        <f t="shared" si="39"/>
        <v>-0.99766930436253598</v>
      </c>
      <c r="O57" s="12"/>
      <c r="P57" s="1">
        <f>SUM(OSRRefP22_11x_0)</f>
        <v>42061.89</v>
      </c>
      <c r="Q57" s="1"/>
      <c r="R57" s="5">
        <f t="shared" si="40"/>
        <v>9.4759810669123798E-2</v>
      </c>
      <c r="S57" s="1"/>
      <c r="T57" s="1">
        <f>SUM(OSRRefT22_11x_0)</f>
        <v>24878.799999999999</v>
      </c>
      <c r="U57" s="1"/>
      <c r="V57" s="5">
        <f t="shared" si="41"/>
        <v>6.5556785243741769E-2</v>
      </c>
      <c r="W57" s="1"/>
      <c r="X57" s="1">
        <f t="shared" si="42"/>
        <v>17183.09</v>
      </c>
      <c r="Y57" s="1"/>
      <c r="Z57" s="5">
        <f t="shared" si="43"/>
        <v>0.69067197774812294</v>
      </c>
    </row>
    <row r="58" spans="1:26" s="23" customFormat="1" hidden="1" outlineLevel="2" x14ac:dyDescent="0.25">
      <c r="A58" s="25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0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1.0889855072463768E-3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3" customFormat="1" hidden="1" outlineLevel="2" x14ac:dyDescent="0.25">
      <c r="A59" s="25"/>
      <c r="B59" s="10" t="str">
        <f>CONCATENATE("          ", "6241", " - ", "OFFICE EXPENSE")</f>
        <v xml:space="preserve">          6241 - OFFICE EXPENSE</v>
      </c>
      <c r="C59" s="10"/>
      <c r="D59" s="6">
        <v>3.72</v>
      </c>
      <c r="E59" s="2"/>
      <c r="F59" s="7">
        <f t="shared" si="36"/>
        <v>7.205811138014528E-5</v>
      </c>
      <c r="G59" s="2"/>
      <c r="H59" s="6">
        <v>1596.09</v>
      </c>
      <c r="I59" s="2"/>
      <c r="J59" s="7">
        <f t="shared" si="37"/>
        <v>3.684418282548476E-2</v>
      </c>
      <c r="K59" s="2"/>
      <c r="L59" s="6">
        <f t="shared" si="38"/>
        <v>-1592.37</v>
      </c>
      <c r="M59" s="2"/>
      <c r="N59" s="7">
        <f t="shared" si="39"/>
        <v>-0.99766930436253598</v>
      </c>
      <c r="O59" s="10"/>
      <c r="P59" s="6">
        <v>42061.89</v>
      </c>
      <c r="Q59" s="2"/>
      <c r="R59" s="7">
        <f t="shared" si="40"/>
        <v>9.4759810669123798E-2</v>
      </c>
      <c r="S59" s="2"/>
      <c r="T59" s="6">
        <v>24262.01</v>
      </c>
      <c r="U59" s="2"/>
      <c r="V59" s="7">
        <f t="shared" si="41"/>
        <v>6.3931515151515142E-2</v>
      </c>
      <c r="W59" s="2"/>
      <c r="X59" s="6">
        <f t="shared" si="42"/>
        <v>17799.88</v>
      </c>
      <c r="Y59" s="2"/>
      <c r="Z59" s="7">
        <f t="shared" si="43"/>
        <v>0.73365232311749939</v>
      </c>
    </row>
    <row r="60" spans="1:26" s="23" customFormat="1" hidden="1" outlineLevel="2" x14ac:dyDescent="0.25">
      <c r="A60" s="25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0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5.3628458498023715E-4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6" customFormat="1" outlineLevel="1" collapsed="1" x14ac:dyDescent="0.25">
      <c r="A61" s="27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SUM(OSRRefD22_12x_0)</f>
        <v>87</v>
      </c>
      <c r="E61" s="1"/>
      <c r="F61" s="5">
        <f t="shared" ref="F61:F64" si="44">IF(D$12=0,0,D61/D$12)</f>
        <v>1.6852300242130751E-3</v>
      </c>
      <c r="G61" s="1"/>
      <c r="H61" s="1">
        <f>SUM(OSRRefH22_12x_0)</f>
        <v>188.35</v>
      </c>
      <c r="I61" s="1"/>
      <c r="J61" s="5">
        <f t="shared" ref="J61:J64" si="45">IF(H$12=0,0,H61/H$12)</f>
        <v>4.3478762696214221E-3</v>
      </c>
      <c r="K61" s="1"/>
      <c r="L61" s="1">
        <f t="shared" ref="L61:L64" si="46">+D61-H61</f>
        <v>-101.35</v>
      </c>
      <c r="M61" s="1"/>
      <c r="N61" s="5">
        <f t="shared" ref="N61:N64" si="47">IF(H61=0,0,L61/H61)</f>
        <v>-0.53809397398460312</v>
      </c>
      <c r="O61" s="12"/>
      <c r="P61" s="1">
        <f>SUM(OSRRefP22_12x_0)</f>
        <v>1711.83</v>
      </c>
      <c r="Q61" s="1"/>
      <c r="R61" s="5">
        <f t="shared" ref="R61:R64" si="48">IF(P$12=0,0,P61/P$12)</f>
        <v>3.8565239626114321E-3</v>
      </c>
      <c r="S61" s="1"/>
      <c r="T61" s="1">
        <f>SUM(OSRRefT22_12x_0)</f>
        <v>1699.55</v>
      </c>
      <c r="U61" s="1"/>
      <c r="V61" s="5">
        <f t="shared" ref="V61:V64" si="49">IF(T$12=0,0,T61/T$12)</f>
        <v>4.4783926218708824E-3</v>
      </c>
      <c r="W61" s="1"/>
      <c r="X61" s="1">
        <f t="shared" ref="X61:X64" si="50">+P61-T61</f>
        <v>12.279999999999973</v>
      </c>
      <c r="Y61" s="1"/>
      <c r="Z61" s="5">
        <f t="shared" ref="Z61:Z64" si="51">IF(T61=0,0,X61/T61)</f>
        <v>7.225442028772306E-3</v>
      </c>
    </row>
    <row r="62" spans="1:26" s="23" customFormat="1" hidden="1" outlineLevel="2" x14ac:dyDescent="0.25">
      <c r="A62" s="25"/>
      <c r="B62" s="10" t="str">
        <f>CONCATENATE("          ", "6309", " - ", "TELEPHONE")</f>
        <v xml:space="preserve">          6309 - TELEPHONE</v>
      </c>
      <c r="C62" s="10"/>
      <c r="D62" s="6">
        <v>87</v>
      </c>
      <c r="E62" s="2"/>
      <c r="F62" s="7">
        <f t="shared" si="44"/>
        <v>1.6852300242130751E-3</v>
      </c>
      <c r="G62" s="2"/>
      <c r="H62" s="6">
        <v>188.35</v>
      </c>
      <c r="I62" s="2"/>
      <c r="J62" s="7">
        <f t="shared" si="45"/>
        <v>4.3478762696214221E-3</v>
      </c>
      <c r="K62" s="2"/>
      <c r="L62" s="6">
        <f t="shared" si="46"/>
        <v>-101.35</v>
      </c>
      <c r="M62" s="2"/>
      <c r="N62" s="7">
        <f t="shared" si="47"/>
        <v>-0.53809397398460312</v>
      </c>
      <c r="O62" s="10"/>
      <c r="P62" s="6">
        <v>1711.83</v>
      </c>
      <c r="Q62" s="2"/>
      <c r="R62" s="7">
        <f t="shared" si="48"/>
        <v>3.8565239626114321E-3</v>
      </c>
      <c r="S62" s="2"/>
      <c r="T62" s="6">
        <v>1699.55</v>
      </c>
      <c r="U62" s="2"/>
      <c r="V62" s="7">
        <f t="shared" si="49"/>
        <v>4.4783926218708824E-3</v>
      </c>
      <c r="W62" s="2"/>
      <c r="X62" s="6">
        <f t="shared" si="50"/>
        <v>12.279999999999973</v>
      </c>
      <c r="Y62" s="2"/>
      <c r="Z62" s="7">
        <f t="shared" si="51"/>
        <v>7.225442028772306E-3</v>
      </c>
    </row>
    <row r="63" spans="1:26" s="26" customFormat="1" outlineLevel="1" collapsed="1" x14ac:dyDescent="0.25">
      <c r="A63" s="27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2011.24</v>
      </c>
      <c r="I63" s="1"/>
      <c r="J63" s="5">
        <f t="shared" si="45"/>
        <v>4.64275161588181E-2</v>
      </c>
      <c r="K63" s="1"/>
      <c r="L63" s="1">
        <f t="shared" si="46"/>
        <v>-2011.24</v>
      </c>
      <c r="M63" s="1"/>
      <c r="N63" s="5">
        <f t="shared" si="47"/>
        <v>-1</v>
      </c>
      <c r="O63" s="12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2011.24</v>
      </c>
      <c r="U63" s="1"/>
      <c r="V63" s="5">
        <f t="shared" si="49"/>
        <v>5.2997101449275361E-3</v>
      </c>
      <c r="W63" s="1"/>
      <c r="X63" s="1">
        <f t="shared" si="50"/>
        <v>-2011.24</v>
      </c>
      <c r="Y63" s="1"/>
      <c r="Z63" s="5">
        <f t="shared" si="51"/>
        <v>-1</v>
      </c>
    </row>
    <row r="64" spans="1:26" s="23" customFormat="1" hidden="1" outlineLevel="2" x14ac:dyDescent="0.25">
      <c r="A64" s="25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4"/>
        <v>0</v>
      </c>
      <c r="G64" s="2"/>
      <c r="H64" s="6">
        <v>2011.24</v>
      </c>
      <c r="I64" s="2"/>
      <c r="J64" s="7">
        <f t="shared" si="45"/>
        <v>4.64275161588181E-2</v>
      </c>
      <c r="K64" s="2"/>
      <c r="L64" s="6">
        <f t="shared" si="46"/>
        <v>-2011.24</v>
      </c>
      <c r="M64" s="2"/>
      <c r="N64" s="7">
        <f t="shared" si="47"/>
        <v>-1</v>
      </c>
      <c r="O64" s="10"/>
      <c r="P64" s="6"/>
      <c r="Q64" s="2"/>
      <c r="R64" s="7">
        <f t="shared" si="48"/>
        <v>0</v>
      </c>
      <c r="S64" s="2"/>
      <c r="T64" s="6">
        <v>2011.24</v>
      </c>
      <c r="U64" s="2"/>
      <c r="V64" s="7">
        <f t="shared" si="49"/>
        <v>5.2997101449275361E-3</v>
      </c>
      <c r="W64" s="2"/>
      <c r="X64" s="6">
        <f t="shared" si="50"/>
        <v>-2011.24</v>
      </c>
      <c r="Y64" s="2"/>
      <c r="Z64" s="7">
        <f t="shared" si="51"/>
        <v>-1</v>
      </c>
    </row>
    <row r="65" spans="1:26" s="60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collapsed="1" x14ac:dyDescent="0.25">
      <c r="A66" s="11"/>
      <c r="B66" s="28" t="s">
        <v>292</v>
      </c>
      <c r="C66" s="11"/>
      <c r="D66" s="4">
        <f>SUM(OSRRefD25x_0)</f>
        <v>210</v>
      </c>
      <c r="E66" s="4"/>
      <c r="F66" s="13">
        <f t="shared" ref="F66:F67" si="52">IF(D$12=0,0,D66/D$12)</f>
        <v>4.0677966101694916E-3</v>
      </c>
      <c r="G66" s="4"/>
      <c r="H66" s="4">
        <f>SUM(OSRRefH25x_0)</f>
        <v>991.34</v>
      </c>
      <c r="I66" s="4"/>
      <c r="J66" s="13">
        <f t="shared" ref="J66:J67" si="53">IF(H$12=0,0,H66/H$12)</f>
        <v>2.2884118190212372E-2</v>
      </c>
      <c r="K66" s="4"/>
      <c r="L66" s="4">
        <f t="shared" ref="L66:L67" si="54">+D66-H66</f>
        <v>-781.34</v>
      </c>
      <c r="M66" s="4"/>
      <c r="N66" s="13">
        <f t="shared" ref="N66:N67" si="55">IF(H66=0,0,L66/H66)</f>
        <v>-0.78816551334557272</v>
      </c>
      <c r="O66" s="11"/>
      <c r="P66" s="4">
        <f>SUM(OSRRefP25x_0)</f>
        <v>1938.68</v>
      </c>
      <c r="Q66" s="4"/>
      <c r="R66" s="13">
        <f t="shared" ref="R66:R67" si="56">IF(P$12=0,0,P66/P$12)</f>
        <v>4.3675866621308958E-3</v>
      </c>
      <c r="S66" s="4"/>
      <c r="T66" s="4">
        <f>SUM(OSRRefT25x_0)</f>
        <v>20336.25</v>
      </c>
      <c r="U66" s="4"/>
      <c r="V66" s="13">
        <f t="shared" ref="V66:V67" si="57">IF(T$12=0,0,T66/T$12)</f>
        <v>5.3586956521739129E-2</v>
      </c>
      <c r="W66" s="4"/>
      <c r="X66" s="4">
        <f t="shared" ref="X66:X67" si="58">+P66-T66</f>
        <v>-18397.57</v>
      </c>
      <c r="Y66" s="4"/>
      <c r="Z66" s="13">
        <f t="shared" ref="Z66:Z67" si="59">IF(T66=0,0,X66/T66)</f>
        <v>-0.90466875653082546</v>
      </c>
    </row>
    <row r="67" spans="1:26" s="23" customFormat="1" hidden="1" outlineLevel="1" x14ac:dyDescent="0.25">
      <c r="A67" s="44"/>
      <c r="B67" s="10" t="str">
        <f>CONCATENATE("          ", "9150", " - ", "MISC. INCOME")</f>
        <v xml:space="preserve">          9150 - MISC. INCOME</v>
      </c>
      <c r="C67" s="10"/>
      <c r="D67" s="2">
        <f>--210</f>
        <v>210</v>
      </c>
      <c r="E67" s="2"/>
      <c r="F67" s="19">
        <f t="shared" si="52"/>
        <v>4.0677966101694916E-3</v>
      </c>
      <c r="G67" s="2"/>
      <c r="H67" s="2">
        <f>--991.34</f>
        <v>991.34</v>
      </c>
      <c r="I67" s="2"/>
      <c r="J67" s="19">
        <f t="shared" si="53"/>
        <v>2.2884118190212372E-2</v>
      </c>
      <c r="K67" s="2"/>
      <c r="L67" s="2">
        <f t="shared" si="54"/>
        <v>-781.34</v>
      </c>
      <c r="M67" s="2"/>
      <c r="N67" s="19">
        <f t="shared" si="55"/>
        <v>-0.78816551334557272</v>
      </c>
      <c r="O67" s="10"/>
      <c r="P67" s="2">
        <f>--1938.68</f>
        <v>1938.68</v>
      </c>
      <c r="Q67" s="2"/>
      <c r="R67" s="19">
        <f t="shared" si="56"/>
        <v>4.3675866621308958E-3</v>
      </c>
      <c r="S67" s="2"/>
      <c r="T67" s="2">
        <f>--20336.25</f>
        <v>20336.25</v>
      </c>
      <c r="U67" s="2"/>
      <c r="V67" s="19">
        <f t="shared" si="57"/>
        <v>5.3586956521739129E-2</v>
      </c>
      <c r="W67" s="2"/>
      <c r="X67" s="2">
        <f t="shared" si="58"/>
        <v>-18397.57</v>
      </c>
      <c r="Y67" s="2"/>
      <c r="Z67" s="19">
        <f t="shared" si="59"/>
        <v>-0.90466875653082546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x14ac:dyDescent="0.25">
      <c r="A69" s="11"/>
      <c r="B69" s="29" t="s">
        <v>276</v>
      </c>
      <c r="C69" s="29"/>
      <c r="D69" s="22">
        <f>+D17-D19+D66</f>
        <v>10578.740000000005</v>
      </c>
      <c r="E69" s="14"/>
      <c r="F69" s="20">
        <f>IF(D$12=0,0,D69/D$12)</f>
        <v>0.20491506053268776</v>
      </c>
      <c r="G69" s="14"/>
      <c r="H69" s="22">
        <f>+H17-H19+H66</f>
        <v>11667.250000000004</v>
      </c>
      <c r="I69" s="14"/>
      <c r="J69" s="20">
        <f>IF(H$12=0,0,H69/H$12)</f>
        <v>0.26932710064635279</v>
      </c>
      <c r="K69" s="15"/>
      <c r="L69" s="22">
        <f>+D69-H69</f>
        <v>-1088.5099999999984</v>
      </c>
      <c r="M69" s="15"/>
      <c r="N69" s="20">
        <f>IF(H69=0,0,L69/H69)</f>
        <v>-9.329619233324031E-2</v>
      </c>
      <c r="O69" s="28"/>
      <c r="P69" s="22">
        <f>+P17-P19+P66</f>
        <v>77680.659999999974</v>
      </c>
      <c r="Q69" s="14"/>
      <c r="R69" s="20">
        <f>IF(P$12=0,0,P69/P$12)</f>
        <v>0.17500413400949352</v>
      </c>
      <c r="S69" s="14"/>
      <c r="T69" s="22">
        <f>+T17-T19+T66</f>
        <v>31653.169999999984</v>
      </c>
      <c r="U69" s="14"/>
      <c r="V69" s="20">
        <f>IF(T$12=0,0,T69/T$12)</f>
        <v>8.3407562582345149E-2</v>
      </c>
      <c r="W69" s="15"/>
      <c r="X69" s="22">
        <f>+P69-T69</f>
        <v>46027.489999999991</v>
      </c>
      <c r="Y69" s="15"/>
      <c r="Z69" s="20">
        <f>IF(T69=0,0,X69/T69)</f>
        <v>1.454119445224602</v>
      </c>
    </row>
    <row r="70" spans="1:26" x14ac:dyDescent="0.25">
      <c r="A70" s="9"/>
      <c r="B70" s="11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51"/>
      <c r="B71" s="11" t="s">
        <v>127</v>
      </c>
      <c r="C71" s="11"/>
      <c r="D71" s="4">
        <v>13799.37</v>
      </c>
      <c r="E71" s="4"/>
      <c r="F71" s="13">
        <f>IF(D$12=0,0,D71/D$12)</f>
        <v>0.26730014527845036</v>
      </c>
      <c r="G71" s="4"/>
      <c r="H71" s="4">
        <v>6400.95</v>
      </c>
      <c r="I71" s="4"/>
      <c r="J71" s="13">
        <f>IF(H$12=0,0,H71/H$12)</f>
        <v>0.14775969529085872</v>
      </c>
      <c r="K71" s="4"/>
      <c r="L71" s="4">
        <f>+D71-H71</f>
        <v>7398.420000000001</v>
      </c>
      <c r="M71" s="4"/>
      <c r="N71" s="13">
        <f>IF(H71=0,0,L71/H71)</f>
        <v>1.1558315562533688</v>
      </c>
      <c r="O71" s="11"/>
      <c r="P71" s="4">
        <v>91479.69</v>
      </c>
      <c r="Q71" s="4"/>
      <c r="R71" s="13">
        <f>IF(P$12=0,0,P71/P$12)</f>
        <v>0.20609150241394614</v>
      </c>
      <c r="S71" s="4"/>
      <c r="T71" s="4">
        <v>40664.339999999997</v>
      </c>
      <c r="U71" s="4"/>
      <c r="V71" s="13">
        <f>IF(T$12=0,0,T71/T$12)</f>
        <v>0.10715241106719367</v>
      </c>
      <c r="W71" s="4"/>
      <c r="X71" s="4">
        <f>+P71-T71</f>
        <v>50815.350000000006</v>
      </c>
      <c r="Y71" s="4"/>
      <c r="Z71" s="13">
        <f>IF(T71=0,0,X71/T71)</f>
        <v>1.2496292820687613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ht="15.75" thickBot="1" x14ac:dyDescent="0.3">
      <c r="A73" s="11"/>
      <c r="B73" s="29" t="s">
        <v>125</v>
      </c>
      <c r="C73" s="29"/>
      <c r="D73" s="30">
        <f>+D69-D71</f>
        <v>-3220.6299999999956</v>
      </c>
      <c r="E73" s="14"/>
      <c r="F73" s="36">
        <f>IF(D$12=0,0,D73/D$12)</f>
        <v>-6.2385084745762626E-2</v>
      </c>
      <c r="G73" s="14"/>
      <c r="H73" s="30">
        <f>+H69-H71</f>
        <v>5266.3000000000038</v>
      </c>
      <c r="I73" s="14"/>
      <c r="J73" s="36">
        <f>IF(H$12=0,0,H73/H$12)</f>
        <v>0.12156740535549408</v>
      </c>
      <c r="K73" s="15"/>
      <c r="L73" s="30">
        <f>D73-H73</f>
        <v>-8486.93</v>
      </c>
      <c r="M73" s="15"/>
      <c r="N73" s="36">
        <f>IF(H73=0,0,L73/H73)</f>
        <v>-1.611554601902663</v>
      </c>
      <c r="O73" s="28"/>
      <c r="P73" s="30">
        <f>+P69-P71</f>
        <v>-13799.030000000028</v>
      </c>
      <c r="Q73" s="14"/>
      <c r="R73" s="36">
        <f>IF(P$12=0,0,P73/P$12)</f>
        <v>-3.1087368404452628E-2</v>
      </c>
      <c r="S73" s="14"/>
      <c r="T73" s="30">
        <f>+T69-T71</f>
        <v>-9011.1700000000128</v>
      </c>
      <c r="U73" s="14"/>
      <c r="V73" s="36">
        <f>IF(T$12=0,0,T73/T$12)</f>
        <v>-2.3744848484848518E-2</v>
      </c>
      <c r="W73" s="15"/>
      <c r="X73" s="30">
        <f>P73-T73</f>
        <v>-4787.8600000000151</v>
      </c>
      <c r="Y73" s="15"/>
      <c r="Z73" s="36">
        <f>IF(T73=0,0,X73/T73)</f>
        <v>0.53132501106959562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ht="15.75" thickBot="1" x14ac:dyDescent="0.3">
      <c r="A76" s="11"/>
      <c r="B76" s="29" t="s">
        <v>293</v>
      </c>
      <c r="C76" s="29"/>
      <c r="D76" s="35">
        <f>SUM(D73:D75)</f>
        <v>-3220.6299999999956</v>
      </c>
      <c r="E76" s="14"/>
      <c r="F76" s="34">
        <f>IF(D$12=0,0,D76/D$12)</f>
        <v>-6.2385084745762626E-2</v>
      </c>
      <c r="G76" s="14"/>
      <c r="H76" s="35">
        <f>SUM(H73:H75)</f>
        <v>5266.3000000000038</v>
      </c>
      <c r="I76" s="14"/>
      <c r="J76" s="34">
        <f>IF(H$12=0,0,H76/H$12)</f>
        <v>0.12156740535549408</v>
      </c>
      <c r="K76" s="15"/>
      <c r="L76" s="35">
        <f>+D76-H76</f>
        <v>-8486.93</v>
      </c>
      <c r="M76" s="15"/>
      <c r="N76" s="34">
        <f>IF(H76=0,0,L76/H76)</f>
        <v>-1.611554601902663</v>
      </c>
      <c r="O76" s="28"/>
      <c r="P76" s="35">
        <f>SUM(P73:P75)</f>
        <v>-13799.030000000028</v>
      </c>
      <c r="Q76" s="14"/>
      <c r="R76" s="34">
        <f>IF(P$12=0,0,P76/P$12)</f>
        <v>-3.1087368404452628E-2</v>
      </c>
      <c r="S76" s="14"/>
      <c r="T76" s="35">
        <f>SUM(T73:T75)</f>
        <v>-9011.1700000000128</v>
      </c>
      <c r="U76" s="14"/>
      <c r="V76" s="34">
        <f>IF(T$12=0,0,T76/T$12)</f>
        <v>-2.3744848484848518E-2</v>
      </c>
      <c r="W76" s="15"/>
      <c r="X76" s="35">
        <f>+P76-T76</f>
        <v>-4787.8600000000151</v>
      </c>
      <c r="Y76" s="15"/>
      <c r="Z76" s="34">
        <f>IF(T76=0,0,X76/T76)</f>
        <v>0.53132501106959562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4">
        <v>44295.963243634258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8" t="s">
        <v>56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2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59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59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59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9"/>
      <c r="C6" s="49"/>
      <c r="D6" s="24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1"/>
      <c r="B10" s="61"/>
      <c r="C10" s="11"/>
      <c r="D10" s="42" t="s">
        <v>57</v>
      </c>
      <c r="E10" s="32"/>
      <c r="F10" s="33" t="s">
        <v>40</v>
      </c>
      <c r="G10" s="32"/>
      <c r="H10" s="46" t="s">
        <v>237</v>
      </c>
      <c r="I10" s="32"/>
      <c r="J10" s="33" t="s">
        <v>40</v>
      </c>
      <c r="K10" s="11"/>
      <c r="L10" s="42" t="s">
        <v>126</v>
      </c>
      <c r="M10" s="11"/>
      <c r="N10" s="33" t="s">
        <v>257</v>
      </c>
      <c r="O10" s="11"/>
      <c r="P10" s="56" t="s">
        <v>57</v>
      </c>
      <c r="Q10" s="32"/>
      <c r="R10" s="33" t="s">
        <v>40</v>
      </c>
      <c r="S10" s="32"/>
      <c r="T10" s="46" t="s">
        <v>237</v>
      </c>
      <c r="U10" s="32"/>
      <c r="V10" s="33" t="s">
        <v>40</v>
      </c>
      <c r="W10" s="11"/>
      <c r="X10" s="42" t="s">
        <v>126</v>
      </c>
      <c r="Y10" s="11"/>
      <c r="Z10" s="33" t="s">
        <v>257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8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5"/>
      <c r="L36" s="35" t="e">
        <f ca="1">+D36-H36</f>
        <v>#NAME?</v>
      </c>
      <c r="M36" s="15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5"/>
      <c r="X36" s="35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330B9F2-89D6-48D0-BD42-6CD09B6C44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ECB930-41DE-405C-9F06-2AC651A657F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5863A4-72D0-4F6F-B6FF-9FE203210F6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62caf36-b0c2-49b4-ab14-ff4bceb8c0a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4452</vt:i4>
      </vt:variant>
    </vt:vector>
  </HeadingPairs>
  <TitlesOfParts>
    <vt:vector size="4552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326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455</vt:lpstr>
      <vt:lpstr>425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'316'!OSRRefD22_13x_0</vt:lpstr>
      <vt:lpstr>'317'!OSRRefD22_13x_0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'433'!OSRRefD22_16x_0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'316'!OSRRefH22_13x_0</vt:lpstr>
      <vt:lpstr>'317'!OSRRefH22_13x_0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'433'!OSRRefH22_16x_0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'316'!OSRRefP22_13x_0</vt:lpstr>
      <vt:lpstr>'317'!OSRRefP22_13x_0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'433'!OSRRefP22_16x_0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'316'!OSRRefT22_13x_0</vt:lpstr>
      <vt:lpstr>'317'!OSRRefT22_13x_0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'433'!OSRRefT22_16x_0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2021-04-09T23:08:59Z</dcterms:created>
  <dcterms:modified xsi:type="dcterms:W3CDTF">2021-04-09T23:39:09Z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